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13_ncr:1_{D8D15F02-832C-4BC6-A2F8-24C6CA7C8881}" xr6:coauthVersionLast="47" xr6:coauthVersionMax="47" xr10:uidLastSave="{00000000-0000-0000-0000-000000000000}"/>
  <bookViews>
    <workbookView xWindow="-120" yWindow="-120" windowWidth="29040" windowHeight="15840" tabRatio="691" xr2:uid="{00000000-000D-0000-FFFF-FFFF00000000}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13" r:id="rId8"/>
    <sheet name="Планируемые показат_бонусы" sheetId="10" r:id="rId9"/>
  </sheets>
  <definedNames>
    <definedName name="_xlnm._FilterDatabase" localSheetId="5" hidden="1">Зачет!$A$12:$AC$14</definedName>
    <definedName name="_xlnm._FilterDatabase" localSheetId="1" hidden="1">Перечень!$A$12:$GI$1402</definedName>
    <definedName name="_xlnm._FilterDatabase" localSheetId="7" hidden="1">Перечень_бонусы!$A$8:$S$240</definedName>
    <definedName name="_xlnm._FilterDatabase" localSheetId="3" hidden="1">'Плановые показатели'!$A$9:$K$212</definedName>
    <definedName name="_xlnm._FilterDatabase" localSheetId="0" hidden="1">Реестр!$A$18:$HP$1409</definedName>
    <definedName name="_xlnm._FilterDatabase" localSheetId="6" hidden="1">Реестр_бонусы!$A$9:$AN$240</definedName>
    <definedName name="_xlnm._FilterDatabase" localSheetId="4" hidden="1">'Спец.счета КП 2020-2022'!$A$7:$AB$482</definedName>
    <definedName name="_xlnm.Print_Area" localSheetId="5">Зачет!$A$1:$AC$19</definedName>
    <definedName name="_xlnm.Print_Area" localSheetId="1">Перечень!$B$1:$AP$1402</definedName>
    <definedName name="_xlnm.Print_Area" localSheetId="0">Реестр!$B$1:$BW$1409</definedName>
    <definedName name="_xlnm.Print_Area" localSheetId="2">'Рес обесп'!$A$1:$C$53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94" i="3" l="1"/>
  <c r="K1402" i="3"/>
  <c r="K1401" i="3" s="1"/>
  <c r="K1398" i="3"/>
  <c r="K1400" i="3"/>
  <c r="K1399" i="3" s="1"/>
  <c r="AL1400" i="3"/>
  <c r="AJ1400" i="3"/>
  <c r="AF1400" i="3"/>
  <c r="T1400" i="3"/>
  <c r="U1400" i="3" s="1"/>
  <c r="U1399" i="3" s="1"/>
  <c r="S1400" i="3"/>
  <c r="S1399" i="3" s="1"/>
  <c r="L1399" i="3"/>
  <c r="J1399" i="3"/>
  <c r="I1399" i="3"/>
  <c r="T1399" i="3" s="1"/>
  <c r="F223" i="5"/>
  <c r="F218" i="5" s="1"/>
  <c r="E223" i="5"/>
  <c r="AE1406" i="7"/>
  <c r="AD1406" i="7"/>
  <c r="AB1406" i="7"/>
  <c r="AA1406" i="7"/>
  <c r="Z1406" i="7"/>
  <c r="Y1406" i="7"/>
  <c r="X1406" i="7"/>
  <c r="W1406" i="7"/>
  <c r="V1406" i="7"/>
  <c r="U1406" i="7"/>
  <c r="T1406" i="7"/>
  <c r="S1406" i="7"/>
  <c r="R1406" i="7"/>
  <c r="Q1406" i="7"/>
  <c r="P1406" i="7"/>
  <c r="O1406" i="7"/>
  <c r="N1406" i="7"/>
  <c r="M1406" i="7"/>
  <c r="L1406" i="7"/>
  <c r="K1406" i="7"/>
  <c r="J1406" i="7"/>
  <c r="I1406" i="7"/>
  <c r="H1406" i="7"/>
  <c r="G1406" i="7"/>
  <c r="F1406" i="7"/>
  <c r="E1406" i="7"/>
  <c r="AC1407" i="7"/>
  <c r="D1407" i="7" s="1"/>
  <c r="K1397" i="3"/>
  <c r="K1396" i="3"/>
  <c r="L1401" i="3"/>
  <c r="J1401" i="3"/>
  <c r="I1401" i="3"/>
  <c r="T1401" i="3" s="1"/>
  <c r="AL1402" i="3"/>
  <c r="AJ1402" i="3"/>
  <c r="AF1402" i="3"/>
  <c r="T1402" i="3"/>
  <c r="U1402" i="3" s="1"/>
  <c r="U1401" i="3" s="1"/>
  <c r="S1402" i="3"/>
  <c r="S1401" i="3" s="1"/>
  <c r="R1401" i="3"/>
  <c r="R1399" i="3" s="1"/>
  <c r="Q1401" i="3"/>
  <c r="Q1399" i="3" s="1"/>
  <c r="AL1398" i="3"/>
  <c r="AJ1398" i="3"/>
  <c r="AF1398" i="3"/>
  <c r="T1398" i="3"/>
  <c r="U1398" i="3" s="1"/>
  <c r="S1398" i="3"/>
  <c r="AL1397" i="3"/>
  <c r="AF1397" i="3"/>
  <c r="T1397" i="3"/>
  <c r="U1397" i="3" s="1"/>
  <c r="S1397" i="3"/>
  <c r="AL1396" i="3"/>
  <c r="AF1396" i="3"/>
  <c r="T1396" i="3"/>
  <c r="U1396" i="3" s="1"/>
  <c r="S1396" i="3"/>
  <c r="R1395" i="3"/>
  <c r="Q1395" i="3"/>
  <c r="L1395" i="3"/>
  <c r="J1395" i="3"/>
  <c r="I1395" i="3"/>
  <c r="T1395" i="3" s="1"/>
  <c r="C52" i="4"/>
  <c r="C51" i="4"/>
  <c r="AC1405" i="7"/>
  <c r="AC1404" i="7"/>
  <c r="AC1403" i="7"/>
  <c r="AC1409" i="7"/>
  <c r="D1400" i="7"/>
  <c r="AE1399" i="7"/>
  <c r="AD1399" i="7"/>
  <c r="AC1399" i="7"/>
  <c r="AB1399" i="7"/>
  <c r="AA1399" i="7"/>
  <c r="Z1399" i="7"/>
  <c r="Y1399" i="7"/>
  <c r="X1399" i="7"/>
  <c r="W1399" i="7"/>
  <c r="V1399" i="7"/>
  <c r="U1399" i="7"/>
  <c r="T1399" i="7"/>
  <c r="S1399" i="7"/>
  <c r="R1399" i="7"/>
  <c r="Q1399" i="7"/>
  <c r="P1399" i="7"/>
  <c r="O1399" i="7"/>
  <c r="N1399" i="7"/>
  <c r="M1399" i="7"/>
  <c r="L1399" i="7"/>
  <c r="K1399" i="7"/>
  <c r="J1399" i="7"/>
  <c r="I1399" i="7"/>
  <c r="H1399" i="7"/>
  <c r="G1399" i="7"/>
  <c r="F1399" i="7"/>
  <c r="E1399" i="7"/>
  <c r="D1398" i="7"/>
  <c r="AE1397" i="7"/>
  <c r="AD1397" i="7"/>
  <c r="AC1397" i="7"/>
  <c r="AB1397" i="7"/>
  <c r="AA1397" i="7"/>
  <c r="Z1397" i="7"/>
  <c r="Y1397" i="7"/>
  <c r="X1397" i="7"/>
  <c r="W1397" i="7"/>
  <c r="V1397" i="7"/>
  <c r="U1397" i="7"/>
  <c r="T1397" i="7"/>
  <c r="S1397" i="7"/>
  <c r="R1397" i="7"/>
  <c r="Q1397" i="7"/>
  <c r="P1397" i="7"/>
  <c r="O1397" i="7"/>
  <c r="N1397" i="7"/>
  <c r="M1397" i="7"/>
  <c r="L1397" i="7"/>
  <c r="K1397" i="7"/>
  <c r="J1397" i="7"/>
  <c r="I1397" i="7"/>
  <c r="H1397" i="7"/>
  <c r="G1397" i="7"/>
  <c r="F1397" i="7"/>
  <c r="E1397" i="7"/>
  <c r="D1396" i="7"/>
  <c r="D1395" i="7"/>
  <c r="D1394" i="7"/>
  <c r="AE1393" i="7"/>
  <c r="AD1393" i="7"/>
  <c r="AC1393" i="7"/>
  <c r="AB1393" i="7"/>
  <c r="AA1393" i="7"/>
  <c r="Z1393" i="7"/>
  <c r="Y1393" i="7"/>
  <c r="X1393" i="7"/>
  <c r="W1393" i="7"/>
  <c r="V1393" i="7"/>
  <c r="U1393" i="7"/>
  <c r="T1393" i="7"/>
  <c r="S1393" i="7"/>
  <c r="R1393" i="7"/>
  <c r="Q1393" i="7"/>
  <c r="P1393" i="7"/>
  <c r="O1393" i="7"/>
  <c r="N1393" i="7"/>
  <c r="M1393" i="7"/>
  <c r="L1393" i="7"/>
  <c r="K1393" i="7"/>
  <c r="J1393" i="7"/>
  <c r="I1393" i="7"/>
  <c r="H1393" i="7"/>
  <c r="G1393" i="7"/>
  <c r="F1393" i="7"/>
  <c r="E1393" i="7"/>
  <c r="R1394" i="3" l="1"/>
  <c r="U1395" i="3"/>
  <c r="U1394" i="3" s="1"/>
  <c r="Q1394" i="3"/>
  <c r="L1394" i="3"/>
  <c r="J1394" i="3"/>
  <c r="I1394" i="3"/>
  <c r="T1394" i="3" s="1"/>
  <c r="W1400" i="3"/>
  <c r="V1400" i="3" s="1"/>
  <c r="AC1406" i="7"/>
  <c r="D1406" i="7"/>
  <c r="K1395" i="3"/>
  <c r="K1394" i="3" s="1"/>
  <c r="W1402" i="3"/>
  <c r="V1402" i="3" s="1"/>
  <c r="S1395" i="3"/>
  <c r="S1394" i="3" s="1"/>
  <c r="W1396" i="3"/>
  <c r="V1396" i="3" s="1"/>
  <c r="W1397" i="3"/>
  <c r="V1397" i="3" s="1"/>
  <c r="W1398" i="3"/>
  <c r="V1398" i="3" s="1"/>
  <c r="G1392" i="7"/>
  <c r="K1392" i="7"/>
  <c r="O1392" i="7"/>
  <c r="S1392" i="7"/>
  <c r="W1392" i="7"/>
  <c r="AA1392" i="7"/>
  <c r="AE1392" i="7"/>
  <c r="D1393" i="7"/>
  <c r="L1392" i="7"/>
  <c r="P1392" i="7"/>
  <c r="X1392" i="7"/>
  <c r="AB1392" i="7"/>
  <c r="D1399" i="7"/>
  <c r="H1392" i="7"/>
  <c r="T1392" i="7"/>
  <c r="E1392" i="7"/>
  <c r="I1392" i="7"/>
  <c r="M1392" i="7"/>
  <c r="Q1392" i="7"/>
  <c r="U1392" i="7"/>
  <c r="Y1392" i="7"/>
  <c r="AC1392" i="7"/>
  <c r="F1392" i="7"/>
  <c r="J1392" i="7"/>
  <c r="N1392" i="7"/>
  <c r="R1392" i="7"/>
  <c r="V1392" i="7"/>
  <c r="Z1392" i="7"/>
  <c r="AD1392" i="7"/>
  <c r="D1397" i="7"/>
  <c r="D1392" i="7" l="1"/>
  <c r="C43" i="4" s="1"/>
  <c r="N825" i="7" l="1"/>
  <c r="AC658" i="7"/>
  <c r="N660" i="7"/>
  <c r="N659" i="7"/>
  <c r="AA739" i="12" l="1"/>
  <c r="Z739" i="12"/>
  <c r="Y739" i="12"/>
  <c r="X739" i="12"/>
  <c r="W739" i="12"/>
  <c r="V739" i="12"/>
  <c r="U739" i="12"/>
  <c r="T739" i="12"/>
  <c r="S739" i="12"/>
  <c r="R739" i="12"/>
  <c r="Q739" i="12"/>
  <c r="P739" i="12"/>
  <c r="O739" i="12"/>
  <c r="N739" i="12"/>
  <c r="M739" i="12"/>
  <c r="L739" i="12"/>
  <c r="K739" i="12"/>
  <c r="J739" i="12"/>
  <c r="I739" i="12"/>
  <c r="H739" i="12"/>
  <c r="G739" i="12"/>
  <c r="F739" i="12"/>
  <c r="E73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D761" i="12"/>
  <c r="D760" i="12"/>
  <c r="D759" i="12"/>
  <c r="D758" i="12"/>
  <c r="D757" i="12"/>
  <c r="D756" i="12"/>
  <c r="D755" i="12"/>
  <c r="D754" i="12"/>
  <c r="D753" i="12"/>
  <c r="D752" i="12"/>
  <c r="D751" i="12"/>
  <c r="D750" i="12"/>
  <c r="N647" i="7" l="1"/>
  <c r="B736" i="3" l="1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AF783" i="3"/>
  <c r="W783" i="3" s="1"/>
  <c r="T783" i="3"/>
  <c r="V783" i="3" s="1"/>
  <c r="S783" i="3"/>
  <c r="AJ791" i="3"/>
  <c r="W791" i="3" s="1"/>
  <c r="T791" i="3"/>
  <c r="V791" i="3" s="1"/>
  <c r="S791" i="3"/>
  <c r="AF782" i="3"/>
  <c r="W782" i="3" s="1"/>
  <c r="T782" i="3"/>
  <c r="V782" i="3" s="1"/>
  <c r="S782" i="3"/>
  <c r="B730" i="3"/>
  <c r="B731" i="3"/>
  <c r="B732" i="3"/>
  <c r="D768" i="12" l="1"/>
  <c r="B768" i="12"/>
  <c r="AA767" i="12"/>
  <c r="Z767" i="12"/>
  <c r="Y767" i="12"/>
  <c r="X767" i="12"/>
  <c r="W767" i="12"/>
  <c r="V767" i="12"/>
  <c r="U767" i="12"/>
  <c r="T767" i="12"/>
  <c r="S767" i="12"/>
  <c r="R767" i="12"/>
  <c r="Q767" i="12"/>
  <c r="P767" i="12"/>
  <c r="O767" i="12"/>
  <c r="N767" i="12"/>
  <c r="M767" i="12"/>
  <c r="L767" i="12"/>
  <c r="K767" i="12"/>
  <c r="J767" i="12"/>
  <c r="I767" i="12"/>
  <c r="H767" i="12"/>
  <c r="G767" i="12"/>
  <c r="F767" i="12"/>
  <c r="E767" i="12"/>
  <c r="D767" i="12"/>
  <c r="D766" i="12"/>
  <c r="B766" i="12"/>
  <c r="D765" i="12"/>
  <c r="B765" i="12"/>
  <c r="D764" i="12"/>
  <c r="B764" i="12"/>
  <c r="D763" i="12"/>
  <c r="B763" i="12"/>
  <c r="AA762" i="12"/>
  <c r="AA738" i="12" s="1"/>
  <c r="Z762" i="12"/>
  <c r="Z738" i="12" s="1"/>
  <c r="Y762" i="12"/>
  <c r="X762" i="12"/>
  <c r="X738" i="12" s="1"/>
  <c r="W762" i="12"/>
  <c r="W738" i="12" s="1"/>
  <c r="V762" i="12"/>
  <c r="U762" i="12"/>
  <c r="T762" i="12"/>
  <c r="T738" i="12" s="1"/>
  <c r="S762" i="12"/>
  <c r="S738" i="12" s="1"/>
  <c r="R762" i="12"/>
  <c r="R738" i="12" s="1"/>
  <c r="Q762" i="12"/>
  <c r="P762" i="12"/>
  <c r="P738" i="12" s="1"/>
  <c r="O762" i="12"/>
  <c r="O738" i="12" s="1"/>
  <c r="N762" i="12"/>
  <c r="N738" i="12" s="1"/>
  <c r="M762" i="12"/>
  <c r="L762" i="12"/>
  <c r="K762" i="12"/>
  <c r="K738" i="12" s="1"/>
  <c r="J762" i="12"/>
  <c r="J738" i="12" s="1"/>
  <c r="I762" i="12"/>
  <c r="H762" i="12"/>
  <c r="H738" i="12" s="1"/>
  <c r="G762" i="12"/>
  <c r="G738" i="12" s="1"/>
  <c r="F762" i="12"/>
  <c r="F738" i="12" s="1"/>
  <c r="E762" i="12"/>
  <c r="D749" i="12"/>
  <c r="B749" i="12"/>
  <c r="D748" i="12"/>
  <c r="B748" i="12"/>
  <c r="D747" i="12"/>
  <c r="B747" i="12"/>
  <c r="D746" i="12"/>
  <c r="B746" i="12"/>
  <c r="D745" i="12"/>
  <c r="B745" i="12"/>
  <c r="D744" i="12"/>
  <c r="B744" i="12"/>
  <c r="D743" i="12"/>
  <c r="B743" i="12"/>
  <c r="D742" i="12"/>
  <c r="B742" i="12"/>
  <c r="D741" i="12"/>
  <c r="B741" i="12"/>
  <c r="D740" i="12"/>
  <c r="B740" i="12"/>
  <c r="Y738" i="12"/>
  <c r="U738" i="12"/>
  <c r="Q738" i="12"/>
  <c r="M738" i="12"/>
  <c r="L738" i="12"/>
  <c r="I738" i="12"/>
  <c r="E738" i="12"/>
  <c r="D737" i="12"/>
  <c r="D736" i="12" s="1"/>
  <c r="B737" i="12"/>
  <c r="AA736" i="12"/>
  <c r="Z736" i="12"/>
  <c r="Y736" i="12"/>
  <c r="X736" i="12"/>
  <c r="W736" i="12"/>
  <c r="V736" i="12"/>
  <c r="U736" i="12"/>
  <c r="T736" i="12"/>
  <c r="S736" i="12"/>
  <c r="R736" i="12"/>
  <c r="Q736" i="12"/>
  <c r="P736" i="12"/>
  <c r="O736" i="12"/>
  <c r="N736" i="12"/>
  <c r="M736" i="12"/>
  <c r="L736" i="12"/>
  <c r="K736" i="12"/>
  <c r="J736" i="12"/>
  <c r="I736" i="12"/>
  <c r="H736" i="12"/>
  <c r="G736" i="12"/>
  <c r="F736" i="12"/>
  <c r="E736" i="12"/>
  <c r="D735" i="12"/>
  <c r="D734" i="12" s="1"/>
  <c r="B735" i="12"/>
  <c r="AA734" i="12"/>
  <c r="Z734" i="12"/>
  <c r="Y734" i="12"/>
  <c r="X734" i="12"/>
  <c r="W734" i="12"/>
  <c r="V734" i="12"/>
  <c r="U734" i="12"/>
  <c r="T734" i="12"/>
  <c r="S734" i="12"/>
  <c r="R734" i="12"/>
  <c r="Q734" i="12"/>
  <c r="P734" i="12"/>
  <c r="O734" i="12"/>
  <c r="N734" i="12"/>
  <c r="M734" i="12"/>
  <c r="L734" i="12"/>
  <c r="K734" i="12"/>
  <c r="J734" i="12"/>
  <c r="I734" i="12"/>
  <c r="H734" i="12"/>
  <c r="G734" i="12"/>
  <c r="F734" i="12"/>
  <c r="E734" i="12"/>
  <c r="D733" i="12"/>
  <c r="B733" i="12"/>
  <c r="O732" i="12"/>
  <c r="D732" i="12" s="1"/>
  <c r="B732" i="12"/>
  <c r="D731" i="12"/>
  <c r="B731" i="12"/>
  <c r="D730" i="12"/>
  <c r="B730" i="12"/>
  <c r="D729" i="12"/>
  <c r="B729" i="12"/>
  <c r="AA728" i="12"/>
  <c r="Z728" i="12"/>
  <c r="Y728" i="12"/>
  <c r="X728" i="12"/>
  <c r="W728" i="12"/>
  <c r="V728" i="12"/>
  <c r="U728" i="12"/>
  <c r="T728" i="12"/>
  <c r="S728" i="12"/>
  <c r="R728" i="12"/>
  <c r="Q728" i="12"/>
  <c r="P728" i="12"/>
  <c r="O728" i="12"/>
  <c r="N728" i="12"/>
  <c r="M728" i="12"/>
  <c r="L728" i="12"/>
  <c r="K728" i="12"/>
  <c r="J728" i="12"/>
  <c r="I728" i="12"/>
  <c r="H728" i="12"/>
  <c r="G728" i="12"/>
  <c r="F728" i="12"/>
  <c r="E728" i="12"/>
  <c r="D727" i="12"/>
  <c r="B727" i="12"/>
  <c r="D726" i="12"/>
  <c r="B726" i="12"/>
  <c r="D725" i="12"/>
  <c r="B725" i="12"/>
  <c r="AA724" i="12"/>
  <c r="Z724" i="12"/>
  <c r="Y724" i="12"/>
  <c r="X724" i="12"/>
  <c r="W724" i="12"/>
  <c r="V724" i="12"/>
  <c r="U724" i="12"/>
  <c r="T724" i="12"/>
  <c r="S724" i="12"/>
  <c r="R724" i="12"/>
  <c r="Q724" i="12"/>
  <c r="P724" i="12"/>
  <c r="O724" i="12"/>
  <c r="N724" i="12"/>
  <c r="M724" i="12"/>
  <c r="L724" i="12"/>
  <c r="K724" i="12"/>
  <c r="J724" i="12"/>
  <c r="I724" i="12"/>
  <c r="H724" i="12"/>
  <c r="G724" i="12"/>
  <c r="F724" i="12"/>
  <c r="E724" i="12"/>
  <c r="D723" i="12"/>
  <c r="B723" i="12"/>
  <c r="D722" i="12"/>
  <c r="B722" i="12"/>
  <c r="D721" i="12"/>
  <c r="B721" i="12"/>
  <c r="D720" i="12"/>
  <c r="B720" i="12"/>
  <c r="AA719" i="12"/>
  <c r="Z719" i="12"/>
  <c r="Y719" i="12"/>
  <c r="X719" i="12"/>
  <c r="W719" i="12"/>
  <c r="V719" i="12"/>
  <c r="U719" i="12"/>
  <c r="T719" i="12"/>
  <c r="S719" i="12"/>
  <c r="R719" i="12"/>
  <c r="Q719" i="12"/>
  <c r="P719" i="12"/>
  <c r="O719" i="12"/>
  <c r="N719" i="12"/>
  <c r="M719" i="12"/>
  <c r="L719" i="12"/>
  <c r="K719" i="12"/>
  <c r="J719" i="12"/>
  <c r="I719" i="12"/>
  <c r="H719" i="12"/>
  <c r="G719" i="12"/>
  <c r="F719" i="12"/>
  <c r="E719" i="12"/>
  <c r="D718" i="12"/>
  <c r="B718" i="12"/>
  <c r="D717" i="12"/>
  <c r="B717" i="12"/>
  <c r="D716" i="12"/>
  <c r="B716" i="12"/>
  <c r="D715" i="12"/>
  <c r="B715" i="12"/>
  <c r="D714" i="12"/>
  <c r="B714" i="12"/>
  <c r="D713" i="12"/>
  <c r="B713" i="12"/>
  <c r="D712" i="12"/>
  <c r="B712" i="12"/>
  <c r="D711" i="12"/>
  <c r="B711" i="12"/>
  <c r="D710" i="12"/>
  <c r="B710" i="12"/>
  <c r="D709" i="12"/>
  <c r="B709" i="12"/>
  <c r="AA708" i="12"/>
  <c r="Z708" i="12"/>
  <c r="Y708" i="12"/>
  <c r="X708" i="12"/>
  <c r="W708" i="12"/>
  <c r="V708" i="12"/>
  <c r="U708" i="12"/>
  <c r="T708" i="12"/>
  <c r="S708" i="12"/>
  <c r="R708" i="12"/>
  <c r="Q708" i="12"/>
  <c r="P708" i="12"/>
  <c r="O708" i="12"/>
  <c r="N708" i="12"/>
  <c r="M708" i="12"/>
  <c r="L708" i="12"/>
  <c r="K708" i="12"/>
  <c r="J708" i="12"/>
  <c r="I708" i="12"/>
  <c r="H708" i="12"/>
  <c r="G708" i="12"/>
  <c r="F708" i="12"/>
  <c r="E708" i="12"/>
  <c r="D707" i="12"/>
  <c r="B707" i="12"/>
  <c r="D706" i="12"/>
  <c r="B706" i="12"/>
  <c r="D705" i="12"/>
  <c r="B705" i="12"/>
  <c r="D704" i="12"/>
  <c r="B704" i="12"/>
  <c r="D703" i="12"/>
  <c r="B703" i="12"/>
  <c r="D702" i="12"/>
  <c r="B702" i="12"/>
  <c r="D701" i="12"/>
  <c r="B701" i="12"/>
  <c r="D700" i="12"/>
  <c r="B700" i="12"/>
  <c r="D699" i="12"/>
  <c r="B699" i="12"/>
  <c r="AA698" i="12"/>
  <c r="Z698" i="12"/>
  <c r="Y698" i="12"/>
  <c r="X698" i="12"/>
  <c r="W698" i="12"/>
  <c r="V698" i="12"/>
  <c r="U698" i="12"/>
  <c r="T698" i="12"/>
  <c r="S698" i="12"/>
  <c r="R698" i="12"/>
  <c r="Q698" i="12"/>
  <c r="P698" i="12"/>
  <c r="O698" i="12"/>
  <c r="N698" i="12"/>
  <c r="M698" i="12"/>
  <c r="L698" i="12"/>
  <c r="K698" i="12"/>
  <c r="J698" i="12"/>
  <c r="I698" i="12"/>
  <c r="H698" i="12"/>
  <c r="G698" i="12"/>
  <c r="F698" i="12"/>
  <c r="E698" i="12"/>
  <c r="D697" i="12"/>
  <c r="B697" i="12"/>
  <c r="D696" i="12"/>
  <c r="B696" i="12"/>
  <c r="D695" i="12"/>
  <c r="B695" i="12"/>
  <c r="D694" i="12"/>
  <c r="B694" i="12"/>
  <c r="D693" i="12"/>
  <c r="B693" i="12"/>
  <c r="D692" i="12"/>
  <c r="B692" i="12"/>
  <c r="D691" i="12"/>
  <c r="B691" i="12"/>
  <c r="D690" i="12"/>
  <c r="B690" i="12"/>
  <c r="AA689" i="12"/>
  <c r="AA676" i="12" s="1"/>
  <c r="Z689" i="12"/>
  <c r="Z676" i="12" s="1"/>
  <c r="Y689" i="12"/>
  <c r="Y676" i="12" s="1"/>
  <c r="X689" i="12"/>
  <c r="X676" i="12" s="1"/>
  <c r="W689" i="12"/>
  <c r="W676" i="12" s="1"/>
  <c r="V689" i="12"/>
  <c r="V676" i="12" s="1"/>
  <c r="U689" i="12"/>
  <c r="U676" i="12" s="1"/>
  <c r="T689" i="12"/>
  <c r="T676" i="12" s="1"/>
  <c r="S689" i="12"/>
  <c r="S676" i="12" s="1"/>
  <c r="R689" i="12"/>
  <c r="R676" i="12" s="1"/>
  <c r="Q689" i="12"/>
  <c r="Q676" i="12" s="1"/>
  <c r="P689" i="12"/>
  <c r="P676" i="12" s="1"/>
  <c r="O689" i="12"/>
  <c r="O676" i="12" s="1"/>
  <c r="N689" i="12"/>
  <c r="N676" i="12" s="1"/>
  <c r="M689" i="12"/>
  <c r="M676" i="12" s="1"/>
  <c r="L689" i="12"/>
  <c r="L676" i="12" s="1"/>
  <c r="K689" i="12"/>
  <c r="K676" i="12" s="1"/>
  <c r="J689" i="12"/>
  <c r="J676" i="12" s="1"/>
  <c r="I689" i="12"/>
  <c r="I676" i="12" s="1"/>
  <c r="H689" i="12"/>
  <c r="H676" i="12" s="1"/>
  <c r="G689" i="12"/>
  <c r="G676" i="12" s="1"/>
  <c r="F689" i="12"/>
  <c r="F676" i="12" s="1"/>
  <c r="E689" i="12"/>
  <c r="E676" i="12" s="1"/>
  <c r="D688" i="12"/>
  <c r="B688" i="12"/>
  <c r="D687" i="12"/>
  <c r="B687" i="12"/>
  <c r="D686" i="12"/>
  <c r="B686" i="12"/>
  <c r="D685" i="12"/>
  <c r="B685" i="12"/>
  <c r="D684" i="12"/>
  <c r="B684" i="12"/>
  <c r="D683" i="12"/>
  <c r="B683" i="12"/>
  <c r="D682" i="12"/>
  <c r="B682" i="12"/>
  <c r="D681" i="12"/>
  <c r="B681" i="12"/>
  <c r="D680" i="12"/>
  <c r="B680" i="12"/>
  <c r="D679" i="12"/>
  <c r="B679" i="12"/>
  <c r="D678" i="12"/>
  <c r="B678" i="12"/>
  <c r="D677" i="12"/>
  <c r="B677" i="12"/>
  <c r="D675" i="12"/>
  <c r="B675" i="12"/>
  <c r="D674" i="12"/>
  <c r="B674" i="12"/>
  <c r="AA673" i="12"/>
  <c r="Z673" i="12"/>
  <c r="Y673" i="12"/>
  <c r="X673" i="12"/>
  <c r="W673" i="12"/>
  <c r="V673" i="12"/>
  <c r="U673" i="12"/>
  <c r="T673" i="12"/>
  <c r="S673" i="12"/>
  <c r="R673" i="12"/>
  <c r="Q673" i="12"/>
  <c r="P673" i="12"/>
  <c r="O673" i="12"/>
  <c r="N673" i="12"/>
  <c r="M673" i="12"/>
  <c r="L673" i="12"/>
  <c r="K673" i="12"/>
  <c r="J673" i="12"/>
  <c r="I673" i="12"/>
  <c r="H673" i="12"/>
  <c r="G673" i="12"/>
  <c r="F673" i="12"/>
  <c r="E673" i="12"/>
  <c r="B672" i="12"/>
  <c r="D671" i="12"/>
  <c r="D670" i="12" s="1"/>
  <c r="B671" i="12"/>
  <c r="AA670" i="12"/>
  <c r="Z670" i="12"/>
  <c r="Y670" i="12"/>
  <c r="X670" i="12"/>
  <c r="W670" i="12"/>
  <c r="V670" i="12"/>
  <c r="U670" i="12"/>
  <c r="T670" i="12"/>
  <c r="S670" i="12"/>
  <c r="R670" i="12"/>
  <c r="Q670" i="12"/>
  <c r="P670" i="12"/>
  <c r="O670" i="12"/>
  <c r="N670" i="12"/>
  <c r="M670" i="12"/>
  <c r="L670" i="12"/>
  <c r="K670" i="12"/>
  <c r="J670" i="12"/>
  <c r="I670" i="12"/>
  <c r="H670" i="12"/>
  <c r="G670" i="12"/>
  <c r="F670" i="12"/>
  <c r="E670" i="12"/>
  <c r="D669" i="12"/>
  <c r="D668" i="12" s="1"/>
  <c r="B669" i="12"/>
  <c r="AA668" i="12"/>
  <c r="Z668" i="12"/>
  <c r="Y668" i="12"/>
  <c r="X668" i="12"/>
  <c r="W668" i="12"/>
  <c r="V668" i="12"/>
  <c r="U668" i="12"/>
  <c r="T668" i="12"/>
  <c r="S668" i="12"/>
  <c r="R668" i="12"/>
  <c r="Q668" i="12"/>
  <c r="P668" i="12"/>
  <c r="O668" i="12"/>
  <c r="N668" i="12"/>
  <c r="M668" i="12"/>
  <c r="L668" i="12"/>
  <c r="K668" i="12"/>
  <c r="J668" i="12"/>
  <c r="I668" i="12"/>
  <c r="H668" i="12"/>
  <c r="G668" i="12"/>
  <c r="F668" i="12"/>
  <c r="E668" i="12"/>
  <c r="D667" i="12"/>
  <c r="B667" i="12"/>
  <c r="D666" i="12"/>
  <c r="B666" i="12"/>
  <c r="AA665" i="12"/>
  <c r="Z665" i="12"/>
  <c r="Y665" i="12"/>
  <c r="X665" i="12"/>
  <c r="W665" i="12"/>
  <c r="V665" i="12"/>
  <c r="U665" i="12"/>
  <c r="T665" i="12"/>
  <c r="S665" i="12"/>
  <c r="R665" i="12"/>
  <c r="Q665" i="12"/>
  <c r="P665" i="12"/>
  <c r="O665" i="12"/>
  <c r="N665" i="12"/>
  <c r="M665" i="12"/>
  <c r="L665" i="12"/>
  <c r="K665" i="12"/>
  <c r="J665" i="12"/>
  <c r="I665" i="12"/>
  <c r="H665" i="12"/>
  <c r="G665" i="12"/>
  <c r="F665" i="12"/>
  <c r="E665" i="12"/>
  <c r="D664" i="12"/>
  <c r="B664" i="12"/>
  <c r="D663" i="12"/>
  <c r="B663" i="12"/>
  <c r="AA662" i="12"/>
  <c r="Z662" i="12"/>
  <c r="Y662" i="12"/>
  <c r="X662" i="12"/>
  <c r="W662" i="12"/>
  <c r="V662" i="12"/>
  <c r="U662" i="12"/>
  <c r="T662" i="12"/>
  <c r="S662" i="12"/>
  <c r="R662" i="12"/>
  <c r="Q662" i="12"/>
  <c r="P662" i="12"/>
  <c r="O662" i="12"/>
  <c r="N662" i="12"/>
  <c r="M662" i="12"/>
  <c r="L662" i="12"/>
  <c r="K662" i="12"/>
  <c r="J662" i="12"/>
  <c r="I662" i="12"/>
  <c r="H662" i="12"/>
  <c r="G662" i="12"/>
  <c r="F662" i="12"/>
  <c r="E662" i="12"/>
  <c r="D661" i="12"/>
  <c r="B661" i="12"/>
  <c r="D660" i="12"/>
  <c r="B660" i="12"/>
  <c r="D659" i="12"/>
  <c r="B659" i="12"/>
  <c r="D658" i="12"/>
  <c r="B658" i="12"/>
  <c r="D657" i="12"/>
  <c r="B657" i="12"/>
  <c r="AA656" i="12"/>
  <c r="Z656" i="12"/>
  <c r="Y656" i="12"/>
  <c r="X656" i="12"/>
  <c r="W656" i="12"/>
  <c r="V656" i="12"/>
  <c r="U656" i="12"/>
  <c r="T656" i="12"/>
  <c r="S656" i="12"/>
  <c r="R656" i="12"/>
  <c r="Q656" i="12"/>
  <c r="P656" i="12"/>
  <c r="O656" i="12"/>
  <c r="N656" i="12"/>
  <c r="M656" i="12"/>
  <c r="L656" i="12"/>
  <c r="K656" i="12"/>
  <c r="J656" i="12"/>
  <c r="I656" i="12"/>
  <c r="H656" i="12"/>
  <c r="G656" i="12"/>
  <c r="F656" i="12"/>
  <c r="E656" i="12"/>
  <c r="D655" i="12"/>
  <c r="B655" i="12"/>
  <c r="B654" i="12"/>
  <c r="D653" i="12"/>
  <c r="B653" i="12"/>
  <c r="D652" i="12"/>
  <c r="B652" i="12"/>
  <c r="D651" i="12"/>
  <c r="B651" i="12"/>
  <c r="D650" i="12"/>
  <c r="B650" i="12"/>
  <c r="D649" i="12"/>
  <c r="B649" i="12"/>
  <c r="D648" i="12"/>
  <c r="B648" i="12"/>
  <c r="D647" i="12"/>
  <c r="B647" i="12"/>
  <c r="D646" i="12"/>
  <c r="B646" i="12"/>
  <c r="AA645" i="12"/>
  <c r="Z645" i="12"/>
  <c r="Y645" i="12"/>
  <c r="X645" i="12"/>
  <c r="W645" i="12"/>
  <c r="V645" i="12"/>
  <c r="U645" i="12"/>
  <c r="T645" i="12"/>
  <c r="S645" i="12"/>
  <c r="R645" i="12"/>
  <c r="Q645" i="12"/>
  <c r="P645" i="12"/>
  <c r="O645" i="12"/>
  <c r="N645" i="12"/>
  <c r="M645" i="12"/>
  <c r="L645" i="12"/>
  <c r="K645" i="12"/>
  <c r="J645" i="12"/>
  <c r="I645" i="12"/>
  <c r="H645" i="12"/>
  <c r="G645" i="12"/>
  <c r="F645" i="12"/>
  <c r="E645" i="12"/>
  <c r="D644" i="12"/>
  <c r="B644" i="12"/>
  <c r="D643" i="12"/>
  <c r="B643" i="12"/>
  <c r="D642" i="12"/>
  <c r="B642" i="12"/>
  <c r="D641" i="12"/>
  <c r="B641" i="12"/>
  <c r="D640" i="12"/>
  <c r="B640" i="12"/>
  <c r="D639" i="12"/>
  <c r="B639" i="12"/>
  <c r="D638" i="12"/>
  <c r="B638" i="12"/>
  <c r="D637" i="12"/>
  <c r="B637" i="12"/>
  <c r="D636" i="12"/>
  <c r="B636" i="12"/>
  <c r="AA635" i="12"/>
  <c r="Z635" i="12"/>
  <c r="Y635" i="12"/>
  <c r="X635" i="12"/>
  <c r="W635" i="12"/>
  <c r="V635" i="12"/>
  <c r="U635" i="12"/>
  <c r="T635" i="12"/>
  <c r="S635" i="12"/>
  <c r="R635" i="12"/>
  <c r="Q635" i="12"/>
  <c r="P635" i="12"/>
  <c r="O635" i="12"/>
  <c r="N635" i="12"/>
  <c r="M635" i="12"/>
  <c r="L635" i="12"/>
  <c r="K635" i="12"/>
  <c r="J635" i="12"/>
  <c r="I635" i="12"/>
  <c r="H635" i="12"/>
  <c r="G635" i="12"/>
  <c r="F635" i="12"/>
  <c r="E635" i="12"/>
  <c r="D634" i="12"/>
  <c r="B634" i="12"/>
  <c r="D633" i="12"/>
  <c r="B633" i="12"/>
  <c r="D632" i="12"/>
  <c r="B632" i="12"/>
  <c r="D631" i="12"/>
  <c r="B631" i="12"/>
  <c r="D630" i="12"/>
  <c r="B630" i="12"/>
  <c r="D629" i="12"/>
  <c r="B629" i="12"/>
  <c r="D628" i="12"/>
  <c r="B628" i="12"/>
  <c r="D627" i="12"/>
  <c r="B627" i="12"/>
  <c r="D626" i="12"/>
  <c r="B626" i="12"/>
  <c r="D625" i="12"/>
  <c r="B625" i="12"/>
  <c r="D624" i="12"/>
  <c r="B624" i="12"/>
  <c r="D623" i="12"/>
  <c r="B623" i="12"/>
  <c r="D622" i="12"/>
  <c r="B622" i="12"/>
  <c r="AA621" i="12"/>
  <c r="Z621" i="12"/>
  <c r="Y621" i="12"/>
  <c r="X621" i="12"/>
  <c r="W621" i="12"/>
  <c r="V621" i="12"/>
  <c r="U621" i="12"/>
  <c r="T621" i="12"/>
  <c r="S621" i="12"/>
  <c r="R621" i="12"/>
  <c r="Q621" i="12"/>
  <c r="P621" i="12"/>
  <c r="O621" i="12"/>
  <c r="N621" i="12"/>
  <c r="M621" i="12"/>
  <c r="L621" i="12"/>
  <c r="K621" i="12"/>
  <c r="J621" i="12"/>
  <c r="I621" i="12"/>
  <c r="H621" i="12"/>
  <c r="G621" i="12"/>
  <c r="F621" i="12"/>
  <c r="E621" i="12"/>
  <c r="D620" i="12"/>
  <c r="B620" i="12"/>
  <c r="D619" i="12"/>
  <c r="B619" i="12"/>
  <c r="AA618" i="12"/>
  <c r="Z618" i="12"/>
  <c r="Y618" i="12"/>
  <c r="X618" i="12"/>
  <c r="W618" i="12"/>
  <c r="V618" i="12"/>
  <c r="U618" i="12"/>
  <c r="T618" i="12"/>
  <c r="S618" i="12"/>
  <c r="R618" i="12"/>
  <c r="Q618" i="12"/>
  <c r="P618" i="12"/>
  <c r="O618" i="12"/>
  <c r="N618" i="12"/>
  <c r="M618" i="12"/>
  <c r="L618" i="12"/>
  <c r="K618" i="12"/>
  <c r="J618" i="12"/>
  <c r="I618" i="12"/>
  <c r="H618" i="12"/>
  <c r="G618" i="12"/>
  <c r="F618" i="12"/>
  <c r="E618" i="12"/>
  <c r="D617" i="12"/>
  <c r="D616" i="12" s="1"/>
  <c r="B617" i="12"/>
  <c r="AA616" i="12"/>
  <c r="Z616" i="12"/>
  <c r="Y616" i="12"/>
  <c r="X616" i="12"/>
  <c r="W616" i="12"/>
  <c r="V616" i="12"/>
  <c r="U616" i="12"/>
  <c r="T616" i="12"/>
  <c r="S616" i="12"/>
  <c r="R616" i="12"/>
  <c r="Q616" i="12"/>
  <c r="P616" i="12"/>
  <c r="O616" i="12"/>
  <c r="N616" i="12"/>
  <c r="M616" i="12"/>
  <c r="L616" i="12"/>
  <c r="K616" i="12"/>
  <c r="J616" i="12"/>
  <c r="I616" i="12"/>
  <c r="H616" i="12"/>
  <c r="G616" i="12"/>
  <c r="F616" i="12"/>
  <c r="E616" i="12"/>
  <c r="D615" i="12"/>
  <c r="B615" i="12"/>
  <c r="D614" i="12"/>
  <c r="B614" i="12"/>
  <c r="D613" i="12"/>
  <c r="B613" i="12"/>
  <c r="D612" i="12"/>
  <c r="B612" i="12"/>
  <c r="D611" i="12"/>
  <c r="B611" i="12"/>
  <c r="D610" i="12"/>
  <c r="B610" i="12"/>
  <c r="D609" i="12"/>
  <c r="B609" i="12"/>
  <c r="D608" i="12"/>
  <c r="B608" i="12"/>
  <c r="D607" i="12"/>
  <c r="B607" i="12"/>
  <c r="D606" i="12"/>
  <c r="B606" i="12"/>
  <c r="D605" i="12"/>
  <c r="B605" i="12"/>
  <c r="D604" i="12"/>
  <c r="B604" i="12"/>
  <c r="D603" i="12"/>
  <c r="B603" i="12"/>
  <c r="D602" i="12"/>
  <c r="B602" i="12"/>
  <c r="D601" i="12"/>
  <c r="B601" i="12"/>
  <c r="D600" i="12"/>
  <c r="B600" i="12"/>
  <c r="D599" i="12"/>
  <c r="B599" i="12"/>
  <c r="D598" i="12"/>
  <c r="B598" i="12"/>
  <c r="D597" i="12"/>
  <c r="B597" i="12"/>
  <c r="D596" i="12"/>
  <c r="B596" i="12"/>
  <c r="D595" i="12"/>
  <c r="B595" i="12"/>
  <c r="D594" i="12"/>
  <c r="B594" i="12"/>
  <c r="D593" i="12"/>
  <c r="B593" i="12"/>
  <c r="D592" i="12"/>
  <c r="B592" i="12"/>
  <c r="D591" i="12"/>
  <c r="B591" i="12"/>
  <c r="D590" i="12"/>
  <c r="B590" i="12"/>
  <c r="D589" i="12"/>
  <c r="B589" i="12"/>
  <c r="D588" i="12"/>
  <c r="B588" i="12"/>
  <c r="D587" i="12"/>
  <c r="B587" i="12"/>
  <c r="D586" i="12"/>
  <c r="B586" i="12"/>
  <c r="D585" i="12"/>
  <c r="B585" i="12"/>
  <c r="D584" i="12"/>
  <c r="B584" i="12"/>
  <c r="D583" i="12"/>
  <c r="B583" i="12"/>
  <c r="D582" i="12"/>
  <c r="B582" i="12"/>
  <c r="D581" i="12"/>
  <c r="B581" i="12"/>
  <c r="D580" i="12"/>
  <c r="B580" i="12"/>
  <c r="D579" i="12"/>
  <c r="B579" i="12"/>
  <c r="D578" i="12"/>
  <c r="B578" i="12"/>
  <c r="D577" i="12"/>
  <c r="B577" i="12"/>
  <c r="D576" i="12"/>
  <c r="B576" i="12"/>
  <c r="D575" i="12"/>
  <c r="B575" i="12"/>
  <c r="D574" i="12"/>
  <c r="B574" i="12"/>
  <c r="D573" i="12"/>
  <c r="B573" i="12"/>
  <c r="D572" i="12"/>
  <c r="B572" i="12"/>
  <c r="D571" i="12"/>
  <c r="B571" i="12"/>
  <c r="D570" i="12"/>
  <c r="B570" i="12"/>
  <c r="D569" i="12"/>
  <c r="B569" i="12"/>
  <c r="D568" i="12"/>
  <c r="B568" i="12"/>
  <c r="D567" i="12"/>
  <c r="B567" i="12"/>
  <c r="D566" i="12"/>
  <c r="B566" i="12"/>
  <c r="D565" i="12"/>
  <c r="B565" i="12"/>
  <c r="D564" i="12"/>
  <c r="B564" i="12"/>
  <c r="D563" i="12"/>
  <c r="B563" i="12"/>
  <c r="D562" i="12"/>
  <c r="B562" i="12"/>
  <c r="D561" i="12"/>
  <c r="B561" i="12"/>
  <c r="D560" i="12"/>
  <c r="B560" i="12"/>
  <c r="D559" i="12"/>
  <c r="B559" i="12"/>
  <c r="D558" i="12"/>
  <c r="B558" i="12"/>
  <c r="D557" i="12"/>
  <c r="B557" i="12"/>
  <c r="D556" i="12"/>
  <c r="B556" i="12"/>
  <c r="D555" i="12"/>
  <c r="B555" i="12"/>
  <c r="D554" i="12"/>
  <c r="B554" i="12"/>
  <c r="D553" i="12"/>
  <c r="B553" i="12"/>
  <c r="D552" i="12"/>
  <c r="B552" i="12"/>
  <c r="D551" i="12"/>
  <c r="B551" i="12"/>
  <c r="D550" i="12"/>
  <c r="B550" i="12"/>
  <c r="D549" i="12"/>
  <c r="B549" i="12"/>
  <c r="D548" i="12"/>
  <c r="B548" i="12"/>
  <c r="D547" i="12"/>
  <c r="B547" i="12"/>
  <c r="D546" i="12"/>
  <c r="B546" i="12"/>
  <c r="D545" i="12"/>
  <c r="B545" i="12"/>
  <c r="D544" i="12"/>
  <c r="B544" i="12"/>
  <c r="D543" i="12"/>
  <c r="B543" i="12"/>
  <c r="D542" i="12"/>
  <c r="B542" i="12"/>
  <c r="D541" i="12"/>
  <c r="B541" i="12"/>
  <c r="D540" i="12"/>
  <c r="B540" i="12"/>
  <c r="D539" i="12"/>
  <c r="B539" i="12"/>
  <c r="AA538" i="12"/>
  <c r="Z538" i="12"/>
  <c r="Y538" i="12"/>
  <c r="X538" i="12"/>
  <c r="W538" i="12"/>
  <c r="V538" i="12"/>
  <c r="U538" i="12"/>
  <c r="T538" i="12"/>
  <c r="S538" i="12"/>
  <c r="R538" i="12"/>
  <c r="Q538" i="12"/>
  <c r="P538" i="12"/>
  <c r="O538" i="12"/>
  <c r="N538" i="12"/>
  <c r="M538" i="12"/>
  <c r="L538" i="12"/>
  <c r="K538" i="12"/>
  <c r="J538" i="12"/>
  <c r="I538" i="12"/>
  <c r="H538" i="12"/>
  <c r="G538" i="12"/>
  <c r="F538" i="12"/>
  <c r="E538" i="12"/>
  <c r="D537" i="12"/>
  <c r="B537" i="12"/>
  <c r="D536" i="12"/>
  <c r="B536" i="12"/>
  <c r="D535" i="12"/>
  <c r="B535" i="12"/>
  <c r="D534" i="12"/>
  <c r="B534" i="12"/>
  <c r="D533" i="12"/>
  <c r="B533" i="12"/>
  <c r="D532" i="12"/>
  <c r="B532" i="12"/>
  <c r="D531" i="12"/>
  <c r="B531" i="12"/>
  <c r="D530" i="12"/>
  <c r="B530" i="12"/>
  <c r="D529" i="12"/>
  <c r="B529" i="12"/>
  <c r="D528" i="12"/>
  <c r="B528" i="12"/>
  <c r="D527" i="12"/>
  <c r="B527" i="12"/>
  <c r="D526" i="12"/>
  <c r="B526" i="12"/>
  <c r="D525" i="12"/>
  <c r="B525" i="12"/>
  <c r="D524" i="12"/>
  <c r="B524" i="12"/>
  <c r="D523" i="12"/>
  <c r="B523" i="12"/>
  <c r="D522" i="12"/>
  <c r="B522" i="12"/>
  <c r="D521" i="12"/>
  <c r="B521" i="12"/>
  <c r="D520" i="12"/>
  <c r="B520" i="12"/>
  <c r="D519" i="12"/>
  <c r="B519" i="12"/>
  <c r="D518" i="12"/>
  <c r="B518" i="12"/>
  <c r="D517" i="12"/>
  <c r="B517" i="12"/>
  <c r="D516" i="12"/>
  <c r="B516" i="12"/>
  <c r="D515" i="12"/>
  <c r="B515" i="12"/>
  <c r="D514" i="12"/>
  <c r="B514" i="12"/>
  <c r="D513" i="12"/>
  <c r="B513" i="12"/>
  <c r="D512" i="12"/>
  <c r="B512" i="12"/>
  <c r="D511" i="12"/>
  <c r="B511" i="12"/>
  <c r="D510" i="12"/>
  <c r="B510" i="12"/>
  <c r="D509" i="12"/>
  <c r="B509" i="12"/>
  <c r="D508" i="12"/>
  <c r="B508" i="12"/>
  <c r="D507" i="12"/>
  <c r="B507" i="12"/>
  <c r="D506" i="12"/>
  <c r="B506" i="12"/>
  <c r="D505" i="12"/>
  <c r="B505" i="12"/>
  <c r="D504" i="12"/>
  <c r="B504" i="12"/>
  <c r="D503" i="12"/>
  <c r="B503" i="12"/>
  <c r="D502" i="12"/>
  <c r="B502" i="12"/>
  <c r="D501" i="12"/>
  <c r="B501" i="12"/>
  <c r="D500" i="12"/>
  <c r="B500" i="12"/>
  <c r="D499" i="12"/>
  <c r="B499" i="12"/>
  <c r="D498" i="12"/>
  <c r="B498" i="12"/>
  <c r="D497" i="12"/>
  <c r="B497" i="12"/>
  <c r="D496" i="12"/>
  <c r="B496" i="12"/>
  <c r="D495" i="12"/>
  <c r="B495" i="12"/>
  <c r="D494" i="12"/>
  <c r="B494" i="12"/>
  <c r="D493" i="12"/>
  <c r="B493" i="12"/>
  <c r="D492" i="12"/>
  <c r="B492" i="12"/>
  <c r="D491" i="12"/>
  <c r="B491" i="12"/>
  <c r="D490" i="12"/>
  <c r="B490" i="12"/>
  <c r="D489" i="12"/>
  <c r="B489" i="12"/>
  <c r="D488" i="12"/>
  <c r="B488" i="12"/>
  <c r="O487" i="12"/>
  <c r="D487" i="12" s="1"/>
  <c r="B487" i="12"/>
  <c r="D486" i="12"/>
  <c r="B486" i="12"/>
  <c r="D485" i="12"/>
  <c r="B485" i="12"/>
  <c r="D484" i="12"/>
  <c r="B484" i="12"/>
  <c r="I483" i="12"/>
  <c r="D483" i="12" s="1"/>
  <c r="B483" i="12"/>
  <c r="D482" i="12"/>
  <c r="B482" i="12"/>
  <c r="AA481" i="12"/>
  <c r="Z481" i="12"/>
  <c r="Y481" i="12"/>
  <c r="X481" i="12"/>
  <c r="W481" i="12"/>
  <c r="V481" i="12"/>
  <c r="U481" i="12"/>
  <c r="T481" i="12"/>
  <c r="S481" i="12"/>
  <c r="R481" i="12"/>
  <c r="Q481" i="12"/>
  <c r="P481" i="12"/>
  <c r="N481" i="12"/>
  <c r="M481" i="12"/>
  <c r="L481" i="12"/>
  <c r="K481" i="12"/>
  <c r="J481" i="12"/>
  <c r="H481" i="12"/>
  <c r="G481" i="12"/>
  <c r="F481" i="12"/>
  <c r="E481" i="12"/>
  <c r="D480" i="12"/>
  <c r="D479" i="12" s="1"/>
  <c r="B480" i="12"/>
  <c r="AA479" i="12"/>
  <c r="Z479" i="12"/>
  <c r="Y479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J479" i="12"/>
  <c r="I479" i="12"/>
  <c r="H479" i="12"/>
  <c r="G479" i="12"/>
  <c r="F479" i="12"/>
  <c r="E479" i="12"/>
  <c r="D478" i="12"/>
  <c r="D477" i="12" s="1"/>
  <c r="B478" i="12"/>
  <c r="AA477" i="12"/>
  <c r="Z477" i="12"/>
  <c r="Y477" i="12"/>
  <c r="X477" i="12"/>
  <c r="W477" i="12"/>
  <c r="V477" i="12"/>
  <c r="U477" i="12"/>
  <c r="T477" i="12"/>
  <c r="S477" i="12"/>
  <c r="R477" i="12"/>
  <c r="Q477" i="12"/>
  <c r="P477" i="12"/>
  <c r="O477" i="12"/>
  <c r="N477" i="12"/>
  <c r="M477" i="12"/>
  <c r="L477" i="12"/>
  <c r="K477" i="12"/>
  <c r="J477" i="12"/>
  <c r="I477" i="12"/>
  <c r="H477" i="12"/>
  <c r="G477" i="12"/>
  <c r="F477" i="12"/>
  <c r="E477" i="12"/>
  <c r="D476" i="12"/>
  <c r="B476" i="12"/>
  <c r="D475" i="12"/>
  <c r="B475" i="12"/>
  <c r="D474" i="12"/>
  <c r="B474" i="12"/>
  <c r="D473" i="12"/>
  <c r="B473" i="12"/>
  <c r="AA472" i="12"/>
  <c r="Z472" i="12"/>
  <c r="Y472" i="12"/>
  <c r="X472" i="12"/>
  <c r="W472" i="12"/>
  <c r="V472" i="12"/>
  <c r="U472" i="12"/>
  <c r="T472" i="12"/>
  <c r="S472" i="12"/>
  <c r="R472" i="12"/>
  <c r="Q472" i="12"/>
  <c r="P472" i="12"/>
  <c r="O472" i="12"/>
  <c r="N472" i="12"/>
  <c r="M472" i="12"/>
  <c r="L472" i="12"/>
  <c r="K472" i="12"/>
  <c r="J472" i="12"/>
  <c r="I472" i="12"/>
  <c r="H472" i="12"/>
  <c r="G472" i="12"/>
  <c r="F472" i="12"/>
  <c r="E472" i="12"/>
  <c r="D471" i="12"/>
  <c r="B471" i="12"/>
  <c r="D470" i="12"/>
  <c r="B470" i="12"/>
  <c r="D469" i="12"/>
  <c r="B469" i="12"/>
  <c r="D468" i="12"/>
  <c r="B468" i="12"/>
  <c r="D467" i="12"/>
  <c r="B467" i="12"/>
  <c r="D466" i="12"/>
  <c r="B466" i="12"/>
  <c r="D465" i="12"/>
  <c r="B465" i="12"/>
  <c r="D464" i="12"/>
  <c r="B464" i="12"/>
  <c r="D463" i="12"/>
  <c r="B463" i="12"/>
  <c r="D462" i="12"/>
  <c r="B462" i="12"/>
  <c r="D461" i="12"/>
  <c r="B461" i="12"/>
  <c r="D460" i="12"/>
  <c r="B460" i="12"/>
  <c r="D459" i="12"/>
  <c r="B459" i="12"/>
  <c r="D458" i="12"/>
  <c r="B458" i="12"/>
  <c r="D457" i="12"/>
  <c r="B457" i="12"/>
  <c r="D456" i="12"/>
  <c r="B456" i="12"/>
  <c r="D455" i="12"/>
  <c r="B455" i="12"/>
  <c r="D454" i="12"/>
  <c r="B454" i="12"/>
  <c r="D453" i="12"/>
  <c r="B453" i="12"/>
  <c r="D452" i="12"/>
  <c r="B452" i="12"/>
  <c r="D451" i="12"/>
  <c r="B451" i="12"/>
  <c r="D450" i="12"/>
  <c r="B450" i="12"/>
  <c r="D449" i="12"/>
  <c r="B449" i="12"/>
  <c r="D448" i="12"/>
  <c r="B448" i="12"/>
  <c r="D447" i="12"/>
  <c r="B447" i="12"/>
  <c r="D446" i="12"/>
  <c r="B446" i="12"/>
  <c r="D445" i="12"/>
  <c r="B445" i="12"/>
  <c r="D444" i="12"/>
  <c r="B444" i="12"/>
  <c r="D443" i="12"/>
  <c r="B443" i="12"/>
  <c r="D442" i="12"/>
  <c r="B442" i="12"/>
  <c r="D441" i="12"/>
  <c r="B441" i="12"/>
  <c r="D440" i="12"/>
  <c r="B440" i="12"/>
  <c r="D439" i="12"/>
  <c r="B439" i="12"/>
  <c r="D438" i="12"/>
  <c r="B438" i="12"/>
  <c r="D437" i="12"/>
  <c r="B437" i="12"/>
  <c r="D436" i="12"/>
  <c r="B436" i="12"/>
  <c r="D435" i="12"/>
  <c r="B435" i="12"/>
  <c r="D434" i="12"/>
  <c r="B434" i="12"/>
  <c r="D433" i="12"/>
  <c r="B433" i="12"/>
  <c r="D432" i="12"/>
  <c r="B432" i="12"/>
  <c r="D431" i="12"/>
  <c r="B431" i="12"/>
  <c r="D430" i="12"/>
  <c r="B430" i="12"/>
  <c r="D429" i="12"/>
  <c r="B429" i="12"/>
  <c r="D428" i="12"/>
  <c r="B428" i="12"/>
  <c r="D427" i="12"/>
  <c r="B427" i="12"/>
  <c r="D426" i="12"/>
  <c r="B426" i="12"/>
  <c r="D425" i="12"/>
  <c r="B425" i="12"/>
  <c r="D424" i="12"/>
  <c r="B424" i="12"/>
  <c r="D423" i="12"/>
  <c r="B423" i="12"/>
  <c r="D422" i="12"/>
  <c r="B422" i="12"/>
  <c r="D421" i="12"/>
  <c r="B421" i="12"/>
  <c r="D420" i="12"/>
  <c r="B420" i="12"/>
  <c r="D419" i="12"/>
  <c r="B419" i="12"/>
  <c r="D418" i="12"/>
  <c r="B418" i="12"/>
  <c r="D417" i="12"/>
  <c r="B417" i="12"/>
  <c r="D416" i="12"/>
  <c r="B416" i="12"/>
  <c r="D415" i="12"/>
  <c r="B415" i="12"/>
  <c r="D414" i="12"/>
  <c r="B414" i="12"/>
  <c r="D413" i="12"/>
  <c r="B413" i="12"/>
  <c r="D412" i="12"/>
  <c r="B412" i="12"/>
  <c r="D411" i="12"/>
  <c r="B411" i="12"/>
  <c r="D410" i="12"/>
  <c r="B410" i="12"/>
  <c r="D409" i="12"/>
  <c r="B409" i="12"/>
  <c r="D408" i="12"/>
  <c r="B408" i="12"/>
  <c r="D407" i="12"/>
  <c r="B407" i="12"/>
  <c r="D406" i="12"/>
  <c r="B406" i="12"/>
  <c r="D405" i="12"/>
  <c r="B405" i="12"/>
  <c r="D404" i="12"/>
  <c r="B404" i="12"/>
  <c r="D403" i="12"/>
  <c r="B403" i="12"/>
  <c r="D402" i="12"/>
  <c r="B402" i="12"/>
  <c r="D401" i="12"/>
  <c r="B401" i="12"/>
  <c r="D400" i="12"/>
  <c r="B400" i="12"/>
  <c r="D399" i="12"/>
  <c r="B399" i="12"/>
  <c r="D398" i="12"/>
  <c r="B398" i="12"/>
  <c r="D397" i="12"/>
  <c r="B397" i="12"/>
  <c r="D396" i="12"/>
  <c r="B396" i="12"/>
  <c r="D395" i="12"/>
  <c r="B395" i="12"/>
  <c r="D394" i="12"/>
  <c r="B394" i="12"/>
  <c r="D393" i="12"/>
  <c r="B393" i="12"/>
  <c r="D392" i="12"/>
  <c r="B392" i="12"/>
  <c r="D391" i="12"/>
  <c r="B391" i="12"/>
  <c r="D390" i="12"/>
  <c r="B390" i="12"/>
  <c r="D389" i="12"/>
  <c r="B389" i="12"/>
  <c r="D388" i="12"/>
  <c r="B388" i="12"/>
  <c r="D387" i="12"/>
  <c r="B387" i="12"/>
  <c r="D386" i="12"/>
  <c r="B386" i="12"/>
  <c r="D385" i="12"/>
  <c r="B385" i="12"/>
  <c r="D384" i="12"/>
  <c r="B384" i="12"/>
  <c r="D383" i="12"/>
  <c r="B383" i="12"/>
  <c r="D382" i="12"/>
  <c r="B382" i="12"/>
  <c r="D381" i="12"/>
  <c r="B381" i="12"/>
  <c r="D380" i="12"/>
  <c r="B380" i="12"/>
  <c r="D379" i="12"/>
  <c r="B379" i="12"/>
  <c r="D378" i="12"/>
  <c r="B378" i="12"/>
  <c r="D377" i="12"/>
  <c r="B377" i="12"/>
  <c r="D376" i="12"/>
  <c r="B376" i="12"/>
  <c r="D375" i="12"/>
  <c r="B375" i="12"/>
  <c r="D374" i="12"/>
  <c r="B374" i="12"/>
  <c r="D373" i="12"/>
  <c r="B373" i="12"/>
  <c r="D372" i="12"/>
  <c r="B372" i="12"/>
  <c r="D371" i="12"/>
  <c r="B371" i="12"/>
  <c r="D370" i="12"/>
  <c r="B370" i="12"/>
  <c r="D369" i="12"/>
  <c r="B369" i="12"/>
  <c r="D368" i="12"/>
  <c r="B368" i="12"/>
  <c r="D367" i="12"/>
  <c r="B367" i="12"/>
  <c r="D366" i="12"/>
  <c r="B366" i="12"/>
  <c r="D365" i="12"/>
  <c r="B365" i="12"/>
  <c r="D364" i="12"/>
  <c r="B364" i="12"/>
  <c r="D363" i="12"/>
  <c r="B363" i="12"/>
  <c r="D362" i="12"/>
  <c r="B362" i="12"/>
  <c r="D361" i="12"/>
  <c r="B361" i="12"/>
  <c r="D360" i="12"/>
  <c r="B360" i="12"/>
  <c r="D359" i="12"/>
  <c r="B359" i="12"/>
  <c r="D358" i="12"/>
  <c r="B358" i="12"/>
  <c r="D357" i="12"/>
  <c r="B357" i="12"/>
  <c r="D356" i="12"/>
  <c r="B356" i="12"/>
  <c r="D355" i="12"/>
  <c r="B355" i="12"/>
  <c r="D354" i="12"/>
  <c r="B354" i="12"/>
  <c r="D353" i="12"/>
  <c r="B353" i="12"/>
  <c r="D352" i="12"/>
  <c r="B352" i="12"/>
  <c r="D351" i="12"/>
  <c r="B351" i="12"/>
  <c r="D350" i="12"/>
  <c r="B350" i="12"/>
  <c r="D349" i="12"/>
  <c r="B349" i="12"/>
  <c r="D348" i="12"/>
  <c r="B348" i="12"/>
  <c r="O347" i="12"/>
  <c r="D347" i="12" s="1"/>
  <c r="B347" i="12"/>
  <c r="D346" i="12"/>
  <c r="B346" i="12"/>
  <c r="D345" i="12"/>
  <c r="B345" i="12"/>
  <c r="D344" i="12"/>
  <c r="B344" i="12"/>
  <c r="D343" i="12"/>
  <c r="B343" i="12"/>
  <c r="D342" i="12"/>
  <c r="B342" i="12"/>
  <c r="D341" i="12"/>
  <c r="B341" i="12"/>
  <c r="D340" i="12"/>
  <c r="B340" i="12"/>
  <c r="D339" i="12"/>
  <c r="B339" i="12"/>
  <c r="D338" i="12"/>
  <c r="B338" i="12"/>
  <c r="M337" i="12"/>
  <c r="M321" i="12" s="1"/>
  <c r="B337" i="12"/>
  <c r="D336" i="12"/>
  <c r="B336" i="12"/>
  <c r="L335" i="12"/>
  <c r="D335" i="12" s="1"/>
  <c r="B335" i="12"/>
  <c r="D334" i="12"/>
  <c r="B334" i="12"/>
  <c r="D333" i="12"/>
  <c r="B333" i="12"/>
  <c r="D332" i="12"/>
  <c r="B332" i="12"/>
  <c r="L331" i="12"/>
  <c r="D331" i="12" s="1"/>
  <c r="B331" i="12"/>
  <c r="D330" i="12"/>
  <c r="B330" i="12"/>
  <c r="D329" i="12"/>
  <c r="B329" i="12"/>
  <c r="D328" i="12"/>
  <c r="B328" i="12"/>
  <c r="D327" i="12"/>
  <c r="B327" i="12"/>
  <c r="L326" i="12"/>
  <c r="D326" i="12" s="1"/>
  <c r="B326" i="12"/>
  <c r="D325" i="12"/>
  <c r="B325" i="12"/>
  <c r="D324" i="12"/>
  <c r="B324" i="12"/>
  <c r="D323" i="12"/>
  <c r="B323" i="12"/>
  <c r="D322" i="12"/>
  <c r="B322" i="12"/>
  <c r="AA321" i="12"/>
  <c r="Z321" i="12"/>
  <c r="Y321" i="12"/>
  <c r="X321" i="12"/>
  <c r="W321" i="12"/>
  <c r="V321" i="12"/>
  <c r="U321" i="12"/>
  <c r="T321" i="12"/>
  <c r="S321" i="12"/>
  <c r="R321" i="12"/>
  <c r="Q321" i="12"/>
  <c r="P321" i="12"/>
  <c r="N321" i="12"/>
  <c r="K321" i="12"/>
  <c r="J321" i="12"/>
  <c r="I321" i="12"/>
  <c r="H321" i="12"/>
  <c r="G321" i="12"/>
  <c r="F321" i="12"/>
  <c r="E321" i="12"/>
  <c r="D320" i="12"/>
  <c r="B320" i="12"/>
  <c r="D319" i="12"/>
  <c r="B319" i="12"/>
  <c r="D318" i="12"/>
  <c r="B318" i="12"/>
  <c r="D317" i="12"/>
  <c r="B317" i="12"/>
  <c r="D316" i="12"/>
  <c r="B316" i="12"/>
  <c r="D315" i="12"/>
  <c r="B315" i="12"/>
  <c r="D314" i="12"/>
  <c r="B314" i="12"/>
  <c r="D313" i="12"/>
  <c r="B313" i="12"/>
  <c r="D312" i="12"/>
  <c r="B312" i="12"/>
  <c r="D311" i="12"/>
  <c r="B311" i="12"/>
  <c r="D310" i="12"/>
  <c r="B310" i="12"/>
  <c r="D309" i="12"/>
  <c r="B309" i="12"/>
  <c r="D308" i="12"/>
  <c r="B308" i="12"/>
  <c r="D307" i="12"/>
  <c r="B307" i="12"/>
  <c r="D306" i="12"/>
  <c r="B306" i="12"/>
  <c r="D305" i="12"/>
  <c r="B305" i="12"/>
  <c r="D304" i="12"/>
  <c r="B304" i="12"/>
  <c r="D303" i="12"/>
  <c r="B303" i="12"/>
  <c r="D302" i="12"/>
  <c r="B302" i="12"/>
  <c r="D301" i="12"/>
  <c r="B301" i="12"/>
  <c r="D300" i="12"/>
  <c r="B300" i="12"/>
  <c r="D299" i="12"/>
  <c r="B299" i="12"/>
  <c r="D298" i="12"/>
  <c r="B298" i="12"/>
  <c r="D297" i="12"/>
  <c r="B297" i="12"/>
  <c r="D296" i="12"/>
  <c r="B296" i="12"/>
  <c r="D295" i="12"/>
  <c r="B295" i="12"/>
  <c r="D294" i="12"/>
  <c r="B294" i="12"/>
  <c r="D293" i="12"/>
  <c r="B293" i="12"/>
  <c r="AA292" i="12"/>
  <c r="Z292" i="12"/>
  <c r="Y292" i="12"/>
  <c r="X292" i="12"/>
  <c r="W292" i="12"/>
  <c r="V292" i="12"/>
  <c r="U292" i="12"/>
  <c r="T292" i="12"/>
  <c r="S292" i="12"/>
  <c r="R292" i="12"/>
  <c r="Q292" i="12"/>
  <c r="P292" i="12"/>
  <c r="O292" i="12"/>
  <c r="N292" i="12"/>
  <c r="M292" i="12"/>
  <c r="L292" i="12"/>
  <c r="K292" i="12"/>
  <c r="J292" i="12"/>
  <c r="I292" i="12"/>
  <c r="H292" i="12"/>
  <c r="G292" i="12"/>
  <c r="F292" i="12"/>
  <c r="E292" i="12"/>
  <c r="D291" i="12"/>
  <c r="B291" i="12"/>
  <c r="B290" i="12"/>
  <c r="D289" i="12"/>
  <c r="B289" i="12"/>
  <c r="D288" i="12"/>
  <c r="B288" i="12"/>
  <c r="D287" i="12"/>
  <c r="B287" i="12"/>
  <c r="D286" i="12"/>
  <c r="B286" i="12"/>
  <c r="D285" i="12"/>
  <c r="B285" i="12"/>
  <c r="D284" i="12"/>
  <c r="B284" i="12"/>
  <c r="D283" i="12"/>
  <c r="B283" i="12"/>
  <c r="D282" i="12"/>
  <c r="B282" i="12"/>
  <c r="D281" i="12"/>
  <c r="B281" i="12"/>
  <c r="D280" i="12"/>
  <c r="B280" i="12"/>
  <c r="D279" i="12"/>
  <c r="B279" i="12"/>
  <c r="D278" i="12"/>
  <c r="B278" i="12"/>
  <c r="D277" i="12"/>
  <c r="B277" i="12"/>
  <c r="D276" i="12"/>
  <c r="B276" i="12"/>
  <c r="D275" i="12"/>
  <c r="B275" i="12"/>
  <c r="D274" i="12"/>
  <c r="B274" i="12"/>
  <c r="D273" i="12"/>
  <c r="B273" i="12"/>
  <c r="D272" i="12"/>
  <c r="B272" i="12"/>
  <c r="M271" i="12"/>
  <c r="D271" i="12" s="1"/>
  <c r="B271" i="12"/>
  <c r="M270" i="12"/>
  <c r="D270" i="12" s="1"/>
  <c r="B270" i="12"/>
  <c r="D269" i="12"/>
  <c r="B269" i="12"/>
  <c r="AA268" i="12"/>
  <c r="Z268" i="12"/>
  <c r="Y268" i="12"/>
  <c r="X268" i="12"/>
  <c r="W268" i="12"/>
  <c r="V268" i="12"/>
  <c r="U268" i="12"/>
  <c r="T268" i="12"/>
  <c r="S268" i="12"/>
  <c r="R268" i="12"/>
  <c r="Q268" i="12"/>
  <c r="P268" i="12"/>
  <c r="O268" i="12"/>
  <c r="N268" i="12"/>
  <c r="L268" i="12"/>
  <c r="K268" i="12"/>
  <c r="J268" i="12"/>
  <c r="I268" i="12"/>
  <c r="H268" i="12"/>
  <c r="G268" i="12"/>
  <c r="F268" i="12"/>
  <c r="E268" i="12"/>
  <c r="D267" i="12"/>
  <c r="B267" i="12"/>
  <c r="D266" i="12"/>
  <c r="B266" i="12"/>
  <c r="D265" i="12"/>
  <c r="B265" i="12"/>
  <c r="D264" i="12"/>
  <c r="B264" i="12"/>
  <c r="D263" i="12"/>
  <c r="B263" i="12"/>
  <c r="D262" i="12"/>
  <c r="B262" i="12"/>
  <c r="D261" i="12"/>
  <c r="B261" i="12"/>
  <c r="D260" i="12"/>
  <c r="B260" i="12"/>
  <c r="D259" i="12"/>
  <c r="B259" i="12"/>
  <c r="D258" i="12"/>
  <c r="B258" i="12"/>
  <c r="D257" i="12"/>
  <c r="B257" i="12"/>
  <c r="D256" i="12"/>
  <c r="B256" i="12"/>
  <c r="D255" i="12"/>
  <c r="B255" i="12"/>
  <c r="D254" i="12"/>
  <c r="B254" i="12"/>
  <c r="D253" i="12"/>
  <c r="B253" i="12"/>
  <c r="D252" i="12"/>
  <c r="B252" i="12"/>
  <c r="D251" i="12"/>
  <c r="B251" i="12"/>
  <c r="D250" i="12"/>
  <c r="B250" i="12"/>
  <c r="D249" i="12"/>
  <c r="B249" i="12"/>
  <c r="D248" i="12"/>
  <c r="B248" i="12"/>
  <c r="D247" i="12"/>
  <c r="B247" i="12"/>
  <c r="D246" i="12"/>
  <c r="B246" i="12"/>
  <c r="D245" i="12"/>
  <c r="B245" i="12"/>
  <c r="D244" i="12"/>
  <c r="B244" i="12"/>
  <c r="D243" i="12"/>
  <c r="B243" i="12"/>
  <c r="D242" i="12"/>
  <c r="B242" i="12"/>
  <c r="D241" i="12"/>
  <c r="B241" i="12"/>
  <c r="D240" i="12"/>
  <c r="B240" i="12"/>
  <c r="D239" i="12"/>
  <c r="B239" i="12"/>
  <c r="D238" i="12"/>
  <c r="B238" i="12"/>
  <c r="D237" i="12"/>
  <c r="B237" i="12"/>
  <c r="D236" i="12"/>
  <c r="B236" i="12"/>
  <c r="D235" i="12"/>
  <c r="B235" i="12"/>
  <c r="D234" i="12"/>
  <c r="B234" i="12"/>
  <c r="D233" i="12"/>
  <c r="B233" i="12"/>
  <c r="D232" i="12"/>
  <c r="B232" i="12"/>
  <c r="D231" i="12"/>
  <c r="B231" i="12"/>
  <c r="D230" i="12"/>
  <c r="B230" i="12"/>
  <c r="D229" i="12"/>
  <c r="B229" i="12"/>
  <c r="D228" i="12"/>
  <c r="B228" i="12"/>
  <c r="D227" i="12"/>
  <c r="B227" i="12"/>
  <c r="D226" i="12"/>
  <c r="B226" i="12"/>
  <c r="D225" i="12"/>
  <c r="B225" i="12"/>
  <c r="D224" i="12"/>
  <c r="B224" i="12"/>
  <c r="D223" i="12"/>
  <c r="B223" i="12"/>
  <c r="D222" i="12"/>
  <c r="B222" i="12"/>
  <c r="D221" i="12"/>
  <c r="B221" i="12"/>
  <c r="D220" i="12"/>
  <c r="B220" i="12"/>
  <c r="D219" i="12"/>
  <c r="B219" i="12"/>
  <c r="D218" i="12"/>
  <c r="B218" i="12"/>
  <c r="D217" i="12"/>
  <c r="B217" i="12"/>
  <c r="D216" i="12"/>
  <c r="B216" i="12"/>
  <c r="D215" i="12"/>
  <c r="B215" i="12"/>
  <c r="D214" i="12"/>
  <c r="B214" i="12"/>
  <c r="D213" i="12"/>
  <c r="B213" i="12"/>
  <c r="D212" i="12"/>
  <c r="B212" i="12"/>
  <c r="D211" i="12"/>
  <c r="B211" i="12"/>
  <c r="D210" i="12"/>
  <c r="B210" i="12"/>
  <c r="D209" i="12"/>
  <c r="B209" i="12"/>
  <c r="M208" i="12"/>
  <c r="D208" i="12" s="1"/>
  <c r="B208" i="12"/>
  <c r="D207" i="12"/>
  <c r="B207" i="12"/>
  <c r="D206" i="12"/>
  <c r="B206" i="12"/>
  <c r="D205" i="12"/>
  <c r="B205" i="12"/>
  <c r="D204" i="12"/>
  <c r="B204" i="12"/>
  <c r="D203" i="12"/>
  <c r="B203" i="12"/>
  <c r="D202" i="12"/>
  <c r="B202" i="12"/>
  <c r="D201" i="12"/>
  <c r="B201" i="12"/>
  <c r="D200" i="12"/>
  <c r="B200" i="12"/>
  <c r="D199" i="12"/>
  <c r="B199" i="12"/>
  <c r="D198" i="12"/>
  <c r="B198" i="12"/>
  <c r="D197" i="12"/>
  <c r="B197" i="12"/>
  <c r="D196" i="12"/>
  <c r="B196" i="12"/>
  <c r="D195" i="12"/>
  <c r="B195" i="12"/>
  <c r="D194" i="12"/>
  <c r="B194" i="12"/>
  <c r="D193" i="12"/>
  <c r="B193" i="12"/>
  <c r="D192" i="12"/>
  <c r="B192" i="12"/>
  <c r="D191" i="12"/>
  <c r="B191" i="12"/>
  <c r="D190" i="12"/>
  <c r="B190" i="12"/>
  <c r="D189" i="12"/>
  <c r="B189" i="12"/>
  <c r="D188" i="12"/>
  <c r="B188" i="12"/>
  <c r="D187" i="12"/>
  <c r="B187" i="12"/>
  <c r="D186" i="12"/>
  <c r="B186" i="12"/>
  <c r="D185" i="12"/>
  <c r="B185" i="12"/>
  <c r="D184" i="12"/>
  <c r="B184" i="12"/>
  <c r="D183" i="12"/>
  <c r="B183" i="12"/>
  <c r="D182" i="12"/>
  <c r="B182" i="12"/>
  <c r="D181" i="12"/>
  <c r="B181" i="12"/>
  <c r="D180" i="12"/>
  <c r="B180" i="12"/>
  <c r="D179" i="12"/>
  <c r="B179" i="12"/>
  <c r="D178" i="12"/>
  <c r="B178" i="12"/>
  <c r="D177" i="12"/>
  <c r="B177" i="12"/>
  <c r="D176" i="12"/>
  <c r="B176" i="12"/>
  <c r="D175" i="12"/>
  <c r="B175" i="12"/>
  <c r="D174" i="12"/>
  <c r="B174" i="12"/>
  <c r="D173" i="12"/>
  <c r="B173" i="12"/>
  <c r="D172" i="12"/>
  <c r="B172" i="12"/>
  <c r="D171" i="12"/>
  <c r="B171" i="12"/>
  <c r="D170" i="12"/>
  <c r="B170" i="12"/>
  <c r="D169" i="12"/>
  <c r="B169" i="12"/>
  <c r="D168" i="12"/>
  <c r="B168" i="12"/>
  <c r="D167" i="12"/>
  <c r="B167" i="12"/>
  <c r="D166" i="12"/>
  <c r="B166" i="12"/>
  <c r="D165" i="12"/>
  <c r="B165" i="12"/>
  <c r="D164" i="12"/>
  <c r="B164" i="12"/>
  <c r="D163" i="12"/>
  <c r="B163" i="12"/>
  <c r="D162" i="12"/>
  <c r="B162" i="12"/>
  <c r="D161" i="12"/>
  <c r="B161" i="12"/>
  <c r="D160" i="12"/>
  <c r="B160" i="12"/>
  <c r="D159" i="12"/>
  <c r="B159" i="12"/>
  <c r="D158" i="12"/>
  <c r="B158" i="12"/>
  <c r="D157" i="12"/>
  <c r="B157" i="12"/>
  <c r="D156" i="12"/>
  <c r="B156" i="12"/>
  <c r="D155" i="12"/>
  <c r="B155" i="12"/>
  <c r="D154" i="12"/>
  <c r="B154" i="12"/>
  <c r="D153" i="12"/>
  <c r="B153" i="12"/>
  <c r="D152" i="12"/>
  <c r="B152" i="12"/>
  <c r="D151" i="12"/>
  <c r="B151" i="12"/>
  <c r="D150" i="12"/>
  <c r="B150" i="12"/>
  <c r="D149" i="12"/>
  <c r="B149" i="12"/>
  <c r="D148" i="12"/>
  <c r="B148" i="12"/>
  <c r="D147" i="12"/>
  <c r="B147" i="12"/>
  <c r="D146" i="12"/>
  <c r="B146" i="12"/>
  <c r="D145" i="12"/>
  <c r="B145" i="12"/>
  <c r="D144" i="12"/>
  <c r="B144" i="12"/>
  <c r="D143" i="12"/>
  <c r="B143" i="12"/>
  <c r="D142" i="12"/>
  <c r="B142" i="12"/>
  <c r="D141" i="12"/>
  <c r="B141" i="12"/>
  <c r="D140" i="12"/>
  <c r="B140" i="12"/>
  <c r="D139" i="12"/>
  <c r="B139" i="12"/>
  <c r="D138" i="12"/>
  <c r="B138" i="12"/>
  <c r="D137" i="12"/>
  <c r="B137" i="12"/>
  <c r="D136" i="12"/>
  <c r="B136" i="12"/>
  <c r="D135" i="12"/>
  <c r="B135" i="12"/>
  <c r="D134" i="12"/>
  <c r="B134" i="12"/>
  <c r="D133" i="12"/>
  <c r="B133" i="12"/>
  <c r="D132" i="12"/>
  <c r="B132" i="12"/>
  <c r="D131" i="12"/>
  <c r="B131" i="12"/>
  <c r="D130" i="12"/>
  <c r="B130" i="12"/>
  <c r="D129" i="12"/>
  <c r="B129" i="12"/>
  <c r="D128" i="12"/>
  <c r="B128" i="12"/>
  <c r="D127" i="12"/>
  <c r="B127" i="12"/>
  <c r="D126" i="12"/>
  <c r="B126" i="12"/>
  <c r="D125" i="12"/>
  <c r="B125" i="12"/>
  <c r="D124" i="12"/>
  <c r="B124" i="12"/>
  <c r="D123" i="12"/>
  <c r="B123" i="12"/>
  <c r="D122" i="12"/>
  <c r="B122" i="12"/>
  <c r="D121" i="12"/>
  <c r="B121" i="12"/>
  <c r="D120" i="12"/>
  <c r="B120" i="12"/>
  <c r="D119" i="12"/>
  <c r="B119" i="12"/>
  <c r="D118" i="12"/>
  <c r="B118" i="12"/>
  <c r="D117" i="12"/>
  <c r="B117" i="12"/>
  <c r="O116" i="12"/>
  <c r="D116" i="12" s="1"/>
  <c r="B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D109" i="12"/>
  <c r="B109" i="12"/>
  <c r="D108" i="12"/>
  <c r="B108" i="12"/>
  <c r="D107" i="12"/>
  <c r="B107" i="12"/>
  <c r="D106" i="12"/>
  <c r="B106" i="12"/>
  <c r="D105" i="12"/>
  <c r="B105" i="12"/>
  <c r="D104" i="12"/>
  <c r="B104" i="12"/>
  <c r="D103" i="12"/>
  <c r="B103" i="12"/>
  <c r="D102" i="12"/>
  <c r="B102" i="12"/>
  <c r="D101" i="12"/>
  <c r="B101" i="12"/>
  <c r="D100" i="12"/>
  <c r="B100" i="12"/>
  <c r="D99" i="12"/>
  <c r="B99" i="12"/>
  <c r="D98" i="12"/>
  <c r="B98" i="12"/>
  <c r="D97" i="12"/>
  <c r="B97" i="12"/>
  <c r="D96" i="12"/>
  <c r="B96" i="12"/>
  <c r="D95" i="12"/>
  <c r="B95" i="12"/>
  <c r="D94" i="12"/>
  <c r="B94" i="12"/>
  <c r="D93" i="12"/>
  <c r="B93" i="12"/>
  <c r="D92" i="12"/>
  <c r="B92" i="12"/>
  <c r="D91" i="12"/>
  <c r="B91" i="12"/>
  <c r="D90" i="12"/>
  <c r="B90" i="12"/>
  <c r="D89" i="12"/>
  <c r="B89" i="12"/>
  <c r="D88" i="12"/>
  <c r="B88" i="12"/>
  <c r="D87" i="12"/>
  <c r="B87" i="12"/>
  <c r="D86" i="12"/>
  <c r="B86" i="12"/>
  <c r="D85" i="12"/>
  <c r="B85" i="12"/>
  <c r="D84" i="12"/>
  <c r="B84" i="12"/>
  <c r="D83" i="12"/>
  <c r="B83" i="12"/>
  <c r="D82" i="12"/>
  <c r="B82" i="12"/>
  <c r="D81" i="12"/>
  <c r="B81" i="12"/>
  <c r="D80" i="12"/>
  <c r="B80" i="12"/>
  <c r="O79" i="12"/>
  <c r="D79" i="12" s="1"/>
  <c r="B79" i="12"/>
  <c r="D78" i="12"/>
  <c r="B78" i="12"/>
  <c r="D77" i="12"/>
  <c r="B77" i="12"/>
  <c r="D76" i="12"/>
  <c r="B76" i="12"/>
  <c r="D75" i="12"/>
  <c r="B75" i="12"/>
  <c r="D74" i="12"/>
  <c r="B74" i="12"/>
  <c r="D73" i="12"/>
  <c r="B73" i="12"/>
  <c r="D72" i="12"/>
  <c r="B72" i="12"/>
  <c r="D71" i="12"/>
  <c r="B71" i="12"/>
  <c r="D70" i="12"/>
  <c r="B70" i="12"/>
  <c r="D69" i="12"/>
  <c r="B69" i="12"/>
  <c r="D68" i="12"/>
  <c r="B68" i="12"/>
  <c r="D67" i="12"/>
  <c r="B67" i="12"/>
  <c r="D66" i="12"/>
  <c r="B66" i="12"/>
  <c r="D65" i="12"/>
  <c r="B65" i="12"/>
  <c r="D64" i="12"/>
  <c r="B64" i="12"/>
  <c r="D63" i="12"/>
  <c r="B63" i="12"/>
  <c r="D62" i="12"/>
  <c r="B62" i="12"/>
  <c r="D61" i="12"/>
  <c r="B61" i="12"/>
  <c r="D60" i="12"/>
  <c r="B60" i="12"/>
  <c r="D59" i="12"/>
  <c r="B59" i="12"/>
  <c r="D58" i="12"/>
  <c r="B58" i="12"/>
  <c r="D57" i="12"/>
  <c r="B57" i="12"/>
  <c r="D56" i="12"/>
  <c r="B56" i="12"/>
  <c r="D55" i="12"/>
  <c r="B55" i="12"/>
  <c r="D54" i="12"/>
  <c r="B54" i="12"/>
  <c r="D53" i="12"/>
  <c r="B53" i="12"/>
  <c r="D52" i="12"/>
  <c r="B52" i="12"/>
  <c r="D51" i="12"/>
  <c r="B51" i="12"/>
  <c r="N50" i="12"/>
  <c r="N9" i="12" s="1"/>
  <c r="M50" i="12"/>
  <c r="G50" i="12"/>
  <c r="B50" i="12"/>
  <c r="D49" i="12"/>
  <c r="B49" i="12"/>
  <c r="D48" i="12"/>
  <c r="B48" i="12"/>
  <c r="D47" i="12"/>
  <c r="B47" i="12"/>
  <c r="D46" i="12"/>
  <c r="B46" i="12"/>
  <c r="D45" i="12"/>
  <c r="B45" i="12"/>
  <c r="D44" i="12"/>
  <c r="B44" i="12"/>
  <c r="D43" i="12"/>
  <c r="B43" i="12"/>
  <c r="E42" i="12"/>
  <c r="D42" i="12" s="1"/>
  <c r="B42" i="12"/>
  <c r="D41" i="12"/>
  <c r="B41" i="12"/>
  <c r="D40" i="12"/>
  <c r="B40" i="12"/>
  <c r="D39" i="12"/>
  <c r="B39" i="12"/>
  <c r="D38" i="12"/>
  <c r="B38" i="12"/>
  <c r="D37" i="12"/>
  <c r="B37" i="12"/>
  <c r="L36" i="12"/>
  <c r="D36" i="12" s="1"/>
  <c r="B36" i="12"/>
  <c r="D35" i="12"/>
  <c r="B35" i="12"/>
  <c r="G34" i="12"/>
  <c r="D34" i="12" s="1"/>
  <c r="B34" i="12"/>
  <c r="D33" i="12"/>
  <c r="B33" i="12"/>
  <c r="D32" i="12"/>
  <c r="B32" i="12"/>
  <c r="L31" i="12"/>
  <c r="D31" i="12" s="1"/>
  <c r="B31" i="12"/>
  <c r="D30" i="12"/>
  <c r="B30" i="12"/>
  <c r="D29" i="12"/>
  <c r="B29" i="12"/>
  <c r="D28" i="12"/>
  <c r="B28" i="12"/>
  <c r="L27" i="12"/>
  <c r="D27" i="12" s="1"/>
  <c r="B27" i="12"/>
  <c r="D26" i="12"/>
  <c r="B26" i="12"/>
  <c r="D25" i="12"/>
  <c r="B25" i="12"/>
  <c r="D24" i="12"/>
  <c r="B24" i="12"/>
  <c r="D23" i="12"/>
  <c r="B23" i="12"/>
  <c r="G22" i="12"/>
  <c r="D22" i="12" s="1"/>
  <c r="B22" i="12"/>
  <c r="O21" i="12"/>
  <c r="D21" i="12" s="1"/>
  <c r="B21" i="12"/>
  <c r="D20" i="12"/>
  <c r="B20" i="12"/>
  <c r="D19" i="12"/>
  <c r="B19" i="12"/>
  <c r="M18" i="12"/>
  <c r="D18" i="12" s="1"/>
  <c r="B18" i="12"/>
  <c r="D17" i="12"/>
  <c r="B17" i="12"/>
  <c r="D16" i="12"/>
  <c r="B16" i="12"/>
  <c r="D15" i="12"/>
  <c r="B15" i="12"/>
  <c r="D14" i="12"/>
  <c r="B14" i="12"/>
  <c r="O13" i="12"/>
  <c r="D13" i="12" s="1"/>
  <c r="B13" i="12"/>
  <c r="D12" i="12"/>
  <c r="B12" i="12"/>
  <c r="O11" i="12"/>
  <c r="D11" i="12" s="1"/>
  <c r="B11" i="12"/>
  <c r="D10" i="12"/>
  <c r="B10" i="12"/>
  <c r="AA9" i="12"/>
  <c r="Z9" i="12"/>
  <c r="Y9" i="12"/>
  <c r="X9" i="12"/>
  <c r="W9" i="12"/>
  <c r="V9" i="12"/>
  <c r="U9" i="12"/>
  <c r="T9" i="12"/>
  <c r="S9" i="12"/>
  <c r="R9" i="12"/>
  <c r="Q9" i="12"/>
  <c r="P9" i="12"/>
  <c r="K9" i="12"/>
  <c r="J9" i="12"/>
  <c r="I9" i="12"/>
  <c r="H9" i="12"/>
  <c r="F9" i="12"/>
  <c r="T779" i="3"/>
  <c r="S779" i="3"/>
  <c r="T778" i="3"/>
  <c r="S778" i="3"/>
  <c r="T777" i="3"/>
  <c r="S777" i="3"/>
  <c r="T776" i="3"/>
  <c r="S776" i="3"/>
  <c r="T775" i="3"/>
  <c r="S775" i="3"/>
  <c r="T774" i="3"/>
  <c r="S774" i="3"/>
  <c r="T773" i="3"/>
  <c r="S773" i="3"/>
  <c r="T772" i="3"/>
  <c r="S772" i="3"/>
  <c r="T771" i="3"/>
  <c r="S771" i="3"/>
  <c r="T770" i="3"/>
  <c r="S770" i="3"/>
  <c r="T769" i="3"/>
  <c r="S769" i="3"/>
  <c r="T768" i="3"/>
  <c r="S768" i="3"/>
  <c r="T767" i="3"/>
  <c r="S767" i="3"/>
  <c r="T766" i="3"/>
  <c r="S766" i="3"/>
  <c r="T765" i="3"/>
  <c r="S765" i="3"/>
  <c r="T764" i="3"/>
  <c r="S764" i="3"/>
  <c r="T789" i="3"/>
  <c r="S789" i="3"/>
  <c r="T788" i="3"/>
  <c r="S788" i="3"/>
  <c r="T787" i="3"/>
  <c r="S787" i="3"/>
  <c r="T786" i="3"/>
  <c r="S786" i="3"/>
  <c r="T785" i="3"/>
  <c r="S785" i="3"/>
  <c r="T784" i="3"/>
  <c r="S784" i="3"/>
  <c r="T781" i="3"/>
  <c r="S781" i="3"/>
  <c r="T780" i="3"/>
  <c r="S780" i="3"/>
  <c r="T794" i="3"/>
  <c r="S794" i="3"/>
  <c r="T793" i="3"/>
  <c r="S793" i="3"/>
  <c r="T792" i="3"/>
  <c r="S792" i="3"/>
  <c r="T790" i="3"/>
  <c r="S790" i="3"/>
  <c r="T796" i="3"/>
  <c r="S796" i="3"/>
  <c r="B796" i="3"/>
  <c r="T795" i="3"/>
  <c r="S795" i="3"/>
  <c r="T763" i="3"/>
  <c r="W763" i="3" s="1"/>
  <c r="S763" i="3"/>
  <c r="T734" i="3"/>
  <c r="W734" i="3" s="1"/>
  <c r="S734" i="3"/>
  <c r="B734" i="3"/>
  <c r="T733" i="3"/>
  <c r="W733" i="3" s="1"/>
  <c r="S733" i="3"/>
  <c r="B733" i="3"/>
  <c r="T732" i="3"/>
  <c r="W732" i="3" s="1"/>
  <c r="S732" i="3"/>
  <c r="T729" i="3"/>
  <c r="W729" i="3" s="1"/>
  <c r="S729" i="3"/>
  <c r="B729" i="3"/>
  <c r="AF641" i="3"/>
  <c r="W641" i="3" s="1"/>
  <c r="T641" i="3"/>
  <c r="V641" i="3" s="1"/>
  <c r="S641" i="3"/>
  <c r="B641" i="3"/>
  <c r="T813" i="3"/>
  <c r="S813" i="3"/>
  <c r="B813" i="3"/>
  <c r="T812" i="3"/>
  <c r="S812" i="3"/>
  <c r="B812" i="3"/>
  <c r="T811" i="3"/>
  <c r="S811" i="3"/>
  <c r="B811" i="3"/>
  <c r="T810" i="3"/>
  <c r="S810" i="3"/>
  <c r="B810" i="3"/>
  <c r="T809" i="3"/>
  <c r="W809" i="3" s="1"/>
  <c r="S809" i="3"/>
  <c r="B809" i="3"/>
  <c r="AC819" i="7"/>
  <c r="D819" i="7" s="1"/>
  <c r="B819" i="7"/>
  <c r="AC818" i="7"/>
  <c r="D818" i="7" s="1"/>
  <c r="B818" i="7"/>
  <c r="AC817" i="7"/>
  <c r="D817" i="7" s="1"/>
  <c r="B817" i="7"/>
  <c r="AC816" i="7"/>
  <c r="D816" i="7" s="1"/>
  <c r="B816" i="7"/>
  <c r="AC815" i="7"/>
  <c r="D815" i="7" s="1"/>
  <c r="B815" i="7"/>
  <c r="D739" i="7"/>
  <c r="B739" i="7"/>
  <c r="D738" i="7"/>
  <c r="B738" i="7"/>
  <c r="D737" i="7"/>
  <c r="B737" i="7"/>
  <c r="D736" i="7"/>
  <c r="B736" i="7"/>
  <c r="AC735" i="7"/>
  <c r="D735" i="7" s="1"/>
  <c r="B735" i="7"/>
  <c r="AC801" i="7"/>
  <c r="D801" i="7" s="1"/>
  <c r="B801" i="7"/>
  <c r="AC785" i="7"/>
  <c r="D785" i="7" s="1"/>
  <c r="B785" i="7"/>
  <c r="AC784" i="7"/>
  <c r="D784" i="7" s="1"/>
  <c r="B784" i="7"/>
  <c r="AC783" i="7"/>
  <c r="D783" i="7" s="1"/>
  <c r="B783" i="7"/>
  <c r="AC782" i="7"/>
  <c r="D782" i="7" s="1"/>
  <c r="B782" i="7"/>
  <c r="AC781" i="7"/>
  <c r="D781" i="7" s="1"/>
  <c r="B781" i="7"/>
  <c r="AC780" i="7"/>
  <c r="D780" i="7" s="1"/>
  <c r="B780" i="7"/>
  <c r="AC779" i="7"/>
  <c r="D779" i="7" s="1"/>
  <c r="B779" i="7"/>
  <c r="AC778" i="7"/>
  <c r="D778" i="7" s="1"/>
  <c r="B778" i="7"/>
  <c r="AC777" i="7"/>
  <c r="D777" i="7" s="1"/>
  <c r="B777" i="7"/>
  <c r="AC776" i="7"/>
  <c r="D776" i="7" s="1"/>
  <c r="B776" i="7"/>
  <c r="AC775" i="7"/>
  <c r="D775" i="7" s="1"/>
  <c r="B775" i="7"/>
  <c r="AC774" i="7"/>
  <c r="D774" i="7" s="1"/>
  <c r="B774" i="7"/>
  <c r="AC773" i="7"/>
  <c r="D773" i="7" s="1"/>
  <c r="B773" i="7"/>
  <c r="AC772" i="7"/>
  <c r="D772" i="7" s="1"/>
  <c r="B772" i="7"/>
  <c r="AC771" i="7"/>
  <c r="D771" i="7" s="1"/>
  <c r="B771" i="7"/>
  <c r="AC770" i="7"/>
  <c r="D770" i="7" s="1"/>
  <c r="B770" i="7"/>
  <c r="AC793" i="7"/>
  <c r="D793" i="7" s="1"/>
  <c r="B793" i="7"/>
  <c r="AC792" i="7"/>
  <c r="D792" i="7" s="1"/>
  <c r="B792" i="7"/>
  <c r="AC791" i="7"/>
  <c r="D791" i="7" s="1"/>
  <c r="B791" i="7"/>
  <c r="AC790" i="7"/>
  <c r="D790" i="7" s="1"/>
  <c r="B790" i="7"/>
  <c r="AC789" i="7"/>
  <c r="D789" i="7" s="1"/>
  <c r="B789" i="7"/>
  <c r="AC788" i="7"/>
  <c r="D788" i="7" s="1"/>
  <c r="B788" i="7"/>
  <c r="AC787" i="7"/>
  <c r="D787" i="7" s="1"/>
  <c r="B787" i="7"/>
  <c r="AC786" i="7"/>
  <c r="D786" i="7" s="1"/>
  <c r="B786" i="7"/>
  <c r="AC797" i="7"/>
  <c r="D797" i="7" s="1"/>
  <c r="B797" i="7"/>
  <c r="AC796" i="7"/>
  <c r="D796" i="7" s="1"/>
  <c r="B796" i="7"/>
  <c r="AC795" i="7"/>
  <c r="D795" i="7" s="1"/>
  <c r="B795" i="7"/>
  <c r="AC794" i="7"/>
  <c r="D794" i="7" s="1"/>
  <c r="B794" i="7"/>
  <c r="AC799" i="7"/>
  <c r="D799" i="7" s="1"/>
  <c r="B799" i="7"/>
  <c r="AC798" i="7"/>
  <c r="D798" i="7" s="1"/>
  <c r="B798" i="7"/>
  <c r="AC800" i="7"/>
  <c r="D800" i="7" s="1"/>
  <c r="B800" i="7"/>
  <c r="AC769" i="7"/>
  <c r="D769" i="7" s="1"/>
  <c r="B769" i="7"/>
  <c r="D647" i="7"/>
  <c r="B647" i="7"/>
  <c r="V738" i="12" l="1"/>
  <c r="W811" i="3"/>
  <c r="U811" i="3"/>
  <c r="V811" i="3" s="1"/>
  <c r="W794" i="3"/>
  <c r="U794" i="3"/>
  <c r="W787" i="3"/>
  <c r="U787" i="3"/>
  <c r="W769" i="3"/>
  <c r="U769" i="3"/>
  <c r="V769" i="3" s="1"/>
  <c r="W777" i="3"/>
  <c r="U777" i="3"/>
  <c r="W796" i="3"/>
  <c r="U796" i="3"/>
  <c r="V796" i="3" s="1"/>
  <c r="W792" i="3"/>
  <c r="U792" i="3"/>
  <c r="V792" i="3" s="1"/>
  <c r="W781" i="3"/>
  <c r="U781" i="3"/>
  <c r="V781" i="3" s="1"/>
  <c r="U785" i="3"/>
  <c r="V785" i="3" s="1"/>
  <c r="W789" i="3"/>
  <c r="U789" i="3"/>
  <c r="V789" i="3" s="1"/>
  <c r="W765" i="3"/>
  <c r="U765" i="3"/>
  <c r="U767" i="3"/>
  <c r="V767" i="3" s="1"/>
  <c r="W771" i="3"/>
  <c r="U771" i="3"/>
  <c r="V771" i="3" s="1"/>
  <c r="W773" i="3"/>
  <c r="U773" i="3"/>
  <c r="W775" i="3"/>
  <c r="U775" i="3"/>
  <c r="W779" i="3"/>
  <c r="U779" i="3"/>
  <c r="U810" i="3"/>
  <c r="V810" i="3" s="1"/>
  <c r="W795" i="3"/>
  <c r="U795" i="3"/>
  <c r="U780" i="3"/>
  <c r="V780" i="3" s="1"/>
  <c r="W786" i="3"/>
  <c r="U786" i="3"/>
  <c r="V786" i="3" s="1"/>
  <c r="W766" i="3"/>
  <c r="U766" i="3"/>
  <c r="W770" i="3"/>
  <c r="U770" i="3"/>
  <c r="W776" i="3"/>
  <c r="U776" i="3"/>
  <c r="V776" i="3" s="1"/>
  <c r="W813" i="3"/>
  <c r="U813" i="3"/>
  <c r="V813" i="3" s="1"/>
  <c r="W790" i="3"/>
  <c r="U790" i="3"/>
  <c r="V790" i="3" s="1"/>
  <c r="W793" i="3"/>
  <c r="U793" i="3"/>
  <c r="V793" i="3" s="1"/>
  <c r="W784" i="3"/>
  <c r="U784" i="3"/>
  <c r="V784" i="3" s="1"/>
  <c r="W788" i="3"/>
  <c r="U788" i="3"/>
  <c r="V788" i="3" s="1"/>
  <c r="U764" i="3"/>
  <c r="V764" i="3" s="1"/>
  <c r="W768" i="3"/>
  <c r="U768" i="3"/>
  <c r="V768" i="3" s="1"/>
  <c r="W772" i="3"/>
  <c r="U772" i="3"/>
  <c r="W774" i="3"/>
  <c r="U774" i="3"/>
  <c r="V774" i="3" s="1"/>
  <c r="W778" i="3"/>
  <c r="U778" i="3"/>
  <c r="U812" i="3"/>
  <c r="V812" i="3" s="1"/>
  <c r="D739" i="12"/>
  <c r="D762" i="12"/>
  <c r="E9" i="12"/>
  <c r="E8" i="12" s="1"/>
  <c r="E7" i="12" s="1"/>
  <c r="D724" i="12"/>
  <c r="D621" i="12"/>
  <c r="O321" i="12"/>
  <c r="D728" i="12"/>
  <c r="D292" i="12"/>
  <c r="Q8" i="12"/>
  <c r="Q7" i="12" s="1"/>
  <c r="D481" i="12"/>
  <c r="D656" i="12"/>
  <c r="D665" i="12"/>
  <c r="D689" i="12"/>
  <c r="Y8" i="12"/>
  <c r="Y7" i="12" s="1"/>
  <c r="D538" i="12"/>
  <c r="D635" i="12"/>
  <c r="D662" i="12"/>
  <c r="U8" i="12"/>
  <c r="U7" i="12" s="1"/>
  <c r="I481" i="12"/>
  <c r="I8" i="12" s="1"/>
  <c r="I7" i="12" s="1"/>
  <c r="D698" i="12"/>
  <c r="F8" i="12"/>
  <c r="F7" i="12" s="1"/>
  <c r="J8" i="12"/>
  <c r="J7" i="12" s="1"/>
  <c r="N8" i="12"/>
  <c r="N7" i="12" s="1"/>
  <c r="R8" i="12"/>
  <c r="R7" i="12" s="1"/>
  <c r="V8" i="12"/>
  <c r="V7" i="12" s="1"/>
  <c r="Z8" i="12"/>
  <c r="Z7" i="12" s="1"/>
  <c r="D50" i="12"/>
  <c r="D9" i="12" s="1"/>
  <c r="K8" i="12"/>
  <c r="K7" i="12" s="1"/>
  <c r="S8" i="12"/>
  <c r="S7" i="12" s="1"/>
  <c r="W8" i="12"/>
  <c r="W7" i="12" s="1"/>
  <c r="AA8" i="12"/>
  <c r="AA7" i="12" s="1"/>
  <c r="D472" i="12"/>
  <c r="D618" i="12"/>
  <c r="D676" i="12"/>
  <c r="D719" i="12"/>
  <c r="M9" i="12"/>
  <c r="G9" i="12"/>
  <c r="G8" i="12" s="1"/>
  <c r="G7" i="12" s="1"/>
  <c r="M268" i="12"/>
  <c r="D337" i="12"/>
  <c r="D321" i="12" s="1"/>
  <c r="D645" i="12"/>
  <c r="H8" i="12"/>
  <c r="H7" i="12" s="1"/>
  <c r="P8" i="12"/>
  <c r="P7" i="12" s="1"/>
  <c r="T8" i="12"/>
  <c r="T7" i="12" s="1"/>
  <c r="X8" i="12"/>
  <c r="X7" i="12" s="1"/>
  <c r="D673" i="12"/>
  <c r="D708" i="12"/>
  <c r="W764" i="3"/>
  <c r="W767" i="3"/>
  <c r="D268" i="12"/>
  <c r="O9" i="12"/>
  <c r="L321" i="12"/>
  <c r="O481" i="12"/>
  <c r="L9" i="12"/>
  <c r="W780" i="3"/>
  <c r="V777" i="3"/>
  <c r="V773" i="3"/>
  <c r="V765" i="3"/>
  <c r="W785" i="3"/>
  <c r="V772" i="3"/>
  <c r="V775" i="3"/>
  <c r="V787" i="3"/>
  <c r="V766" i="3"/>
  <c r="V770" i="3"/>
  <c r="V778" i="3"/>
  <c r="V779" i="3"/>
  <c r="V794" i="3"/>
  <c r="V795" i="3"/>
  <c r="V763" i="3"/>
  <c r="V732" i="3"/>
  <c r="V733" i="3"/>
  <c r="V734" i="3"/>
  <c r="W810" i="3"/>
  <c r="V729" i="3"/>
  <c r="W812" i="3"/>
  <c r="V809" i="3"/>
  <c r="D738" i="12" l="1"/>
  <c r="M8" i="12"/>
  <c r="M7" i="12" s="1"/>
  <c r="O8" i="12"/>
  <c r="O7" i="12" s="1"/>
  <c r="D8" i="12"/>
  <c r="D7" i="12" s="1"/>
  <c r="L8" i="12"/>
  <c r="L7" i="12" s="1"/>
  <c r="N949" i="7" l="1"/>
  <c r="N990" i="7"/>
  <c r="N1004" i="7"/>
  <c r="N1001" i="7"/>
  <c r="N1057" i="7"/>
  <c r="AC520" i="7"/>
  <c r="AC439" i="7"/>
  <c r="AC433" i="7"/>
  <c r="AC432" i="7"/>
  <c r="AC431" i="7"/>
  <c r="AC426" i="7"/>
  <c r="T1309" i="3"/>
  <c r="K1309" i="3"/>
  <c r="W1308" i="3"/>
  <c r="T1308" i="3"/>
  <c r="V1308" i="3" s="1"/>
  <c r="S1308" i="3"/>
  <c r="B1308" i="3"/>
  <c r="AE1311" i="7"/>
  <c r="AD1311" i="7"/>
  <c r="AB1311" i="7"/>
  <c r="AA1311" i="7"/>
  <c r="Z1311" i="7"/>
  <c r="Y1311" i="7"/>
  <c r="X1311" i="7"/>
  <c r="W1311" i="7"/>
  <c r="V1311" i="7"/>
  <c r="U1311" i="7"/>
  <c r="T1311" i="7"/>
  <c r="S1311" i="7"/>
  <c r="R1311" i="7"/>
  <c r="Q1311" i="7"/>
  <c r="P1311" i="7"/>
  <c r="O1311" i="7"/>
  <c r="N1311" i="7"/>
  <c r="M1311" i="7"/>
  <c r="L1311" i="7"/>
  <c r="K1311" i="7"/>
  <c r="J1311" i="7"/>
  <c r="I1311" i="7"/>
  <c r="H1311" i="7"/>
  <c r="G1311" i="7"/>
  <c r="F1311" i="7"/>
  <c r="E1311" i="7"/>
  <c r="AC1315" i="7"/>
  <c r="AC1314" i="7"/>
  <c r="D1314" i="7" s="1"/>
  <c r="B1314" i="7"/>
  <c r="N679" i="7" l="1"/>
  <c r="N881" i="7" l="1"/>
  <c r="U1381" i="3"/>
  <c r="U1379" i="3"/>
  <c r="U1377" i="3"/>
  <c r="U1374" i="3"/>
  <c r="U1372" i="3"/>
  <c r="U1370" i="3"/>
  <c r="U1365" i="3"/>
  <c r="U1361" i="3"/>
  <c r="U1359" i="3"/>
  <c r="U1357" i="3"/>
  <c r="U1355" i="3"/>
  <c r="U1351" i="3"/>
  <c r="U1348" i="3"/>
  <c r="U1346" i="3"/>
  <c r="U1344" i="3"/>
  <c r="U1341" i="3"/>
  <c r="U1337" i="3"/>
  <c r="U1333" i="3"/>
  <c r="U1329" i="3"/>
  <c r="U1326" i="3"/>
  <c r="U1324" i="3"/>
  <c r="U1322" i="3"/>
  <c r="U1320" i="3"/>
  <c r="U1316" i="3"/>
  <c r="U1314" i="3"/>
  <c r="U1312" i="3"/>
  <c r="U1310" i="3"/>
  <c r="U1305" i="3"/>
  <c r="U1303" i="3"/>
  <c r="U1301" i="3"/>
  <c r="U1299" i="3"/>
  <c r="U1297" i="3"/>
  <c r="U1295" i="3"/>
  <c r="U1293" i="3"/>
  <c r="U1289" i="3"/>
  <c r="U1287" i="3"/>
  <c r="U1284" i="3"/>
  <c r="U1280" i="3"/>
  <c r="U1277" i="3"/>
  <c r="U1270" i="3"/>
  <c r="U1268" i="3"/>
  <c r="U1266" i="3"/>
  <c r="U1264" i="3"/>
  <c r="U1261" i="3"/>
  <c r="U1258" i="3"/>
  <c r="U1256" i="3"/>
  <c r="U1254" i="3"/>
  <c r="U1252" i="3"/>
  <c r="U1248" i="3"/>
  <c r="U1241" i="3"/>
  <c r="U1239" i="3"/>
  <c r="U1237" i="3"/>
  <c r="U1234" i="3"/>
  <c r="U1232" i="3"/>
  <c r="U1230" i="3"/>
  <c r="U1227" i="3"/>
  <c r="U1223" i="3"/>
  <c r="U1220" i="3"/>
  <c r="U1211" i="3"/>
  <c r="U1208" i="3"/>
  <c r="U1197" i="3"/>
  <c r="U1172" i="3"/>
  <c r="U1157" i="3"/>
  <c r="U1086" i="3"/>
  <c r="U1083" i="3"/>
  <c r="U1081" i="3"/>
  <c r="U1076" i="3"/>
  <c r="U1068" i="3"/>
  <c r="U1066" i="3"/>
  <c r="U1064" i="3"/>
  <c r="U1062" i="3"/>
  <c r="U1056" i="3"/>
  <c r="U1054" i="3"/>
  <c r="U1052" i="3"/>
  <c r="U1050" i="3"/>
  <c r="U1048" i="3"/>
  <c r="U1044" i="3"/>
  <c r="U1037" i="3"/>
  <c r="U1031" i="3"/>
  <c r="U1027" i="3"/>
  <c r="U1025" i="3"/>
  <c r="U1023" i="3"/>
  <c r="U1021" i="3"/>
  <c r="U1018" i="3"/>
  <c r="U1016" i="3"/>
  <c r="U1012" i="3"/>
  <c r="U1003" i="3"/>
  <c r="U1001" i="3"/>
  <c r="U997" i="3"/>
  <c r="U991" i="3"/>
  <c r="U988" i="3"/>
  <c r="U983" i="3"/>
  <c r="U981" i="3"/>
  <c r="U979" i="3"/>
  <c r="U977" i="3"/>
  <c r="U975" i="3"/>
  <c r="U970" i="3"/>
  <c r="U968" i="3"/>
  <c r="U964" i="3"/>
  <c r="U955" i="3"/>
  <c r="U952" i="3"/>
  <c r="U949" i="3"/>
  <c r="U946" i="3"/>
  <c r="U942" i="3"/>
  <c r="U939" i="3"/>
  <c r="U926" i="3"/>
  <c r="U924" i="3"/>
  <c r="U919" i="3"/>
  <c r="U917" i="3"/>
  <c r="U915" i="3"/>
  <c r="U913" i="3"/>
  <c r="U911" i="3"/>
  <c r="U909" i="3"/>
  <c r="U907" i="3"/>
  <c r="U905" i="3"/>
  <c r="U902" i="3"/>
  <c r="U899" i="3"/>
  <c r="U888" i="3"/>
  <c r="U871" i="3"/>
  <c r="U869" i="3"/>
  <c r="U867" i="3"/>
  <c r="U864" i="3"/>
  <c r="U862" i="3"/>
  <c r="U857" i="3"/>
  <c r="U850" i="3"/>
  <c r="U842" i="3"/>
  <c r="U815" i="3"/>
  <c r="U735" i="3"/>
  <c r="U675" i="3"/>
  <c r="U643" i="3"/>
  <c r="U547" i="3"/>
  <c r="U544" i="3"/>
  <c r="U539" i="3"/>
  <c r="U527" i="3"/>
  <c r="U524" i="3"/>
  <c r="U522" i="3"/>
  <c r="U516" i="3"/>
  <c r="U513" i="3"/>
  <c r="U511" i="3"/>
  <c r="U508" i="3"/>
  <c r="U505" i="3"/>
  <c r="U503" i="3"/>
  <c r="U497" i="3"/>
  <c r="U492" i="3"/>
  <c r="U490" i="3"/>
  <c r="U488" i="3"/>
  <c r="U479" i="3"/>
  <c r="U467" i="3"/>
  <c r="U461" i="3"/>
  <c r="U459" i="3"/>
  <c r="U457" i="3"/>
  <c r="U455" i="3"/>
  <c r="U453" i="3"/>
  <c r="U451" i="3"/>
  <c r="U449" i="3"/>
  <c r="U438" i="3"/>
  <c r="U435" i="3"/>
  <c r="U429" i="3"/>
  <c r="U422" i="3"/>
  <c r="U418" i="3"/>
  <c r="U416" i="3"/>
  <c r="U412" i="3"/>
  <c r="U408" i="3"/>
  <c r="U406" i="3"/>
  <c r="U398" i="3"/>
  <c r="U396" i="3"/>
  <c r="U391" i="3"/>
  <c r="U389" i="3"/>
  <c r="U386" i="3"/>
  <c r="U381" i="3"/>
  <c r="U379" i="3"/>
  <c r="U377" i="3"/>
  <c r="U374" i="3"/>
  <c r="U356" i="3"/>
  <c r="U354" i="3"/>
  <c r="U351" i="3"/>
  <c r="U347" i="3"/>
  <c r="U344" i="3"/>
  <c r="U341" i="3"/>
  <c r="U336" i="3"/>
  <c r="U319" i="3"/>
  <c r="U303" i="3"/>
  <c r="U301" i="3"/>
  <c r="U295" i="3"/>
  <c r="U289" i="3"/>
  <c r="U286" i="3"/>
  <c r="U284" i="3"/>
  <c r="U279" i="3"/>
  <c r="U272" i="3"/>
  <c r="U266" i="3"/>
  <c r="U239" i="3"/>
  <c r="U233" i="3"/>
  <c r="U196" i="3"/>
  <c r="U150" i="3"/>
  <c r="U120" i="3"/>
  <c r="U15" i="3"/>
  <c r="U1376" i="3" l="1"/>
  <c r="U1369" i="3"/>
  <c r="U1368" i="3" s="1"/>
  <c r="U1085" i="3"/>
  <c r="N1253" i="7" l="1"/>
  <c r="N1202" i="7"/>
  <c r="N1186" i="7"/>
  <c r="N980" i="7"/>
  <c r="AF640" i="3" l="1"/>
  <c r="W640" i="3" s="1"/>
  <c r="T640" i="3"/>
  <c r="V640" i="3" s="1"/>
  <c r="S640" i="3"/>
  <c r="B640" i="3"/>
  <c r="AD1285" i="7" l="1"/>
  <c r="N754" i="7" l="1"/>
  <c r="AD665" i="7" l="1"/>
  <c r="AC646" i="7"/>
  <c r="N646" i="7"/>
  <c r="B646" i="7"/>
  <c r="D646" i="7" l="1"/>
  <c r="R1065" i="7"/>
  <c r="AC1065" i="7" s="1"/>
  <c r="N1044" i="7"/>
  <c r="N1019" i="7"/>
  <c r="N1017" i="7"/>
  <c r="N1319" i="7"/>
  <c r="N978" i="7"/>
  <c r="N1289" i="7"/>
  <c r="G942" i="7"/>
  <c r="AD918" i="7"/>
  <c r="N852" i="7" l="1"/>
  <c r="U841" i="7"/>
  <c r="N811" i="7"/>
  <c r="L804" i="7"/>
  <c r="L743" i="7"/>
  <c r="AC683" i="7"/>
  <c r="AD703" i="7"/>
  <c r="N722" i="7"/>
  <c r="N721" i="7"/>
  <c r="N705" i="7"/>
  <c r="AD694" i="7"/>
  <c r="R1287" i="7" l="1"/>
  <c r="T727" i="3" l="1"/>
  <c r="W727" i="3" s="1"/>
  <c r="S727" i="3"/>
  <c r="B727" i="3"/>
  <c r="T726" i="3"/>
  <c r="W726" i="3" s="1"/>
  <c r="S726" i="3"/>
  <c r="B726" i="3"/>
  <c r="AC734" i="7"/>
  <c r="D734" i="7" s="1"/>
  <c r="AC733" i="7"/>
  <c r="D733" i="7" s="1"/>
  <c r="AC732" i="7"/>
  <c r="AC731" i="7"/>
  <c r="AC730" i="7"/>
  <c r="AC729" i="7"/>
  <c r="AC728" i="7"/>
  <c r="AC727" i="7"/>
  <c r="AC726" i="7"/>
  <c r="AC716" i="7"/>
  <c r="AC698" i="7"/>
  <c r="AC694" i="7"/>
  <c r="B734" i="7"/>
  <c r="B733" i="7"/>
  <c r="V727" i="3" l="1"/>
  <c r="V726" i="3"/>
  <c r="AD682" i="7"/>
  <c r="AD698" i="7"/>
  <c r="AD693" i="7"/>
  <c r="AC645" i="7" l="1"/>
  <c r="N645" i="7"/>
  <c r="AD1038" i="7" l="1"/>
  <c r="AC477" i="7"/>
  <c r="AC1044" i="7"/>
  <c r="N897" i="7" l="1"/>
  <c r="B639" i="3"/>
  <c r="B642" i="3"/>
  <c r="T638" i="3"/>
  <c r="W638" i="3" s="1"/>
  <c r="S638" i="3"/>
  <c r="B638" i="3"/>
  <c r="AF642" i="3"/>
  <c r="W642" i="3" s="1"/>
  <c r="T642" i="3"/>
  <c r="S642" i="3"/>
  <c r="AF639" i="3"/>
  <c r="W639" i="3" s="1"/>
  <c r="T639" i="3"/>
  <c r="V639" i="3" s="1"/>
  <c r="S639" i="3"/>
  <c r="T1146" i="3"/>
  <c r="V1146" i="3" s="1"/>
  <c r="S1146" i="3"/>
  <c r="T1145" i="3"/>
  <c r="V1145" i="3" s="1"/>
  <c r="S1145" i="3"/>
  <c r="AF1152" i="3"/>
  <c r="W1152" i="3" s="1"/>
  <c r="T1152" i="3"/>
  <c r="V1152" i="3" s="1"/>
  <c r="S1152" i="3"/>
  <c r="B1152" i="3"/>
  <c r="AF1151" i="3"/>
  <c r="W1151" i="3" s="1"/>
  <c r="T1151" i="3"/>
  <c r="V1151" i="3" s="1"/>
  <c r="S1151" i="3"/>
  <c r="B1151" i="3"/>
  <c r="AF1150" i="3"/>
  <c r="W1150" i="3" s="1"/>
  <c r="T1150" i="3"/>
  <c r="V1150" i="3" s="1"/>
  <c r="S1150" i="3"/>
  <c r="B1150" i="3"/>
  <c r="AF1149" i="3"/>
  <c r="W1149" i="3" s="1"/>
  <c r="T1149" i="3"/>
  <c r="V1149" i="3" s="1"/>
  <c r="S1149" i="3"/>
  <c r="B1149" i="3"/>
  <c r="AF1148" i="3"/>
  <c r="W1148" i="3" s="1"/>
  <c r="T1148" i="3"/>
  <c r="V1148" i="3" s="1"/>
  <c r="S1148" i="3"/>
  <c r="B1148" i="3"/>
  <c r="AF1147" i="3"/>
  <c r="W1147" i="3" s="1"/>
  <c r="T1147" i="3"/>
  <c r="V1147" i="3" s="1"/>
  <c r="S1147" i="3"/>
  <c r="B1147" i="3"/>
  <c r="AF1146" i="3"/>
  <c r="W1146" i="3" s="1"/>
  <c r="B1146" i="3"/>
  <c r="AF1145" i="3"/>
  <c r="W1145" i="3" s="1"/>
  <c r="B1145" i="3"/>
  <c r="AF1156" i="3"/>
  <c r="W1156" i="3" s="1"/>
  <c r="T1156" i="3"/>
  <c r="V1156" i="3" s="1"/>
  <c r="S1156" i="3"/>
  <c r="B1156" i="3"/>
  <c r="AF1155" i="3"/>
  <c r="W1155" i="3" s="1"/>
  <c r="T1155" i="3"/>
  <c r="V1155" i="3" s="1"/>
  <c r="S1155" i="3"/>
  <c r="B1155" i="3"/>
  <c r="AF1154" i="3"/>
  <c r="W1154" i="3" s="1"/>
  <c r="T1154" i="3"/>
  <c r="V1154" i="3" s="1"/>
  <c r="S1154" i="3"/>
  <c r="B1154" i="3"/>
  <c r="AF1153" i="3"/>
  <c r="W1153" i="3" s="1"/>
  <c r="T1153" i="3"/>
  <c r="V1153" i="3" s="1"/>
  <c r="S1153" i="3"/>
  <c r="B1153" i="3"/>
  <c r="AF1144" i="3"/>
  <c r="W1144" i="3" s="1"/>
  <c r="T1144" i="3"/>
  <c r="V1144" i="3" s="1"/>
  <c r="S1144" i="3"/>
  <c r="B1144" i="3"/>
  <c r="U642" i="3" l="1"/>
  <c r="U551" i="3" s="1"/>
  <c r="V638" i="3"/>
  <c r="V642" i="3" l="1"/>
  <c r="D1154" i="7"/>
  <c r="B1154" i="7"/>
  <c r="D1153" i="7"/>
  <c r="B1153" i="7"/>
  <c r="D1158" i="7"/>
  <c r="B1158" i="7"/>
  <c r="D1157" i="7"/>
  <c r="B1157" i="7"/>
  <c r="D1156" i="7"/>
  <c r="B1156" i="7"/>
  <c r="D1155" i="7"/>
  <c r="B1155" i="7"/>
  <c r="B1152" i="7"/>
  <c r="D1152" i="7"/>
  <c r="D1160" i="7"/>
  <c r="B1160" i="7"/>
  <c r="D1159" i="7"/>
  <c r="B1159" i="7"/>
  <c r="D1161" i="7"/>
  <c r="B1161" i="7"/>
  <c r="B1151" i="7"/>
  <c r="B1162" i="7"/>
  <c r="D1151" i="7"/>
  <c r="D1150" i="7"/>
  <c r="B1150" i="7"/>
  <c r="L606" i="7"/>
  <c r="B645" i="7"/>
  <c r="B648" i="7"/>
  <c r="CD644" i="7"/>
  <c r="D644" i="7"/>
  <c r="B644" i="7"/>
  <c r="D648" i="7"/>
  <c r="D645" i="7"/>
  <c r="AC871" i="7" l="1"/>
  <c r="T677" i="3" l="1"/>
  <c r="T728" i="3"/>
  <c r="W728" i="3" s="1"/>
  <c r="S728" i="3"/>
  <c r="B728" i="3"/>
  <c r="T722" i="3"/>
  <c r="W722" i="3" s="1"/>
  <c r="S722" i="3"/>
  <c r="B722" i="3"/>
  <c r="T721" i="3"/>
  <c r="W721" i="3" s="1"/>
  <c r="S721" i="3"/>
  <c r="B721" i="3"/>
  <c r="T720" i="3"/>
  <c r="W720" i="3" s="1"/>
  <c r="S720" i="3"/>
  <c r="B720" i="3"/>
  <c r="T719" i="3"/>
  <c r="V719" i="3" s="1"/>
  <c r="S719" i="3"/>
  <c r="B719" i="3"/>
  <c r="T724" i="3"/>
  <c r="W724" i="3" s="1"/>
  <c r="S724" i="3"/>
  <c r="B724" i="3"/>
  <c r="T723" i="3"/>
  <c r="W723" i="3" s="1"/>
  <c r="S723" i="3"/>
  <c r="B723" i="3"/>
  <c r="T725" i="3"/>
  <c r="W725" i="3" s="1"/>
  <c r="S725" i="3"/>
  <c r="B725" i="3"/>
  <c r="T718" i="3"/>
  <c r="W718" i="3" s="1"/>
  <c r="S718" i="3"/>
  <c r="B718" i="3"/>
  <c r="D740" i="7"/>
  <c r="D731" i="7"/>
  <c r="D730" i="7"/>
  <c r="D729" i="7"/>
  <c r="D728" i="7"/>
  <c r="D727" i="7"/>
  <c r="D726" i="7"/>
  <c r="AC725" i="7"/>
  <c r="D725" i="7" s="1"/>
  <c r="AC717" i="7"/>
  <c r="AC693" i="7"/>
  <c r="B732" i="7"/>
  <c r="B725" i="7"/>
  <c r="B726" i="7"/>
  <c r="B727" i="7"/>
  <c r="B728" i="7"/>
  <c r="B729" i="7"/>
  <c r="B730" i="7"/>
  <c r="B731" i="7"/>
  <c r="B740" i="7"/>
  <c r="AC724" i="7"/>
  <c r="D724" i="7" s="1"/>
  <c r="B724" i="7"/>
  <c r="N1277" i="7"/>
  <c r="AC386" i="7"/>
  <c r="N386" i="7"/>
  <c r="Q239" i="13"/>
  <c r="Q237" i="13"/>
  <c r="Q235" i="13"/>
  <c r="Q233" i="13"/>
  <c r="Q230" i="13"/>
  <c r="Q228" i="13"/>
  <c r="Q226" i="13"/>
  <c r="Q224" i="13"/>
  <c r="Q222" i="13"/>
  <c r="Q220" i="13"/>
  <c r="Q218" i="13"/>
  <c r="Q213" i="13"/>
  <c r="Q211" i="13"/>
  <c r="Q209" i="13"/>
  <c r="Q207" i="13"/>
  <c r="Q203" i="13"/>
  <c r="Q200" i="13"/>
  <c r="Q197" i="13"/>
  <c r="Q195" i="13"/>
  <c r="Q189" i="13"/>
  <c r="Q187" i="13"/>
  <c r="Q184" i="13"/>
  <c r="Q181" i="13"/>
  <c r="Q174" i="13"/>
  <c r="Q158" i="13"/>
  <c r="Q129" i="13"/>
  <c r="Q124" i="13"/>
  <c r="Q116" i="13"/>
  <c r="Q99" i="13"/>
  <c r="Q95" i="13"/>
  <c r="Q93" i="13"/>
  <c r="Q86" i="13"/>
  <c r="Q82" i="13"/>
  <c r="Q80" i="13"/>
  <c r="Q78" i="13"/>
  <c r="Q76" i="13"/>
  <c r="Q72" i="13"/>
  <c r="Q70" i="13"/>
  <c r="Q68" i="13"/>
  <c r="Q64" i="13"/>
  <c r="Q61" i="13"/>
  <c r="Q59" i="13"/>
  <c r="Q57" i="13"/>
  <c r="Q53" i="13"/>
  <c r="Q51" i="13"/>
  <c r="Q49" i="13"/>
  <c r="Q47" i="13"/>
  <c r="Q43" i="13"/>
  <c r="Q41" i="13"/>
  <c r="Q39" i="13"/>
  <c r="Q35" i="13"/>
  <c r="Q32" i="13"/>
  <c r="Q29" i="13"/>
  <c r="Q27" i="13"/>
  <c r="Q25" i="13"/>
  <c r="Q23" i="13"/>
  <c r="Q14" i="13"/>
  <c r="Q12" i="13"/>
  <c r="Q11" i="13" l="1"/>
  <c r="Q63" i="13"/>
  <c r="Q85" i="13"/>
  <c r="V720" i="3"/>
  <c r="W719" i="3"/>
  <c r="V722" i="3"/>
  <c r="V728" i="3"/>
  <c r="V721" i="3"/>
  <c r="V723" i="3"/>
  <c r="V724" i="3"/>
  <c r="V725" i="3"/>
  <c r="V718" i="3"/>
  <c r="D732" i="7"/>
  <c r="Q10" i="13" l="1"/>
  <c r="R68" i="7"/>
  <c r="K914" i="3" l="1"/>
  <c r="K913" i="3" s="1"/>
  <c r="AF914" i="3"/>
  <c r="W914" i="3" s="1"/>
  <c r="T914" i="3"/>
  <c r="V914" i="3" s="1"/>
  <c r="S914" i="3"/>
  <c r="S913" i="3" s="1"/>
  <c r="B914" i="3"/>
  <c r="R913" i="3"/>
  <c r="Q913" i="3"/>
  <c r="L913" i="3"/>
  <c r="J913" i="3"/>
  <c r="I913" i="3"/>
  <c r="T913" i="3" s="1"/>
  <c r="AC920" i="7"/>
  <c r="AC919" i="7" s="1"/>
  <c r="B920" i="7"/>
  <c r="AE919" i="7"/>
  <c r="AD919" i="7"/>
  <c r="AB919" i="7"/>
  <c r="AA919" i="7"/>
  <c r="Z919" i="7"/>
  <c r="Y919" i="7"/>
  <c r="X919" i="7"/>
  <c r="W919" i="7"/>
  <c r="V919" i="7"/>
  <c r="U919" i="7"/>
  <c r="T919" i="7"/>
  <c r="S919" i="7"/>
  <c r="R919" i="7"/>
  <c r="Q919" i="7"/>
  <c r="P919" i="7"/>
  <c r="O919" i="7"/>
  <c r="M919" i="7"/>
  <c r="L919" i="7"/>
  <c r="K919" i="7"/>
  <c r="J919" i="7"/>
  <c r="I919" i="7"/>
  <c r="H919" i="7"/>
  <c r="G919" i="7"/>
  <c r="F919" i="7"/>
  <c r="E919" i="7"/>
  <c r="N919" i="7" l="1"/>
  <c r="D920" i="7"/>
  <c r="V913" i="3"/>
  <c r="D919" i="7" l="1"/>
  <c r="CB919" i="7" s="1"/>
  <c r="P155" i="13" l="1"/>
  <c r="P154" i="13"/>
  <c r="AE156" i="8"/>
  <c r="F156" i="8" s="1"/>
  <c r="B156" i="8"/>
  <c r="AE155" i="8"/>
  <c r="F155" i="8" s="1"/>
  <c r="B155" i="8"/>
  <c r="AE93" i="8"/>
  <c r="P93" i="8"/>
  <c r="N1063" i="7" l="1"/>
  <c r="N1066" i="7"/>
  <c r="N838" i="7"/>
  <c r="R656" i="7"/>
  <c r="N1081" i="7"/>
  <c r="AD1073" i="7"/>
  <c r="H973" i="7"/>
  <c r="E213" i="5"/>
  <c r="D213" i="5"/>
  <c r="C213" i="5"/>
  <c r="AL1382" i="3"/>
  <c r="AJ1382" i="3"/>
  <c r="AF1382" i="3"/>
  <c r="T1382" i="3"/>
  <c r="S1381" i="3"/>
  <c r="R1381" i="3"/>
  <c r="Q1381" i="3"/>
  <c r="L1381" i="3"/>
  <c r="K1381" i="3"/>
  <c r="J1381" i="3"/>
  <c r="I1381" i="3"/>
  <c r="N1389" i="7"/>
  <c r="N1388" i="7" s="1"/>
  <c r="AE1388" i="7"/>
  <c r="AD1388" i="7"/>
  <c r="AC1388" i="7"/>
  <c r="AB1388" i="7"/>
  <c r="AA1388" i="7"/>
  <c r="Z1388" i="7"/>
  <c r="Y1388" i="7"/>
  <c r="X1388" i="7"/>
  <c r="W1388" i="7"/>
  <c r="V1388" i="7"/>
  <c r="U1388" i="7"/>
  <c r="T1388" i="7"/>
  <c r="S1388" i="7"/>
  <c r="R1388" i="7"/>
  <c r="Q1388" i="7"/>
  <c r="P1388" i="7"/>
  <c r="O1388" i="7"/>
  <c r="M1388" i="7"/>
  <c r="L1388" i="7"/>
  <c r="K1388" i="7"/>
  <c r="J1388" i="7"/>
  <c r="I1388" i="7"/>
  <c r="H1388" i="7"/>
  <c r="G1388" i="7"/>
  <c r="F1388" i="7"/>
  <c r="E1388" i="7"/>
  <c r="N1036" i="7"/>
  <c r="AL1380" i="3"/>
  <c r="AJ1380" i="3"/>
  <c r="AF1380" i="3"/>
  <c r="T1380" i="3"/>
  <c r="S1379" i="3"/>
  <c r="R1379" i="3"/>
  <c r="Q1379" i="3"/>
  <c r="L1379" i="3"/>
  <c r="K1379" i="3"/>
  <c r="J1379" i="3"/>
  <c r="I1379" i="3"/>
  <c r="D1387" i="7"/>
  <c r="N1386" i="7"/>
  <c r="AE1386" i="7"/>
  <c r="AD1386" i="7"/>
  <c r="AC1386" i="7"/>
  <c r="AB1386" i="7"/>
  <c r="AA1386" i="7"/>
  <c r="Z1386" i="7"/>
  <c r="Y1386" i="7"/>
  <c r="X1386" i="7"/>
  <c r="W1386" i="7"/>
  <c r="V1386" i="7"/>
  <c r="U1386" i="7"/>
  <c r="T1386" i="7"/>
  <c r="S1386" i="7"/>
  <c r="R1386" i="7"/>
  <c r="Q1386" i="7"/>
  <c r="P1386" i="7"/>
  <c r="O1386" i="7"/>
  <c r="M1386" i="7"/>
  <c r="L1386" i="7"/>
  <c r="K1386" i="7"/>
  <c r="J1386" i="7"/>
  <c r="I1386" i="7"/>
  <c r="H1386" i="7"/>
  <c r="G1386" i="7"/>
  <c r="F1386" i="7"/>
  <c r="E1386" i="7"/>
  <c r="W1382" i="3" l="1"/>
  <c r="V1382" i="3" s="1"/>
  <c r="D1388" i="7"/>
  <c r="T1381" i="3"/>
  <c r="T1379" i="3"/>
  <c r="W1380" i="3"/>
  <c r="V1380" i="3" s="1"/>
  <c r="D1386" i="7"/>
  <c r="N1034" i="7" l="1"/>
  <c r="N940" i="7" l="1"/>
  <c r="N993" i="7" l="1"/>
  <c r="N988" i="7"/>
  <c r="N1005" i="7"/>
  <c r="N992" i="7"/>
  <c r="T1378" i="3" l="1"/>
  <c r="N1385" i="7"/>
  <c r="AL1378" i="3"/>
  <c r="AJ1378" i="3"/>
  <c r="AF1378" i="3"/>
  <c r="S1377" i="3"/>
  <c r="S1376" i="3" s="1"/>
  <c r="R1377" i="3"/>
  <c r="R1376" i="3" s="1"/>
  <c r="Q1377" i="3"/>
  <c r="Q1376" i="3" s="1"/>
  <c r="L1377" i="3"/>
  <c r="L1376" i="3" s="1"/>
  <c r="K1377" i="3"/>
  <c r="K1376" i="3" s="1"/>
  <c r="J1377" i="3"/>
  <c r="J1376" i="3" s="1"/>
  <c r="I1377" i="3"/>
  <c r="I1376" i="3" s="1"/>
  <c r="C34" i="4" l="1"/>
  <c r="C33" i="4"/>
  <c r="W1378" i="3"/>
  <c r="V1378" i="3" s="1"/>
  <c r="T1377" i="3" l="1"/>
  <c r="N1030" i="7"/>
  <c r="N1028" i="7"/>
  <c r="B1253" i="7"/>
  <c r="AD1246" i="3"/>
  <c r="W1246" i="3" s="1"/>
  <c r="T1246" i="3"/>
  <c r="V1246" i="3" s="1"/>
  <c r="S1246" i="3"/>
  <c r="B1246" i="3"/>
  <c r="AC1252" i="7"/>
  <c r="D1252" i="7" s="1"/>
  <c r="B1252" i="7"/>
  <c r="AC1253" i="7"/>
  <c r="D1253" i="7" s="1"/>
  <c r="N652" i="7" l="1"/>
  <c r="N661" i="7"/>
  <c r="B334" i="3" l="1"/>
  <c r="B335" i="3"/>
  <c r="AL334" i="3"/>
  <c r="W334" i="3" s="1"/>
  <c r="T334" i="3"/>
  <c r="V334" i="3" s="1"/>
  <c r="S334" i="3"/>
  <c r="B340" i="7"/>
  <c r="B341" i="7"/>
  <c r="AC340" i="7"/>
  <c r="D340" i="7" s="1"/>
  <c r="N706" i="7"/>
  <c r="N682" i="7"/>
  <c r="AC682" i="7" s="1"/>
  <c r="N1020" i="7" l="1"/>
  <c r="D1385" i="7" l="1"/>
  <c r="AE1384" i="7"/>
  <c r="AE1383" i="7" s="1"/>
  <c r="AD1384" i="7"/>
  <c r="AD1383" i="7" s="1"/>
  <c r="AC1384" i="7"/>
  <c r="AC1383" i="7" s="1"/>
  <c r="AB1384" i="7"/>
  <c r="AB1383" i="7" s="1"/>
  <c r="AA1384" i="7"/>
  <c r="AA1383" i="7" s="1"/>
  <c r="Z1384" i="7"/>
  <c r="Z1383" i="7" s="1"/>
  <c r="Y1384" i="7"/>
  <c r="Y1383" i="7" s="1"/>
  <c r="X1384" i="7"/>
  <c r="X1383" i="7" s="1"/>
  <c r="W1384" i="7"/>
  <c r="W1383" i="7" s="1"/>
  <c r="V1384" i="7"/>
  <c r="V1383" i="7" s="1"/>
  <c r="U1384" i="7"/>
  <c r="U1383" i="7" s="1"/>
  <c r="T1384" i="7"/>
  <c r="T1383" i="7" s="1"/>
  <c r="S1384" i="7"/>
  <c r="S1383" i="7" s="1"/>
  <c r="R1384" i="7"/>
  <c r="R1383" i="7" s="1"/>
  <c r="Q1384" i="7"/>
  <c r="Q1383" i="7" s="1"/>
  <c r="P1384" i="7"/>
  <c r="P1383" i="7" s="1"/>
  <c r="O1384" i="7"/>
  <c r="O1383" i="7" s="1"/>
  <c r="N1384" i="7"/>
  <c r="N1383" i="7" s="1"/>
  <c r="M1384" i="7"/>
  <c r="M1383" i="7" s="1"/>
  <c r="L1384" i="7"/>
  <c r="L1383" i="7" s="1"/>
  <c r="K1384" i="7"/>
  <c r="K1383" i="7" s="1"/>
  <c r="J1384" i="7"/>
  <c r="J1383" i="7" s="1"/>
  <c r="I1384" i="7"/>
  <c r="I1383" i="7" s="1"/>
  <c r="H1384" i="7"/>
  <c r="H1383" i="7" s="1"/>
  <c r="G1384" i="7"/>
  <c r="G1383" i="7" s="1"/>
  <c r="F1384" i="7"/>
  <c r="F1383" i="7" s="1"/>
  <c r="E1384" i="7"/>
  <c r="E1383" i="7" s="1"/>
  <c r="T1366" i="3"/>
  <c r="T1364" i="3"/>
  <c r="T1363" i="3"/>
  <c r="T1362" i="3"/>
  <c r="T1360" i="3"/>
  <c r="T1358" i="3"/>
  <c r="T1356" i="3"/>
  <c r="T1354" i="3"/>
  <c r="T1353" i="3"/>
  <c r="T1352" i="3"/>
  <c r="T1350" i="3"/>
  <c r="T1349" i="3"/>
  <c r="T1347" i="3"/>
  <c r="T1345" i="3"/>
  <c r="T1343" i="3"/>
  <c r="T1342" i="3"/>
  <c r="T1340" i="3"/>
  <c r="T1339" i="3"/>
  <c r="T1338" i="3"/>
  <c r="T1336" i="3"/>
  <c r="T1335" i="3"/>
  <c r="T1334" i="3"/>
  <c r="T1332" i="3"/>
  <c r="T1331" i="3"/>
  <c r="T1330" i="3"/>
  <c r="T1328" i="3"/>
  <c r="T1327" i="3"/>
  <c r="T1325" i="3"/>
  <c r="T1323" i="3"/>
  <c r="T1321" i="3"/>
  <c r="T1319" i="3"/>
  <c r="T1318" i="3"/>
  <c r="T1317" i="3"/>
  <c r="T1315" i="3"/>
  <c r="T1313" i="3"/>
  <c r="T1311" i="3"/>
  <c r="T1307" i="3"/>
  <c r="T1306" i="3"/>
  <c r="T1304" i="3"/>
  <c r="T1302" i="3"/>
  <c r="T1300" i="3"/>
  <c r="T1298" i="3"/>
  <c r="T1296" i="3"/>
  <c r="T1294" i="3"/>
  <c r="T1292" i="3"/>
  <c r="T1291" i="3"/>
  <c r="T1290" i="3"/>
  <c r="T1288" i="3"/>
  <c r="T1286" i="3"/>
  <c r="T1285" i="3"/>
  <c r="T1283" i="3"/>
  <c r="T1282" i="3"/>
  <c r="T1281" i="3"/>
  <c r="T1279" i="3"/>
  <c r="T1278" i="3"/>
  <c r="T1276" i="3"/>
  <c r="T1275" i="3"/>
  <c r="T1274" i="3"/>
  <c r="T1273" i="3"/>
  <c r="T1272" i="3"/>
  <c r="T1271" i="3"/>
  <c r="T1269" i="3"/>
  <c r="T1267" i="3"/>
  <c r="T1265" i="3"/>
  <c r="T1263" i="3"/>
  <c r="T1262" i="3"/>
  <c r="T1260" i="3"/>
  <c r="T1259" i="3"/>
  <c r="T1257" i="3"/>
  <c r="T1255" i="3"/>
  <c r="T1253" i="3"/>
  <c r="T1251" i="3"/>
  <c r="T1250" i="3"/>
  <c r="T1249" i="3"/>
  <c r="T1247" i="3"/>
  <c r="T1245" i="3"/>
  <c r="T1244" i="3"/>
  <c r="T1243" i="3"/>
  <c r="T1242" i="3"/>
  <c r="T1240" i="3"/>
  <c r="T1238" i="3"/>
  <c r="T1236" i="3"/>
  <c r="T1235" i="3"/>
  <c r="T1233" i="3"/>
  <c r="T1231" i="3"/>
  <c r="T1229" i="3"/>
  <c r="T1228" i="3"/>
  <c r="T1226" i="3"/>
  <c r="T1225" i="3"/>
  <c r="T1224" i="3"/>
  <c r="T1222" i="3"/>
  <c r="T1221" i="3"/>
  <c r="T1219" i="3"/>
  <c r="T1218" i="3"/>
  <c r="T1217" i="3"/>
  <c r="T1216" i="3"/>
  <c r="T1215" i="3"/>
  <c r="T1214" i="3"/>
  <c r="T1213" i="3"/>
  <c r="T1212" i="3"/>
  <c r="T1210" i="3"/>
  <c r="T1209" i="3"/>
  <c r="T1207" i="3"/>
  <c r="T1206" i="3"/>
  <c r="T1205" i="3"/>
  <c r="T1204" i="3"/>
  <c r="T1203" i="3"/>
  <c r="T1202" i="3"/>
  <c r="T1201" i="3"/>
  <c r="T1200" i="3"/>
  <c r="T1199" i="3"/>
  <c r="T1198" i="3"/>
  <c r="T1196" i="3"/>
  <c r="T1195" i="3"/>
  <c r="T1194" i="3"/>
  <c r="T1193" i="3"/>
  <c r="T1192" i="3"/>
  <c r="T1191" i="3"/>
  <c r="T1190" i="3"/>
  <c r="T1189" i="3"/>
  <c r="T1188" i="3"/>
  <c r="T1187" i="3"/>
  <c r="T1186" i="3"/>
  <c r="T1185" i="3"/>
  <c r="T1184" i="3"/>
  <c r="T1183" i="3"/>
  <c r="T1182" i="3"/>
  <c r="T1181" i="3"/>
  <c r="T1180" i="3"/>
  <c r="T1179" i="3"/>
  <c r="T1178" i="3"/>
  <c r="T1177" i="3"/>
  <c r="T1176" i="3"/>
  <c r="T1175" i="3"/>
  <c r="T1174" i="3"/>
  <c r="T1173" i="3"/>
  <c r="T1171" i="3"/>
  <c r="T1170" i="3"/>
  <c r="T1169" i="3"/>
  <c r="T1168" i="3"/>
  <c r="T1167" i="3"/>
  <c r="T1166" i="3"/>
  <c r="T1165" i="3"/>
  <c r="T1164" i="3"/>
  <c r="T1163" i="3"/>
  <c r="T1162" i="3"/>
  <c r="T1161" i="3"/>
  <c r="T1160" i="3"/>
  <c r="T1159" i="3"/>
  <c r="T1158" i="3"/>
  <c r="T1143" i="3"/>
  <c r="T1142" i="3"/>
  <c r="T1141" i="3"/>
  <c r="T1140" i="3"/>
  <c r="T1139" i="3"/>
  <c r="T1138" i="3"/>
  <c r="T1137" i="3"/>
  <c r="T1136" i="3"/>
  <c r="T1135" i="3"/>
  <c r="T1134" i="3"/>
  <c r="T1133" i="3"/>
  <c r="T1132" i="3"/>
  <c r="T1131" i="3"/>
  <c r="T1130" i="3"/>
  <c r="T1129" i="3"/>
  <c r="T1128" i="3"/>
  <c r="T1127" i="3"/>
  <c r="T1126" i="3"/>
  <c r="T1125" i="3"/>
  <c r="T1124" i="3"/>
  <c r="T1123" i="3"/>
  <c r="T1122" i="3"/>
  <c r="T1121" i="3"/>
  <c r="T1120" i="3"/>
  <c r="T1119" i="3"/>
  <c r="T1118" i="3"/>
  <c r="T1117" i="3"/>
  <c r="T1116" i="3"/>
  <c r="T1115" i="3"/>
  <c r="T1114" i="3"/>
  <c r="T1113" i="3"/>
  <c r="T1112" i="3"/>
  <c r="T1111" i="3"/>
  <c r="T1110" i="3"/>
  <c r="T1109" i="3"/>
  <c r="T1108" i="3"/>
  <c r="T1107" i="3"/>
  <c r="T1106" i="3"/>
  <c r="T1105" i="3"/>
  <c r="T1104" i="3"/>
  <c r="T1103" i="3"/>
  <c r="T1102" i="3"/>
  <c r="T1101" i="3"/>
  <c r="T1100" i="3"/>
  <c r="T1099" i="3"/>
  <c r="T1098" i="3"/>
  <c r="T1097" i="3"/>
  <c r="T1096" i="3"/>
  <c r="T1095" i="3"/>
  <c r="T1094" i="3"/>
  <c r="T1093" i="3"/>
  <c r="T1092" i="3"/>
  <c r="T1091" i="3"/>
  <c r="T1090" i="3"/>
  <c r="T1089" i="3"/>
  <c r="T1088" i="3"/>
  <c r="T1087" i="3"/>
  <c r="T1084" i="3"/>
  <c r="T1082" i="3"/>
  <c r="T1080" i="3"/>
  <c r="T1079" i="3"/>
  <c r="T1078" i="3"/>
  <c r="T1077" i="3"/>
  <c r="T1075" i="3"/>
  <c r="T1074" i="3"/>
  <c r="T1073" i="3"/>
  <c r="T1072" i="3"/>
  <c r="T1071" i="3"/>
  <c r="T1070" i="3"/>
  <c r="T1069" i="3"/>
  <c r="T1067" i="3"/>
  <c r="T1065" i="3"/>
  <c r="T1063" i="3"/>
  <c r="T1061" i="3"/>
  <c r="T1060" i="3"/>
  <c r="T1059" i="3"/>
  <c r="T1058" i="3"/>
  <c r="T1057" i="3"/>
  <c r="T1055" i="3"/>
  <c r="T1053" i="3"/>
  <c r="T1051" i="3"/>
  <c r="T1049" i="3"/>
  <c r="T1047" i="3"/>
  <c r="T1046" i="3"/>
  <c r="T1045" i="3"/>
  <c r="T1043" i="3"/>
  <c r="T1042" i="3"/>
  <c r="T1041" i="3"/>
  <c r="T1040" i="3"/>
  <c r="T1039" i="3"/>
  <c r="T1038" i="3"/>
  <c r="T1036" i="3"/>
  <c r="T1035" i="3"/>
  <c r="T1034" i="3"/>
  <c r="T1033" i="3"/>
  <c r="T1032" i="3"/>
  <c r="T1030" i="3"/>
  <c r="T1029" i="3"/>
  <c r="T1028" i="3"/>
  <c r="T1026" i="3"/>
  <c r="T1024" i="3"/>
  <c r="T1022" i="3"/>
  <c r="T1020" i="3"/>
  <c r="T1019" i="3"/>
  <c r="T1017" i="3"/>
  <c r="T1015" i="3"/>
  <c r="T1014" i="3"/>
  <c r="T1013" i="3"/>
  <c r="T1011" i="3"/>
  <c r="T1010" i="3"/>
  <c r="T1009" i="3"/>
  <c r="T1008" i="3"/>
  <c r="T1007" i="3"/>
  <c r="T1006" i="3"/>
  <c r="T1005" i="3"/>
  <c r="T1004" i="3"/>
  <c r="T1002" i="3"/>
  <c r="T1000" i="3"/>
  <c r="T999" i="3"/>
  <c r="T998" i="3"/>
  <c r="T996" i="3"/>
  <c r="T995" i="3"/>
  <c r="T994" i="3"/>
  <c r="T993" i="3"/>
  <c r="T992" i="3"/>
  <c r="T990" i="3"/>
  <c r="T989" i="3"/>
  <c r="T987" i="3"/>
  <c r="T986" i="3"/>
  <c r="T985" i="3"/>
  <c r="T984" i="3"/>
  <c r="T982" i="3"/>
  <c r="T980" i="3"/>
  <c r="T978" i="3"/>
  <c r="T976" i="3"/>
  <c r="T974" i="3"/>
  <c r="T973" i="3"/>
  <c r="T972" i="3"/>
  <c r="T971" i="3"/>
  <c r="T969" i="3"/>
  <c r="T967" i="3"/>
  <c r="T966" i="3"/>
  <c r="T965" i="3"/>
  <c r="T963" i="3"/>
  <c r="T962" i="3"/>
  <c r="T961" i="3"/>
  <c r="T960" i="3"/>
  <c r="T959" i="3"/>
  <c r="T958" i="3"/>
  <c r="T957" i="3"/>
  <c r="T956" i="3"/>
  <c r="T954" i="3"/>
  <c r="T953" i="3"/>
  <c r="T951" i="3"/>
  <c r="T950" i="3"/>
  <c r="T948" i="3"/>
  <c r="T947" i="3"/>
  <c r="T945" i="3"/>
  <c r="T944" i="3"/>
  <c r="T943" i="3"/>
  <c r="T941" i="3"/>
  <c r="T940" i="3"/>
  <c r="T938" i="3"/>
  <c r="T937" i="3"/>
  <c r="T936" i="3"/>
  <c r="T935" i="3"/>
  <c r="T934" i="3"/>
  <c r="T933" i="3"/>
  <c r="T932" i="3"/>
  <c r="T931" i="3"/>
  <c r="T930" i="3"/>
  <c r="T929" i="3"/>
  <c r="T928" i="3"/>
  <c r="T927" i="3"/>
  <c r="T925" i="3"/>
  <c r="T923" i="3"/>
  <c r="T922" i="3"/>
  <c r="T921" i="3"/>
  <c r="T920" i="3"/>
  <c r="T918" i="3"/>
  <c r="T916" i="3"/>
  <c r="T912" i="3"/>
  <c r="T910" i="3"/>
  <c r="T908" i="3"/>
  <c r="T906" i="3"/>
  <c r="T904" i="3"/>
  <c r="T903" i="3"/>
  <c r="T901" i="3"/>
  <c r="T900" i="3"/>
  <c r="T898" i="3"/>
  <c r="T897" i="3"/>
  <c r="T896" i="3"/>
  <c r="T895" i="3"/>
  <c r="T894" i="3"/>
  <c r="T893" i="3"/>
  <c r="T892" i="3"/>
  <c r="T891" i="3"/>
  <c r="T890" i="3"/>
  <c r="T889" i="3"/>
  <c r="T887" i="3"/>
  <c r="T886" i="3"/>
  <c r="T885" i="3"/>
  <c r="T884" i="3"/>
  <c r="T883" i="3"/>
  <c r="T882" i="3"/>
  <c r="T881" i="3"/>
  <c r="T880" i="3"/>
  <c r="T879" i="3"/>
  <c r="T878" i="3"/>
  <c r="T877" i="3"/>
  <c r="T876" i="3"/>
  <c r="T875" i="3"/>
  <c r="T874" i="3"/>
  <c r="T873" i="3"/>
  <c r="T872" i="3"/>
  <c r="T870" i="3"/>
  <c r="T868" i="3"/>
  <c r="T866" i="3"/>
  <c r="T865" i="3"/>
  <c r="T863" i="3"/>
  <c r="T861" i="3"/>
  <c r="T860" i="3"/>
  <c r="T859" i="3"/>
  <c r="T858" i="3"/>
  <c r="T856" i="3"/>
  <c r="T855" i="3"/>
  <c r="T854" i="3"/>
  <c r="T853" i="3"/>
  <c r="T852" i="3"/>
  <c r="T851" i="3"/>
  <c r="T849" i="3"/>
  <c r="T848" i="3"/>
  <c r="T847" i="3"/>
  <c r="T846" i="3"/>
  <c r="T845" i="3"/>
  <c r="T844" i="3"/>
  <c r="T843" i="3"/>
  <c r="T841" i="3"/>
  <c r="T840" i="3"/>
  <c r="T839" i="3"/>
  <c r="T838" i="3"/>
  <c r="T837" i="3"/>
  <c r="T836" i="3"/>
  <c r="T835" i="3"/>
  <c r="T834" i="3"/>
  <c r="T833" i="3"/>
  <c r="T832" i="3"/>
  <c r="T831" i="3"/>
  <c r="T830" i="3"/>
  <c r="T829" i="3"/>
  <c r="T828" i="3"/>
  <c r="T827" i="3"/>
  <c r="T826" i="3"/>
  <c r="T825" i="3"/>
  <c r="T824" i="3"/>
  <c r="T823" i="3"/>
  <c r="T822" i="3"/>
  <c r="T821" i="3"/>
  <c r="T820" i="3"/>
  <c r="T819" i="3"/>
  <c r="T818" i="3"/>
  <c r="T817" i="3"/>
  <c r="T816" i="3"/>
  <c r="T814" i="3"/>
  <c r="U814" i="3" s="1"/>
  <c r="U797" i="3" s="1"/>
  <c r="T808" i="3"/>
  <c r="T807" i="3"/>
  <c r="T806" i="3"/>
  <c r="T805" i="3"/>
  <c r="T804" i="3"/>
  <c r="T803" i="3"/>
  <c r="T802" i="3"/>
  <c r="T801" i="3"/>
  <c r="T800" i="3"/>
  <c r="T799" i="3"/>
  <c r="T798" i="3"/>
  <c r="T762" i="3"/>
  <c r="T761" i="3"/>
  <c r="T760" i="3"/>
  <c r="T759" i="3"/>
  <c r="T758" i="3"/>
  <c r="T757" i="3"/>
  <c r="T756" i="3"/>
  <c r="T755" i="3"/>
  <c r="T754" i="3"/>
  <c r="T753" i="3"/>
  <c r="T752" i="3"/>
  <c r="T751" i="3"/>
  <c r="T750" i="3"/>
  <c r="T749" i="3"/>
  <c r="T748" i="3"/>
  <c r="T747" i="3"/>
  <c r="T746" i="3"/>
  <c r="T745" i="3"/>
  <c r="T744" i="3"/>
  <c r="T743" i="3"/>
  <c r="T742" i="3"/>
  <c r="T741" i="3"/>
  <c r="T740" i="3"/>
  <c r="T739" i="3"/>
  <c r="T738" i="3"/>
  <c r="T737" i="3"/>
  <c r="T736" i="3"/>
  <c r="T717" i="3"/>
  <c r="T716" i="3"/>
  <c r="T715" i="3"/>
  <c r="T714" i="3"/>
  <c r="T713" i="3"/>
  <c r="T712" i="3"/>
  <c r="T711" i="3"/>
  <c r="T710" i="3"/>
  <c r="T709" i="3"/>
  <c r="T708" i="3"/>
  <c r="T707" i="3"/>
  <c r="T706" i="3"/>
  <c r="T705" i="3"/>
  <c r="T704" i="3"/>
  <c r="T703" i="3"/>
  <c r="T702" i="3"/>
  <c r="T701" i="3"/>
  <c r="T700" i="3"/>
  <c r="T699" i="3"/>
  <c r="T698" i="3"/>
  <c r="T697" i="3"/>
  <c r="T696" i="3"/>
  <c r="T695" i="3"/>
  <c r="T694" i="3"/>
  <c r="T693" i="3"/>
  <c r="T692" i="3"/>
  <c r="T691" i="3"/>
  <c r="T690" i="3"/>
  <c r="T689" i="3"/>
  <c r="T688" i="3"/>
  <c r="T687" i="3"/>
  <c r="T686" i="3"/>
  <c r="T685" i="3"/>
  <c r="T684" i="3"/>
  <c r="T683" i="3"/>
  <c r="T682" i="3"/>
  <c r="T681" i="3"/>
  <c r="T680" i="3"/>
  <c r="T679" i="3"/>
  <c r="T678" i="3"/>
  <c r="T676" i="3"/>
  <c r="T674" i="3"/>
  <c r="T673" i="3"/>
  <c r="T672" i="3"/>
  <c r="T671" i="3"/>
  <c r="T670" i="3"/>
  <c r="T669" i="3"/>
  <c r="T668" i="3"/>
  <c r="T667" i="3"/>
  <c r="T666" i="3"/>
  <c r="T665" i="3"/>
  <c r="T664" i="3"/>
  <c r="T663" i="3"/>
  <c r="T662" i="3"/>
  <c r="T661" i="3"/>
  <c r="T660" i="3"/>
  <c r="T659" i="3"/>
  <c r="T658" i="3"/>
  <c r="T657" i="3"/>
  <c r="T656" i="3"/>
  <c r="T655" i="3"/>
  <c r="T654" i="3"/>
  <c r="T653" i="3"/>
  <c r="T652" i="3"/>
  <c r="T651" i="3"/>
  <c r="T650" i="3"/>
  <c r="T649" i="3"/>
  <c r="T648" i="3"/>
  <c r="T647" i="3"/>
  <c r="T646" i="3"/>
  <c r="T645" i="3"/>
  <c r="T644" i="3"/>
  <c r="T637" i="3"/>
  <c r="T636" i="3"/>
  <c r="T635" i="3"/>
  <c r="T634" i="3"/>
  <c r="T633" i="3"/>
  <c r="T632" i="3"/>
  <c r="T631" i="3"/>
  <c r="T630" i="3"/>
  <c r="T629" i="3"/>
  <c r="T628" i="3"/>
  <c r="T627" i="3"/>
  <c r="T626" i="3"/>
  <c r="T625" i="3"/>
  <c r="T624" i="3"/>
  <c r="T623" i="3"/>
  <c r="T622" i="3"/>
  <c r="T621" i="3"/>
  <c r="T620" i="3"/>
  <c r="T619" i="3"/>
  <c r="T618" i="3"/>
  <c r="T617" i="3"/>
  <c r="T616" i="3"/>
  <c r="T615" i="3"/>
  <c r="T614" i="3"/>
  <c r="T613" i="3"/>
  <c r="T612" i="3"/>
  <c r="T611" i="3"/>
  <c r="T610" i="3"/>
  <c r="T609" i="3"/>
  <c r="T608" i="3"/>
  <c r="T607" i="3"/>
  <c r="T606" i="3"/>
  <c r="T605" i="3"/>
  <c r="T604" i="3"/>
  <c r="T603" i="3"/>
  <c r="T602" i="3"/>
  <c r="T601" i="3"/>
  <c r="T600" i="3"/>
  <c r="T599" i="3"/>
  <c r="T598" i="3"/>
  <c r="T597" i="3"/>
  <c r="T596" i="3"/>
  <c r="T595" i="3"/>
  <c r="T594" i="3"/>
  <c r="T593" i="3"/>
  <c r="T592" i="3"/>
  <c r="T591" i="3"/>
  <c r="T590" i="3"/>
  <c r="T589" i="3"/>
  <c r="T588" i="3"/>
  <c r="T587" i="3"/>
  <c r="T586" i="3"/>
  <c r="T585" i="3"/>
  <c r="T584" i="3"/>
  <c r="T583" i="3"/>
  <c r="T582" i="3"/>
  <c r="T581" i="3"/>
  <c r="T580" i="3"/>
  <c r="T579" i="3"/>
  <c r="T578" i="3"/>
  <c r="T577" i="3"/>
  <c r="T576" i="3"/>
  <c r="T575" i="3"/>
  <c r="T574" i="3"/>
  <c r="T573" i="3"/>
  <c r="T572" i="3"/>
  <c r="T571" i="3"/>
  <c r="T570" i="3"/>
  <c r="T569" i="3"/>
  <c r="T568" i="3"/>
  <c r="T567" i="3"/>
  <c r="T566" i="3"/>
  <c r="T565" i="3"/>
  <c r="T564" i="3"/>
  <c r="T563" i="3"/>
  <c r="T562" i="3"/>
  <c r="T561" i="3"/>
  <c r="T560" i="3"/>
  <c r="T559" i="3"/>
  <c r="T558" i="3"/>
  <c r="T557" i="3"/>
  <c r="T556" i="3"/>
  <c r="T555" i="3"/>
  <c r="T554" i="3"/>
  <c r="T553" i="3"/>
  <c r="T552" i="3"/>
  <c r="T549" i="3"/>
  <c r="T548" i="3"/>
  <c r="T546" i="3"/>
  <c r="T545" i="3"/>
  <c r="T543" i="3"/>
  <c r="T542" i="3"/>
  <c r="T541" i="3"/>
  <c r="T540" i="3"/>
  <c r="T538" i="3"/>
  <c r="T537" i="3"/>
  <c r="T536" i="3"/>
  <c r="T535" i="3"/>
  <c r="T534" i="3"/>
  <c r="T533" i="3"/>
  <c r="T532" i="3"/>
  <c r="T531" i="3"/>
  <c r="T530" i="3"/>
  <c r="T528" i="3"/>
  <c r="T526" i="3"/>
  <c r="T525" i="3"/>
  <c r="T523" i="3"/>
  <c r="T521" i="3"/>
  <c r="T520" i="3"/>
  <c r="T519" i="3"/>
  <c r="T518" i="3"/>
  <c r="T517" i="3"/>
  <c r="T515" i="3"/>
  <c r="T514" i="3"/>
  <c r="T512" i="3"/>
  <c r="T510" i="3"/>
  <c r="T509" i="3"/>
  <c r="T507" i="3"/>
  <c r="T506" i="3"/>
  <c r="T504" i="3"/>
  <c r="T502" i="3"/>
  <c r="T501" i="3"/>
  <c r="T500" i="3"/>
  <c r="T499" i="3"/>
  <c r="T498" i="3"/>
  <c r="T496" i="3"/>
  <c r="T495" i="3"/>
  <c r="T494" i="3"/>
  <c r="T493" i="3"/>
  <c r="T491" i="3"/>
  <c r="T489" i="3"/>
  <c r="T487" i="3"/>
  <c r="T486" i="3"/>
  <c r="T485" i="3"/>
  <c r="T484" i="3"/>
  <c r="T483" i="3"/>
  <c r="T482" i="3"/>
  <c r="T481" i="3"/>
  <c r="T480" i="3"/>
  <c r="T478" i="3"/>
  <c r="T477" i="3"/>
  <c r="T476" i="3"/>
  <c r="T475" i="3"/>
  <c r="T474" i="3"/>
  <c r="T473" i="3"/>
  <c r="T472" i="3"/>
  <c r="T471" i="3"/>
  <c r="T470" i="3"/>
  <c r="T469" i="3"/>
  <c r="T468" i="3"/>
  <c r="T466" i="3"/>
  <c r="T465" i="3"/>
  <c r="T464" i="3"/>
  <c r="T463" i="3"/>
  <c r="T462" i="3"/>
  <c r="T460" i="3"/>
  <c r="T458" i="3"/>
  <c r="T456" i="3"/>
  <c r="T454" i="3"/>
  <c r="T452" i="3"/>
  <c r="T450" i="3"/>
  <c r="T448" i="3"/>
  <c r="T447" i="3"/>
  <c r="T446" i="3"/>
  <c r="T445" i="3"/>
  <c r="T444" i="3"/>
  <c r="T443" i="3"/>
  <c r="T442" i="3"/>
  <c r="T441" i="3"/>
  <c r="T440" i="3"/>
  <c r="T439" i="3"/>
  <c r="T437" i="3"/>
  <c r="T436" i="3"/>
  <c r="T434" i="3"/>
  <c r="T433" i="3"/>
  <c r="T432" i="3"/>
  <c r="T431" i="3"/>
  <c r="T430" i="3"/>
  <c r="T428" i="3"/>
  <c r="T427" i="3"/>
  <c r="T426" i="3"/>
  <c r="T425" i="3"/>
  <c r="T424" i="3"/>
  <c r="T423" i="3"/>
  <c r="T421" i="3"/>
  <c r="T420" i="3"/>
  <c r="T419" i="3"/>
  <c r="T417" i="3"/>
  <c r="T415" i="3"/>
  <c r="T414" i="3"/>
  <c r="T413" i="3"/>
  <c r="T411" i="3"/>
  <c r="T410" i="3"/>
  <c r="T409" i="3"/>
  <c r="T407" i="3"/>
  <c r="T405" i="3"/>
  <c r="T404" i="3"/>
  <c r="T403" i="3"/>
  <c r="T402" i="3"/>
  <c r="T401" i="3"/>
  <c r="T400" i="3"/>
  <c r="T399" i="3"/>
  <c r="T397" i="3"/>
  <c r="T395" i="3"/>
  <c r="T394" i="3"/>
  <c r="T393" i="3"/>
  <c r="T392" i="3"/>
  <c r="T390" i="3"/>
  <c r="T388" i="3"/>
  <c r="T387" i="3"/>
  <c r="T385" i="3"/>
  <c r="T384" i="3"/>
  <c r="T383" i="3"/>
  <c r="T382" i="3"/>
  <c r="T380" i="3"/>
  <c r="T378" i="3"/>
  <c r="T376" i="3"/>
  <c r="T375" i="3"/>
  <c r="T373" i="3"/>
  <c r="T372" i="3"/>
  <c r="T371" i="3"/>
  <c r="T370" i="3"/>
  <c r="T369" i="3"/>
  <c r="T368" i="3"/>
  <c r="T367" i="3"/>
  <c r="T366" i="3"/>
  <c r="T365" i="3"/>
  <c r="T364" i="3"/>
  <c r="T363" i="3"/>
  <c r="T362" i="3"/>
  <c r="T361" i="3"/>
  <c r="T360" i="3"/>
  <c r="T359" i="3"/>
  <c r="T358" i="3"/>
  <c r="T357" i="3"/>
  <c r="T355" i="3"/>
  <c r="T353" i="3"/>
  <c r="T352" i="3"/>
  <c r="T350" i="3"/>
  <c r="T349" i="3"/>
  <c r="T348" i="3"/>
  <c r="T346" i="3"/>
  <c r="T345" i="3"/>
  <c r="T343" i="3"/>
  <c r="T342" i="3"/>
  <c r="T340" i="3"/>
  <c r="T339" i="3"/>
  <c r="T338" i="3"/>
  <c r="T337" i="3"/>
  <c r="T335" i="3"/>
  <c r="T333" i="3"/>
  <c r="T332" i="3"/>
  <c r="T331" i="3"/>
  <c r="T330" i="3"/>
  <c r="T329" i="3"/>
  <c r="T328" i="3"/>
  <c r="T327" i="3"/>
  <c r="T326" i="3"/>
  <c r="T325" i="3"/>
  <c r="T324" i="3"/>
  <c r="T323" i="3"/>
  <c r="T322" i="3"/>
  <c r="T321" i="3"/>
  <c r="T320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5" i="3"/>
  <c r="T304" i="3"/>
  <c r="T302" i="3"/>
  <c r="T300" i="3"/>
  <c r="T299" i="3"/>
  <c r="T298" i="3"/>
  <c r="T297" i="3"/>
  <c r="T296" i="3"/>
  <c r="T294" i="3"/>
  <c r="T293" i="3"/>
  <c r="T292" i="3"/>
  <c r="T291" i="3"/>
  <c r="T290" i="3"/>
  <c r="T288" i="3"/>
  <c r="T287" i="3"/>
  <c r="T285" i="3"/>
  <c r="T283" i="3"/>
  <c r="T282" i="3"/>
  <c r="T281" i="3"/>
  <c r="T280" i="3"/>
  <c r="T278" i="3"/>
  <c r="T277" i="3"/>
  <c r="T276" i="3"/>
  <c r="T275" i="3"/>
  <c r="T274" i="3"/>
  <c r="T273" i="3"/>
  <c r="T271" i="3"/>
  <c r="T270" i="3"/>
  <c r="T269" i="3"/>
  <c r="T268" i="3"/>
  <c r="T267" i="3"/>
  <c r="T265" i="3"/>
  <c r="T264" i="3"/>
  <c r="T263" i="3"/>
  <c r="T262" i="3"/>
  <c r="T261" i="3"/>
  <c r="T260" i="3"/>
  <c r="T259" i="3"/>
  <c r="T258" i="3"/>
  <c r="T257" i="3"/>
  <c r="T256" i="3"/>
  <c r="T255" i="3"/>
  <c r="T254" i="3"/>
  <c r="T253" i="3"/>
  <c r="T252" i="3"/>
  <c r="T251" i="3"/>
  <c r="T250" i="3"/>
  <c r="T249" i="3"/>
  <c r="T248" i="3"/>
  <c r="T247" i="3"/>
  <c r="T246" i="3"/>
  <c r="T245" i="3"/>
  <c r="T244" i="3"/>
  <c r="T243" i="3"/>
  <c r="T242" i="3"/>
  <c r="T241" i="3"/>
  <c r="T240" i="3"/>
  <c r="T238" i="3"/>
  <c r="T237" i="3"/>
  <c r="T236" i="3"/>
  <c r="T235" i="3"/>
  <c r="T234" i="3"/>
  <c r="T232" i="3"/>
  <c r="T231" i="3"/>
  <c r="T230" i="3"/>
  <c r="T229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5" i="3"/>
  <c r="T194" i="3"/>
  <c r="T193" i="3"/>
  <c r="T192" i="3"/>
  <c r="T191" i="3"/>
  <c r="T190" i="3"/>
  <c r="T189" i="3"/>
  <c r="T188" i="3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D1384" i="7" l="1"/>
  <c r="D1383" i="7" s="1"/>
  <c r="AC706" i="7" l="1"/>
  <c r="AF1207" i="3" l="1"/>
  <c r="W1207" i="3" s="1"/>
  <c r="V1207" i="3"/>
  <c r="S1207" i="3"/>
  <c r="B1207" i="3"/>
  <c r="AJ1206" i="3"/>
  <c r="W1206" i="3" s="1"/>
  <c r="V1206" i="3"/>
  <c r="S1206" i="3"/>
  <c r="B1206" i="3"/>
  <c r="AF1205" i="3"/>
  <c r="W1205" i="3" s="1"/>
  <c r="V1205" i="3"/>
  <c r="S1205" i="3"/>
  <c r="B1205" i="3"/>
  <c r="B1212" i="7"/>
  <c r="B1213" i="7"/>
  <c r="AC1213" i="7"/>
  <c r="D1213" i="7" s="1"/>
  <c r="AL1393" i="3"/>
  <c r="AJ1393" i="3"/>
  <c r="AF1393" i="3"/>
  <c r="T1393" i="3"/>
  <c r="U1393" i="3" s="1"/>
  <c r="U1392" i="3" s="1"/>
  <c r="S1393" i="3"/>
  <c r="S1392" i="3" s="1"/>
  <c r="R1392" i="3"/>
  <c r="Q1392" i="3"/>
  <c r="L1392" i="3"/>
  <c r="K1392" i="3"/>
  <c r="J1392" i="3"/>
  <c r="I1392" i="3"/>
  <c r="AL1391" i="3"/>
  <c r="AJ1391" i="3"/>
  <c r="AF1391" i="3"/>
  <c r="T1391" i="3"/>
  <c r="U1391" i="3" s="1"/>
  <c r="U1390" i="3" s="1"/>
  <c r="S1391" i="3"/>
  <c r="S1390" i="3" s="1"/>
  <c r="R1390" i="3"/>
  <c r="Q1390" i="3"/>
  <c r="L1390" i="3"/>
  <c r="K1390" i="3"/>
  <c r="J1390" i="3"/>
  <c r="I1390" i="3"/>
  <c r="AL1389" i="3"/>
  <c r="AJ1389" i="3"/>
  <c r="AF1389" i="3"/>
  <c r="T1389" i="3"/>
  <c r="U1389" i="3" s="1"/>
  <c r="S1389" i="3"/>
  <c r="AL1388" i="3"/>
  <c r="AF1388" i="3"/>
  <c r="T1388" i="3"/>
  <c r="U1388" i="3" s="1"/>
  <c r="S1388" i="3"/>
  <c r="AL1387" i="3"/>
  <c r="AF1387" i="3"/>
  <c r="T1387" i="3"/>
  <c r="U1387" i="3" s="1"/>
  <c r="U1386" i="3" s="1"/>
  <c r="U1385" i="3" s="1"/>
  <c r="U1384" i="3" s="1"/>
  <c r="S1387" i="3"/>
  <c r="S1386" i="3" s="1"/>
  <c r="R1386" i="3"/>
  <c r="Q1386" i="3"/>
  <c r="L1386" i="3"/>
  <c r="K1386" i="3"/>
  <c r="J1386" i="3"/>
  <c r="I1386" i="3"/>
  <c r="AL1375" i="3"/>
  <c r="AJ1375" i="3"/>
  <c r="AF1375" i="3"/>
  <c r="S1374" i="3"/>
  <c r="R1374" i="3"/>
  <c r="Q1374" i="3"/>
  <c r="L1374" i="3"/>
  <c r="K1374" i="3"/>
  <c r="J1374" i="3"/>
  <c r="I1374" i="3"/>
  <c r="AL1373" i="3"/>
  <c r="AJ1373" i="3"/>
  <c r="AF1373" i="3"/>
  <c r="T1373" i="3"/>
  <c r="S1372" i="3"/>
  <c r="R1372" i="3"/>
  <c r="Q1372" i="3"/>
  <c r="L1372" i="3"/>
  <c r="K1372" i="3"/>
  <c r="J1372" i="3"/>
  <c r="I1372" i="3"/>
  <c r="AL1371" i="3"/>
  <c r="AJ1371" i="3"/>
  <c r="AF1371" i="3"/>
  <c r="T1371" i="3"/>
  <c r="S1370" i="3"/>
  <c r="R1370" i="3"/>
  <c r="Q1370" i="3"/>
  <c r="L1370" i="3"/>
  <c r="K1370" i="3"/>
  <c r="J1370" i="3"/>
  <c r="I1370" i="3"/>
  <c r="AF1366" i="3"/>
  <c r="W1366" i="3" s="1"/>
  <c r="V1366" i="3"/>
  <c r="S1366" i="3"/>
  <c r="S1365" i="3" s="1"/>
  <c r="B1366" i="3"/>
  <c r="R1365" i="3"/>
  <c r="Q1365" i="3"/>
  <c r="L1365" i="3"/>
  <c r="K1365" i="3"/>
  <c r="J1365" i="3"/>
  <c r="I1365" i="3"/>
  <c r="T1365" i="3" s="1"/>
  <c r="AF1364" i="3"/>
  <c r="W1364" i="3" s="1"/>
  <c r="V1364" i="3"/>
  <c r="S1364" i="3"/>
  <c r="B1364" i="3"/>
  <c r="AF1363" i="3"/>
  <c r="W1363" i="3" s="1"/>
  <c r="V1363" i="3"/>
  <c r="S1363" i="3"/>
  <c r="B1363" i="3"/>
  <c r="AF1362" i="3"/>
  <c r="W1362" i="3" s="1"/>
  <c r="V1362" i="3"/>
  <c r="S1362" i="3"/>
  <c r="B1362" i="3"/>
  <c r="R1361" i="3"/>
  <c r="Q1361" i="3"/>
  <c r="L1361" i="3"/>
  <c r="K1361" i="3"/>
  <c r="J1361" i="3"/>
  <c r="I1361" i="3"/>
  <c r="T1361" i="3" s="1"/>
  <c r="AF1360" i="3"/>
  <c r="W1360" i="3" s="1"/>
  <c r="V1360" i="3"/>
  <c r="S1360" i="3"/>
  <c r="S1359" i="3" s="1"/>
  <c r="B1360" i="3"/>
  <c r="R1359" i="3"/>
  <c r="Q1359" i="3"/>
  <c r="L1359" i="3"/>
  <c r="K1359" i="3"/>
  <c r="J1359" i="3"/>
  <c r="I1359" i="3"/>
  <c r="T1359" i="3" s="1"/>
  <c r="AJ1358" i="3"/>
  <c r="AF1358" i="3"/>
  <c r="V1358" i="3"/>
  <c r="S1358" i="3"/>
  <c r="S1357" i="3" s="1"/>
  <c r="B1358" i="3"/>
  <c r="R1357" i="3"/>
  <c r="Q1357" i="3"/>
  <c r="L1357" i="3"/>
  <c r="K1357" i="3"/>
  <c r="J1357" i="3"/>
  <c r="I1357" i="3"/>
  <c r="T1357" i="3" s="1"/>
  <c r="AF1356" i="3"/>
  <c r="S1356" i="3"/>
  <c r="S1355" i="3" s="1"/>
  <c r="B1356" i="3"/>
  <c r="R1355" i="3"/>
  <c r="Q1355" i="3"/>
  <c r="L1355" i="3"/>
  <c r="K1355" i="3"/>
  <c r="J1355" i="3"/>
  <c r="I1355" i="3"/>
  <c r="T1355" i="3" s="1"/>
  <c r="AJ1354" i="3"/>
  <c r="W1354" i="3" s="1"/>
  <c r="V1354" i="3"/>
  <c r="S1354" i="3"/>
  <c r="B1354" i="3"/>
  <c r="AJ1353" i="3"/>
  <c r="W1353" i="3" s="1"/>
  <c r="V1353" i="3"/>
  <c r="S1353" i="3"/>
  <c r="B1353" i="3"/>
  <c r="AF1352" i="3"/>
  <c r="W1352" i="3" s="1"/>
  <c r="V1352" i="3"/>
  <c r="S1352" i="3"/>
  <c r="S1351" i="3" s="1"/>
  <c r="B1352" i="3"/>
  <c r="R1351" i="3"/>
  <c r="Q1351" i="3"/>
  <c r="L1351" i="3"/>
  <c r="K1351" i="3"/>
  <c r="J1351" i="3"/>
  <c r="I1351" i="3"/>
  <c r="T1351" i="3" s="1"/>
  <c r="AF1350" i="3"/>
  <c r="W1350" i="3" s="1"/>
  <c r="V1350" i="3"/>
  <c r="S1350" i="3"/>
  <c r="B1350" i="3"/>
  <c r="AF1349" i="3"/>
  <c r="W1349" i="3" s="1"/>
  <c r="V1349" i="3"/>
  <c r="S1349" i="3"/>
  <c r="S1348" i="3" s="1"/>
  <c r="B1349" i="3"/>
  <c r="R1348" i="3"/>
  <c r="Q1348" i="3"/>
  <c r="L1348" i="3"/>
  <c r="K1348" i="3"/>
  <c r="J1348" i="3"/>
  <c r="I1348" i="3"/>
  <c r="T1348" i="3" s="1"/>
  <c r="AF1347" i="3"/>
  <c r="W1347" i="3" s="1"/>
  <c r="V1347" i="3"/>
  <c r="S1347" i="3"/>
  <c r="S1346" i="3" s="1"/>
  <c r="B1347" i="3"/>
  <c r="R1346" i="3"/>
  <c r="Q1346" i="3"/>
  <c r="L1346" i="3"/>
  <c r="K1346" i="3"/>
  <c r="J1346" i="3"/>
  <c r="I1346" i="3"/>
  <c r="T1346" i="3" s="1"/>
  <c r="AF1345" i="3"/>
  <c r="W1345" i="3" s="1"/>
  <c r="V1345" i="3"/>
  <c r="S1345" i="3"/>
  <c r="S1344" i="3" s="1"/>
  <c r="B1345" i="3"/>
  <c r="R1344" i="3"/>
  <c r="Q1344" i="3"/>
  <c r="L1344" i="3"/>
  <c r="K1344" i="3"/>
  <c r="J1344" i="3"/>
  <c r="I1344" i="3"/>
  <c r="T1344" i="3" s="1"/>
  <c r="AF1343" i="3"/>
  <c r="W1343" i="3" s="1"/>
  <c r="V1343" i="3"/>
  <c r="S1343" i="3"/>
  <c r="B1343" i="3"/>
  <c r="AF1342" i="3"/>
  <c r="W1342" i="3" s="1"/>
  <c r="V1342" i="3"/>
  <c r="S1342" i="3"/>
  <c r="B1342" i="3"/>
  <c r="R1341" i="3"/>
  <c r="Q1341" i="3"/>
  <c r="L1341" i="3"/>
  <c r="K1341" i="3"/>
  <c r="J1341" i="3"/>
  <c r="I1341" i="3"/>
  <c r="T1341" i="3" s="1"/>
  <c r="AF1340" i="3"/>
  <c r="W1340" i="3" s="1"/>
  <c r="V1340" i="3"/>
  <c r="S1340" i="3"/>
  <c r="B1340" i="3"/>
  <c r="AJ1339" i="3"/>
  <c r="W1339" i="3" s="1"/>
  <c r="V1339" i="3"/>
  <c r="S1339" i="3"/>
  <c r="B1339" i="3"/>
  <c r="AH1338" i="3"/>
  <c r="W1338" i="3" s="1"/>
  <c r="V1338" i="3"/>
  <c r="S1338" i="3"/>
  <c r="B1338" i="3"/>
  <c r="R1337" i="3"/>
  <c r="Q1337" i="3"/>
  <c r="L1337" i="3"/>
  <c r="K1337" i="3"/>
  <c r="J1337" i="3"/>
  <c r="I1337" i="3"/>
  <c r="T1337" i="3" s="1"/>
  <c r="AF1336" i="3"/>
  <c r="W1336" i="3" s="1"/>
  <c r="V1336" i="3"/>
  <c r="S1336" i="3"/>
  <c r="B1336" i="3"/>
  <c r="AF1335" i="3"/>
  <c r="W1335" i="3" s="1"/>
  <c r="V1335" i="3"/>
  <c r="S1335" i="3"/>
  <c r="B1335" i="3"/>
  <c r="AF1334" i="3"/>
  <c r="W1334" i="3" s="1"/>
  <c r="V1334" i="3"/>
  <c r="S1334" i="3"/>
  <c r="B1334" i="3"/>
  <c r="R1333" i="3"/>
  <c r="Q1333" i="3"/>
  <c r="L1333" i="3"/>
  <c r="K1333" i="3"/>
  <c r="J1333" i="3"/>
  <c r="I1333" i="3"/>
  <c r="T1333" i="3" s="1"/>
  <c r="AF1332" i="3"/>
  <c r="W1332" i="3" s="1"/>
  <c r="V1332" i="3"/>
  <c r="S1332" i="3"/>
  <c r="B1332" i="3"/>
  <c r="AF1331" i="3"/>
  <c r="W1331" i="3" s="1"/>
  <c r="V1331" i="3"/>
  <c r="S1331" i="3"/>
  <c r="B1331" i="3"/>
  <c r="AF1330" i="3"/>
  <c r="W1330" i="3" s="1"/>
  <c r="V1330" i="3"/>
  <c r="S1330" i="3"/>
  <c r="K1330" i="3"/>
  <c r="K1329" i="3" s="1"/>
  <c r="B1330" i="3"/>
  <c r="R1329" i="3"/>
  <c r="Q1329" i="3"/>
  <c r="L1329" i="3"/>
  <c r="J1329" i="3"/>
  <c r="I1329" i="3"/>
  <c r="AF1328" i="3"/>
  <c r="W1328" i="3" s="1"/>
  <c r="V1328" i="3"/>
  <c r="S1328" i="3"/>
  <c r="B1328" i="3"/>
  <c r="AJ1327" i="3"/>
  <c r="W1327" i="3" s="1"/>
  <c r="V1327" i="3"/>
  <c r="S1327" i="3"/>
  <c r="B1327" i="3"/>
  <c r="R1326" i="3"/>
  <c r="Q1326" i="3"/>
  <c r="L1326" i="3"/>
  <c r="K1326" i="3"/>
  <c r="J1326" i="3"/>
  <c r="I1326" i="3"/>
  <c r="T1326" i="3" s="1"/>
  <c r="AF1325" i="3"/>
  <c r="W1325" i="3" s="1"/>
  <c r="V1325" i="3"/>
  <c r="S1325" i="3"/>
  <c r="S1324" i="3" s="1"/>
  <c r="B1325" i="3"/>
  <c r="R1324" i="3"/>
  <c r="Q1324" i="3"/>
  <c r="L1324" i="3"/>
  <c r="K1324" i="3"/>
  <c r="J1324" i="3"/>
  <c r="I1324" i="3"/>
  <c r="T1324" i="3" s="1"/>
  <c r="AF1323" i="3"/>
  <c r="W1323" i="3" s="1"/>
  <c r="V1323" i="3"/>
  <c r="S1323" i="3"/>
  <c r="S1322" i="3" s="1"/>
  <c r="B1323" i="3"/>
  <c r="R1322" i="3"/>
  <c r="Q1322" i="3"/>
  <c r="L1322" i="3"/>
  <c r="K1322" i="3"/>
  <c r="J1322" i="3"/>
  <c r="I1322" i="3"/>
  <c r="T1322" i="3" s="1"/>
  <c r="AF1321" i="3"/>
  <c r="W1321" i="3" s="1"/>
  <c r="V1321" i="3"/>
  <c r="S1321" i="3"/>
  <c r="S1320" i="3" s="1"/>
  <c r="B1321" i="3"/>
  <c r="R1320" i="3"/>
  <c r="Q1320" i="3"/>
  <c r="L1320" i="3"/>
  <c r="K1320" i="3"/>
  <c r="J1320" i="3"/>
  <c r="I1320" i="3"/>
  <c r="T1320" i="3" s="1"/>
  <c r="AF1319" i="3"/>
  <c r="W1319" i="3" s="1"/>
  <c r="V1319" i="3"/>
  <c r="S1319" i="3"/>
  <c r="B1319" i="3"/>
  <c r="AF1318" i="3"/>
  <c r="W1318" i="3" s="1"/>
  <c r="V1318" i="3"/>
  <c r="S1318" i="3"/>
  <c r="B1318" i="3"/>
  <c r="AF1317" i="3"/>
  <c r="W1317" i="3" s="1"/>
  <c r="V1317" i="3"/>
  <c r="S1317" i="3"/>
  <c r="B1317" i="3"/>
  <c r="R1316" i="3"/>
  <c r="Q1316" i="3"/>
  <c r="L1316" i="3"/>
  <c r="K1316" i="3"/>
  <c r="J1316" i="3"/>
  <c r="I1316" i="3"/>
  <c r="T1316" i="3" s="1"/>
  <c r="AF1315" i="3"/>
  <c r="W1315" i="3" s="1"/>
  <c r="V1315" i="3"/>
  <c r="S1315" i="3"/>
  <c r="S1314" i="3" s="1"/>
  <c r="B1315" i="3"/>
  <c r="R1314" i="3"/>
  <c r="Q1314" i="3"/>
  <c r="L1314" i="3"/>
  <c r="K1314" i="3"/>
  <c r="J1314" i="3"/>
  <c r="I1314" i="3"/>
  <c r="T1314" i="3" s="1"/>
  <c r="AF1313" i="3"/>
  <c r="W1313" i="3" s="1"/>
  <c r="V1313" i="3"/>
  <c r="S1313" i="3"/>
  <c r="S1312" i="3" s="1"/>
  <c r="B1313" i="3"/>
  <c r="R1312" i="3"/>
  <c r="Q1312" i="3"/>
  <c r="L1312" i="3"/>
  <c r="K1312" i="3"/>
  <c r="J1312" i="3"/>
  <c r="I1312" i="3"/>
  <c r="T1312" i="3" s="1"/>
  <c r="AL1311" i="3"/>
  <c r="W1311" i="3" s="1"/>
  <c r="V1311" i="3"/>
  <c r="S1311" i="3"/>
  <c r="S1310" i="3" s="1"/>
  <c r="B1311" i="3"/>
  <c r="R1310" i="3"/>
  <c r="Q1310" i="3"/>
  <c r="L1310" i="3"/>
  <c r="K1310" i="3"/>
  <c r="J1310" i="3"/>
  <c r="I1310" i="3"/>
  <c r="T1310" i="3" s="1"/>
  <c r="W1309" i="3"/>
  <c r="V1309" i="3"/>
  <c r="S1309" i="3"/>
  <c r="B1309" i="3"/>
  <c r="AF1307" i="3"/>
  <c r="W1307" i="3" s="1"/>
  <c r="V1307" i="3"/>
  <c r="S1307" i="3"/>
  <c r="B1307" i="3"/>
  <c r="AF1306" i="3"/>
  <c r="W1306" i="3" s="1"/>
  <c r="V1306" i="3"/>
  <c r="S1306" i="3"/>
  <c r="B1306" i="3"/>
  <c r="R1305" i="3"/>
  <c r="Q1305" i="3"/>
  <c r="L1305" i="3"/>
  <c r="K1305" i="3"/>
  <c r="J1305" i="3"/>
  <c r="I1305" i="3"/>
  <c r="T1305" i="3" s="1"/>
  <c r="AJ1304" i="3"/>
  <c r="W1304" i="3" s="1"/>
  <c r="V1304" i="3"/>
  <c r="S1304" i="3"/>
  <c r="S1303" i="3" s="1"/>
  <c r="B1304" i="3"/>
  <c r="R1303" i="3"/>
  <c r="Q1303" i="3"/>
  <c r="L1303" i="3"/>
  <c r="K1303" i="3"/>
  <c r="J1303" i="3"/>
  <c r="I1303" i="3"/>
  <c r="T1303" i="3" s="1"/>
  <c r="AF1302" i="3"/>
  <c r="W1302" i="3" s="1"/>
  <c r="V1302" i="3"/>
  <c r="S1302" i="3"/>
  <c r="S1301" i="3" s="1"/>
  <c r="B1302" i="3"/>
  <c r="R1301" i="3"/>
  <c r="Q1301" i="3"/>
  <c r="L1301" i="3"/>
  <c r="K1301" i="3"/>
  <c r="J1301" i="3"/>
  <c r="I1301" i="3"/>
  <c r="T1301" i="3" s="1"/>
  <c r="AF1300" i="3"/>
  <c r="W1300" i="3" s="1"/>
  <c r="V1300" i="3"/>
  <c r="S1300" i="3"/>
  <c r="S1299" i="3" s="1"/>
  <c r="B1300" i="3"/>
  <c r="R1299" i="3"/>
  <c r="Q1299" i="3"/>
  <c r="L1299" i="3"/>
  <c r="K1299" i="3"/>
  <c r="J1299" i="3"/>
  <c r="I1299" i="3"/>
  <c r="T1299" i="3" s="1"/>
  <c r="AF1298" i="3"/>
  <c r="W1298" i="3" s="1"/>
  <c r="V1298" i="3"/>
  <c r="S1298" i="3"/>
  <c r="S1297" i="3" s="1"/>
  <c r="B1298" i="3"/>
  <c r="R1297" i="3"/>
  <c r="Q1297" i="3"/>
  <c r="L1297" i="3"/>
  <c r="K1297" i="3"/>
  <c r="J1297" i="3"/>
  <c r="I1297" i="3"/>
  <c r="T1297" i="3" s="1"/>
  <c r="AF1296" i="3"/>
  <c r="W1296" i="3" s="1"/>
  <c r="V1296" i="3"/>
  <c r="S1296" i="3"/>
  <c r="S1295" i="3" s="1"/>
  <c r="B1296" i="3"/>
  <c r="R1295" i="3"/>
  <c r="Q1295" i="3"/>
  <c r="L1295" i="3"/>
  <c r="K1295" i="3"/>
  <c r="J1295" i="3"/>
  <c r="I1295" i="3"/>
  <c r="T1295" i="3" s="1"/>
  <c r="AF1294" i="3"/>
  <c r="W1294" i="3" s="1"/>
  <c r="V1294" i="3"/>
  <c r="S1294" i="3"/>
  <c r="S1293" i="3" s="1"/>
  <c r="B1294" i="3"/>
  <c r="R1293" i="3"/>
  <c r="Q1293" i="3"/>
  <c r="L1293" i="3"/>
  <c r="K1293" i="3"/>
  <c r="J1293" i="3"/>
  <c r="I1293" i="3"/>
  <c r="T1293" i="3" s="1"/>
  <c r="AF1292" i="3"/>
  <c r="W1292" i="3" s="1"/>
  <c r="V1292" i="3"/>
  <c r="S1292" i="3"/>
  <c r="B1292" i="3"/>
  <c r="AF1291" i="3"/>
  <c r="W1291" i="3" s="1"/>
  <c r="V1291" i="3"/>
  <c r="S1291" i="3"/>
  <c r="B1291" i="3"/>
  <c r="AF1290" i="3"/>
  <c r="W1290" i="3" s="1"/>
  <c r="V1290" i="3"/>
  <c r="S1290" i="3"/>
  <c r="B1290" i="3"/>
  <c r="R1289" i="3"/>
  <c r="Q1289" i="3"/>
  <c r="L1289" i="3"/>
  <c r="K1289" i="3"/>
  <c r="J1289" i="3"/>
  <c r="I1289" i="3"/>
  <c r="T1289" i="3" s="1"/>
  <c r="AF1288" i="3"/>
  <c r="W1288" i="3" s="1"/>
  <c r="V1288" i="3"/>
  <c r="S1288" i="3"/>
  <c r="S1287" i="3" s="1"/>
  <c r="B1288" i="3"/>
  <c r="R1287" i="3"/>
  <c r="Q1287" i="3"/>
  <c r="L1287" i="3"/>
  <c r="K1287" i="3"/>
  <c r="J1287" i="3"/>
  <c r="I1287" i="3"/>
  <c r="T1287" i="3" s="1"/>
  <c r="AF1286" i="3"/>
  <c r="W1286" i="3" s="1"/>
  <c r="V1286" i="3"/>
  <c r="S1286" i="3"/>
  <c r="B1286" i="3"/>
  <c r="AF1285" i="3"/>
  <c r="W1285" i="3" s="1"/>
  <c r="V1285" i="3"/>
  <c r="S1285" i="3"/>
  <c r="B1285" i="3"/>
  <c r="R1284" i="3"/>
  <c r="Q1284" i="3"/>
  <c r="L1284" i="3"/>
  <c r="K1284" i="3"/>
  <c r="J1284" i="3"/>
  <c r="I1284" i="3"/>
  <c r="T1284" i="3" s="1"/>
  <c r="AF1283" i="3"/>
  <c r="W1283" i="3" s="1"/>
  <c r="V1283" i="3"/>
  <c r="S1283" i="3"/>
  <c r="B1283" i="3"/>
  <c r="AF1282" i="3"/>
  <c r="W1282" i="3" s="1"/>
  <c r="V1282" i="3"/>
  <c r="S1282" i="3"/>
  <c r="B1282" i="3"/>
  <c r="AJ1281" i="3"/>
  <c r="W1281" i="3" s="1"/>
  <c r="V1281" i="3"/>
  <c r="S1281" i="3"/>
  <c r="S1280" i="3" s="1"/>
  <c r="B1281" i="3"/>
  <c r="R1280" i="3"/>
  <c r="Q1280" i="3"/>
  <c r="L1280" i="3"/>
  <c r="K1280" i="3"/>
  <c r="J1280" i="3"/>
  <c r="I1280" i="3"/>
  <c r="T1280" i="3" s="1"/>
  <c r="AJ1279" i="3"/>
  <c r="W1279" i="3" s="1"/>
  <c r="V1279" i="3"/>
  <c r="S1279" i="3"/>
  <c r="B1279" i="3"/>
  <c r="AF1278" i="3"/>
  <c r="W1278" i="3" s="1"/>
  <c r="V1278" i="3"/>
  <c r="S1278" i="3"/>
  <c r="S1277" i="3" s="1"/>
  <c r="B1278" i="3"/>
  <c r="R1277" i="3"/>
  <c r="Q1277" i="3"/>
  <c r="L1277" i="3"/>
  <c r="K1277" i="3"/>
  <c r="J1277" i="3"/>
  <c r="I1277" i="3"/>
  <c r="T1277" i="3" s="1"/>
  <c r="AN1276" i="3"/>
  <c r="W1276" i="3" s="1"/>
  <c r="V1276" i="3"/>
  <c r="S1276" i="3"/>
  <c r="B1276" i="3"/>
  <c r="AF1275" i="3"/>
  <c r="W1275" i="3" s="1"/>
  <c r="V1275" i="3"/>
  <c r="S1275" i="3"/>
  <c r="B1275" i="3"/>
  <c r="AF1274" i="3"/>
  <c r="W1274" i="3" s="1"/>
  <c r="V1274" i="3"/>
  <c r="S1274" i="3"/>
  <c r="B1274" i="3"/>
  <c r="AF1273" i="3"/>
  <c r="W1273" i="3" s="1"/>
  <c r="V1273" i="3"/>
  <c r="S1273" i="3"/>
  <c r="B1273" i="3"/>
  <c r="AN1272" i="3"/>
  <c r="W1272" i="3" s="1"/>
  <c r="V1272" i="3"/>
  <c r="S1272" i="3"/>
  <c r="B1272" i="3"/>
  <c r="AF1271" i="3"/>
  <c r="W1271" i="3" s="1"/>
  <c r="V1271" i="3"/>
  <c r="S1271" i="3"/>
  <c r="B1271" i="3"/>
  <c r="R1270" i="3"/>
  <c r="Q1270" i="3"/>
  <c r="L1270" i="3"/>
  <c r="K1270" i="3"/>
  <c r="J1270" i="3"/>
  <c r="I1270" i="3"/>
  <c r="T1270" i="3" s="1"/>
  <c r="AF1269" i="3"/>
  <c r="W1269" i="3" s="1"/>
  <c r="V1269" i="3"/>
  <c r="S1269" i="3"/>
  <c r="S1268" i="3" s="1"/>
  <c r="B1269" i="3"/>
  <c r="R1268" i="3"/>
  <c r="Q1268" i="3"/>
  <c r="L1268" i="3"/>
  <c r="K1268" i="3"/>
  <c r="J1268" i="3"/>
  <c r="I1268" i="3"/>
  <c r="T1268" i="3" s="1"/>
  <c r="AF1267" i="3"/>
  <c r="W1267" i="3" s="1"/>
  <c r="V1267" i="3"/>
  <c r="S1267" i="3"/>
  <c r="S1266" i="3" s="1"/>
  <c r="B1267" i="3"/>
  <c r="R1266" i="3"/>
  <c r="Q1266" i="3"/>
  <c r="L1266" i="3"/>
  <c r="K1266" i="3"/>
  <c r="J1266" i="3"/>
  <c r="I1266" i="3"/>
  <c r="T1266" i="3" s="1"/>
  <c r="AF1265" i="3"/>
  <c r="W1265" i="3" s="1"/>
  <c r="V1265" i="3"/>
  <c r="S1265" i="3"/>
  <c r="S1264" i="3" s="1"/>
  <c r="B1265" i="3"/>
  <c r="R1264" i="3"/>
  <c r="Q1264" i="3"/>
  <c r="L1264" i="3"/>
  <c r="K1264" i="3"/>
  <c r="J1264" i="3"/>
  <c r="I1264" i="3"/>
  <c r="T1264" i="3" s="1"/>
  <c r="AF1263" i="3"/>
  <c r="W1263" i="3" s="1"/>
  <c r="V1263" i="3"/>
  <c r="S1263" i="3"/>
  <c r="B1263" i="3"/>
  <c r="AF1262" i="3"/>
  <c r="W1262" i="3" s="1"/>
  <c r="V1262" i="3"/>
  <c r="S1262" i="3"/>
  <c r="S1261" i="3" s="1"/>
  <c r="B1262" i="3"/>
  <c r="R1261" i="3"/>
  <c r="Q1261" i="3"/>
  <c r="L1261" i="3"/>
  <c r="K1261" i="3"/>
  <c r="J1261" i="3"/>
  <c r="I1261" i="3"/>
  <c r="T1261" i="3" s="1"/>
  <c r="AF1260" i="3"/>
  <c r="W1260" i="3" s="1"/>
  <c r="V1260" i="3"/>
  <c r="S1260" i="3"/>
  <c r="B1260" i="3"/>
  <c r="AF1259" i="3"/>
  <c r="W1259" i="3" s="1"/>
  <c r="V1259" i="3"/>
  <c r="S1259" i="3"/>
  <c r="B1259" i="3"/>
  <c r="R1258" i="3"/>
  <c r="Q1258" i="3"/>
  <c r="L1258" i="3"/>
  <c r="K1258" i="3"/>
  <c r="J1258" i="3"/>
  <c r="I1258" i="3"/>
  <c r="T1258" i="3" s="1"/>
  <c r="AF1257" i="3"/>
  <c r="W1257" i="3" s="1"/>
  <c r="V1257" i="3"/>
  <c r="S1257" i="3"/>
  <c r="S1256" i="3" s="1"/>
  <c r="B1257" i="3"/>
  <c r="R1256" i="3"/>
  <c r="Q1256" i="3"/>
  <c r="L1256" i="3"/>
  <c r="K1256" i="3"/>
  <c r="J1256" i="3"/>
  <c r="I1256" i="3"/>
  <c r="T1256" i="3" s="1"/>
  <c r="AJ1255" i="3"/>
  <c r="W1255" i="3" s="1"/>
  <c r="V1255" i="3"/>
  <c r="S1255" i="3"/>
  <c r="S1254" i="3" s="1"/>
  <c r="B1255" i="3"/>
  <c r="R1254" i="3"/>
  <c r="Q1254" i="3"/>
  <c r="L1254" i="3"/>
  <c r="K1254" i="3"/>
  <c r="J1254" i="3"/>
  <c r="I1254" i="3"/>
  <c r="T1254" i="3" s="1"/>
  <c r="AF1253" i="3"/>
  <c r="W1253" i="3" s="1"/>
  <c r="V1253" i="3"/>
  <c r="S1253" i="3"/>
  <c r="S1252" i="3" s="1"/>
  <c r="B1253" i="3"/>
  <c r="R1252" i="3"/>
  <c r="Q1252" i="3"/>
  <c r="L1252" i="3"/>
  <c r="K1252" i="3"/>
  <c r="J1252" i="3"/>
  <c r="I1252" i="3"/>
  <c r="T1252" i="3" s="1"/>
  <c r="AF1251" i="3"/>
  <c r="W1251" i="3" s="1"/>
  <c r="V1251" i="3"/>
  <c r="S1251" i="3"/>
  <c r="B1251" i="3"/>
  <c r="AF1250" i="3"/>
  <c r="W1250" i="3" s="1"/>
  <c r="V1250" i="3"/>
  <c r="S1250" i="3"/>
  <c r="B1250" i="3"/>
  <c r="AF1249" i="3"/>
  <c r="W1249" i="3" s="1"/>
  <c r="V1249" i="3"/>
  <c r="S1249" i="3"/>
  <c r="B1249" i="3"/>
  <c r="R1248" i="3"/>
  <c r="Q1248" i="3"/>
  <c r="L1248" i="3"/>
  <c r="K1248" i="3"/>
  <c r="J1248" i="3"/>
  <c r="I1248" i="3"/>
  <c r="T1248" i="3" s="1"/>
  <c r="AD1247" i="3"/>
  <c r="W1247" i="3" s="1"/>
  <c r="V1247" i="3"/>
  <c r="S1247" i="3"/>
  <c r="B1247" i="3"/>
  <c r="AJ1245" i="3"/>
  <c r="W1245" i="3" s="1"/>
  <c r="V1245" i="3"/>
  <c r="S1245" i="3"/>
  <c r="B1245" i="3"/>
  <c r="AF1244" i="3"/>
  <c r="W1244" i="3" s="1"/>
  <c r="V1244" i="3"/>
  <c r="S1244" i="3"/>
  <c r="B1244" i="3"/>
  <c r="AF1243" i="3"/>
  <c r="W1243" i="3" s="1"/>
  <c r="V1243" i="3"/>
  <c r="S1243" i="3"/>
  <c r="B1243" i="3"/>
  <c r="AF1242" i="3"/>
  <c r="W1242" i="3" s="1"/>
  <c r="V1242" i="3"/>
  <c r="S1242" i="3"/>
  <c r="B1242" i="3"/>
  <c r="R1241" i="3"/>
  <c r="Q1241" i="3"/>
  <c r="L1241" i="3"/>
  <c r="K1241" i="3"/>
  <c r="J1241" i="3"/>
  <c r="I1241" i="3"/>
  <c r="T1241" i="3" s="1"/>
  <c r="AF1240" i="3"/>
  <c r="W1240" i="3" s="1"/>
  <c r="V1240" i="3"/>
  <c r="S1240" i="3"/>
  <c r="S1239" i="3" s="1"/>
  <c r="B1240" i="3"/>
  <c r="R1239" i="3"/>
  <c r="Q1239" i="3"/>
  <c r="L1239" i="3"/>
  <c r="K1239" i="3"/>
  <c r="J1239" i="3"/>
  <c r="I1239" i="3"/>
  <c r="T1239" i="3" s="1"/>
  <c r="AF1238" i="3"/>
  <c r="W1238" i="3" s="1"/>
  <c r="V1238" i="3"/>
  <c r="S1238" i="3"/>
  <c r="S1237" i="3" s="1"/>
  <c r="B1238" i="3"/>
  <c r="R1237" i="3"/>
  <c r="Q1237" i="3"/>
  <c r="L1237" i="3"/>
  <c r="K1237" i="3"/>
  <c r="J1237" i="3"/>
  <c r="I1237" i="3"/>
  <c r="T1237" i="3" s="1"/>
  <c r="W1236" i="3"/>
  <c r="V1236" i="3"/>
  <c r="S1236" i="3"/>
  <c r="B1236" i="3"/>
  <c r="AF1235" i="3"/>
  <c r="W1235" i="3" s="1"/>
  <c r="V1235" i="3"/>
  <c r="S1235" i="3"/>
  <c r="B1235" i="3"/>
  <c r="R1234" i="3"/>
  <c r="Q1234" i="3"/>
  <c r="L1234" i="3"/>
  <c r="K1234" i="3"/>
  <c r="J1234" i="3"/>
  <c r="I1234" i="3"/>
  <c r="T1234" i="3" s="1"/>
  <c r="AJ1233" i="3"/>
  <c r="W1233" i="3" s="1"/>
  <c r="V1233" i="3"/>
  <c r="S1233" i="3"/>
  <c r="S1232" i="3" s="1"/>
  <c r="B1233" i="3"/>
  <c r="R1232" i="3"/>
  <c r="Q1232" i="3"/>
  <c r="L1232" i="3"/>
  <c r="K1232" i="3"/>
  <c r="J1232" i="3"/>
  <c r="I1232" i="3"/>
  <c r="T1232" i="3" s="1"/>
  <c r="AF1231" i="3"/>
  <c r="W1231" i="3" s="1"/>
  <c r="V1231" i="3"/>
  <c r="S1231" i="3"/>
  <c r="S1230" i="3" s="1"/>
  <c r="B1231" i="3"/>
  <c r="R1230" i="3"/>
  <c r="Q1230" i="3"/>
  <c r="L1230" i="3"/>
  <c r="K1230" i="3"/>
  <c r="J1230" i="3"/>
  <c r="I1230" i="3"/>
  <c r="T1230" i="3" s="1"/>
  <c r="AF1229" i="3"/>
  <c r="W1229" i="3" s="1"/>
  <c r="V1229" i="3"/>
  <c r="S1229" i="3"/>
  <c r="B1229" i="3"/>
  <c r="AF1228" i="3"/>
  <c r="W1228" i="3" s="1"/>
  <c r="V1228" i="3"/>
  <c r="S1228" i="3"/>
  <c r="B1228" i="3"/>
  <c r="R1227" i="3"/>
  <c r="Q1227" i="3"/>
  <c r="L1227" i="3"/>
  <c r="K1227" i="3"/>
  <c r="J1227" i="3"/>
  <c r="I1227" i="3"/>
  <c r="T1227" i="3" s="1"/>
  <c r="AL1226" i="3"/>
  <c r="AJ1226" i="3"/>
  <c r="V1226" i="3"/>
  <c r="S1226" i="3"/>
  <c r="B1226" i="3"/>
  <c r="AF1225" i="3"/>
  <c r="W1225" i="3" s="1"/>
  <c r="V1225" i="3"/>
  <c r="S1225" i="3"/>
  <c r="B1225" i="3"/>
  <c r="W1224" i="3"/>
  <c r="V1224" i="3"/>
  <c r="S1224" i="3"/>
  <c r="B1224" i="3"/>
  <c r="R1223" i="3"/>
  <c r="Q1223" i="3"/>
  <c r="L1223" i="3"/>
  <c r="K1223" i="3"/>
  <c r="J1223" i="3"/>
  <c r="I1223" i="3"/>
  <c r="T1223" i="3" s="1"/>
  <c r="AF1222" i="3"/>
  <c r="W1222" i="3" s="1"/>
  <c r="V1222" i="3"/>
  <c r="S1222" i="3"/>
  <c r="B1222" i="3"/>
  <c r="AF1221" i="3"/>
  <c r="W1221" i="3" s="1"/>
  <c r="V1221" i="3"/>
  <c r="S1221" i="3"/>
  <c r="B1221" i="3"/>
  <c r="R1220" i="3"/>
  <c r="Q1220" i="3"/>
  <c r="L1220" i="3"/>
  <c r="K1220" i="3"/>
  <c r="J1220" i="3"/>
  <c r="I1220" i="3"/>
  <c r="T1220" i="3" s="1"/>
  <c r="AF1219" i="3"/>
  <c r="W1219" i="3" s="1"/>
  <c r="V1219" i="3"/>
  <c r="S1219" i="3"/>
  <c r="B1219" i="3"/>
  <c r="AF1218" i="3"/>
  <c r="W1218" i="3" s="1"/>
  <c r="V1218" i="3"/>
  <c r="S1218" i="3"/>
  <c r="B1218" i="3"/>
  <c r="AF1217" i="3"/>
  <c r="W1217" i="3" s="1"/>
  <c r="V1217" i="3"/>
  <c r="S1217" i="3"/>
  <c r="B1217" i="3"/>
  <c r="AL1216" i="3"/>
  <c r="W1216" i="3" s="1"/>
  <c r="V1216" i="3"/>
  <c r="S1216" i="3"/>
  <c r="B1216" i="3"/>
  <c r="AF1215" i="3"/>
  <c r="W1215" i="3" s="1"/>
  <c r="V1215" i="3"/>
  <c r="S1215" i="3"/>
  <c r="B1215" i="3"/>
  <c r="AF1214" i="3"/>
  <c r="V1214" i="3"/>
  <c r="S1214" i="3"/>
  <c r="B1214" i="3"/>
  <c r="AF1213" i="3"/>
  <c r="W1213" i="3" s="1"/>
  <c r="V1213" i="3"/>
  <c r="S1213" i="3"/>
  <c r="B1213" i="3"/>
  <c r="AF1212" i="3"/>
  <c r="W1212" i="3" s="1"/>
  <c r="V1212" i="3"/>
  <c r="S1212" i="3"/>
  <c r="B1212" i="3"/>
  <c r="R1211" i="3"/>
  <c r="Q1211" i="3"/>
  <c r="L1211" i="3"/>
  <c r="K1211" i="3"/>
  <c r="J1211" i="3"/>
  <c r="I1211" i="3"/>
  <c r="T1211" i="3" s="1"/>
  <c r="AJ1210" i="3"/>
  <c r="W1210" i="3" s="1"/>
  <c r="V1210" i="3"/>
  <c r="S1210" i="3"/>
  <c r="B1210" i="3"/>
  <c r="W1209" i="3"/>
  <c r="V1209" i="3"/>
  <c r="S1209" i="3"/>
  <c r="S1208" i="3" s="1"/>
  <c r="B1209" i="3"/>
  <c r="R1208" i="3"/>
  <c r="Q1208" i="3"/>
  <c r="L1208" i="3"/>
  <c r="K1208" i="3"/>
  <c r="J1208" i="3"/>
  <c r="I1208" i="3"/>
  <c r="T1208" i="3" s="1"/>
  <c r="AF1204" i="3"/>
  <c r="W1204" i="3" s="1"/>
  <c r="V1204" i="3"/>
  <c r="S1204" i="3"/>
  <c r="B1204" i="3"/>
  <c r="AF1203" i="3"/>
  <c r="W1203" i="3" s="1"/>
  <c r="V1203" i="3"/>
  <c r="S1203" i="3"/>
  <c r="B1203" i="3"/>
  <c r="AF1202" i="3"/>
  <c r="W1202" i="3" s="1"/>
  <c r="V1202" i="3"/>
  <c r="S1202" i="3"/>
  <c r="B1202" i="3"/>
  <c r="AF1201" i="3"/>
  <c r="W1201" i="3" s="1"/>
  <c r="V1201" i="3"/>
  <c r="S1201" i="3"/>
  <c r="B1201" i="3"/>
  <c r="AF1200" i="3"/>
  <c r="W1200" i="3" s="1"/>
  <c r="V1200" i="3"/>
  <c r="S1200" i="3"/>
  <c r="B1200" i="3"/>
  <c r="AF1199" i="3"/>
  <c r="W1199" i="3" s="1"/>
  <c r="V1199" i="3"/>
  <c r="S1199" i="3"/>
  <c r="B1199" i="3"/>
  <c r="AF1198" i="3"/>
  <c r="W1198" i="3" s="1"/>
  <c r="V1198" i="3"/>
  <c r="S1198" i="3"/>
  <c r="B1198" i="3"/>
  <c r="R1197" i="3"/>
  <c r="Q1197" i="3"/>
  <c r="L1197" i="3"/>
  <c r="K1197" i="3"/>
  <c r="J1197" i="3"/>
  <c r="I1197" i="3"/>
  <c r="T1197" i="3" s="1"/>
  <c r="AF1196" i="3"/>
  <c r="W1196" i="3" s="1"/>
  <c r="V1196" i="3"/>
  <c r="S1196" i="3"/>
  <c r="B1196" i="3"/>
  <c r="AF1195" i="3"/>
  <c r="W1195" i="3" s="1"/>
  <c r="V1195" i="3"/>
  <c r="S1195" i="3"/>
  <c r="B1195" i="3"/>
  <c r="AF1194" i="3"/>
  <c r="W1194" i="3" s="1"/>
  <c r="V1194" i="3"/>
  <c r="S1194" i="3"/>
  <c r="B1194" i="3"/>
  <c r="AF1193" i="3"/>
  <c r="W1193" i="3" s="1"/>
  <c r="V1193" i="3"/>
  <c r="S1193" i="3"/>
  <c r="B1193" i="3"/>
  <c r="AF1192" i="3"/>
  <c r="W1192" i="3" s="1"/>
  <c r="V1192" i="3"/>
  <c r="S1192" i="3"/>
  <c r="B1192" i="3"/>
  <c r="AF1191" i="3"/>
  <c r="W1191" i="3" s="1"/>
  <c r="V1191" i="3"/>
  <c r="S1191" i="3"/>
  <c r="B1191" i="3"/>
  <c r="AF1190" i="3"/>
  <c r="W1190" i="3" s="1"/>
  <c r="V1190" i="3"/>
  <c r="S1190" i="3"/>
  <c r="B1190" i="3"/>
  <c r="AF1189" i="3"/>
  <c r="W1189" i="3" s="1"/>
  <c r="V1189" i="3"/>
  <c r="S1189" i="3"/>
  <c r="B1189" i="3"/>
  <c r="AF1188" i="3"/>
  <c r="W1188" i="3" s="1"/>
  <c r="V1188" i="3"/>
  <c r="S1188" i="3"/>
  <c r="B1188" i="3"/>
  <c r="AF1187" i="3"/>
  <c r="W1187" i="3" s="1"/>
  <c r="V1187" i="3"/>
  <c r="S1187" i="3"/>
  <c r="B1187" i="3"/>
  <c r="AF1186" i="3"/>
  <c r="W1186" i="3" s="1"/>
  <c r="V1186" i="3"/>
  <c r="S1186" i="3"/>
  <c r="B1186" i="3"/>
  <c r="AF1185" i="3"/>
  <c r="W1185" i="3" s="1"/>
  <c r="V1185" i="3"/>
  <c r="S1185" i="3"/>
  <c r="B1185" i="3"/>
  <c r="W1184" i="3"/>
  <c r="S1184" i="3"/>
  <c r="B1184" i="3"/>
  <c r="W1183" i="3"/>
  <c r="S1183" i="3"/>
  <c r="B1183" i="3"/>
  <c r="W1182" i="3"/>
  <c r="S1182" i="3"/>
  <c r="B1182" i="3"/>
  <c r="AF1181" i="3"/>
  <c r="W1181" i="3" s="1"/>
  <c r="V1181" i="3"/>
  <c r="S1181" i="3"/>
  <c r="B1181" i="3"/>
  <c r="AF1180" i="3"/>
  <c r="W1180" i="3" s="1"/>
  <c r="V1180" i="3"/>
  <c r="S1180" i="3"/>
  <c r="B1180" i="3"/>
  <c r="AF1179" i="3"/>
  <c r="W1179" i="3" s="1"/>
  <c r="V1179" i="3"/>
  <c r="S1179" i="3"/>
  <c r="B1179" i="3"/>
  <c r="AF1178" i="3"/>
  <c r="W1178" i="3" s="1"/>
  <c r="V1178" i="3"/>
  <c r="S1178" i="3"/>
  <c r="B1178" i="3"/>
  <c r="AF1177" i="3"/>
  <c r="W1177" i="3" s="1"/>
  <c r="V1177" i="3"/>
  <c r="S1177" i="3"/>
  <c r="B1177" i="3"/>
  <c r="AJ1176" i="3"/>
  <c r="W1176" i="3" s="1"/>
  <c r="V1176" i="3"/>
  <c r="S1176" i="3"/>
  <c r="B1176" i="3"/>
  <c r="AF1175" i="3"/>
  <c r="W1175" i="3" s="1"/>
  <c r="V1175" i="3"/>
  <c r="S1175" i="3"/>
  <c r="B1175" i="3"/>
  <c r="AF1174" i="3"/>
  <c r="W1174" i="3" s="1"/>
  <c r="V1174" i="3"/>
  <c r="S1174" i="3"/>
  <c r="B1174" i="3"/>
  <c r="AF1173" i="3"/>
  <c r="W1173" i="3" s="1"/>
  <c r="V1173" i="3"/>
  <c r="S1173" i="3"/>
  <c r="B1173" i="3"/>
  <c r="R1172" i="3"/>
  <c r="Q1172" i="3"/>
  <c r="L1172" i="3"/>
  <c r="K1172" i="3"/>
  <c r="J1172" i="3"/>
  <c r="I1172" i="3"/>
  <c r="T1172" i="3" s="1"/>
  <c r="AF1171" i="3"/>
  <c r="W1171" i="3" s="1"/>
  <c r="V1171" i="3"/>
  <c r="S1171" i="3"/>
  <c r="B1171" i="3"/>
  <c r="AF1170" i="3"/>
  <c r="W1170" i="3" s="1"/>
  <c r="V1170" i="3"/>
  <c r="S1170" i="3"/>
  <c r="B1170" i="3"/>
  <c r="AF1169" i="3"/>
  <c r="W1169" i="3" s="1"/>
  <c r="V1169" i="3"/>
  <c r="S1169" i="3"/>
  <c r="B1169" i="3"/>
  <c r="AF1168" i="3"/>
  <c r="W1168" i="3"/>
  <c r="S1168" i="3"/>
  <c r="B1168" i="3"/>
  <c r="AF1167" i="3"/>
  <c r="W1167" i="3" s="1"/>
  <c r="V1167" i="3"/>
  <c r="S1167" i="3"/>
  <c r="B1167" i="3"/>
  <c r="AF1166" i="3"/>
  <c r="W1166" i="3" s="1"/>
  <c r="V1166" i="3"/>
  <c r="S1166" i="3"/>
  <c r="B1166" i="3"/>
  <c r="AF1165" i="3"/>
  <c r="W1165" i="3" s="1"/>
  <c r="V1165" i="3"/>
  <c r="S1165" i="3"/>
  <c r="B1165" i="3"/>
  <c r="AF1164" i="3"/>
  <c r="W1164" i="3" s="1"/>
  <c r="V1164" i="3"/>
  <c r="S1164" i="3"/>
  <c r="B1164" i="3"/>
  <c r="S1163" i="3"/>
  <c r="B1163" i="3"/>
  <c r="AF1162" i="3"/>
  <c r="W1162" i="3" s="1"/>
  <c r="V1162" i="3"/>
  <c r="S1162" i="3"/>
  <c r="B1162" i="3"/>
  <c r="AF1161" i="3"/>
  <c r="W1161" i="3" s="1"/>
  <c r="V1161" i="3"/>
  <c r="S1161" i="3"/>
  <c r="B1161" i="3"/>
  <c r="AF1160" i="3"/>
  <c r="W1160" i="3" s="1"/>
  <c r="V1160" i="3"/>
  <c r="S1160" i="3"/>
  <c r="B1160" i="3"/>
  <c r="AF1159" i="3"/>
  <c r="W1159" i="3" s="1"/>
  <c r="V1159" i="3"/>
  <c r="S1159" i="3"/>
  <c r="B1159" i="3"/>
  <c r="AF1158" i="3"/>
  <c r="W1158" i="3" s="1"/>
  <c r="V1158" i="3"/>
  <c r="S1158" i="3"/>
  <c r="B1158" i="3"/>
  <c r="R1157" i="3"/>
  <c r="Q1157" i="3"/>
  <c r="L1157" i="3"/>
  <c r="K1157" i="3"/>
  <c r="J1157" i="3"/>
  <c r="I1157" i="3"/>
  <c r="T1157" i="3" s="1"/>
  <c r="AF1143" i="3"/>
  <c r="W1143" i="3" s="1"/>
  <c r="V1143" i="3"/>
  <c r="S1143" i="3"/>
  <c r="B1143" i="3"/>
  <c r="AF1142" i="3"/>
  <c r="W1142" i="3" s="1"/>
  <c r="V1142" i="3"/>
  <c r="S1142" i="3"/>
  <c r="B1142" i="3"/>
  <c r="AF1141" i="3"/>
  <c r="W1141" i="3" s="1"/>
  <c r="V1141" i="3"/>
  <c r="S1141" i="3"/>
  <c r="B1141" i="3"/>
  <c r="AF1140" i="3"/>
  <c r="W1140" i="3" s="1"/>
  <c r="V1140" i="3"/>
  <c r="S1140" i="3"/>
  <c r="B1140" i="3"/>
  <c r="AF1139" i="3"/>
  <c r="W1139" i="3" s="1"/>
  <c r="V1139" i="3"/>
  <c r="S1139" i="3"/>
  <c r="B1139" i="3"/>
  <c r="AF1138" i="3"/>
  <c r="W1138" i="3" s="1"/>
  <c r="V1138" i="3"/>
  <c r="S1138" i="3"/>
  <c r="B1138" i="3"/>
  <c r="AD1137" i="3"/>
  <c r="W1137" i="3" s="1"/>
  <c r="V1137" i="3"/>
  <c r="S1137" i="3"/>
  <c r="B1137" i="3"/>
  <c r="AD1136" i="3"/>
  <c r="W1136" i="3" s="1"/>
  <c r="V1136" i="3"/>
  <c r="S1136" i="3"/>
  <c r="B1136" i="3"/>
  <c r="AF1135" i="3"/>
  <c r="W1135" i="3" s="1"/>
  <c r="V1135" i="3"/>
  <c r="S1135" i="3"/>
  <c r="B1135" i="3"/>
  <c r="AF1134" i="3"/>
  <c r="W1134" i="3" s="1"/>
  <c r="V1134" i="3"/>
  <c r="S1134" i="3"/>
  <c r="B1134" i="3"/>
  <c r="AF1133" i="3"/>
  <c r="W1133" i="3" s="1"/>
  <c r="V1133" i="3"/>
  <c r="S1133" i="3"/>
  <c r="B1133" i="3"/>
  <c r="AF1132" i="3"/>
  <c r="W1132" i="3" s="1"/>
  <c r="V1132" i="3"/>
  <c r="S1132" i="3"/>
  <c r="B1132" i="3"/>
  <c r="AF1131" i="3"/>
  <c r="W1131" i="3" s="1"/>
  <c r="V1131" i="3"/>
  <c r="S1131" i="3"/>
  <c r="B1131" i="3"/>
  <c r="AF1130" i="3"/>
  <c r="W1130" i="3" s="1"/>
  <c r="V1130" i="3"/>
  <c r="S1130" i="3"/>
  <c r="B1130" i="3"/>
  <c r="AF1129" i="3"/>
  <c r="W1129" i="3" s="1"/>
  <c r="V1129" i="3"/>
  <c r="S1129" i="3"/>
  <c r="B1129" i="3"/>
  <c r="AF1128" i="3"/>
  <c r="W1128" i="3" s="1"/>
  <c r="V1128" i="3"/>
  <c r="S1128" i="3"/>
  <c r="B1128" i="3"/>
  <c r="AD1127" i="3"/>
  <c r="W1127" i="3" s="1"/>
  <c r="V1127" i="3"/>
  <c r="S1127" i="3"/>
  <c r="B1127" i="3"/>
  <c r="AD1126" i="3"/>
  <c r="W1126" i="3" s="1"/>
  <c r="V1126" i="3"/>
  <c r="S1126" i="3"/>
  <c r="B1126" i="3"/>
  <c r="AF1125" i="3"/>
  <c r="W1125" i="3" s="1"/>
  <c r="V1125" i="3"/>
  <c r="S1125" i="3"/>
  <c r="B1125" i="3"/>
  <c r="AF1124" i="3"/>
  <c r="W1124" i="3" s="1"/>
  <c r="V1124" i="3"/>
  <c r="S1124" i="3"/>
  <c r="B1124" i="3"/>
  <c r="AF1123" i="3"/>
  <c r="W1123" i="3" s="1"/>
  <c r="V1123" i="3"/>
  <c r="S1123" i="3"/>
  <c r="B1123" i="3"/>
  <c r="AF1122" i="3"/>
  <c r="W1122" i="3" s="1"/>
  <c r="V1122" i="3"/>
  <c r="S1122" i="3"/>
  <c r="B1122" i="3"/>
  <c r="AF1121" i="3"/>
  <c r="W1121" i="3" s="1"/>
  <c r="V1121" i="3"/>
  <c r="S1121" i="3"/>
  <c r="B1121" i="3"/>
  <c r="AF1120" i="3"/>
  <c r="W1120" i="3" s="1"/>
  <c r="V1120" i="3"/>
  <c r="S1120" i="3"/>
  <c r="B1120" i="3"/>
  <c r="AF1119" i="3"/>
  <c r="W1119" i="3" s="1"/>
  <c r="V1119" i="3"/>
  <c r="S1119" i="3"/>
  <c r="B1119" i="3"/>
  <c r="AF1118" i="3"/>
  <c r="W1118" i="3" s="1"/>
  <c r="V1118" i="3"/>
  <c r="S1118" i="3"/>
  <c r="B1118" i="3"/>
  <c r="AF1117" i="3"/>
  <c r="W1117" i="3" s="1"/>
  <c r="V1117" i="3"/>
  <c r="S1117" i="3"/>
  <c r="B1117" i="3"/>
  <c r="AF1116" i="3"/>
  <c r="W1116" i="3" s="1"/>
  <c r="V1116" i="3"/>
  <c r="S1116" i="3"/>
  <c r="B1116" i="3"/>
  <c r="AF1115" i="3"/>
  <c r="W1115" i="3" s="1"/>
  <c r="V1115" i="3"/>
  <c r="S1115" i="3"/>
  <c r="B1115" i="3"/>
  <c r="AJ1114" i="3"/>
  <c r="W1114" i="3" s="1"/>
  <c r="V1114" i="3"/>
  <c r="S1114" i="3"/>
  <c r="B1114" i="3"/>
  <c r="AF1113" i="3"/>
  <c r="W1113" i="3" s="1"/>
  <c r="V1113" i="3"/>
  <c r="S1113" i="3"/>
  <c r="B1113" i="3"/>
  <c r="AJ1112" i="3"/>
  <c r="W1112" i="3" s="1"/>
  <c r="V1112" i="3"/>
  <c r="S1112" i="3"/>
  <c r="B1112" i="3"/>
  <c r="AJ1111" i="3"/>
  <c r="W1111" i="3" s="1"/>
  <c r="V1111" i="3"/>
  <c r="S1111" i="3"/>
  <c r="B1111" i="3"/>
  <c r="AF1110" i="3"/>
  <c r="W1110" i="3" s="1"/>
  <c r="V1110" i="3"/>
  <c r="S1110" i="3"/>
  <c r="B1110" i="3"/>
  <c r="AF1109" i="3"/>
  <c r="W1109" i="3" s="1"/>
  <c r="V1109" i="3"/>
  <c r="S1109" i="3"/>
  <c r="B1109" i="3"/>
  <c r="AF1108" i="3"/>
  <c r="W1108" i="3" s="1"/>
  <c r="V1108" i="3"/>
  <c r="S1108" i="3"/>
  <c r="B1108" i="3"/>
  <c r="AF1107" i="3"/>
  <c r="W1107" i="3" s="1"/>
  <c r="V1107" i="3"/>
  <c r="S1107" i="3"/>
  <c r="B1107" i="3"/>
  <c r="AF1106" i="3"/>
  <c r="W1106" i="3" s="1"/>
  <c r="V1106" i="3"/>
  <c r="S1106" i="3"/>
  <c r="B1106" i="3"/>
  <c r="AF1105" i="3"/>
  <c r="W1105" i="3" s="1"/>
  <c r="V1105" i="3"/>
  <c r="S1105" i="3"/>
  <c r="B1105" i="3"/>
  <c r="AD1104" i="3"/>
  <c r="W1104" i="3" s="1"/>
  <c r="V1104" i="3"/>
  <c r="S1104" i="3"/>
  <c r="B1104" i="3"/>
  <c r="AF1103" i="3"/>
  <c r="W1103" i="3" s="1"/>
  <c r="V1103" i="3"/>
  <c r="S1103" i="3"/>
  <c r="B1103" i="3"/>
  <c r="AF1102" i="3"/>
  <c r="W1102" i="3" s="1"/>
  <c r="V1102" i="3"/>
  <c r="S1102" i="3"/>
  <c r="B1102" i="3"/>
  <c r="AF1101" i="3"/>
  <c r="W1101" i="3" s="1"/>
  <c r="V1101" i="3"/>
  <c r="S1101" i="3"/>
  <c r="B1101" i="3"/>
  <c r="AF1100" i="3"/>
  <c r="W1100" i="3" s="1"/>
  <c r="V1100" i="3"/>
  <c r="S1100" i="3"/>
  <c r="B1100" i="3"/>
  <c r="AF1099" i="3"/>
  <c r="W1099" i="3" s="1"/>
  <c r="V1099" i="3"/>
  <c r="S1099" i="3"/>
  <c r="B1099" i="3"/>
  <c r="AF1098" i="3"/>
  <c r="W1098" i="3" s="1"/>
  <c r="V1098" i="3"/>
  <c r="S1098" i="3"/>
  <c r="B1098" i="3"/>
  <c r="AF1097" i="3"/>
  <c r="W1097" i="3" s="1"/>
  <c r="V1097" i="3"/>
  <c r="S1097" i="3"/>
  <c r="B1097" i="3"/>
  <c r="AF1096" i="3"/>
  <c r="W1096" i="3" s="1"/>
  <c r="V1096" i="3"/>
  <c r="S1096" i="3"/>
  <c r="B1096" i="3"/>
  <c r="AF1095" i="3"/>
  <c r="W1095" i="3" s="1"/>
  <c r="V1095" i="3"/>
  <c r="S1095" i="3"/>
  <c r="B1095" i="3"/>
  <c r="AF1094" i="3"/>
  <c r="W1094" i="3" s="1"/>
  <c r="V1094" i="3"/>
  <c r="S1094" i="3"/>
  <c r="B1094" i="3"/>
  <c r="AF1093" i="3"/>
  <c r="W1093" i="3" s="1"/>
  <c r="V1093" i="3"/>
  <c r="S1093" i="3"/>
  <c r="B1093" i="3"/>
  <c r="AF1092" i="3"/>
  <c r="W1092" i="3" s="1"/>
  <c r="V1092" i="3"/>
  <c r="S1092" i="3"/>
  <c r="B1092" i="3"/>
  <c r="AF1091" i="3"/>
  <c r="W1091" i="3" s="1"/>
  <c r="V1091" i="3"/>
  <c r="S1091" i="3"/>
  <c r="B1091" i="3"/>
  <c r="AF1090" i="3"/>
  <c r="W1090" i="3" s="1"/>
  <c r="V1090" i="3"/>
  <c r="S1090" i="3"/>
  <c r="B1090" i="3"/>
  <c r="AF1089" i="3"/>
  <c r="W1089" i="3" s="1"/>
  <c r="V1089" i="3"/>
  <c r="S1089" i="3"/>
  <c r="B1089" i="3"/>
  <c r="AF1088" i="3"/>
  <c r="W1088" i="3" s="1"/>
  <c r="V1088" i="3"/>
  <c r="S1088" i="3"/>
  <c r="B1088" i="3"/>
  <c r="AF1087" i="3"/>
  <c r="W1087" i="3" s="1"/>
  <c r="V1087" i="3"/>
  <c r="S1087" i="3"/>
  <c r="B1087" i="3"/>
  <c r="R1086" i="3"/>
  <c r="Q1086" i="3"/>
  <c r="L1086" i="3"/>
  <c r="K1086" i="3"/>
  <c r="J1086" i="3"/>
  <c r="I1086" i="3"/>
  <c r="T1086" i="3" s="1"/>
  <c r="AF1084" i="3"/>
  <c r="W1084" i="3" s="1"/>
  <c r="V1084" i="3"/>
  <c r="S1084" i="3"/>
  <c r="S1083" i="3" s="1"/>
  <c r="B1084" i="3"/>
  <c r="R1083" i="3"/>
  <c r="Q1083" i="3"/>
  <c r="L1083" i="3"/>
  <c r="K1083" i="3"/>
  <c r="J1083" i="3"/>
  <c r="I1083" i="3"/>
  <c r="T1083" i="3" s="1"/>
  <c r="AF1082" i="3"/>
  <c r="W1082" i="3" s="1"/>
  <c r="V1082" i="3"/>
  <c r="S1082" i="3"/>
  <c r="S1081" i="3" s="1"/>
  <c r="B1082" i="3"/>
  <c r="R1081" i="3"/>
  <c r="Q1081" i="3"/>
  <c r="L1081" i="3"/>
  <c r="K1081" i="3"/>
  <c r="J1081" i="3"/>
  <c r="I1081" i="3"/>
  <c r="T1081" i="3" s="1"/>
  <c r="AF1080" i="3"/>
  <c r="W1080" i="3" s="1"/>
  <c r="V1080" i="3"/>
  <c r="S1080" i="3"/>
  <c r="B1080" i="3"/>
  <c r="W1079" i="3"/>
  <c r="V1079" i="3"/>
  <c r="S1079" i="3"/>
  <c r="B1079" i="3"/>
  <c r="W1078" i="3"/>
  <c r="V1078" i="3"/>
  <c r="S1078" i="3"/>
  <c r="B1078" i="3"/>
  <c r="W1077" i="3"/>
  <c r="V1077" i="3"/>
  <c r="S1077" i="3"/>
  <c r="B1077" i="3"/>
  <c r="R1076" i="3"/>
  <c r="Q1076" i="3"/>
  <c r="L1076" i="3"/>
  <c r="K1076" i="3"/>
  <c r="J1076" i="3"/>
  <c r="I1076" i="3"/>
  <c r="T1076" i="3" s="1"/>
  <c r="W1075" i="3"/>
  <c r="V1075" i="3"/>
  <c r="S1075" i="3"/>
  <c r="B1075" i="3"/>
  <c r="W1074" i="3"/>
  <c r="V1074" i="3"/>
  <c r="S1074" i="3"/>
  <c r="B1074" i="3"/>
  <c r="W1073" i="3"/>
  <c r="V1073" i="3"/>
  <c r="S1073" i="3"/>
  <c r="B1073" i="3"/>
  <c r="W1072" i="3"/>
  <c r="V1072" i="3"/>
  <c r="S1072" i="3"/>
  <c r="B1072" i="3"/>
  <c r="W1071" i="3"/>
  <c r="V1071" i="3"/>
  <c r="S1071" i="3"/>
  <c r="B1071" i="3"/>
  <c r="AF1070" i="3"/>
  <c r="W1070" i="3" s="1"/>
  <c r="V1070" i="3"/>
  <c r="S1070" i="3"/>
  <c r="B1070" i="3"/>
  <c r="AF1069" i="3"/>
  <c r="W1069" i="3" s="1"/>
  <c r="V1069" i="3"/>
  <c r="S1069" i="3"/>
  <c r="B1069" i="3"/>
  <c r="R1068" i="3"/>
  <c r="Q1068" i="3"/>
  <c r="L1068" i="3"/>
  <c r="K1068" i="3"/>
  <c r="J1068" i="3"/>
  <c r="I1068" i="3"/>
  <c r="T1068" i="3" s="1"/>
  <c r="AF1067" i="3"/>
  <c r="W1067" i="3" s="1"/>
  <c r="V1067" i="3"/>
  <c r="S1067" i="3"/>
  <c r="S1066" i="3" s="1"/>
  <c r="B1067" i="3"/>
  <c r="R1066" i="3"/>
  <c r="Q1066" i="3"/>
  <c r="L1066" i="3"/>
  <c r="K1066" i="3"/>
  <c r="J1066" i="3"/>
  <c r="I1066" i="3"/>
  <c r="T1066" i="3" s="1"/>
  <c r="AF1065" i="3"/>
  <c r="W1065" i="3" s="1"/>
  <c r="V1065" i="3"/>
  <c r="S1065" i="3"/>
  <c r="S1064" i="3" s="1"/>
  <c r="B1065" i="3"/>
  <c r="R1064" i="3"/>
  <c r="Q1064" i="3"/>
  <c r="L1064" i="3"/>
  <c r="K1064" i="3"/>
  <c r="J1064" i="3"/>
  <c r="I1064" i="3"/>
  <c r="T1064" i="3" s="1"/>
  <c r="AF1063" i="3"/>
  <c r="W1063" i="3" s="1"/>
  <c r="V1063" i="3"/>
  <c r="S1063" i="3"/>
  <c r="S1062" i="3" s="1"/>
  <c r="B1063" i="3"/>
  <c r="R1062" i="3"/>
  <c r="Q1062" i="3"/>
  <c r="L1062" i="3"/>
  <c r="K1062" i="3"/>
  <c r="J1062" i="3"/>
  <c r="I1062" i="3"/>
  <c r="T1062" i="3" s="1"/>
  <c r="AF1061" i="3"/>
  <c r="W1061" i="3" s="1"/>
  <c r="V1061" i="3"/>
  <c r="S1061" i="3"/>
  <c r="B1061" i="3"/>
  <c r="AJ1060" i="3"/>
  <c r="W1060" i="3" s="1"/>
  <c r="V1060" i="3"/>
  <c r="S1060" i="3"/>
  <c r="B1060" i="3"/>
  <c r="AJ1059" i="3"/>
  <c r="W1059" i="3" s="1"/>
  <c r="V1059" i="3"/>
  <c r="S1059" i="3"/>
  <c r="B1059" i="3"/>
  <c r="AF1058" i="3"/>
  <c r="W1058" i="3" s="1"/>
  <c r="V1058" i="3"/>
  <c r="S1058" i="3"/>
  <c r="B1058" i="3"/>
  <c r="AF1057" i="3"/>
  <c r="W1057" i="3" s="1"/>
  <c r="V1057" i="3"/>
  <c r="S1057" i="3"/>
  <c r="B1057" i="3"/>
  <c r="R1056" i="3"/>
  <c r="Q1056" i="3"/>
  <c r="L1056" i="3"/>
  <c r="K1056" i="3"/>
  <c r="J1056" i="3"/>
  <c r="I1056" i="3"/>
  <c r="T1056" i="3" s="1"/>
  <c r="AF1055" i="3"/>
  <c r="W1055" i="3" s="1"/>
  <c r="V1055" i="3"/>
  <c r="S1055" i="3"/>
  <c r="S1054" i="3" s="1"/>
  <c r="B1055" i="3"/>
  <c r="R1054" i="3"/>
  <c r="Q1054" i="3"/>
  <c r="L1054" i="3"/>
  <c r="K1054" i="3"/>
  <c r="J1054" i="3"/>
  <c r="I1054" i="3"/>
  <c r="T1054" i="3" s="1"/>
  <c r="AF1053" i="3"/>
  <c r="W1053" i="3" s="1"/>
  <c r="V1053" i="3"/>
  <c r="S1053" i="3"/>
  <c r="S1052" i="3" s="1"/>
  <c r="B1053" i="3"/>
  <c r="R1052" i="3"/>
  <c r="Q1052" i="3"/>
  <c r="L1052" i="3"/>
  <c r="K1052" i="3"/>
  <c r="J1052" i="3"/>
  <c r="I1052" i="3"/>
  <c r="T1052" i="3" s="1"/>
  <c r="AF1051" i="3"/>
  <c r="W1051" i="3" s="1"/>
  <c r="V1051" i="3"/>
  <c r="S1051" i="3"/>
  <c r="S1050" i="3" s="1"/>
  <c r="B1051" i="3"/>
  <c r="R1050" i="3"/>
  <c r="Q1050" i="3"/>
  <c r="L1050" i="3"/>
  <c r="K1050" i="3"/>
  <c r="J1050" i="3"/>
  <c r="I1050" i="3"/>
  <c r="T1050" i="3" s="1"/>
  <c r="AF1049" i="3"/>
  <c r="W1049" i="3" s="1"/>
  <c r="V1049" i="3"/>
  <c r="S1049" i="3"/>
  <c r="S1048" i="3" s="1"/>
  <c r="B1049" i="3"/>
  <c r="R1048" i="3"/>
  <c r="Q1048" i="3"/>
  <c r="L1048" i="3"/>
  <c r="K1048" i="3"/>
  <c r="J1048" i="3"/>
  <c r="I1048" i="3"/>
  <c r="T1048" i="3" s="1"/>
  <c r="AF1047" i="3"/>
  <c r="W1047" i="3" s="1"/>
  <c r="V1047" i="3"/>
  <c r="S1047" i="3"/>
  <c r="B1047" i="3"/>
  <c r="AF1046" i="3"/>
  <c r="W1046" i="3" s="1"/>
  <c r="V1046" i="3"/>
  <c r="S1046" i="3"/>
  <c r="B1046" i="3"/>
  <c r="AF1045" i="3"/>
  <c r="W1045" i="3" s="1"/>
  <c r="V1045" i="3"/>
  <c r="S1045" i="3"/>
  <c r="B1045" i="3"/>
  <c r="R1044" i="3"/>
  <c r="Q1044" i="3"/>
  <c r="L1044" i="3"/>
  <c r="K1044" i="3"/>
  <c r="J1044" i="3"/>
  <c r="I1044" i="3"/>
  <c r="T1044" i="3" s="1"/>
  <c r="AF1043" i="3"/>
  <c r="W1043" i="3" s="1"/>
  <c r="V1043" i="3"/>
  <c r="S1043" i="3"/>
  <c r="B1043" i="3"/>
  <c r="AF1042" i="3"/>
  <c r="W1042" i="3" s="1"/>
  <c r="V1042" i="3"/>
  <c r="S1042" i="3"/>
  <c r="B1042" i="3"/>
  <c r="AF1041" i="3"/>
  <c r="W1041" i="3" s="1"/>
  <c r="V1041" i="3"/>
  <c r="S1041" i="3"/>
  <c r="B1041" i="3"/>
  <c r="AF1040" i="3"/>
  <c r="W1040" i="3" s="1"/>
  <c r="V1040" i="3"/>
  <c r="S1040" i="3"/>
  <c r="B1040" i="3"/>
  <c r="AF1039" i="3"/>
  <c r="W1039" i="3" s="1"/>
  <c r="V1039" i="3"/>
  <c r="S1039" i="3"/>
  <c r="B1039" i="3"/>
  <c r="AF1038" i="3"/>
  <c r="W1038" i="3" s="1"/>
  <c r="V1038" i="3"/>
  <c r="S1038" i="3"/>
  <c r="B1038" i="3"/>
  <c r="R1037" i="3"/>
  <c r="Q1037" i="3"/>
  <c r="L1037" i="3"/>
  <c r="K1037" i="3"/>
  <c r="J1037" i="3"/>
  <c r="I1037" i="3"/>
  <c r="T1037" i="3" s="1"/>
  <c r="AF1036" i="3"/>
  <c r="W1036" i="3" s="1"/>
  <c r="V1036" i="3"/>
  <c r="S1036" i="3"/>
  <c r="B1036" i="3"/>
  <c r="AF1035" i="3"/>
  <c r="W1035" i="3" s="1"/>
  <c r="V1035" i="3"/>
  <c r="S1035" i="3"/>
  <c r="B1035" i="3"/>
  <c r="AF1034" i="3"/>
  <c r="W1034" i="3" s="1"/>
  <c r="V1034" i="3"/>
  <c r="S1034" i="3"/>
  <c r="B1034" i="3"/>
  <c r="AF1033" i="3"/>
  <c r="W1033" i="3" s="1"/>
  <c r="V1033" i="3"/>
  <c r="S1033" i="3"/>
  <c r="B1033" i="3"/>
  <c r="AF1032" i="3"/>
  <c r="W1032" i="3" s="1"/>
  <c r="V1032" i="3"/>
  <c r="S1032" i="3"/>
  <c r="B1032" i="3"/>
  <c r="R1031" i="3"/>
  <c r="Q1031" i="3"/>
  <c r="L1031" i="3"/>
  <c r="K1031" i="3"/>
  <c r="J1031" i="3"/>
  <c r="I1031" i="3"/>
  <c r="T1031" i="3" s="1"/>
  <c r="AF1030" i="3"/>
  <c r="W1030" i="3" s="1"/>
  <c r="V1030" i="3"/>
  <c r="S1030" i="3"/>
  <c r="B1030" i="3"/>
  <c r="AF1029" i="3"/>
  <c r="W1029" i="3" s="1"/>
  <c r="V1029" i="3"/>
  <c r="S1029" i="3"/>
  <c r="B1029" i="3"/>
  <c r="AF1028" i="3"/>
  <c r="W1028" i="3" s="1"/>
  <c r="V1028" i="3"/>
  <c r="S1028" i="3"/>
  <c r="B1028" i="3"/>
  <c r="R1027" i="3"/>
  <c r="Q1027" i="3"/>
  <c r="L1027" i="3"/>
  <c r="K1027" i="3"/>
  <c r="J1027" i="3"/>
  <c r="I1027" i="3"/>
  <c r="T1027" i="3" s="1"/>
  <c r="AF1026" i="3"/>
  <c r="W1026" i="3" s="1"/>
  <c r="V1026" i="3"/>
  <c r="S1026" i="3"/>
  <c r="S1025" i="3" s="1"/>
  <c r="B1026" i="3"/>
  <c r="R1025" i="3"/>
  <c r="Q1025" i="3"/>
  <c r="L1025" i="3"/>
  <c r="K1025" i="3"/>
  <c r="J1025" i="3"/>
  <c r="I1025" i="3"/>
  <c r="T1025" i="3" s="1"/>
  <c r="AF1024" i="3"/>
  <c r="W1024" i="3" s="1"/>
  <c r="V1024" i="3"/>
  <c r="S1024" i="3"/>
  <c r="S1023" i="3" s="1"/>
  <c r="B1024" i="3"/>
  <c r="R1023" i="3"/>
  <c r="Q1023" i="3"/>
  <c r="L1023" i="3"/>
  <c r="K1023" i="3"/>
  <c r="J1023" i="3"/>
  <c r="I1023" i="3"/>
  <c r="T1023" i="3" s="1"/>
  <c r="AF1022" i="3"/>
  <c r="W1022" i="3" s="1"/>
  <c r="V1022" i="3"/>
  <c r="S1022" i="3"/>
  <c r="S1021" i="3" s="1"/>
  <c r="B1022" i="3"/>
  <c r="R1021" i="3"/>
  <c r="Q1021" i="3"/>
  <c r="L1021" i="3"/>
  <c r="K1021" i="3"/>
  <c r="J1021" i="3"/>
  <c r="I1021" i="3"/>
  <c r="T1021" i="3" s="1"/>
  <c r="AF1020" i="3"/>
  <c r="W1020" i="3" s="1"/>
  <c r="V1020" i="3"/>
  <c r="S1020" i="3"/>
  <c r="B1020" i="3"/>
  <c r="AF1019" i="3"/>
  <c r="W1019" i="3" s="1"/>
  <c r="V1019" i="3"/>
  <c r="S1019" i="3"/>
  <c r="S1018" i="3" s="1"/>
  <c r="B1019" i="3"/>
  <c r="R1018" i="3"/>
  <c r="Q1018" i="3"/>
  <c r="L1018" i="3"/>
  <c r="K1018" i="3"/>
  <c r="J1018" i="3"/>
  <c r="I1018" i="3"/>
  <c r="T1018" i="3" s="1"/>
  <c r="AF1017" i="3"/>
  <c r="W1017" i="3" s="1"/>
  <c r="V1017" i="3"/>
  <c r="S1017" i="3"/>
  <c r="S1016" i="3" s="1"/>
  <c r="B1017" i="3"/>
  <c r="R1016" i="3"/>
  <c r="Q1016" i="3"/>
  <c r="L1016" i="3"/>
  <c r="K1016" i="3"/>
  <c r="J1016" i="3"/>
  <c r="I1016" i="3"/>
  <c r="T1016" i="3" s="1"/>
  <c r="AF1015" i="3"/>
  <c r="W1015" i="3" s="1"/>
  <c r="V1015" i="3"/>
  <c r="S1015" i="3"/>
  <c r="B1015" i="3"/>
  <c r="AF1014" i="3"/>
  <c r="W1014" i="3" s="1"/>
  <c r="V1014" i="3"/>
  <c r="S1014" i="3"/>
  <c r="B1014" i="3"/>
  <c r="AF1013" i="3"/>
  <c r="W1013" i="3" s="1"/>
  <c r="V1013" i="3"/>
  <c r="S1013" i="3"/>
  <c r="B1013" i="3"/>
  <c r="R1012" i="3"/>
  <c r="Q1012" i="3"/>
  <c r="L1012" i="3"/>
  <c r="K1012" i="3"/>
  <c r="J1012" i="3"/>
  <c r="I1012" i="3"/>
  <c r="T1012" i="3" s="1"/>
  <c r="S1011" i="3"/>
  <c r="B1011" i="3"/>
  <c r="S1010" i="3"/>
  <c r="B1010" i="3"/>
  <c r="AF1009" i="3"/>
  <c r="W1009" i="3" s="1"/>
  <c r="V1009" i="3"/>
  <c r="S1009" i="3"/>
  <c r="B1009" i="3"/>
  <c r="AF1008" i="3"/>
  <c r="W1008" i="3" s="1"/>
  <c r="V1008" i="3"/>
  <c r="S1008" i="3"/>
  <c r="B1008" i="3"/>
  <c r="AF1007" i="3"/>
  <c r="W1007" i="3" s="1"/>
  <c r="V1007" i="3"/>
  <c r="S1007" i="3"/>
  <c r="B1007" i="3"/>
  <c r="AF1006" i="3"/>
  <c r="W1006" i="3" s="1"/>
  <c r="V1006" i="3"/>
  <c r="S1006" i="3"/>
  <c r="B1006" i="3"/>
  <c r="AF1005" i="3"/>
  <c r="W1005" i="3" s="1"/>
  <c r="V1005" i="3"/>
  <c r="S1005" i="3"/>
  <c r="B1005" i="3"/>
  <c r="AF1004" i="3"/>
  <c r="W1004" i="3" s="1"/>
  <c r="V1004" i="3"/>
  <c r="S1004" i="3"/>
  <c r="B1004" i="3"/>
  <c r="R1003" i="3"/>
  <c r="Q1003" i="3"/>
  <c r="L1003" i="3"/>
  <c r="K1003" i="3"/>
  <c r="J1003" i="3"/>
  <c r="I1003" i="3"/>
  <c r="T1003" i="3" s="1"/>
  <c r="AF1002" i="3"/>
  <c r="W1002" i="3" s="1"/>
  <c r="V1002" i="3"/>
  <c r="S1002" i="3"/>
  <c r="S1001" i="3" s="1"/>
  <c r="B1002" i="3"/>
  <c r="R1001" i="3"/>
  <c r="Q1001" i="3"/>
  <c r="L1001" i="3"/>
  <c r="K1001" i="3"/>
  <c r="J1001" i="3"/>
  <c r="I1001" i="3"/>
  <c r="T1001" i="3" s="1"/>
  <c r="S1000" i="3"/>
  <c r="B1000" i="3"/>
  <c r="AF999" i="3"/>
  <c r="W999" i="3" s="1"/>
  <c r="V999" i="3"/>
  <c r="S999" i="3"/>
  <c r="B999" i="3"/>
  <c r="AF998" i="3"/>
  <c r="W998" i="3" s="1"/>
  <c r="V998" i="3"/>
  <c r="S998" i="3"/>
  <c r="B998" i="3"/>
  <c r="R997" i="3"/>
  <c r="Q997" i="3"/>
  <c r="L997" i="3"/>
  <c r="K997" i="3"/>
  <c r="J997" i="3"/>
  <c r="I997" i="3"/>
  <c r="T997" i="3" s="1"/>
  <c r="AF996" i="3"/>
  <c r="W996" i="3" s="1"/>
  <c r="V996" i="3"/>
  <c r="S996" i="3"/>
  <c r="B996" i="3"/>
  <c r="AF995" i="3"/>
  <c r="W995" i="3" s="1"/>
  <c r="V995" i="3"/>
  <c r="S995" i="3"/>
  <c r="B995" i="3"/>
  <c r="AF994" i="3"/>
  <c r="W994" i="3" s="1"/>
  <c r="V994" i="3"/>
  <c r="S994" i="3"/>
  <c r="B994" i="3"/>
  <c r="AF993" i="3"/>
  <c r="W993" i="3" s="1"/>
  <c r="V993" i="3"/>
  <c r="S993" i="3"/>
  <c r="B993" i="3"/>
  <c r="W992" i="3"/>
  <c r="V992" i="3"/>
  <c r="S992" i="3"/>
  <c r="B992" i="3"/>
  <c r="R991" i="3"/>
  <c r="Q991" i="3"/>
  <c r="L991" i="3"/>
  <c r="K991" i="3"/>
  <c r="J991" i="3"/>
  <c r="I991" i="3"/>
  <c r="T991" i="3" s="1"/>
  <c r="AF990" i="3"/>
  <c r="W990" i="3" s="1"/>
  <c r="V990" i="3"/>
  <c r="S990" i="3"/>
  <c r="B990" i="3"/>
  <c r="AF989" i="3"/>
  <c r="W989" i="3" s="1"/>
  <c r="V989" i="3"/>
  <c r="S989" i="3"/>
  <c r="B989" i="3"/>
  <c r="R988" i="3"/>
  <c r="Q988" i="3"/>
  <c r="L988" i="3"/>
  <c r="K988" i="3"/>
  <c r="J988" i="3"/>
  <c r="I988" i="3"/>
  <c r="T988" i="3" s="1"/>
  <c r="AF987" i="3"/>
  <c r="W987" i="3" s="1"/>
  <c r="V987" i="3"/>
  <c r="S987" i="3"/>
  <c r="B987" i="3"/>
  <c r="AF986" i="3"/>
  <c r="W986" i="3" s="1"/>
  <c r="V986" i="3"/>
  <c r="S986" i="3"/>
  <c r="B986" i="3"/>
  <c r="AF985" i="3"/>
  <c r="W985" i="3" s="1"/>
  <c r="V985" i="3"/>
  <c r="S985" i="3"/>
  <c r="B985" i="3"/>
  <c r="AF984" i="3"/>
  <c r="W984" i="3" s="1"/>
  <c r="V984" i="3"/>
  <c r="S984" i="3"/>
  <c r="B984" i="3"/>
  <c r="R983" i="3"/>
  <c r="Q983" i="3"/>
  <c r="L983" i="3"/>
  <c r="K983" i="3"/>
  <c r="J983" i="3"/>
  <c r="I983" i="3"/>
  <c r="T983" i="3" s="1"/>
  <c r="AF982" i="3"/>
  <c r="W982" i="3" s="1"/>
  <c r="V982" i="3"/>
  <c r="S982" i="3"/>
  <c r="S981" i="3" s="1"/>
  <c r="B982" i="3"/>
  <c r="R981" i="3"/>
  <c r="Q981" i="3"/>
  <c r="L981" i="3"/>
  <c r="K981" i="3"/>
  <c r="J981" i="3"/>
  <c r="I981" i="3"/>
  <c r="T981" i="3" s="1"/>
  <c r="AF980" i="3"/>
  <c r="W980" i="3" s="1"/>
  <c r="V980" i="3"/>
  <c r="S980" i="3"/>
  <c r="S979" i="3" s="1"/>
  <c r="B980" i="3"/>
  <c r="R979" i="3"/>
  <c r="Q979" i="3"/>
  <c r="L979" i="3"/>
  <c r="K979" i="3"/>
  <c r="J979" i="3"/>
  <c r="I979" i="3"/>
  <c r="T979" i="3" s="1"/>
  <c r="AF978" i="3"/>
  <c r="W978" i="3" s="1"/>
  <c r="V978" i="3"/>
  <c r="S978" i="3"/>
  <c r="S977" i="3" s="1"/>
  <c r="B978" i="3"/>
  <c r="R977" i="3"/>
  <c r="Q977" i="3"/>
  <c r="L977" i="3"/>
  <c r="K977" i="3"/>
  <c r="J977" i="3"/>
  <c r="I977" i="3"/>
  <c r="T977" i="3" s="1"/>
  <c r="AF976" i="3"/>
  <c r="W976" i="3" s="1"/>
  <c r="V976" i="3"/>
  <c r="S976" i="3"/>
  <c r="S975" i="3" s="1"/>
  <c r="B976" i="3"/>
  <c r="R975" i="3"/>
  <c r="Q975" i="3"/>
  <c r="L975" i="3"/>
  <c r="K975" i="3"/>
  <c r="J975" i="3"/>
  <c r="I975" i="3"/>
  <c r="T975" i="3" s="1"/>
  <c r="AF974" i="3"/>
  <c r="W974" i="3" s="1"/>
  <c r="V974" i="3"/>
  <c r="S974" i="3"/>
  <c r="B974" i="3"/>
  <c r="AF973" i="3"/>
  <c r="W973" i="3" s="1"/>
  <c r="V973" i="3"/>
  <c r="S973" i="3"/>
  <c r="B973" i="3"/>
  <c r="AF972" i="3"/>
  <c r="W972" i="3" s="1"/>
  <c r="V972" i="3"/>
  <c r="S972" i="3"/>
  <c r="B972" i="3"/>
  <c r="AF971" i="3"/>
  <c r="W971" i="3" s="1"/>
  <c r="V971" i="3"/>
  <c r="S971" i="3"/>
  <c r="B971" i="3"/>
  <c r="R970" i="3"/>
  <c r="Q970" i="3"/>
  <c r="L970" i="3"/>
  <c r="K970" i="3"/>
  <c r="J970" i="3"/>
  <c r="I970" i="3"/>
  <c r="T970" i="3" s="1"/>
  <c r="AF969" i="3"/>
  <c r="W969" i="3" s="1"/>
  <c r="V969" i="3"/>
  <c r="S969" i="3"/>
  <c r="S968" i="3" s="1"/>
  <c r="B969" i="3"/>
  <c r="R968" i="3"/>
  <c r="Q968" i="3"/>
  <c r="L968" i="3"/>
  <c r="K968" i="3"/>
  <c r="J968" i="3"/>
  <c r="I968" i="3"/>
  <c r="T968" i="3" s="1"/>
  <c r="AF967" i="3"/>
  <c r="W967" i="3" s="1"/>
  <c r="S967" i="3"/>
  <c r="K967" i="3"/>
  <c r="K964" i="3" s="1"/>
  <c r="B967" i="3"/>
  <c r="AF966" i="3"/>
  <c r="W966" i="3" s="1"/>
  <c r="V966" i="3"/>
  <c r="S966" i="3"/>
  <c r="B966" i="3"/>
  <c r="AF965" i="3"/>
  <c r="W965" i="3" s="1"/>
  <c r="V965" i="3"/>
  <c r="S965" i="3"/>
  <c r="B965" i="3"/>
  <c r="R964" i="3"/>
  <c r="Q964" i="3"/>
  <c r="L964" i="3"/>
  <c r="J964" i="3"/>
  <c r="I964" i="3"/>
  <c r="T964" i="3" s="1"/>
  <c r="AF963" i="3"/>
  <c r="W963" i="3" s="1"/>
  <c r="S963" i="3"/>
  <c r="K963" i="3"/>
  <c r="K955" i="3" s="1"/>
  <c r="B963" i="3"/>
  <c r="AF962" i="3"/>
  <c r="W962" i="3" s="1"/>
  <c r="V962" i="3"/>
  <c r="S962" i="3"/>
  <c r="B962" i="3"/>
  <c r="AF961" i="3"/>
  <c r="W961" i="3" s="1"/>
  <c r="V961" i="3"/>
  <c r="S961" i="3"/>
  <c r="B961" i="3"/>
  <c r="AF960" i="3"/>
  <c r="W960" i="3" s="1"/>
  <c r="V960" i="3"/>
  <c r="S960" i="3"/>
  <c r="B960" i="3"/>
  <c r="AF959" i="3"/>
  <c r="W959" i="3" s="1"/>
  <c r="V959" i="3"/>
  <c r="S959" i="3"/>
  <c r="B959" i="3"/>
  <c r="AF958" i="3"/>
  <c r="W958" i="3" s="1"/>
  <c r="V958" i="3"/>
  <c r="S958" i="3"/>
  <c r="B958" i="3"/>
  <c r="AF957" i="3"/>
  <c r="W957" i="3" s="1"/>
  <c r="V957" i="3"/>
  <c r="S957" i="3"/>
  <c r="B957" i="3"/>
  <c r="AF956" i="3"/>
  <c r="V956" i="3"/>
  <c r="S956" i="3"/>
  <c r="B956" i="3"/>
  <c r="R955" i="3"/>
  <c r="Q955" i="3"/>
  <c r="L955" i="3"/>
  <c r="J955" i="3"/>
  <c r="I955" i="3"/>
  <c r="T955" i="3" s="1"/>
  <c r="AF954" i="3"/>
  <c r="W954" i="3" s="1"/>
  <c r="V954" i="3"/>
  <c r="S954" i="3"/>
  <c r="B954" i="3"/>
  <c r="AF953" i="3"/>
  <c r="W953" i="3" s="1"/>
  <c r="V953" i="3"/>
  <c r="S953" i="3"/>
  <c r="B953" i="3"/>
  <c r="R952" i="3"/>
  <c r="Q952" i="3"/>
  <c r="L952" i="3"/>
  <c r="K952" i="3"/>
  <c r="J952" i="3"/>
  <c r="I952" i="3"/>
  <c r="T952" i="3" s="1"/>
  <c r="AF951" i="3"/>
  <c r="W951" i="3" s="1"/>
  <c r="V951" i="3"/>
  <c r="S951" i="3"/>
  <c r="B951" i="3"/>
  <c r="AF950" i="3"/>
  <c r="W950" i="3" s="1"/>
  <c r="V950" i="3"/>
  <c r="S950" i="3"/>
  <c r="B950" i="3"/>
  <c r="R949" i="3"/>
  <c r="Q949" i="3"/>
  <c r="L949" i="3"/>
  <c r="K949" i="3"/>
  <c r="J949" i="3"/>
  <c r="I949" i="3"/>
  <c r="T949" i="3" s="1"/>
  <c r="AJ948" i="3"/>
  <c r="W948" i="3" s="1"/>
  <c r="V948" i="3"/>
  <c r="S948" i="3"/>
  <c r="B948" i="3"/>
  <c r="AJ947" i="3"/>
  <c r="W947" i="3" s="1"/>
  <c r="V947" i="3"/>
  <c r="S947" i="3"/>
  <c r="B947" i="3"/>
  <c r="R946" i="3"/>
  <c r="Q946" i="3"/>
  <c r="L946" i="3"/>
  <c r="K946" i="3"/>
  <c r="J946" i="3"/>
  <c r="I946" i="3"/>
  <c r="T946" i="3" s="1"/>
  <c r="AF945" i="3"/>
  <c r="W945" i="3" s="1"/>
  <c r="V945" i="3"/>
  <c r="S945" i="3"/>
  <c r="B945" i="3"/>
  <c r="AJ944" i="3"/>
  <c r="W944" i="3" s="1"/>
  <c r="V944" i="3"/>
  <c r="S944" i="3"/>
  <c r="B944" i="3"/>
  <c r="AJ943" i="3"/>
  <c r="W943" i="3" s="1"/>
  <c r="V943" i="3"/>
  <c r="S943" i="3"/>
  <c r="B943" i="3"/>
  <c r="R942" i="3"/>
  <c r="Q942" i="3"/>
  <c r="L942" i="3"/>
  <c r="K942" i="3"/>
  <c r="J942" i="3"/>
  <c r="I942" i="3"/>
  <c r="T942" i="3" s="1"/>
  <c r="AJ941" i="3"/>
  <c r="W941" i="3" s="1"/>
  <c r="V941" i="3"/>
  <c r="S941" i="3"/>
  <c r="B941" i="3"/>
  <c r="AJ940" i="3"/>
  <c r="W940" i="3" s="1"/>
  <c r="V940" i="3"/>
  <c r="S940" i="3"/>
  <c r="B940" i="3"/>
  <c r="R939" i="3"/>
  <c r="Q939" i="3"/>
  <c r="L939" i="3"/>
  <c r="K939" i="3"/>
  <c r="J939" i="3"/>
  <c r="I939" i="3"/>
  <c r="T939" i="3" s="1"/>
  <c r="AF938" i="3"/>
  <c r="W938" i="3" s="1"/>
  <c r="V938" i="3"/>
  <c r="S938" i="3"/>
  <c r="B938" i="3"/>
  <c r="AF937" i="3"/>
  <c r="W937" i="3" s="1"/>
  <c r="V937" i="3"/>
  <c r="S937" i="3"/>
  <c r="B937" i="3"/>
  <c r="AF936" i="3"/>
  <c r="W936" i="3" s="1"/>
  <c r="V936" i="3"/>
  <c r="S936" i="3"/>
  <c r="B936" i="3"/>
  <c r="AF935" i="3"/>
  <c r="W935" i="3" s="1"/>
  <c r="V935" i="3"/>
  <c r="S935" i="3"/>
  <c r="B935" i="3"/>
  <c r="AF934" i="3"/>
  <c r="W934" i="3" s="1"/>
  <c r="V934" i="3"/>
  <c r="S934" i="3"/>
  <c r="B934" i="3"/>
  <c r="AF933" i="3"/>
  <c r="W933" i="3" s="1"/>
  <c r="V933" i="3"/>
  <c r="S933" i="3"/>
  <c r="B933" i="3"/>
  <c r="AF932" i="3"/>
  <c r="W932" i="3" s="1"/>
  <c r="V932" i="3"/>
  <c r="S932" i="3"/>
  <c r="B932" i="3"/>
  <c r="AF931" i="3"/>
  <c r="W931" i="3" s="1"/>
  <c r="V931" i="3"/>
  <c r="S931" i="3"/>
  <c r="B931" i="3"/>
  <c r="AF930" i="3"/>
  <c r="W930" i="3" s="1"/>
  <c r="V930" i="3"/>
  <c r="S930" i="3"/>
  <c r="B930" i="3"/>
  <c r="AF929" i="3"/>
  <c r="W929" i="3" s="1"/>
  <c r="V929" i="3"/>
  <c r="S929" i="3"/>
  <c r="B929" i="3"/>
  <c r="AN928" i="3"/>
  <c r="V928" i="3"/>
  <c r="S928" i="3"/>
  <c r="B928" i="3"/>
  <c r="AF927" i="3"/>
  <c r="W927" i="3" s="1"/>
  <c r="V927" i="3"/>
  <c r="S927" i="3"/>
  <c r="B927" i="3"/>
  <c r="R926" i="3"/>
  <c r="Q926" i="3"/>
  <c r="L926" i="3"/>
  <c r="K926" i="3"/>
  <c r="J926" i="3"/>
  <c r="I926" i="3"/>
  <c r="T926" i="3" s="1"/>
  <c r="AF925" i="3"/>
  <c r="W925" i="3" s="1"/>
  <c r="V925" i="3"/>
  <c r="S925" i="3"/>
  <c r="S924" i="3" s="1"/>
  <c r="B925" i="3"/>
  <c r="R924" i="3"/>
  <c r="Q924" i="3"/>
  <c r="L924" i="3"/>
  <c r="K924" i="3"/>
  <c r="J924" i="3"/>
  <c r="I924" i="3"/>
  <c r="T924" i="3" s="1"/>
  <c r="AF923" i="3"/>
  <c r="W923" i="3" s="1"/>
  <c r="V923" i="3"/>
  <c r="S923" i="3"/>
  <c r="B923" i="3"/>
  <c r="AF922" i="3"/>
  <c r="W922" i="3" s="1"/>
  <c r="V922" i="3"/>
  <c r="S922" i="3"/>
  <c r="B922" i="3"/>
  <c r="AF921" i="3"/>
  <c r="W921" i="3" s="1"/>
  <c r="V921" i="3"/>
  <c r="S921" i="3"/>
  <c r="B921" i="3"/>
  <c r="AF920" i="3"/>
  <c r="W920" i="3" s="1"/>
  <c r="V920" i="3"/>
  <c r="S920" i="3"/>
  <c r="B920" i="3"/>
  <c r="R919" i="3"/>
  <c r="Q919" i="3"/>
  <c r="L919" i="3"/>
  <c r="K919" i="3"/>
  <c r="J919" i="3"/>
  <c r="I919" i="3"/>
  <c r="T919" i="3" s="1"/>
  <c r="AF918" i="3"/>
  <c r="W918" i="3" s="1"/>
  <c r="V918" i="3"/>
  <c r="S918" i="3"/>
  <c r="S917" i="3" s="1"/>
  <c r="B918" i="3"/>
  <c r="R917" i="3"/>
  <c r="Q917" i="3"/>
  <c r="L917" i="3"/>
  <c r="K917" i="3"/>
  <c r="J917" i="3"/>
  <c r="I917" i="3"/>
  <c r="T917" i="3" s="1"/>
  <c r="AF916" i="3"/>
  <c r="W916" i="3" s="1"/>
  <c r="V916" i="3"/>
  <c r="S916" i="3"/>
  <c r="S915" i="3" s="1"/>
  <c r="B916" i="3"/>
  <c r="R915" i="3"/>
  <c r="Q915" i="3"/>
  <c r="L915" i="3"/>
  <c r="K915" i="3"/>
  <c r="J915" i="3"/>
  <c r="I915" i="3"/>
  <c r="T915" i="3" s="1"/>
  <c r="AF912" i="3"/>
  <c r="W912" i="3" s="1"/>
  <c r="V912" i="3"/>
  <c r="S912" i="3"/>
  <c r="S911" i="3" s="1"/>
  <c r="B912" i="3"/>
  <c r="R911" i="3"/>
  <c r="Q911" i="3"/>
  <c r="L911" i="3"/>
  <c r="K911" i="3"/>
  <c r="J911" i="3"/>
  <c r="I911" i="3"/>
  <c r="T911" i="3" s="1"/>
  <c r="AF910" i="3"/>
  <c r="W910" i="3" s="1"/>
  <c r="V910" i="3"/>
  <c r="S910" i="3"/>
  <c r="S909" i="3" s="1"/>
  <c r="B910" i="3"/>
  <c r="R909" i="3"/>
  <c r="Q909" i="3"/>
  <c r="L909" i="3"/>
  <c r="K909" i="3"/>
  <c r="J909" i="3"/>
  <c r="I909" i="3"/>
  <c r="T909" i="3" s="1"/>
  <c r="AF908" i="3"/>
  <c r="W908" i="3" s="1"/>
  <c r="V908" i="3"/>
  <c r="S908" i="3"/>
  <c r="S907" i="3" s="1"/>
  <c r="B908" i="3"/>
  <c r="R907" i="3"/>
  <c r="Q907" i="3"/>
  <c r="L907" i="3"/>
  <c r="K907" i="3"/>
  <c r="J907" i="3"/>
  <c r="I907" i="3"/>
  <c r="T907" i="3" s="1"/>
  <c r="AF906" i="3"/>
  <c r="W906" i="3" s="1"/>
  <c r="V906" i="3"/>
  <c r="S906" i="3"/>
  <c r="S905" i="3" s="1"/>
  <c r="B906" i="3"/>
  <c r="R905" i="3"/>
  <c r="Q905" i="3"/>
  <c r="L905" i="3"/>
  <c r="K905" i="3"/>
  <c r="J905" i="3"/>
  <c r="I905" i="3"/>
  <c r="T905" i="3" s="1"/>
  <c r="AJ904" i="3"/>
  <c r="W904" i="3" s="1"/>
  <c r="V904" i="3"/>
  <c r="S904" i="3"/>
  <c r="B904" i="3"/>
  <c r="AJ903" i="3"/>
  <c r="W903" i="3" s="1"/>
  <c r="V903" i="3"/>
  <c r="S903" i="3"/>
  <c r="B903" i="3"/>
  <c r="R902" i="3"/>
  <c r="Q902" i="3"/>
  <c r="L902" i="3"/>
  <c r="K902" i="3"/>
  <c r="J902" i="3"/>
  <c r="I902" i="3"/>
  <c r="T902" i="3" s="1"/>
  <c r="AJ901" i="3"/>
  <c r="W901" i="3" s="1"/>
  <c r="V901" i="3"/>
  <c r="S901" i="3"/>
  <c r="B901" i="3"/>
  <c r="AJ900" i="3"/>
  <c r="W900" i="3" s="1"/>
  <c r="V900" i="3"/>
  <c r="S900" i="3"/>
  <c r="S899" i="3" s="1"/>
  <c r="B900" i="3"/>
  <c r="R899" i="3"/>
  <c r="Q899" i="3"/>
  <c r="L899" i="3"/>
  <c r="K899" i="3"/>
  <c r="J899" i="3"/>
  <c r="I899" i="3"/>
  <c r="T899" i="3" s="1"/>
  <c r="AF898" i="3"/>
  <c r="W898" i="3" s="1"/>
  <c r="V898" i="3"/>
  <c r="S898" i="3"/>
  <c r="B898" i="3"/>
  <c r="AL897" i="3"/>
  <c r="W897" i="3" s="1"/>
  <c r="V897" i="3"/>
  <c r="S897" i="3"/>
  <c r="B897" i="3"/>
  <c r="AF896" i="3"/>
  <c r="W896" i="3" s="1"/>
  <c r="V896" i="3"/>
  <c r="S896" i="3"/>
  <c r="B896" i="3"/>
  <c r="AL895" i="3"/>
  <c r="W895" i="3" s="1"/>
  <c r="V895" i="3"/>
  <c r="S895" i="3"/>
  <c r="B895" i="3"/>
  <c r="AF894" i="3"/>
  <c r="W894" i="3" s="1"/>
  <c r="V894" i="3"/>
  <c r="S894" i="3"/>
  <c r="B894" i="3"/>
  <c r="AN893" i="3"/>
  <c r="W893" i="3" s="1"/>
  <c r="V893" i="3"/>
  <c r="S893" i="3"/>
  <c r="B893" i="3"/>
  <c r="AL892" i="3"/>
  <c r="W892" i="3" s="1"/>
  <c r="V892" i="3"/>
  <c r="S892" i="3"/>
  <c r="B892" i="3"/>
  <c r="AF891" i="3"/>
  <c r="W891" i="3" s="1"/>
  <c r="V891" i="3"/>
  <c r="S891" i="3"/>
  <c r="B891" i="3"/>
  <c r="AN890" i="3"/>
  <c r="W890" i="3" s="1"/>
  <c r="V890" i="3"/>
  <c r="S890" i="3"/>
  <c r="B890" i="3"/>
  <c r="AF889" i="3"/>
  <c r="W889" i="3" s="1"/>
  <c r="V889" i="3"/>
  <c r="S889" i="3"/>
  <c r="B889" i="3"/>
  <c r="R888" i="3"/>
  <c r="Q888" i="3"/>
  <c r="L888" i="3"/>
  <c r="K888" i="3"/>
  <c r="J888" i="3"/>
  <c r="I888" i="3"/>
  <c r="T888" i="3" s="1"/>
  <c r="AF887" i="3"/>
  <c r="W887" i="3" s="1"/>
  <c r="V887" i="3"/>
  <c r="S887" i="3"/>
  <c r="B887" i="3"/>
  <c r="AF886" i="3"/>
  <c r="W886" i="3" s="1"/>
  <c r="V886" i="3"/>
  <c r="S886" i="3"/>
  <c r="B886" i="3"/>
  <c r="AF885" i="3"/>
  <c r="W885" i="3" s="1"/>
  <c r="V885" i="3"/>
  <c r="S885" i="3"/>
  <c r="B885" i="3"/>
  <c r="AF884" i="3"/>
  <c r="W884" i="3" s="1"/>
  <c r="V884" i="3"/>
  <c r="S884" i="3"/>
  <c r="K884" i="3"/>
  <c r="B884" i="3"/>
  <c r="AF883" i="3"/>
  <c r="W883" i="3" s="1"/>
  <c r="V883" i="3"/>
  <c r="S883" i="3"/>
  <c r="K883" i="3"/>
  <c r="B883" i="3"/>
  <c r="AF882" i="3"/>
  <c r="W882" i="3" s="1"/>
  <c r="V882" i="3"/>
  <c r="S882" i="3"/>
  <c r="B882" i="3"/>
  <c r="AF881" i="3"/>
  <c r="W881" i="3" s="1"/>
  <c r="V881" i="3"/>
  <c r="S881" i="3"/>
  <c r="B881" i="3"/>
  <c r="AF880" i="3"/>
  <c r="W880" i="3" s="1"/>
  <c r="V880" i="3"/>
  <c r="S880" i="3"/>
  <c r="B880" i="3"/>
  <c r="AF879" i="3"/>
  <c r="W879" i="3" s="1"/>
  <c r="V879" i="3"/>
  <c r="S879" i="3"/>
  <c r="B879" i="3"/>
  <c r="AF878" i="3"/>
  <c r="W878" i="3" s="1"/>
  <c r="V878" i="3"/>
  <c r="S878" i="3"/>
  <c r="B878" i="3"/>
  <c r="AF877" i="3"/>
  <c r="W877" i="3" s="1"/>
  <c r="V877" i="3"/>
  <c r="S877" i="3"/>
  <c r="B877" i="3"/>
  <c r="AF876" i="3"/>
  <c r="W876" i="3" s="1"/>
  <c r="V876" i="3"/>
  <c r="S876" i="3"/>
  <c r="B876" i="3"/>
  <c r="AF875" i="3"/>
  <c r="W875" i="3" s="1"/>
  <c r="V875" i="3"/>
  <c r="S875" i="3"/>
  <c r="B875" i="3"/>
  <c r="AF874" i="3"/>
  <c r="W874" i="3" s="1"/>
  <c r="V874" i="3"/>
  <c r="S874" i="3"/>
  <c r="B874" i="3"/>
  <c r="AF873" i="3"/>
  <c r="W873" i="3" s="1"/>
  <c r="V873" i="3"/>
  <c r="S873" i="3"/>
  <c r="B873" i="3"/>
  <c r="AJ872" i="3"/>
  <c r="W872" i="3" s="1"/>
  <c r="V872" i="3"/>
  <c r="S872" i="3"/>
  <c r="B872" i="3"/>
  <c r="R871" i="3"/>
  <c r="Q871" i="3"/>
  <c r="L871" i="3"/>
  <c r="J871" i="3"/>
  <c r="I871" i="3"/>
  <c r="T871" i="3" s="1"/>
  <c r="AF870" i="3"/>
  <c r="W870" i="3" s="1"/>
  <c r="V870" i="3"/>
  <c r="S870" i="3"/>
  <c r="S869" i="3" s="1"/>
  <c r="B870" i="3"/>
  <c r="R869" i="3"/>
  <c r="Q869" i="3"/>
  <c r="L869" i="3"/>
  <c r="K869" i="3"/>
  <c r="J869" i="3"/>
  <c r="I869" i="3"/>
  <c r="T869" i="3" s="1"/>
  <c r="AF868" i="3"/>
  <c r="W868" i="3" s="1"/>
  <c r="V868" i="3"/>
  <c r="S868" i="3"/>
  <c r="S867" i="3" s="1"/>
  <c r="B868" i="3"/>
  <c r="R867" i="3"/>
  <c r="Q867" i="3"/>
  <c r="L867" i="3"/>
  <c r="K867" i="3"/>
  <c r="J867" i="3"/>
  <c r="I867" i="3"/>
  <c r="T867" i="3" s="1"/>
  <c r="W866" i="3"/>
  <c r="S866" i="3"/>
  <c r="B866" i="3"/>
  <c r="AF865" i="3"/>
  <c r="W865" i="3" s="1"/>
  <c r="V865" i="3"/>
  <c r="S865" i="3"/>
  <c r="B865" i="3"/>
  <c r="R864" i="3"/>
  <c r="Q864" i="3"/>
  <c r="L864" i="3"/>
  <c r="K864" i="3"/>
  <c r="J864" i="3"/>
  <c r="I864" i="3"/>
  <c r="T864" i="3" s="1"/>
  <c r="AF863" i="3"/>
  <c r="W863" i="3" s="1"/>
  <c r="V863" i="3"/>
  <c r="S863" i="3"/>
  <c r="S862" i="3" s="1"/>
  <c r="B863" i="3"/>
  <c r="R862" i="3"/>
  <c r="Q862" i="3"/>
  <c r="L862" i="3"/>
  <c r="K862" i="3"/>
  <c r="J862" i="3"/>
  <c r="I862" i="3"/>
  <c r="T862" i="3" s="1"/>
  <c r="W861" i="3"/>
  <c r="V861" i="3"/>
  <c r="S861" i="3"/>
  <c r="B861" i="3"/>
  <c r="AF860" i="3"/>
  <c r="W860" i="3" s="1"/>
  <c r="V860" i="3"/>
  <c r="S860" i="3"/>
  <c r="B860" i="3"/>
  <c r="AF859" i="3"/>
  <c r="W859" i="3" s="1"/>
  <c r="V859" i="3"/>
  <c r="S859" i="3"/>
  <c r="B859" i="3"/>
  <c r="AF858" i="3"/>
  <c r="W858" i="3" s="1"/>
  <c r="V858" i="3"/>
  <c r="S858" i="3"/>
  <c r="S857" i="3" s="1"/>
  <c r="B858" i="3"/>
  <c r="R857" i="3"/>
  <c r="Q857" i="3"/>
  <c r="L857" i="3"/>
  <c r="K857" i="3"/>
  <c r="J857" i="3"/>
  <c r="I857" i="3"/>
  <c r="T857" i="3" s="1"/>
  <c r="AL856" i="3"/>
  <c r="AJ856" i="3"/>
  <c r="V856" i="3"/>
  <c r="S856" i="3"/>
  <c r="B856" i="3"/>
  <c r="AF855" i="3"/>
  <c r="W855" i="3" s="1"/>
  <c r="V855" i="3"/>
  <c r="S855" i="3"/>
  <c r="B855" i="3"/>
  <c r="AF854" i="3"/>
  <c r="W854" i="3" s="1"/>
  <c r="V854" i="3"/>
  <c r="S854" i="3"/>
  <c r="B854" i="3"/>
  <c r="AF853" i="3"/>
  <c r="W853" i="3" s="1"/>
  <c r="V853" i="3"/>
  <c r="S853" i="3"/>
  <c r="B853" i="3"/>
  <c r="AF852" i="3"/>
  <c r="W852" i="3" s="1"/>
  <c r="V852" i="3"/>
  <c r="S852" i="3"/>
  <c r="B852" i="3"/>
  <c r="AF851" i="3"/>
  <c r="W851" i="3" s="1"/>
  <c r="V851" i="3"/>
  <c r="S851" i="3"/>
  <c r="B851" i="3"/>
  <c r="R850" i="3"/>
  <c r="Q850" i="3"/>
  <c r="L850" i="3"/>
  <c r="K850" i="3"/>
  <c r="J850" i="3"/>
  <c r="I850" i="3"/>
  <c r="T850" i="3" s="1"/>
  <c r="AF849" i="3"/>
  <c r="W849" i="3" s="1"/>
  <c r="V849" i="3"/>
  <c r="S849" i="3"/>
  <c r="B849" i="3"/>
  <c r="AF848" i="3"/>
  <c r="W848" i="3" s="1"/>
  <c r="V848" i="3"/>
  <c r="S848" i="3"/>
  <c r="B848" i="3"/>
  <c r="W847" i="3"/>
  <c r="V847" i="3"/>
  <c r="S847" i="3"/>
  <c r="B847" i="3"/>
  <c r="AF846" i="3"/>
  <c r="W846" i="3" s="1"/>
  <c r="V846" i="3"/>
  <c r="S846" i="3"/>
  <c r="B846" i="3"/>
  <c r="W845" i="3"/>
  <c r="V845" i="3"/>
  <c r="S845" i="3"/>
  <c r="B845" i="3"/>
  <c r="AF844" i="3"/>
  <c r="W844" i="3" s="1"/>
  <c r="V844" i="3"/>
  <c r="S844" i="3"/>
  <c r="B844" i="3"/>
  <c r="AF843" i="3"/>
  <c r="W843" i="3" s="1"/>
  <c r="V843" i="3"/>
  <c r="S843" i="3"/>
  <c r="B843" i="3"/>
  <c r="R842" i="3"/>
  <c r="Q842" i="3"/>
  <c r="L842" i="3"/>
  <c r="K842" i="3"/>
  <c r="J842" i="3"/>
  <c r="I842" i="3"/>
  <c r="T842" i="3" s="1"/>
  <c r="AL841" i="3"/>
  <c r="W841" i="3" s="1"/>
  <c r="V841" i="3"/>
  <c r="S841" i="3"/>
  <c r="B841" i="3"/>
  <c r="AL840" i="3"/>
  <c r="W840" i="3" s="1"/>
  <c r="V840" i="3"/>
  <c r="S840" i="3"/>
  <c r="B840" i="3"/>
  <c r="AL839" i="3"/>
  <c r="AJ839" i="3"/>
  <c r="V839" i="3"/>
  <c r="S839" i="3"/>
  <c r="B839" i="3"/>
  <c r="AF838" i="3"/>
  <c r="W838" i="3" s="1"/>
  <c r="V838" i="3"/>
  <c r="S838" i="3"/>
  <c r="B838" i="3"/>
  <c r="AF837" i="3"/>
  <c r="W837" i="3" s="1"/>
  <c r="V837" i="3"/>
  <c r="S837" i="3"/>
  <c r="B837" i="3"/>
  <c r="AF836" i="3"/>
  <c r="W836" i="3" s="1"/>
  <c r="V836" i="3"/>
  <c r="S836" i="3"/>
  <c r="B836" i="3"/>
  <c r="AF835" i="3"/>
  <c r="W835" i="3" s="1"/>
  <c r="V835" i="3"/>
  <c r="S835" i="3"/>
  <c r="B835" i="3"/>
  <c r="AF834" i="3"/>
  <c r="W834" i="3" s="1"/>
  <c r="V834" i="3"/>
  <c r="S834" i="3"/>
  <c r="B834" i="3"/>
  <c r="AF833" i="3"/>
  <c r="W833" i="3" s="1"/>
  <c r="V833" i="3"/>
  <c r="S833" i="3"/>
  <c r="B833" i="3"/>
  <c r="AF832" i="3"/>
  <c r="W832" i="3" s="1"/>
  <c r="V832" i="3"/>
  <c r="S832" i="3"/>
  <c r="B832" i="3"/>
  <c r="AF831" i="3"/>
  <c r="W831" i="3" s="1"/>
  <c r="V831" i="3"/>
  <c r="S831" i="3"/>
  <c r="B831" i="3"/>
  <c r="AF830" i="3"/>
  <c r="W830" i="3" s="1"/>
  <c r="V830" i="3"/>
  <c r="S830" i="3"/>
  <c r="B830" i="3"/>
  <c r="AF829" i="3"/>
  <c r="W829" i="3" s="1"/>
  <c r="V829" i="3"/>
  <c r="S829" i="3"/>
  <c r="B829" i="3"/>
  <c r="AF828" i="3"/>
  <c r="W828" i="3" s="1"/>
  <c r="V828" i="3"/>
  <c r="S828" i="3"/>
  <c r="B828" i="3"/>
  <c r="AF827" i="3"/>
  <c r="W827" i="3" s="1"/>
  <c r="V827" i="3"/>
  <c r="S827" i="3"/>
  <c r="B827" i="3"/>
  <c r="AF826" i="3"/>
  <c r="W826" i="3" s="1"/>
  <c r="V826" i="3"/>
  <c r="S826" i="3"/>
  <c r="B826" i="3"/>
  <c r="AD825" i="3"/>
  <c r="W825" i="3" s="1"/>
  <c r="V825" i="3"/>
  <c r="S825" i="3"/>
  <c r="B825" i="3"/>
  <c r="AF824" i="3"/>
  <c r="W824" i="3" s="1"/>
  <c r="V824" i="3"/>
  <c r="S824" i="3"/>
  <c r="B824" i="3"/>
  <c r="AF823" i="3"/>
  <c r="W823" i="3" s="1"/>
  <c r="V823" i="3"/>
  <c r="S823" i="3"/>
  <c r="B823" i="3"/>
  <c r="AF822" i="3"/>
  <c r="W822" i="3" s="1"/>
  <c r="V822" i="3"/>
  <c r="S822" i="3"/>
  <c r="B822" i="3"/>
  <c r="AF821" i="3"/>
  <c r="W821" i="3" s="1"/>
  <c r="V821" i="3"/>
  <c r="S821" i="3"/>
  <c r="B821" i="3"/>
  <c r="AF820" i="3"/>
  <c r="W820" i="3" s="1"/>
  <c r="V820" i="3"/>
  <c r="S820" i="3"/>
  <c r="B820" i="3"/>
  <c r="AF819" i="3"/>
  <c r="W819" i="3" s="1"/>
  <c r="V819" i="3"/>
  <c r="S819" i="3"/>
  <c r="B819" i="3"/>
  <c r="AF818" i="3"/>
  <c r="W818" i="3" s="1"/>
  <c r="V818" i="3"/>
  <c r="S818" i="3"/>
  <c r="B818" i="3"/>
  <c r="AF817" i="3"/>
  <c r="W817" i="3" s="1"/>
  <c r="V817" i="3"/>
  <c r="S817" i="3"/>
  <c r="B817" i="3"/>
  <c r="AF816" i="3"/>
  <c r="W816" i="3" s="1"/>
  <c r="V816" i="3"/>
  <c r="S816" i="3"/>
  <c r="B816" i="3"/>
  <c r="R815" i="3"/>
  <c r="Q815" i="3"/>
  <c r="L815" i="3"/>
  <c r="K815" i="3"/>
  <c r="J815" i="3"/>
  <c r="I815" i="3"/>
  <c r="T815" i="3" s="1"/>
  <c r="S814" i="3"/>
  <c r="B814" i="3"/>
  <c r="W808" i="3"/>
  <c r="S808" i="3"/>
  <c r="B808" i="3"/>
  <c r="S807" i="3"/>
  <c r="B807" i="3"/>
  <c r="S806" i="3"/>
  <c r="B806" i="3"/>
  <c r="AJ805" i="3"/>
  <c r="W805" i="3" s="1"/>
  <c r="V805" i="3"/>
  <c r="S805" i="3"/>
  <c r="B805" i="3"/>
  <c r="AJ804" i="3"/>
  <c r="W804" i="3" s="1"/>
  <c r="V804" i="3"/>
  <c r="S804" i="3"/>
  <c r="B804" i="3"/>
  <c r="W803" i="3"/>
  <c r="V803" i="3"/>
  <c r="S803" i="3"/>
  <c r="B803" i="3"/>
  <c r="AJ802" i="3"/>
  <c r="W802" i="3" s="1"/>
  <c r="V802" i="3"/>
  <c r="S802" i="3"/>
  <c r="B802" i="3"/>
  <c r="W801" i="3"/>
  <c r="V801" i="3"/>
  <c r="S801" i="3"/>
  <c r="B801" i="3"/>
  <c r="AJ800" i="3"/>
  <c r="W800" i="3" s="1"/>
  <c r="V800" i="3"/>
  <c r="S800" i="3"/>
  <c r="B800" i="3"/>
  <c r="W799" i="3"/>
  <c r="V799" i="3"/>
  <c r="S799" i="3"/>
  <c r="B799" i="3"/>
  <c r="AD798" i="3"/>
  <c r="W798" i="3" s="1"/>
  <c r="V798" i="3"/>
  <c r="S798" i="3"/>
  <c r="B798" i="3"/>
  <c r="R797" i="3"/>
  <c r="Q797" i="3"/>
  <c r="L797" i="3"/>
  <c r="K797" i="3"/>
  <c r="J797" i="3"/>
  <c r="I797" i="3"/>
  <c r="T797" i="3" s="1"/>
  <c r="S762" i="3"/>
  <c r="W761" i="3"/>
  <c r="S761" i="3"/>
  <c r="S760" i="3"/>
  <c r="S759" i="3"/>
  <c r="S758" i="3"/>
  <c r="W757" i="3"/>
  <c r="S757" i="3"/>
  <c r="S756" i="3"/>
  <c r="S755" i="3"/>
  <c r="W754" i="3"/>
  <c r="S754" i="3"/>
  <c r="S753" i="3"/>
  <c r="S752" i="3"/>
  <c r="S751" i="3"/>
  <c r="V750" i="3"/>
  <c r="S750" i="3"/>
  <c r="S749" i="3"/>
  <c r="S748" i="3"/>
  <c r="S747" i="3"/>
  <c r="W746" i="3"/>
  <c r="S746" i="3"/>
  <c r="S745" i="3"/>
  <c r="W744" i="3"/>
  <c r="V744" i="3"/>
  <c r="S744" i="3"/>
  <c r="AF743" i="3"/>
  <c r="W743" i="3" s="1"/>
  <c r="V743" i="3"/>
  <c r="S743" i="3"/>
  <c r="AJ742" i="3"/>
  <c r="AF742" i="3"/>
  <c r="V742" i="3"/>
  <c r="S742" i="3"/>
  <c r="AF741" i="3"/>
  <c r="W741" i="3" s="1"/>
  <c r="V741" i="3"/>
  <c r="S741" i="3"/>
  <c r="AF740" i="3"/>
  <c r="W740" i="3" s="1"/>
  <c r="V740" i="3"/>
  <c r="S740" i="3"/>
  <c r="AF739" i="3"/>
  <c r="W739" i="3" s="1"/>
  <c r="V739" i="3"/>
  <c r="S739" i="3"/>
  <c r="AD738" i="3"/>
  <c r="W738" i="3" s="1"/>
  <c r="V738" i="3"/>
  <c r="S738" i="3"/>
  <c r="AD737" i="3"/>
  <c r="W737" i="3" s="1"/>
  <c r="V737" i="3"/>
  <c r="S737" i="3"/>
  <c r="AF736" i="3"/>
  <c r="W736" i="3" s="1"/>
  <c r="V736" i="3"/>
  <c r="S736" i="3"/>
  <c r="R735" i="3"/>
  <c r="Q735" i="3"/>
  <c r="L735" i="3"/>
  <c r="K735" i="3"/>
  <c r="J735" i="3"/>
  <c r="I735" i="3"/>
  <c r="T735" i="3" s="1"/>
  <c r="S717" i="3"/>
  <c r="B717" i="3"/>
  <c r="W716" i="3"/>
  <c r="S716" i="3"/>
  <c r="B716" i="3"/>
  <c r="S715" i="3"/>
  <c r="B715" i="3"/>
  <c r="S714" i="3"/>
  <c r="B714" i="3"/>
  <c r="S713" i="3"/>
  <c r="B713" i="3"/>
  <c r="W712" i="3"/>
  <c r="V712" i="3"/>
  <c r="S712" i="3"/>
  <c r="B712" i="3"/>
  <c r="AL711" i="3"/>
  <c r="W711" i="3" s="1"/>
  <c r="V711" i="3"/>
  <c r="S711" i="3"/>
  <c r="B711" i="3"/>
  <c r="AJ710" i="3"/>
  <c r="W710" i="3" s="1"/>
  <c r="V710" i="3"/>
  <c r="S710" i="3"/>
  <c r="B710" i="3"/>
  <c r="AJ709" i="3"/>
  <c r="W709" i="3" s="1"/>
  <c r="V709" i="3"/>
  <c r="S709" i="3"/>
  <c r="B709" i="3"/>
  <c r="AF708" i="3"/>
  <c r="W708" i="3" s="1"/>
  <c r="V708" i="3"/>
  <c r="S708" i="3"/>
  <c r="B708" i="3"/>
  <c r="AF707" i="3"/>
  <c r="W707" i="3" s="1"/>
  <c r="V707" i="3"/>
  <c r="S707" i="3"/>
  <c r="B707" i="3"/>
  <c r="AD706" i="3"/>
  <c r="W706" i="3" s="1"/>
  <c r="V706" i="3"/>
  <c r="S706" i="3"/>
  <c r="B706" i="3"/>
  <c r="AF705" i="3"/>
  <c r="W705" i="3" s="1"/>
  <c r="V705" i="3"/>
  <c r="S705" i="3"/>
  <c r="B705" i="3"/>
  <c r="AF704" i="3"/>
  <c r="W704" i="3" s="1"/>
  <c r="V704" i="3"/>
  <c r="S704" i="3"/>
  <c r="B704" i="3"/>
  <c r="AF703" i="3"/>
  <c r="W703" i="3" s="1"/>
  <c r="V703" i="3"/>
  <c r="S703" i="3"/>
  <c r="B703" i="3"/>
  <c r="AF702" i="3"/>
  <c r="W702" i="3" s="1"/>
  <c r="V702" i="3"/>
  <c r="S702" i="3"/>
  <c r="B702" i="3"/>
  <c r="AF701" i="3"/>
  <c r="W701" i="3" s="1"/>
  <c r="V701" i="3"/>
  <c r="S701" i="3"/>
  <c r="B701" i="3"/>
  <c r="AJ700" i="3"/>
  <c r="W700" i="3" s="1"/>
  <c r="V700" i="3"/>
  <c r="S700" i="3"/>
  <c r="B700" i="3"/>
  <c r="AF699" i="3"/>
  <c r="W699" i="3" s="1"/>
  <c r="V699" i="3"/>
  <c r="S699" i="3"/>
  <c r="B699" i="3"/>
  <c r="AF698" i="3"/>
  <c r="W698" i="3" s="1"/>
  <c r="V698" i="3"/>
  <c r="S698" i="3"/>
  <c r="B698" i="3"/>
  <c r="AN697" i="3"/>
  <c r="W697" i="3" s="1"/>
  <c r="V697" i="3"/>
  <c r="S697" i="3"/>
  <c r="B697" i="3"/>
  <c r="AN696" i="3"/>
  <c r="W696" i="3" s="1"/>
  <c r="V696" i="3"/>
  <c r="S696" i="3"/>
  <c r="B696" i="3"/>
  <c r="AN695" i="3"/>
  <c r="W695" i="3" s="1"/>
  <c r="V695" i="3"/>
  <c r="S695" i="3"/>
  <c r="B695" i="3"/>
  <c r="AF694" i="3"/>
  <c r="W694" i="3" s="1"/>
  <c r="V694" i="3"/>
  <c r="S694" i="3"/>
  <c r="B694" i="3"/>
  <c r="AF693" i="3"/>
  <c r="W693" i="3" s="1"/>
  <c r="V693" i="3"/>
  <c r="S693" i="3"/>
  <c r="B693" i="3"/>
  <c r="AF692" i="3"/>
  <c r="W692" i="3" s="1"/>
  <c r="V692" i="3"/>
  <c r="S692" i="3"/>
  <c r="B692" i="3"/>
  <c r="AF691" i="3"/>
  <c r="W691" i="3" s="1"/>
  <c r="V691" i="3"/>
  <c r="S691" i="3"/>
  <c r="B691" i="3"/>
  <c r="AF690" i="3"/>
  <c r="W690" i="3" s="1"/>
  <c r="V690" i="3"/>
  <c r="S690" i="3"/>
  <c r="B690" i="3"/>
  <c r="AF689" i="3"/>
  <c r="W689" i="3" s="1"/>
  <c r="V689" i="3"/>
  <c r="S689" i="3"/>
  <c r="B689" i="3"/>
  <c r="AF688" i="3"/>
  <c r="W688" i="3" s="1"/>
  <c r="V688" i="3"/>
  <c r="S688" i="3"/>
  <c r="B688" i="3"/>
  <c r="AF687" i="3"/>
  <c r="W687" i="3" s="1"/>
  <c r="V687" i="3"/>
  <c r="S687" i="3"/>
  <c r="B687" i="3"/>
  <c r="AF686" i="3"/>
  <c r="W686" i="3" s="1"/>
  <c r="V686" i="3"/>
  <c r="S686" i="3"/>
  <c r="B686" i="3"/>
  <c r="AF685" i="3"/>
  <c r="W685" i="3" s="1"/>
  <c r="V685" i="3"/>
  <c r="S685" i="3"/>
  <c r="B685" i="3"/>
  <c r="AF684" i="3"/>
  <c r="W684" i="3" s="1"/>
  <c r="V684" i="3"/>
  <c r="S684" i="3"/>
  <c r="B684" i="3"/>
  <c r="S683" i="3"/>
  <c r="B683" i="3"/>
  <c r="S682" i="3"/>
  <c r="B682" i="3"/>
  <c r="W681" i="3"/>
  <c r="S681" i="3"/>
  <c r="B681" i="3"/>
  <c r="AF680" i="3"/>
  <c r="W680" i="3" s="1"/>
  <c r="V680" i="3"/>
  <c r="S680" i="3"/>
  <c r="B680" i="3"/>
  <c r="AF679" i="3"/>
  <c r="W679" i="3" s="1"/>
  <c r="V679" i="3"/>
  <c r="S679" i="3"/>
  <c r="B679" i="3"/>
  <c r="AF678" i="3"/>
  <c r="W678" i="3" s="1"/>
  <c r="V678" i="3"/>
  <c r="S678" i="3"/>
  <c r="B678" i="3"/>
  <c r="AF677" i="3"/>
  <c r="W677" i="3" s="1"/>
  <c r="V677" i="3"/>
  <c r="S677" i="3"/>
  <c r="B677" i="3"/>
  <c r="AF676" i="3"/>
  <c r="W676" i="3" s="1"/>
  <c r="V676" i="3"/>
  <c r="S676" i="3"/>
  <c r="B676" i="3"/>
  <c r="R675" i="3"/>
  <c r="Q675" i="3"/>
  <c r="L675" i="3"/>
  <c r="K675" i="3"/>
  <c r="J675" i="3"/>
  <c r="I675" i="3"/>
  <c r="T675" i="3" s="1"/>
  <c r="AJ674" i="3"/>
  <c r="S674" i="3"/>
  <c r="B674" i="3"/>
  <c r="AJ673" i="3"/>
  <c r="W673" i="3"/>
  <c r="S673" i="3"/>
  <c r="B673" i="3"/>
  <c r="AF672" i="3"/>
  <c r="W672" i="3" s="1"/>
  <c r="V672" i="3"/>
  <c r="S672" i="3"/>
  <c r="B672" i="3"/>
  <c r="AJ671" i="3"/>
  <c r="W671" i="3" s="1"/>
  <c r="V671" i="3"/>
  <c r="S671" i="3"/>
  <c r="B671" i="3"/>
  <c r="W670" i="3"/>
  <c r="V670" i="3"/>
  <c r="S670" i="3"/>
  <c r="B670" i="3"/>
  <c r="W669" i="3"/>
  <c r="V669" i="3"/>
  <c r="S669" i="3"/>
  <c r="B669" i="3"/>
  <c r="W668" i="3"/>
  <c r="V668" i="3"/>
  <c r="S668" i="3"/>
  <c r="B668" i="3"/>
  <c r="W667" i="3"/>
  <c r="V667" i="3"/>
  <c r="S667" i="3"/>
  <c r="B667" i="3"/>
  <c r="AF666" i="3"/>
  <c r="W666" i="3" s="1"/>
  <c r="V666" i="3"/>
  <c r="S666" i="3"/>
  <c r="B666" i="3"/>
  <c r="AJ665" i="3"/>
  <c r="V665" i="3"/>
  <c r="S665" i="3"/>
  <c r="B665" i="3"/>
  <c r="AJ664" i="3"/>
  <c r="W664" i="3" s="1"/>
  <c r="V664" i="3"/>
  <c r="S664" i="3"/>
  <c r="B664" i="3"/>
  <c r="W663" i="3"/>
  <c r="V663" i="3"/>
  <c r="S663" i="3"/>
  <c r="B663" i="3"/>
  <c r="W662" i="3"/>
  <c r="V662" i="3"/>
  <c r="S662" i="3"/>
  <c r="B662" i="3"/>
  <c r="W661" i="3"/>
  <c r="V661" i="3"/>
  <c r="S661" i="3"/>
  <c r="B661" i="3"/>
  <c r="W660" i="3"/>
  <c r="V660" i="3"/>
  <c r="S660" i="3"/>
  <c r="B660" i="3"/>
  <c r="AF659" i="3"/>
  <c r="W659" i="3" s="1"/>
  <c r="V659" i="3"/>
  <c r="S659" i="3"/>
  <c r="B659" i="3"/>
  <c r="AF658" i="3"/>
  <c r="W658" i="3" s="1"/>
  <c r="V658" i="3"/>
  <c r="S658" i="3"/>
  <c r="B658" i="3"/>
  <c r="AF657" i="3"/>
  <c r="W657" i="3" s="1"/>
  <c r="V657" i="3"/>
  <c r="S657" i="3"/>
  <c r="B657" i="3"/>
  <c r="AF656" i="3"/>
  <c r="W656" i="3" s="1"/>
  <c r="V656" i="3"/>
  <c r="S656" i="3"/>
  <c r="B656" i="3"/>
  <c r="AF655" i="3"/>
  <c r="W655" i="3" s="1"/>
  <c r="V655" i="3"/>
  <c r="S655" i="3"/>
  <c r="B655" i="3"/>
  <c r="AF654" i="3"/>
  <c r="W654" i="3" s="1"/>
  <c r="V654" i="3"/>
  <c r="S654" i="3"/>
  <c r="B654" i="3"/>
  <c r="AF653" i="3"/>
  <c r="W653" i="3" s="1"/>
  <c r="V653" i="3"/>
  <c r="S653" i="3"/>
  <c r="B653" i="3"/>
  <c r="AF652" i="3"/>
  <c r="W652" i="3" s="1"/>
  <c r="V652" i="3"/>
  <c r="S652" i="3"/>
  <c r="B652" i="3"/>
  <c r="W651" i="3"/>
  <c r="V651" i="3"/>
  <c r="S651" i="3"/>
  <c r="B651" i="3"/>
  <c r="AJ650" i="3"/>
  <c r="W650" i="3" s="1"/>
  <c r="V650" i="3"/>
  <c r="S650" i="3"/>
  <c r="B650" i="3"/>
  <c r="AF649" i="3"/>
  <c r="W649" i="3" s="1"/>
  <c r="V649" i="3"/>
  <c r="S649" i="3"/>
  <c r="B649" i="3"/>
  <c r="AF648" i="3"/>
  <c r="W648" i="3" s="1"/>
  <c r="V648" i="3"/>
  <c r="S648" i="3"/>
  <c r="B648" i="3"/>
  <c r="AF647" i="3"/>
  <c r="W647" i="3" s="1"/>
  <c r="V647" i="3"/>
  <c r="S647" i="3"/>
  <c r="B647" i="3"/>
  <c r="AF646" i="3"/>
  <c r="W646" i="3" s="1"/>
  <c r="V646" i="3"/>
  <c r="S646" i="3"/>
  <c r="B646" i="3"/>
  <c r="AJ645" i="3"/>
  <c r="W645" i="3" s="1"/>
  <c r="V645" i="3"/>
  <c r="S645" i="3"/>
  <c r="B645" i="3"/>
  <c r="AF644" i="3"/>
  <c r="W644" i="3" s="1"/>
  <c r="V644" i="3"/>
  <c r="S644" i="3"/>
  <c r="B644" i="3"/>
  <c r="R643" i="3"/>
  <c r="Q643" i="3"/>
  <c r="L643" i="3"/>
  <c r="K643" i="3"/>
  <c r="J643" i="3"/>
  <c r="I643" i="3"/>
  <c r="T643" i="3" s="1"/>
  <c r="W637" i="3"/>
  <c r="S637" i="3"/>
  <c r="B637" i="3"/>
  <c r="AF636" i="3"/>
  <c r="W636" i="3" s="1"/>
  <c r="V636" i="3"/>
  <c r="S636" i="3"/>
  <c r="B636" i="3"/>
  <c r="AF635" i="3"/>
  <c r="W635" i="3" s="1"/>
  <c r="V635" i="3"/>
  <c r="S635" i="3"/>
  <c r="B635" i="3"/>
  <c r="S634" i="3"/>
  <c r="B634" i="3"/>
  <c r="S633" i="3"/>
  <c r="B633" i="3"/>
  <c r="S632" i="3"/>
  <c r="B632" i="3"/>
  <c r="W631" i="3"/>
  <c r="S631" i="3"/>
  <c r="B631" i="3"/>
  <c r="S630" i="3"/>
  <c r="B630" i="3"/>
  <c r="S629" i="3"/>
  <c r="B629" i="3"/>
  <c r="S628" i="3"/>
  <c r="B628" i="3"/>
  <c r="S627" i="3"/>
  <c r="B627" i="3"/>
  <c r="S626" i="3"/>
  <c r="B626" i="3"/>
  <c r="S625" i="3"/>
  <c r="B625" i="3"/>
  <c r="S624" i="3"/>
  <c r="B624" i="3"/>
  <c r="W623" i="3"/>
  <c r="S623" i="3"/>
  <c r="B623" i="3"/>
  <c r="S622" i="3"/>
  <c r="B622" i="3"/>
  <c r="S621" i="3"/>
  <c r="B621" i="3"/>
  <c r="S620" i="3"/>
  <c r="B620" i="3"/>
  <c r="W619" i="3"/>
  <c r="S619" i="3"/>
  <c r="B619" i="3"/>
  <c r="S618" i="3"/>
  <c r="B618" i="3"/>
  <c r="AF617" i="3"/>
  <c r="W617" i="3" s="1"/>
  <c r="V617" i="3"/>
  <c r="S617" i="3"/>
  <c r="B617" i="3"/>
  <c r="AF616" i="3"/>
  <c r="W616" i="3" s="1"/>
  <c r="V616" i="3"/>
  <c r="S616" i="3"/>
  <c r="B616" i="3"/>
  <c r="AD615" i="3"/>
  <c r="W615" i="3" s="1"/>
  <c r="V615" i="3"/>
  <c r="S615" i="3"/>
  <c r="B615" i="3"/>
  <c r="AF614" i="3"/>
  <c r="W614" i="3" s="1"/>
  <c r="V614" i="3"/>
  <c r="S614" i="3"/>
  <c r="B614" i="3"/>
  <c r="AF613" i="3"/>
  <c r="W613" i="3" s="1"/>
  <c r="V613" i="3"/>
  <c r="S613" i="3"/>
  <c r="B613" i="3"/>
  <c r="AF612" i="3"/>
  <c r="W612" i="3" s="1"/>
  <c r="V612" i="3"/>
  <c r="S612" i="3"/>
  <c r="B612" i="3"/>
  <c r="AF611" i="3"/>
  <c r="W611" i="3" s="1"/>
  <c r="V611" i="3"/>
  <c r="S611" i="3"/>
  <c r="B611" i="3"/>
  <c r="AJ610" i="3"/>
  <c r="W610" i="3" s="1"/>
  <c r="V610" i="3"/>
  <c r="S610" i="3"/>
  <c r="B610" i="3"/>
  <c r="AF609" i="3"/>
  <c r="W609" i="3" s="1"/>
  <c r="V609" i="3"/>
  <c r="S609" i="3"/>
  <c r="B609" i="3"/>
  <c r="AD608" i="3"/>
  <c r="W608" i="3" s="1"/>
  <c r="V608" i="3"/>
  <c r="S608" i="3"/>
  <c r="B608" i="3"/>
  <c r="AJ607" i="3"/>
  <c r="W607" i="3" s="1"/>
  <c r="V607" i="3"/>
  <c r="S607" i="3"/>
  <c r="B607" i="3"/>
  <c r="AF606" i="3"/>
  <c r="W606" i="3" s="1"/>
  <c r="V606" i="3"/>
  <c r="S606" i="3"/>
  <c r="B606" i="3"/>
  <c r="AJ605" i="3"/>
  <c r="W605" i="3" s="1"/>
  <c r="V605" i="3"/>
  <c r="S605" i="3"/>
  <c r="B605" i="3"/>
  <c r="AF604" i="3"/>
  <c r="W604" i="3" s="1"/>
  <c r="V604" i="3"/>
  <c r="S604" i="3"/>
  <c r="B604" i="3"/>
  <c r="AF603" i="3"/>
  <c r="W603" i="3" s="1"/>
  <c r="V603" i="3"/>
  <c r="S603" i="3"/>
  <c r="B603" i="3"/>
  <c r="AF602" i="3"/>
  <c r="W602" i="3" s="1"/>
  <c r="V602" i="3"/>
  <c r="S602" i="3"/>
  <c r="B602" i="3"/>
  <c r="AJ601" i="3"/>
  <c r="W601" i="3" s="1"/>
  <c r="V601" i="3"/>
  <c r="S601" i="3"/>
  <c r="B601" i="3"/>
  <c r="AF600" i="3"/>
  <c r="W600" i="3" s="1"/>
  <c r="V600" i="3"/>
  <c r="S600" i="3"/>
  <c r="B600" i="3"/>
  <c r="W599" i="3"/>
  <c r="S599" i="3"/>
  <c r="B599" i="3"/>
  <c r="AH598" i="3"/>
  <c r="W598" i="3" s="1"/>
  <c r="V598" i="3"/>
  <c r="S598" i="3"/>
  <c r="B598" i="3"/>
  <c r="AJ597" i="3"/>
  <c r="W597" i="3" s="1"/>
  <c r="V597" i="3"/>
  <c r="S597" i="3"/>
  <c r="B597" i="3"/>
  <c r="AJ596" i="3"/>
  <c r="W596" i="3" s="1"/>
  <c r="V596" i="3"/>
  <c r="S596" i="3"/>
  <c r="B596" i="3"/>
  <c r="AF595" i="3"/>
  <c r="W595" i="3" s="1"/>
  <c r="V595" i="3"/>
  <c r="S595" i="3"/>
  <c r="B595" i="3"/>
  <c r="AJ594" i="3"/>
  <c r="W594" i="3" s="1"/>
  <c r="V594" i="3"/>
  <c r="S594" i="3"/>
  <c r="B594" i="3"/>
  <c r="AF593" i="3"/>
  <c r="W593" i="3" s="1"/>
  <c r="V593" i="3"/>
  <c r="S593" i="3"/>
  <c r="B593" i="3"/>
  <c r="AF592" i="3"/>
  <c r="W592" i="3" s="1"/>
  <c r="V592" i="3"/>
  <c r="S592" i="3"/>
  <c r="B592" i="3"/>
  <c r="AF591" i="3"/>
  <c r="W591" i="3" s="1"/>
  <c r="V591" i="3"/>
  <c r="S591" i="3"/>
  <c r="B591" i="3"/>
  <c r="AF590" i="3"/>
  <c r="W590" i="3" s="1"/>
  <c r="V590" i="3"/>
  <c r="S590" i="3"/>
  <c r="B590" i="3"/>
  <c r="AF589" i="3"/>
  <c r="W589" i="3" s="1"/>
  <c r="V589" i="3"/>
  <c r="S589" i="3"/>
  <c r="B589" i="3"/>
  <c r="AF588" i="3"/>
  <c r="W588" i="3" s="1"/>
  <c r="V588" i="3"/>
  <c r="S588" i="3"/>
  <c r="B588" i="3"/>
  <c r="AF587" i="3"/>
  <c r="W587" i="3" s="1"/>
  <c r="V587" i="3"/>
  <c r="S587" i="3"/>
  <c r="B587" i="3"/>
  <c r="AF586" i="3"/>
  <c r="W586" i="3" s="1"/>
  <c r="V586" i="3"/>
  <c r="S586" i="3"/>
  <c r="B586" i="3"/>
  <c r="AF585" i="3"/>
  <c r="W585" i="3" s="1"/>
  <c r="V585" i="3"/>
  <c r="S585" i="3"/>
  <c r="B585" i="3"/>
  <c r="AF584" i="3"/>
  <c r="W584" i="3" s="1"/>
  <c r="V584" i="3"/>
  <c r="S584" i="3"/>
  <c r="B584" i="3"/>
  <c r="AF583" i="3"/>
  <c r="W583" i="3" s="1"/>
  <c r="V583" i="3"/>
  <c r="S583" i="3"/>
  <c r="B583" i="3"/>
  <c r="AF582" i="3"/>
  <c r="W582" i="3" s="1"/>
  <c r="V582" i="3"/>
  <c r="S582" i="3"/>
  <c r="B582" i="3"/>
  <c r="AF581" i="3"/>
  <c r="W581" i="3" s="1"/>
  <c r="V581" i="3"/>
  <c r="S581" i="3"/>
  <c r="B581" i="3"/>
  <c r="AF580" i="3"/>
  <c r="W580" i="3" s="1"/>
  <c r="V580" i="3"/>
  <c r="S580" i="3"/>
  <c r="B580" i="3"/>
  <c r="AF579" i="3"/>
  <c r="W579" i="3" s="1"/>
  <c r="V579" i="3"/>
  <c r="S579" i="3"/>
  <c r="B579" i="3"/>
  <c r="AF578" i="3"/>
  <c r="W578" i="3" s="1"/>
  <c r="V578" i="3"/>
  <c r="S578" i="3"/>
  <c r="B578" i="3"/>
  <c r="AF577" i="3"/>
  <c r="W577" i="3" s="1"/>
  <c r="V577" i="3"/>
  <c r="S577" i="3"/>
  <c r="B577" i="3"/>
  <c r="AF576" i="3"/>
  <c r="W576" i="3" s="1"/>
  <c r="V576" i="3"/>
  <c r="S576" i="3"/>
  <c r="B576" i="3"/>
  <c r="AJ575" i="3"/>
  <c r="W575" i="3" s="1"/>
  <c r="V575" i="3"/>
  <c r="S575" i="3"/>
  <c r="B575" i="3"/>
  <c r="AF574" i="3"/>
  <c r="W574" i="3" s="1"/>
  <c r="V574" i="3"/>
  <c r="S574" i="3"/>
  <c r="B574" i="3"/>
  <c r="AJ573" i="3"/>
  <c r="W573" i="3" s="1"/>
  <c r="V573" i="3"/>
  <c r="S573" i="3"/>
  <c r="B573" i="3"/>
  <c r="AF572" i="3"/>
  <c r="W572" i="3" s="1"/>
  <c r="V572" i="3"/>
  <c r="S572" i="3"/>
  <c r="B572" i="3"/>
  <c r="AF571" i="3"/>
  <c r="W571" i="3" s="1"/>
  <c r="V571" i="3"/>
  <c r="S571" i="3"/>
  <c r="B571" i="3"/>
  <c r="AF570" i="3"/>
  <c r="W570" i="3" s="1"/>
  <c r="V570" i="3"/>
  <c r="S570" i="3"/>
  <c r="B570" i="3"/>
  <c r="AJ569" i="3"/>
  <c r="W569" i="3" s="1"/>
  <c r="V569" i="3"/>
  <c r="S569" i="3"/>
  <c r="B569" i="3"/>
  <c r="AF568" i="3"/>
  <c r="W568" i="3" s="1"/>
  <c r="V568" i="3"/>
  <c r="S568" i="3"/>
  <c r="B568" i="3"/>
  <c r="AF567" i="3"/>
  <c r="W567" i="3" s="1"/>
  <c r="V567" i="3"/>
  <c r="S567" i="3"/>
  <c r="B567" i="3"/>
  <c r="AF566" i="3"/>
  <c r="W566" i="3" s="1"/>
  <c r="V566" i="3"/>
  <c r="S566" i="3"/>
  <c r="B566" i="3"/>
  <c r="AF565" i="3"/>
  <c r="W565" i="3" s="1"/>
  <c r="V565" i="3"/>
  <c r="S565" i="3"/>
  <c r="B565" i="3"/>
  <c r="AF564" i="3"/>
  <c r="W564" i="3" s="1"/>
  <c r="V564" i="3"/>
  <c r="S564" i="3"/>
  <c r="B564" i="3"/>
  <c r="AF563" i="3"/>
  <c r="W563" i="3" s="1"/>
  <c r="V563" i="3"/>
  <c r="S563" i="3"/>
  <c r="B563" i="3"/>
  <c r="AF562" i="3"/>
  <c r="W562" i="3" s="1"/>
  <c r="V562" i="3"/>
  <c r="S562" i="3"/>
  <c r="B562" i="3"/>
  <c r="AF561" i="3"/>
  <c r="W561" i="3" s="1"/>
  <c r="V561" i="3"/>
  <c r="S561" i="3"/>
  <c r="B561" i="3"/>
  <c r="AF560" i="3"/>
  <c r="W560" i="3" s="1"/>
  <c r="V560" i="3"/>
  <c r="S560" i="3"/>
  <c r="B560" i="3"/>
  <c r="AF559" i="3"/>
  <c r="W559" i="3" s="1"/>
  <c r="V559" i="3"/>
  <c r="S559" i="3"/>
  <c r="B559" i="3"/>
  <c r="AF558" i="3"/>
  <c r="W558" i="3" s="1"/>
  <c r="V558" i="3"/>
  <c r="S558" i="3"/>
  <c r="B558" i="3"/>
  <c r="AF557" i="3"/>
  <c r="W557" i="3" s="1"/>
  <c r="V557" i="3"/>
  <c r="S557" i="3"/>
  <c r="B557" i="3"/>
  <c r="AF556" i="3"/>
  <c r="W556" i="3" s="1"/>
  <c r="V556" i="3"/>
  <c r="S556" i="3"/>
  <c r="B556" i="3"/>
  <c r="AF555" i="3"/>
  <c r="W555" i="3" s="1"/>
  <c r="V555" i="3"/>
  <c r="S555" i="3"/>
  <c r="B555" i="3"/>
  <c r="AF554" i="3"/>
  <c r="W554" i="3" s="1"/>
  <c r="V554" i="3"/>
  <c r="S554" i="3"/>
  <c r="B554" i="3"/>
  <c r="AF553" i="3"/>
  <c r="W553" i="3" s="1"/>
  <c r="V553" i="3"/>
  <c r="S553" i="3"/>
  <c r="B553" i="3"/>
  <c r="AF552" i="3"/>
  <c r="W552" i="3" s="1"/>
  <c r="V552" i="3"/>
  <c r="S552" i="3"/>
  <c r="B552" i="3"/>
  <c r="R551" i="3"/>
  <c r="Q551" i="3"/>
  <c r="L551" i="3"/>
  <c r="K551" i="3"/>
  <c r="J551" i="3"/>
  <c r="I551" i="3"/>
  <c r="AF549" i="3"/>
  <c r="W549" i="3" s="1"/>
  <c r="V549" i="3"/>
  <c r="S549" i="3"/>
  <c r="B549" i="3"/>
  <c r="AF548" i="3"/>
  <c r="W548" i="3" s="1"/>
  <c r="V548" i="3"/>
  <c r="S548" i="3"/>
  <c r="B548" i="3"/>
  <c r="R547" i="3"/>
  <c r="Q547" i="3"/>
  <c r="L547" i="3"/>
  <c r="K547" i="3"/>
  <c r="J547" i="3"/>
  <c r="I547" i="3"/>
  <c r="T547" i="3" s="1"/>
  <c r="AJ546" i="3"/>
  <c r="W546" i="3" s="1"/>
  <c r="V546" i="3"/>
  <c r="S546" i="3"/>
  <c r="B546" i="3"/>
  <c r="S545" i="3"/>
  <c r="B545" i="3"/>
  <c r="R544" i="3"/>
  <c r="Q544" i="3"/>
  <c r="L544" i="3"/>
  <c r="K544" i="3"/>
  <c r="J544" i="3"/>
  <c r="I544" i="3"/>
  <c r="T544" i="3" s="1"/>
  <c r="AF543" i="3"/>
  <c r="W543" i="3" s="1"/>
  <c r="V543" i="3"/>
  <c r="S543" i="3"/>
  <c r="B543" i="3"/>
  <c r="AN542" i="3"/>
  <c r="S542" i="3"/>
  <c r="B542" i="3"/>
  <c r="AF541" i="3"/>
  <c r="W541" i="3" s="1"/>
  <c r="V541" i="3"/>
  <c r="S541" i="3"/>
  <c r="B541" i="3"/>
  <c r="S540" i="3"/>
  <c r="B540" i="3"/>
  <c r="R539" i="3"/>
  <c r="Q539" i="3"/>
  <c r="L539" i="3"/>
  <c r="K539" i="3"/>
  <c r="J539" i="3"/>
  <c r="I539" i="3"/>
  <c r="T539" i="3" s="1"/>
  <c r="W538" i="3"/>
  <c r="S538" i="3"/>
  <c r="B538" i="3"/>
  <c r="V537" i="3"/>
  <c r="S537" i="3"/>
  <c r="B537" i="3"/>
  <c r="S536" i="3"/>
  <c r="B536" i="3"/>
  <c r="S535" i="3"/>
  <c r="B535" i="3"/>
  <c r="W534" i="3"/>
  <c r="V534" i="3"/>
  <c r="S534" i="3"/>
  <c r="B534" i="3"/>
  <c r="V533" i="3"/>
  <c r="S533" i="3"/>
  <c r="B533" i="3"/>
  <c r="W532" i="3"/>
  <c r="V532" i="3"/>
  <c r="S532" i="3"/>
  <c r="B532" i="3"/>
  <c r="W531" i="3"/>
  <c r="V531" i="3"/>
  <c r="S531" i="3"/>
  <c r="B531" i="3"/>
  <c r="AF530" i="3"/>
  <c r="W530" i="3" s="1"/>
  <c r="V530" i="3"/>
  <c r="S530" i="3"/>
  <c r="B530" i="3"/>
  <c r="R529" i="3"/>
  <c r="Q529" i="3"/>
  <c r="L529" i="3"/>
  <c r="K529" i="3"/>
  <c r="J529" i="3"/>
  <c r="I529" i="3"/>
  <c r="T529" i="3" s="1"/>
  <c r="AF528" i="3"/>
  <c r="W528" i="3" s="1"/>
  <c r="V528" i="3"/>
  <c r="S528" i="3"/>
  <c r="S527" i="3" s="1"/>
  <c r="B528" i="3"/>
  <c r="R527" i="3"/>
  <c r="Q527" i="3"/>
  <c r="L527" i="3"/>
  <c r="K527" i="3"/>
  <c r="J527" i="3"/>
  <c r="I527" i="3"/>
  <c r="T527" i="3" s="1"/>
  <c r="AJ526" i="3"/>
  <c r="W526" i="3" s="1"/>
  <c r="V526" i="3"/>
  <c r="S526" i="3"/>
  <c r="B526" i="3"/>
  <c r="AF525" i="3"/>
  <c r="W525" i="3" s="1"/>
  <c r="V525" i="3"/>
  <c r="S525" i="3"/>
  <c r="B525" i="3"/>
  <c r="R524" i="3"/>
  <c r="Q524" i="3"/>
  <c r="L524" i="3"/>
  <c r="K524" i="3"/>
  <c r="J524" i="3"/>
  <c r="I524" i="3"/>
  <c r="T524" i="3" s="1"/>
  <c r="AF523" i="3"/>
  <c r="W523" i="3" s="1"/>
  <c r="V523" i="3"/>
  <c r="S523" i="3"/>
  <c r="S522" i="3" s="1"/>
  <c r="B523" i="3"/>
  <c r="R522" i="3"/>
  <c r="Q522" i="3"/>
  <c r="L522" i="3"/>
  <c r="K522" i="3"/>
  <c r="J522" i="3"/>
  <c r="I522" i="3"/>
  <c r="T522" i="3" s="1"/>
  <c r="W521" i="3"/>
  <c r="V521" i="3"/>
  <c r="S521" i="3"/>
  <c r="B521" i="3"/>
  <c r="AF520" i="3"/>
  <c r="W520" i="3" s="1"/>
  <c r="V520" i="3"/>
  <c r="S520" i="3"/>
  <c r="B520" i="3"/>
  <c r="AF519" i="3"/>
  <c r="W519" i="3" s="1"/>
  <c r="V519" i="3"/>
  <c r="S519" i="3"/>
  <c r="B519" i="3"/>
  <c r="W518" i="3"/>
  <c r="S518" i="3"/>
  <c r="B518" i="3"/>
  <c r="AF517" i="3"/>
  <c r="W517" i="3" s="1"/>
  <c r="V517" i="3"/>
  <c r="S517" i="3"/>
  <c r="B517" i="3"/>
  <c r="R516" i="3"/>
  <c r="Q516" i="3"/>
  <c r="L516" i="3"/>
  <c r="K516" i="3"/>
  <c r="J516" i="3"/>
  <c r="I516" i="3"/>
  <c r="T516" i="3" s="1"/>
  <c r="W515" i="3"/>
  <c r="V515" i="3"/>
  <c r="S515" i="3"/>
  <c r="B515" i="3"/>
  <c r="W514" i="3"/>
  <c r="V514" i="3"/>
  <c r="S514" i="3"/>
  <c r="B514" i="3"/>
  <c r="R513" i="3"/>
  <c r="Q513" i="3"/>
  <c r="L513" i="3"/>
  <c r="K513" i="3"/>
  <c r="J513" i="3"/>
  <c r="I513" i="3"/>
  <c r="T513" i="3" s="1"/>
  <c r="AF512" i="3"/>
  <c r="W512" i="3" s="1"/>
  <c r="V512" i="3"/>
  <c r="S512" i="3"/>
  <c r="S511" i="3" s="1"/>
  <c r="B512" i="3"/>
  <c r="R511" i="3"/>
  <c r="Q511" i="3"/>
  <c r="L511" i="3"/>
  <c r="K511" i="3"/>
  <c r="J511" i="3"/>
  <c r="I511" i="3"/>
  <c r="T511" i="3" s="1"/>
  <c r="V510" i="3"/>
  <c r="S510" i="3"/>
  <c r="B510" i="3"/>
  <c r="AF509" i="3"/>
  <c r="W509" i="3" s="1"/>
  <c r="V509" i="3"/>
  <c r="S509" i="3"/>
  <c r="S508" i="3" s="1"/>
  <c r="B509" i="3"/>
  <c r="R508" i="3"/>
  <c r="Q508" i="3"/>
  <c r="L508" i="3"/>
  <c r="K508" i="3"/>
  <c r="J508" i="3"/>
  <c r="I508" i="3"/>
  <c r="T508" i="3" s="1"/>
  <c r="AF507" i="3"/>
  <c r="W507" i="3" s="1"/>
  <c r="V507" i="3"/>
  <c r="S507" i="3"/>
  <c r="B507" i="3"/>
  <c r="AF506" i="3"/>
  <c r="W506" i="3" s="1"/>
  <c r="V506" i="3"/>
  <c r="S506" i="3"/>
  <c r="B506" i="3"/>
  <c r="R505" i="3"/>
  <c r="Q505" i="3"/>
  <c r="L505" i="3"/>
  <c r="K505" i="3"/>
  <c r="J505" i="3"/>
  <c r="I505" i="3"/>
  <c r="T505" i="3" s="1"/>
  <c r="AF504" i="3"/>
  <c r="W504" i="3" s="1"/>
  <c r="V504" i="3"/>
  <c r="S504" i="3"/>
  <c r="S503" i="3" s="1"/>
  <c r="B504" i="3"/>
  <c r="R503" i="3"/>
  <c r="Q503" i="3"/>
  <c r="L503" i="3"/>
  <c r="K503" i="3"/>
  <c r="J503" i="3"/>
  <c r="I503" i="3"/>
  <c r="T503" i="3" s="1"/>
  <c r="AF502" i="3"/>
  <c r="W502" i="3" s="1"/>
  <c r="V502" i="3"/>
  <c r="S502" i="3"/>
  <c r="B502" i="3"/>
  <c r="AJ501" i="3"/>
  <c r="W501" i="3" s="1"/>
  <c r="V501" i="3"/>
  <c r="S501" i="3"/>
  <c r="B501" i="3"/>
  <c r="AJ500" i="3"/>
  <c r="W500" i="3" s="1"/>
  <c r="V500" i="3"/>
  <c r="S500" i="3"/>
  <c r="B500" i="3"/>
  <c r="AJ499" i="3"/>
  <c r="W499" i="3" s="1"/>
  <c r="V499" i="3"/>
  <c r="S499" i="3"/>
  <c r="B499" i="3"/>
  <c r="AF498" i="3"/>
  <c r="W498" i="3" s="1"/>
  <c r="V498" i="3"/>
  <c r="S498" i="3"/>
  <c r="B498" i="3"/>
  <c r="R497" i="3"/>
  <c r="Q497" i="3"/>
  <c r="L497" i="3"/>
  <c r="K497" i="3"/>
  <c r="J497" i="3"/>
  <c r="I497" i="3"/>
  <c r="T497" i="3" s="1"/>
  <c r="AF496" i="3"/>
  <c r="W496" i="3" s="1"/>
  <c r="V496" i="3"/>
  <c r="S496" i="3"/>
  <c r="B496" i="3"/>
  <c r="AF495" i="3"/>
  <c r="W495" i="3" s="1"/>
  <c r="V495" i="3"/>
  <c r="S495" i="3"/>
  <c r="B495" i="3"/>
  <c r="AF494" i="3"/>
  <c r="W494" i="3" s="1"/>
  <c r="V494" i="3"/>
  <c r="S494" i="3"/>
  <c r="B494" i="3"/>
  <c r="AF493" i="3"/>
  <c r="W493" i="3" s="1"/>
  <c r="V493" i="3"/>
  <c r="S493" i="3"/>
  <c r="B493" i="3"/>
  <c r="R492" i="3"/>
  <c r="Q492" i="3"/>
  <c r="L492" i="3"/>
  <c r="K492" i="3"/>
  <c r="J492" i="3"/>
  <c r="I492" i="3"/>
  <c r="T492" i="3" s="1"/>
  <c r="AJ491" i="3"/>
  <c r="W491" i="3" s="1"/>
  <c r="V491" i="3"/>
  <c r="S491" i="3"/>
  <c r="S490" i="3" s="1"/>
  <c r="B491" i="3"/>
  <c r="R490" i="3"/>
  <c r="Q490" i="3"/>
  <c r="L490" i="3"/>
  <c r="K490" i="3"/>
  <c r="J490" i="3"/>
  <c r="I490" i="3"/>
  <c r="T490" i="3" s="1"/>
  <c r="AF489" i="3"/>
  <c r="W489" i="3" s="1"/>
  <c r="V489" i="3"/>
  <c r="S489" i="3"/>
  <c r="S488" i="3" s="1"/>
  <c r="B489" i="3"/>
  <c r="R488" i="3"/>
  <c r="Q488" i="3"/>
  <c r="L488" i="3"/>
  <c r="K488" i="3"/>
  <c r="J488" i="3"/>
  <c r="I488" i="3"/>
  <c r="T488" i="3" s="1"/>
  <c r="W487" i="3"/>
  <c r="V487" i="3"/>
  <c r="S487" i="3"/>
  <c r="B487" i="3"/>
  <c r="AH486" i="3"/>
  <c r="W486" i="3" s="1"/>
  <c r="V486" i="3"/>
  <c r="S486" i="3"/>
  <c r="B486" i="3"/>
  <c r="AF485" i="3"/>
  <c r="W485" i="3" s="1"/>
  <c r="V485" i="3"/>
  <c r="S485" i="3"/>
  <c r="B485" i="3"/>
  <c r="AF484" i="3"/>
  <c r="W484" i="3" s="1"/>
  <c r="V484" i="3"/>
  <c r="S484" i="3"/>
  <c r="B484" i="3"/>
  <c r="AF483" i="3"/>
  <c r="W483" i="3" s="1"/>
  <c r="V483" i="3"/>
  <c r="S483" i="3"/>
  <c r="B483" i="3"/>
  <c r="AF482" i="3"/>
  <c r="W482" i="3" s="1"/>
  <c r="V482" i="3"/>
  <c r="S482" i="3"/>
  <c r="B482" i="3"/>
  <c r="AF481" i="3"/>
  <c r="W481" i="3" s="1"/>
  <c r="V481" i="3"/>
  <c r="S481" i="3"/>
  <c r="B481" i="3"/>
  <c r="AF480" i="3"/>
  <c r="W480" i="3" s="1"/>
  <c r="V480" i="3"/>
  <c r="S480" i="3"/>
  <c r="B480" i="3"/>
  <c r="R479" i="3"/>
  <c r="Q479" i="3"/>
  <c r="L479" i="3"/>
  <c r="K479" i="3"/>
  <c r="J479" i="3"/>
  <c r="I479" i="3"/>
  <c r="T479" i="3" s="1"/>
  <c r="AF478" i="3"/>
  <c r="W478" i="3" s="1"/>
  <c r="V478" i="3"/>
  <c r="S478" i="3"/>
  <c r="B478" i="3"/>
  <c r="AF477" i="3"/>
  <c r="W477" i="3" s="1"/>
  <c r="V477" i="3"/>
  <c r="S477" i="3"/>
  <c r="B477" i="3"/>
  <c r="AF476" i="3"/>
  <c r="W476" i="3" s="1"/>
  <c r="V476" i="3"/>
  <c r="S476" i="3"/>
  <c r="B476" i="3"/>
  <c r="AF475" i="3"/>
  <c r="W475" i="3" s="1"/>
  <c r="V475" i="3"/>
  <c r="S475" i="3"/>
  <c r="B475" i="3"/>
  <c r="AF474" i="3"/>
  <c r="W474" i="3"/>
  <c r="S474" i="3"/>
  <c r="B474" i="3"/>
  <c r="W473" i="3"/>
  <c r="V473" i="3"/>
  <c r="S473" i="3"/>
  <c r="B473" i="3"/>
  <c r="W472" i="3"/>
  <c r="V472" i="3"/>
  <c r="S472" i="3"/>
  <c r="B472" i="3"/>
  <c r="W471" i="3"/>
  <c r="V471" i="3"/>
  <c r="S471" i="3"/>
  <c r="B471" i="3"/>
  <c r="AF470" i="3"/>
  <c r="W470" i="3" s="1"/>
  <c r="V470" i="3"/>
  <c r="S470" i="3"/>
  <c r="B470" i="3"/>
  <c r="AF469" i="3"/>
  <c r="W469" i="3" s="1"/>
  <c r="V469" i="3"/>
  <c r="S469" i="3"/>
  <c r="B469" i="3"/>
  <c r="AF468" i="3"/>
  <c r="W468" i="3" s="1"/>
  <c r="V468" i="3"/>
  <c r="S468" i="3"/>
  <c r="B468" i="3"/>
  <c r="R467" i="3"/>
  <c r="Q467" i="3"/>
  <c r="L467" i="3"/>
  <c r="K467" i="3"/>
  <c r="J467" i="3"/>
  <c r="I467" i="3"/>
  <c r="T467" i="3" s="1"/>
  <c r="AF466" i="3"/>
  <c r="W466" i="3" s="1"/>
  <c r="V466" i="3"/>
  <c r="S466" i="3"/>
  <c r="B466" i="3"/>
  <c r="AF465" i="3"/>
  <c r="S465" i="3"/>
  <c r="B465" i="3"/>
  <c r="AJ464" i="3"/>
  <c r="W464" i="3" s="1"/>
  <c r="V464" i="3"/>
  <c r="S464" i="3"/>
  <c r="B464" i="3"/>
  <c r="AF463" i="3"/>
  <c r="W463" i="3" s="1"/>
  <c r="V463" i="3"/>
  <c r="S463" i="3"/>
  <c r="B463" i="3"/>
  <c r="AN462" i="3"/>
  <c r="W462" i="3"/>
  <c r="S462" i="3"/>
  <c r="B462" i="3"/>
  <c r="R461" i="3"/>
  <c r="Q461" i="3"/>
  <c r="L461" i="3"/>
  <c r="K461" i="3"/>
  <c r="J461" i="3"/>
  <c r="I461" i="3"/>
  <c r="T461" i="3" s="1"/>
  <c r="AF460" i="3"/>
  <c r="W460" i="3" s="1"/>
  <c r="V460" i="3"/>
  <c r="S460" i="3"/>
  <c r="S459" i="3" s="1"/>
  <c r="B460" i="3"/>
  <c r="R459" i="3"/>
  <c r="Q459" i="3"/>
  <c r="L459" i="3"/>
  <c r="K459" i="3"/>
  <c r="J459" i="3"/>
  <c r="I459" i="3"/>
  <c r="T459" i="3" s="1"/>
  <c r="AF458" i="3"/>
  <c r="W458" i="3" s="1"/>
  <c r="V458" i="3"/>
  <c r="S458" i="3"/>
  <c r="S457" i="3" s="1"/>
  <c r="B458" i="3"/>
  <c r="R457" i="3"/>
  <c r="Q457" i="3"/>
  <c r="L457" i="3"/>
  <c r="K457" i="3"/>
  <c r="J457" i="3"/>
  <c r="I457" i="3"/>
  <c r="T457" i="3" s="1"/>
  <c r="AF456" i="3"/>
  <c r="V456" i="3"/>
  <c r="S456" i="3"/>
  <c r="S455" i="3" s="1"/>
  <c r="B456" i="3"/>
  <c r="R455" i="3"/>
  <c r="Q455" i="3"/>
  <c r="L455" i="3"/>
  <c r="K455" i="3"/>
  <c r="J455" i="3"/>
  <c r="I455" i="3"/>
  <c r="T455" i="3" s="1"/>
  <c r="AF454" i="3"/>
  <c r="W454" i="3" s="1"/>
  <c r="V454" i="3"/>
  <c r="S454" i="3"/>
  <c r="S453" i="3" s="1"/>
  <c r="B454" i="3"/>
  <c r="R453" i="3"/>
  <c r="Q453" i="3"/>
  <c r="L453" i="3"/>
  <c r="K453" i="3"/>
  <c r="J453" i="3"/>
  <c r="I453" i="3"/>
  <c r="T453" i="3" s="1"/>
  <c r="AF452" i="3"/>
  <c r="W452" i="3" s="1"/>
  <c r="V452" i="3"/>
  <c r="S452" i="3"/>
  <c r="S451" i="3" s="1"/>
  <c r="B452" i="3"/>
  <c r="R451" i="3"/>
  <c r="Q451" i="3"/>
  <c r="L451" i="3"/>
  <c r="K451" i="3"/>
  <c r="J451" i="3"/>
  <c r="I451" i="3"/>
  <c r="T451" i="3" s="1"/>
  <c r="AF450" i="3"/>
  <c r="W450" i="3" s="1"/>
  <c r="V450" i="3"/>
  <c r="S450" i="3"/>
  <c r="S449" i="3" s="1"/>
  <c r="B450" i="3"/>
  <c r="R449" i="3"/>
  <c r="Q449" i="3"/>
  <c r="L449" i="3"/>
  <c r="K449" i="3"/>
  <c r="J449" i="3"/>
  <c r="I449" i="3"/>
  <c r="T449" i="3" s="1"/>
  <c r="AF448" i="3"/>
  <c r="W448" i="3" s="1"/>
  <c r="V448" i="3"/>
  <c r="S448" i="3"/>
  <c r="B448" i="3"/>
  <c r="AF447" i="3"/>
  <c r="W447" i="3" s="1"/>
  <c r="V447" i="3"/>
  <c r="S447" i="3"/>
  <c r="B447" i="3"/>
  <c r="AF446" i="3"/>
  <c r="W446" i="3" s="1"/>
  <c r="V446" i="3"/>
  <c r="S446" i="3"/>
  <c r="B446" i="3"/>
  <c r="AJ445" i="3"/>
  <c r="W445" i="3" s="1"/>
  <c r="V445" i="3"/>
  <c r="S445" i="3"/>
  <c r="B445" i="3"/>
  <c r="AF444" i="3"/>
  <c r="W444" i="3" s="1"/>
  <c r="V444" i="3"/>
  <c r="S444" i="3"/>
  <c r="B444" i="3"/>
  <c r="AF443" i="3"/>
  <c r="W443" i="3" s="1"/>
  <c r="V443" i="3"/>
  <c r="S443" i="3"/>
  <c r="B443" i="3"/>
  <c r="AF442" i="3"/>
  <c r="W442" i="3" s="1"/>
  <c r="V442" i="3"/>
  <c r="S442" i="3"/>
  <c r="B442" i="3"/>
  <c r="AF441" i="3"/>
  <c r="W441" i="3" s="1"/>
  <c r="S441" i="3"/>
  <c r="B441" i="3"/>
  <c r="AF440" i="3"/>
  <c r="W440" i="3" s="1"/>
  <c r="V440" i="3"/>
  <c r="S440" i="3"/>
  <c r="B440" i="3"/>
  <c r="S439" i="3"/>
  <c r="B439" i="3"/>
  <c r="R438" i="3"/>
  <c r="Q438" i="3"/>
  <c r="L438" i="3"/>
  <c r="K438" i="3"/>
  <c r="J438" i="3"/>
  <c r="I438" i="3"/>
  <c r="T438" i="3" s="1"/>
  <c r="AF437" i="3"/>
  <c r="W437" i="3" s="1"/>
  <c r="V437" i="3"/>
  <c r="S437" i="3"/>
  <c r="B437" i="3"/>
  <c r="AF436" i="3"/>
  <c r="W436" i="3" s="1"/>
  <c r="V436" i="3"/>
  <c r="S436" i="3"/>
  <c r="B436" i="3"/>
  <c r="R435" i="3"/>
  <c r="Q435" i="3"/>
  <c r="L435" i="3"/>
  <c r="K435" i="3"/>
  <c r="J435" i="3"/>
  <c r="I435" i="3"/>
  <c r="T435" i="3" s="1"/>
  <c r="AF434" i="3"/>
  <c r="W434" i="3" s="1"/>
  <c r="V434" i="3"/>
  <c r="S434" i="3"/>
  <c r="B434" i="3"/>
  <c r="W433" i="3"/>
  <c r="V433" i="3"/>
  <c r="S433" i="3"/>
  <c r="B433" i="3"/>
  <c r="AF432" i="3"/>
  <c r="W432" i="3" s="1"/>
  <c r="V432" i="3"/>
  <c r="S432" i="3"/>
  <c r="B432" i="3"/>
  <c r="AF431" i="3"/>
  <c r="W431" i="3" s="1"/>
  <c r="V431" i="3"/>
  <c r="S431" i="3"/>
  <c r="B431" i="3"/>
  <c r="AF430" i="3"/>
  <c r="W430" i="3" s="1"/>
  <c r="V430" i="3"/>
  <c r="S430" i="3"/>
  <c r="B430" i="3"/>
  <c r="R429" i="3"/>
  <c r="Q429" i="3"/>
  <c r="L429" i="3"/>
  <c r="K429" i="3"/>
  <c r="J429" i="3"/>
  <c r="I429" i="3"/>
  <c r="T429" i="3" s="1"/>
  <c r="AJ428" i="3"/>
  <c r="W428" i="3" s="1"/>
  <c r="V428" i="3"/>
  <c r="S428" i="3"/>
  <c r="B428" i="3"/>
  <c r="W427" i="3"/>
  <c r="V427" i="3"/>
  <c r="S427" i="3"/>
  <c r="B427" i="3"/>
  <c r="W426" i="3"/>
  <c r="V426" i="3"/>
  <c r="S426" i="3"/>
  <c r="B426" i="3"/>
  <c r="W425" i="3"/>
  <c r="V425" i="3"/>
  <c r="S425" i="3"/>
  <c r="B425" i="3"/>
  <c r="AF424" i="3"/>
  <c r="W424" i="3" s="1"/>
  <c r="V424" i="3"/>
  <c r="S424" i="3"/>
  <c r="B424" i="3"/>
  <c r="AF423" i="3"/>
  <c r="W423" i="3" s="1"/>
  <c r="V423" i="3"/>
  <c r="S423" i="3"/>
  <c r="B423" i="3"/>
  <c r="R422" i="3"/>
  <c r="Q422" i="3"/>
  <c r="L422" i="3"/>
  <c r="K422" i="3"/>
  <c r="J422" i="3"/>
  <c r="I422" i="3"/>
  <c r="T422" i="3" s="1"/>
  <c r="AF421" i="3"/>
  <c r="W421" i="3" s="1"/>
  <c r="V421" i="3"/>
  <c r="S421" i="3"/>
  <c r="B421" i="3"/>
  <c r="W420" i="3"/>
  <c r="V420" i="3"/>
  <c r="S420" i="3"/>
  <c r="B420" i="3"/>
  <c r="AF419" i="3"/>
  <c r="W419" i="3" s="1"/>
  <c r="V419" i="3"/>
  <c r="S419" i="3"/>
  <c r="B419" i="3"/>
  <c r="R418" i="3"/>
  <c r="Q418" i="3"/>
  <c r="L418" i="3"/>
  <c r="K418" i="3"/>
  <c r="J418" i="3"/>
  <c r="I418" i="3"/>
  <c r="T418" i="3" s="1"/>
  <c r="AF417" i="3"/>
  <c r="W417" i="3" s="1"/>
  <c r="V417" i="3"/>
  <c r="S417" i="3"/>
  <c r="S416" i="3" s="1"/>
  <c r="B417" i="3"/>
  <c r="R416" i="3"/>
  <c r="Q416" i="3"/>
  <c r="L416" i="3"/>
  <c r="K416" i="3"/>
  <c r="J416" i="3"/>
  <c r="I416" i="3"/>
  <c r="T416" i="3" s="1"/>
  <c r="AN415" i="3"/>
  <c r="S415" i="3"/>
  <c r="B415" i="3"/>
  <c r="AF414" i="3"/>
  <c r="W414" i="3" s="1"/>
  <c r="V414" i="3"/>
  <c r="S414" i="3"/>
  <c r="B414" i="3"/>
  <c r="AF413" i="3"/>
  <c r="W413" i="3" s="1"/>
  <c r="V413" i="3"/>
  <c r="S413" i="3"/>
  <c r="B413" i="3"/>
  <c r="R412" i="3"/>
  <c r="Q412" i="3"/>
  <c r="L412" i="3"/>
  <c r="K412" i="3"/>
  <c r="J412" i="3"/>
  <c r="I412" i="3"/>
  <c r="T412" i="3" s="1"/>
  <c r="S411" i="3"/>
  <c r="B411" i="3"/>
  <c r="S410" i="3"/>
  <c r="B410" i="3"/>
  <c r="W409" i="3"/>
  <c r="S409" i="3"/>
  <c r="B409" i="3"/>
  <c r="R408" i="3"/>
  <c r="Q408" i="3"/>
  <c r="L408" i="3"/>
  <c r="K408" i="3"/>
  <c r="J408" i="3"/>
  <c r="I408" i="3"/>
  <c r="T408" i="3" s="1"/>
  <c r="AF407" i="3"/>
  <c r="W407" i="3" s="1"/>
  <c r="V407" i="3"/>
  <c r="S407" i="3"/>
  <c r="S406" i="3" s="1"/>
  <c r="B407" i="3"/>
  <c r="R406" i="3"/>
  <c r="Q406" i="3"/>
  <c r="L406" i="3"/>
  <c r="K406" i="3"/>
  <c r="J406" i="3"/>
  <c r="I406" i="3"/>
  <c r="T406" i="3" s="1"/>
  <c r="AF405" i="3"/>
  <c r="W405" i="3" s="1"/>
  <c r="V405" i="3"/>
  <c r="S405" i="3"/>
  <c r="B405" i="3"/>
  <c r="AF404" i="3"/>
  <c r="W404" i="3" s="1"/>
  <c r="V404" i="3"/>
  <c r="S404" i="3"/>
  <c r="B404" i="3"/>
  <c r="AF403" i="3"/>
  <c r="W403" i="3" s="1"/>
  <c r="V403" i="3"/>
  <c r="S403" i="3"/>
  <c r="B403" i="3"/>
  <c r="AF402" i="3"/>
  <c r="W402" i="3" s="1"/>
  <c r="V402" i="3"/>
  <c r="S402" i="3"/>
  <c r="B402" i="3"/>
  <c r="AF401" i="3"/>
  <c r="W401" i="3" s="1"/>
  <c r="V401" i="3"/>
  <c r="S401" i="3"/>
  <c r="B401" i="3"/>
  <c r="AF400" i="3"/>
  <c r="W400" i="3" s="1"/>
  <c r="V400" i="3"/>
  <c r="S400" i="3"/>
  <c r="B400" i="3"/>
  <c r="AF399" i="3"/>
  <c r="W399" i="3" s="1"/>
  <c r="V399" i="3"/>
  <c r="S399" i="3"/>
  <c r="B399" i="3"/>
  <c r="R398" i="3"/>
  <c r="Q398" i="3"/>
  <c r="L398" i="3"/>
  <c r="K398" i="3"/>
  <c r="J398" i="3"/>
  <c r="I398" i="3"/>
  <c r="T398" i="3" s="1"/>
  <c r="AJ397" i="3"/>
  <c r="W397" i="3" s="1"/>
  <c r="V397" i="3"/>
  <c r="S397" i="3"/>
  <c r="S396" i="3" s="1"/>
  <c r="B397" i="3"/>
  <c r="R396" i="3"/>
  <c r="Q396" i="3"/>
  <c r="L396" i="3"/>
  <c r="K396" i="3"/>
  <c r="J396" i="3"/>
  <c r="I396" i="3"/>
  <c r="T396" i="3" s="1"/>
  <c r="AN395" i="3"/>
  <c r="V395" i="3"/>
  <c r="S395" i="3"/>
  <c r="B395" i="3"/>
  <c r="AF394" i="3"/>
  <c r="W394" i="3" s="1"/>
  <c r="V394" i="3"/>
  <c r="S394" i="3"/>
  <c r="B394" i="3"/>
  <c r="AJ393" i="3"/>
  <c r="W393" i="3" s="1"/>
  <c r="V393" i="3"/>
  <c r="S393" i="3"/>
  <c r="B393" i="3"/>
  <c r="AJ392" i="3"/>
  <c r="W392" i="3" s="1"/>
  <c r="V392" i="3"/>
  <c r="S392" i="3"/>
  <c r="B392" i="3"/>
  <c r="R391" i="3"/>
  <c r="Q391" i="3"/>
  <c r="L391" i="3"/>
  <c r="K391" i="3"/>
  <c r="J391" i="3"/>
  <c r="I391" i="3"/>
  <c r="T391" i="3" s="1"/>
  <c r="AF390" i="3"/>
  <c r="W390" i="3" s="1"/>
  <c r="V390" i="3"/>
  <c r="S390" i="3"/>
  <c r="S389" i="3" s="1"/>
  <c r="B390" i="3"/>
  <c r="R389" i="3"/>
  <c r="Q389" i="3"/>
  <c r="L389" i="3"/>
  <c r="K389" i="3"/>
  <c r="J389" i="3"/>
  <c r="I389" i="3"/>
  <c r="T389" i="3" s="1"/>
  <c r="W388" i="3"/>
  <c r="V388" i="3"/>
  <c r="S388" i="3"/>
  <c r="B388" i="3"/>
  <c r="AF387" i="3"/>
  <c r="W387" i="3" s="1"/>
  <c r="V387" i="3"/>
  <c r="S387" i="3"/>
  <c r="B387" i="3"/>
  <c r="R386" i="3"/>
  <c r="Q386" i="3"/>
  <c r="L386" i="3"/>
  <c r="K386" i="3"/>
  <c r="J386" i="3"/>
  <c r="I386" i="3"/>
  <c r="T386" i="3" s="1"/>
  <c r="AF385" i="3"/>
  <c r="W385" i="3"/>
  <c r="S385" i="3"/>
  <c r="B385" i="3"/>
  <c r="AN384" i="3"/>
  <c r="S384" i="3"/>
  <c r="B384" i="3"/>
  <c r="AJ383" i="3"/>
  <c r="W383" i="3" s="1"/>
  <c r="V383" i="3"/>
  <c r="S383" i="3"/>
  <c r="B383" i="3"/>
  <c r="AF382" i="3"/>
  <c r="W382" i="3" s="1"/>
  <c r="V382" i="3"/>
  <c r="S382" i="3"/>
  <c r="B382" i="3"/>
  <c r="R381" i="3"/>
  <c r="Q381" i="3"/>
  <c r="L381" i="3"/>
  <c r="K381" i="3"/>
  <c r="J381" i="3"/>
  <c r="I381" i="3"/>
  <c r="T381" i="3" s="1"/>
  <c r="AF380" i="3"/>
  <c r="W380" i="3" s="1"/>
  <c r="V380" i="3"/>
  <c r="S380" i="3"/>
  <c r="S379" i="3" s="1"/>
  <c r="B380" i="3"/>
  <c r="R379" i="3"/>
  <c r="Q379" i="3"/>
  <c r="L379" i="3"/>
  <c r="K379" i="3"/>
  <c r="J379" i="3"/>
  <c r="I379" i="3"/>
  <c r="T379" i="3" s="1"/>
  <c r="AJ378" i="3"/>
  <c r="AF378" i="3"/>
  <c r="V378" i="3"/>
  <c r="S378" i="3"/>
  <c r="S377" i="3" s="1"/>
  <c r="B378" i="3"/>
  <c r="R377" i="3"/>
  <c r="Q377" i="3"/>
  <c r="L377" i="3"/>
  <c r="K377" i="3"/>
  <c r="J377" i="3"/>
  <c r="I377" i="3"/>
  <c r="T377" i="3" s="1"/>
  <c r="W376" i="3"/>
  <c r="S376" i="3"/>
  <c r="B376" i="3"/>
  <c r="AF375" i="3"/>
  <c r="W375" i="3" s="1"/>
  <c r="V375" i="3"/>
  <c r="S375" i="3"/>
  <c r="B375" i="3"/>
  <c r="R374" i="3"/>
  <c r="Q374" i="3"/>
  <c r="L374" i="3"/>
  <c r="K374" i="3"/>
  <c r="J374" i="3"/>
  <c r="I374" i="3"/>
  <c r="T374" i="3" s="1"/>
  <c r="AF373" i="3"/>
  <c r="W373" i="3" s="1"/>
  <c r="V373" i="3"/>
  <c r="S373" i="3"/>
  <c r="B373" i="3"/>
  <c r="AF372" i="3"/>
  <c r="W372" i="3" s="1"/>
  <c r="V372" i="3"/>
  <c r="S372" i="3"/>
  <c r="B372" i="3"/>
  <c r="AN371" i="3"/>
  <c r="W371" i="3"/>
  <c r="S371" i="3"/>
  <c r="B371" i="3"/>
  <c r="AF370" i="3"/>
  <c r="W370" i="3" s="1"/>
  <c r="V370" i="3"/>
  <c r="S370" i="3"/>
  <c r="B370" i="3"/>
  <c r="AF369" i="3"/>
  <c r="W369" i="3" s="1"/>
  <c r="V369" i="3"/>
  <c r="S369" i="3"/>
  <c r="B369" i="3"/>
  <c r="W368" i="3"/>
  <c r="V368" i="3"/>
  <c r="S368" i="3"/>
  <c r="B368" i="3"/>
  <c r="AF367" i="3"/>
  <c r="W367" i="3" s="1"/>
  <c r="S367" i="3"/>
  <c r="B367" i="3"/>
  <c r="AF366" i="3"/>
  <c r="W366" i="3" s="1"/>
  <c r="V366" i="3"/>
  <c r="S366" i="3"/>
  <c r="B366" i="3"/>
  <c r="AF365" i="3"/>
  <c r="W365" i="3" s="1"/>
  <c r="V365" i="3"/>
  <c r="S365" i="3"/>
  <c r="B365" i="3"/>
  <c r="AJ364" i="3"/>
  <c r="W364" i="3" s="1"/>
  <c r="V364" i="3"/>
  <c r="S364" i="3"/>
  <c r="B364" i="3"/>
  <c r="W363" i="3"/>
  <c r="V363" i="3"/>
  <c r="S363" i="3"/>
  <c r="B363" i="3"/>
  <c r="AF362" i="3"/>
  <c r="W362" i="3" s="1"/>
  <c r="V362" i="3"/>
  <c r="S362" i="3"/>
  <c r="B362" i="3"/>
  <c r="AF361" i="3"/>
  <c r="W361" i="3" s="1"/>
  <c r="V361" i="3"/>
  <c r="S361" i="3"/>
  <c r="B361" i="3"/>
  <c r="AF360" i="3"/>
  <c r="W360" i="3" s="1"/>
  <c r="V360" i="3"/>
  <c r="S360" i="3"/>
  <c r="B360" i="3"/>
  <c r="AF359" i="3"/>
  <c r="W359" i="3" s="1"/>
  <c r="V359" i="3"/>
  <c r="S359" i="3"/>
  <c r="B359" i="3"/>
  <c r="AF358" i="3"/>
  <c r="W358" i="3" s="1"/>
  <c r="V358" i="3"/>
  <c r="S358" i="3"/>
  <c r="B358" i="3"/>
  <c r="W357" i="3"/>
  <c r="S357" i="3"/>
  <c r="B357" i="3"/>
  <c r="R356" i="3"/>
  <c r="Q356" i="3"/>
  <c r="L356" i="3"/>
  <c r="K356" i="3"/>
  <c r="J356" i="3"/>
  <c r="I356" i="3"/>
  <c r="T356" i="3" s="1"/>
  <c r="AJ355" i="3"/>
  <c r="AF355" i="3"/>
  <c r="V355" i="3"/>
  <c r="S355" i="3"/>
  <c r="S354" i="3" s="1"/>
  <c r="B355" i="3"/>
  <c r="R354" i="3"/>
  <c r="Q354" i="3"/>
  <c r="L354" i="3"/>
  <c r="K354" i="3"/>
  <c r="J354" i="3"/>
  <c r="I354" i="3"/>
  <c r="T354" i="3" s="1"/>
  <c r="W353" i="3"/>
  <c r="V353" i="3"/>
  <c r="S353" i="3"/>
  <c r="B353" i="3"/>
  <c r="AF352" i="3"/>
  <c r="W352" i="3" s="1"/>
  <c r="V352" i="3"/>
  <c r="S352" i="3"/>
  <c r="S351" i="3" s="1"/>
  <c r="B352" i="3"/>
  <c r="R351" i="3"/>
  <c r="Q351" i="3"/>
  <c r="L351" i="3"/>
  <c r="K351" i="3"/>
  <c r="J351" i="3"/>
  <c r="I351" i="3"/>
  <c r="T351" i="3" s="1"/>
  <c r="AF350" i="3"/>
  <c r="W350" i="3" s="1"/>
  <c r="V350" i="3"/>
  <c r="S350" i="3"/>
  <c r="B350" i="3"/>
  <c r="W349" i="3"/>
  <c r="V349" i="3"/>
  <c r="S349" i="3"/>
  <c r="B349" i="3"/>
  <c r="S348" i="3"/>
  <c r="B348" i="3"/>
  <c r="R347" i="3"/>
  <c r="Q347" i="3"/>
  <c r="L347" i="3"/>
  <c r="K347" i="3"/>
  <c r="J347" i="3"/>
  <c r="I347" i="3"/>
  <c r="T347" i="3" s="1"/>
  <c r="AF346" i="3"/>
  <c r="S346" i="3"/>
  <c r="B346" i="3"/>
  <c r="AF345" i="3"/>
  <c r="W345" i="3" s="1"/>
  <c r="V345" i="3"/>
  <c r="S345" i="3"/>
  <c r="B345" i="3"/>
  <c r="R344" i="3"/>
  <c r="Q344" i="3"/>
  <c r="L344" i="3"/>
  <c r="K344" i="3"/>
  <c r="J344" i="3"/>
  <c r="I344" i="3"/>
  <c r="T344" i="3" s="1"/>
  <c r="AJ343" i="3"/>
  <c r="W343" i="3" s="1"/>
  <c r="V343" i="3"/>
  <c r="S343" i="3"/>
  <c r="B343" i="3"/>
  <c r="AJ342" i="3"/>
  <c r="W342" i="3" s="1"/>
  <c r="V342" i="3"/>
  <c r="S342" i="3"/>
  <c r="B342" i="3"/>
  <c r="R341" i="3"/>
  <c r="Q341" i="3"/>
  <c r="L341" i="3"/>
  <c r="K341" i="3"/>
  <c r="J341" i="3"/>
  <c r="I341" i="3"/>
  <c r="T341" i="3" s="1"/>
  <c r="AF340" i="3"/>
  <c r="W340" i="3" s="1"/>
  <c r="V340" i="3"/>
  <c r="S340" i="3"/>
  <c r="B340" i="3"/>
  <c r="AJ339" i="3"/>
  <c r="W339" i="3" s="1"/>
  <c r="V339" i="3"/>
  <c r="S339" i="3"/>
  <c r="B339" i="3"/>
  <c r="AL338" i="3"/>
  <c r="W338" i="3" s="1"/>
  <c r="V338" i="3"/>
  <c r="S338" i="3"/>
  <c r="B338" i="3"/>
  <c r="V337" i="3"/>
  <c r="S337" i="3"/>
  <c r="B337" i="3"/>
  <c r="R336" i="3"/>
  <c r="Q336" i="3"/>
  <c r="L336" i="3"/>
  <c r="K336" i="3"/>
  <c r="J336" i="3"/>
  <c r="I336" i="3"/>
  <c r="T336" i="3" s="1"/>
  <c r="AF335" i="3"/>
  <c r="W335" i="3" s="1"/>
  <c r="V335" i="3"/>
  <c r="S335" i="3"/>
  <c r="AF333" i="3"/>
  <c r="W333" i="3" s="1"/>
  <c r="V333" i="3"/>
  <c r="S333" i="3"/>
  <c r="B333" i="3"/>
  <c r="AF332" i="3"/>
  <c r="W332" i="3" s="1"/>
  <c r="V332" i="3"/>
  <c r="S332" i="3"/>
  <c r="B332" i="3"/>
  <c r="AF331" i="3"/>
  <c r="W331" i="3" s="1"/>
  <c r="V331" i="3"/>
  <c r="S331" i="3"/>
  <c r="B331" i="3"/>
  <c r="AL330" i="3"/>
  <c r="W330" i="3" s="1"/>
  <c r="V330" i="3"/>
  <c r="S330" i="3"/>
  <c r="B330" i="3"/>
  <c r="AJ329" i="3"/>
  <c r="W329" i="3" s="1"/>
  <c r="V329" i="3"/>
  <c r="S329" i="3"/>
  <c r="B329" i="3"/>
  <c r="W328" i="3"/>
  <c r="V328" i="3"/>
  <c r="S328" i="3"/>
  <c r="B328" i="3"/>
  <c r="AJ327" i="3"/>
  <c r="W327" i="3" s="1"/>
  <c r="V327" i="3"/>
  <c r="S327" i="3"/>
  <c r="B327" i="3"/>
  <c r="AN326" i="3"/>
  <c r="W326" i="3" s="1"/>
  <c r="V326" i="3"/>
  <c r="S326" i="3"/>
  <c r="B326" i="3"/>
  <c r="AF325" i="3"/>
  <c r="W325" i="3" s="1"/>
  <c r="V325" i="3"/>
  <c r="S325" i="3"/>
  <c r="B325" i="3"/>
  <c r="AF324" i="3"/>
  <c r="W324" i="3" s="1"/>
  <c r="V324" i="3"/>
  <c r="S324" i="3"/>
  <c r="B324" i="3"/>
  <c r="AF323" i="3"/>
  <c r="W323" i="3" s="1"/>
  <c r="V323" i="3"/>
  <c r="S323" i="3"/>
  <c r="B323" i="3"/>
  <c r="AF322" i="3"/>
  <c r="W322" i="3" s="1"/>
  <c r="V322" i="3"/>
  <c r="S322" i="3"/>
  <c r="B322" i="3"/>
  <c r="AJ321" i="3"/>
  <c r="W321" i="3" s="1"/>
  <c r="V321" i="3"/>
  <c r="S321" i="3"/>
  <c r="B321" i="3"/>
  <c r="AF320" i="3"/>
  <c r="W320" i="3" s="1"/>
  <c r="V320" i="3"/>
  <c r="S320" i="3"/>
  <c r="B320" i="3"/>
  <c r="R319" i="3"/>
  <c r="Q319" i="3"/>
  <c r="L319" i="3"/>
  <c r="K319" i="3"/>
  <c r="J319" i="3"/>
  <c r="I319" i="3"/>
  <c r="T319" i="3" s="1"/>
  <c r="AF318" i="3"/>
  <c r="W318" i="3" s="1"/>
  <c r="V318" i="3"/>
  <c r="S318" i="3"/>
  <c r="B318" i="3"/>
  <c r="AF317" i="3"/>
  <c r="W317" i="3" s="1"/>
  <c r="V317" i="3"/>
  <c r="S317" i="3"/>
  <c r="B317" i="3"/>
  <c r="AF316" i="3"/>
  <c r="W316" i="3" s="1"/>
  <c r="V316" i="3"/>
  <c r="S316" i="3"/>
  <c r="B316" i="3"/>
  <c r="AJ315" i="3"/>
  <c r="W315" i="3" s="1"/>
  <c r="V315" i="3"/>
  <c r="S315" i="3"/>
  <c r="B315" i="3"/>
  <c r="AJ314" i="3"/>
  <c r="W314" i="3" s="1"/>
  <c r="V314" i="3"/>
  <c r="S314" i="3"/>
  <c r="B314" i="3"/>
  <c r="AD313" i="3"/>
  <c r="W313" i="3" s="1"/>
  <c r="V313" i="3"/>
  <c r="S313" i="3"/>
  <c r="B313" i="3"/>
  <c r="AF312" i="3"/>
  <c r="W312" i="3" s="1"/>
  <c r="V312" i="3"/>
  <c r="S312" i="3"/>
  <c r="B312" i="3"/>
  <c r="AF311" i="3"/>
  <c r="W311" i="3" s="1"/>
  <c r="V311" i="3"/>
  <c r="S311" i="3"/>
  <c r="B311" i="3"/>
  <c r="S310" i="3"/>
  <c r="B310" i="3"/>
  <c r="AD309" i="3"/>
  <c r="W309" i="3" s="1"/>
  <c r="V309" i="3"/>
  <c r="S309" i="3"/>
  <c r="B309" i="3"/>
  <c r="AF308" i="3"/>
  <c r="W308" i="3" s="1"/>
  <c r="V308" i="3"/>
  <c r="S308" i="3"/>
  <c r="B308" i="3"/>
  <c r="AF307" i="3"/>
  <c r="W307" i="3" s="1"/>
  <c r="V307" i="3"/>
  <c r="S307" i="3"/>
  <c r="B307" i="3"/>
  <c r="AF306" i="3"/>
  <c r="W306" i="3" s="1"/>
  <c r="V306" i="3"/>
  <c r="S306" i="3"/>
  <c r="B306" i="3"/>
  <c r="AF305" i="3"/>
  <c r="W305" i="3" s="1"/>
  <c r="V305" i="3"/>
  <c r="S305" i="3"/>
  <c r="B305" i="3"/>
  <c r="AF304" i="3"/>
  <c r="W304" i="3" s="1"/>
  <c r="V304" i="3"/>
  <c r="S304" i="3"/>
  <c r="B304" i="3"/>
  <c r="R303" i="3"/>
  <c r="Q303" i="3"/>
  <c r="L303" i="3"/>
  <c r="K303" i="3"/>
  <c r="J303" i="3"/>
  <c r="I303" i="3"/>
  <c r="T303" i="3" s="1"/>
  <c r="AF302" i="3"/>
  <c r="W302" i="3" s="1"/>
  <c r="V302" i="3"/>
  <c r="S302" i="3"/>
  <c r="S301" i="3" s="1"/>
  <c r="B302" i="3"/>
  <c r="R301" i="3"/>
  <c r="Q301" i="3"/>
  <c r="L301" i="3"/>
  <c r="K301" i="3"/>
  <c r="J301" i="3"/>
  <c r="I301" i="3"/>
  <c r="T301" i="3" s="1"/>
  <c r="W300" i="3"/>
  <c r="V300" i="3"/>
  <c r="S300" i="3"/>
  <c r="B300" i="3"/>
  <c r="S299" i="3"/>
  <c r="B299" i="3"/>
  <c r="W298" i="3"/>
  <c r="V298" i="3"/>
  <c r="S298" i="3"/>
  <c r="B298" i="3"/>
  <c r="W297" i="3"/>
  <c r="V297" i="3"/>
  <c r="S297" i="3"/>
  <c r="B297" i="3"/>
  <c r="AF296" i="3"/>
  <c r="W296" i="3" s="1"/>
  <c r="V296" i="3"/>
  <c r="S296" i="3"/>
  <c r="B296" i="3"/>
  <c r="R295" i="3"/>
  <c r="Q295" i="3"/>
  <c r="L295" i="3"/>
  <c r="K295" i="3"/>
  <c r="J295" i="3"/>
  <c r="I295" i="3"/>
  <c r="T295" i="3" s="1"/>
  <c r="AH294" i="3"/>
  <c r="W294" i="3" s="1"/>
  <c r="V294" i="3"/>
  <c r="S294" i="3"/>
  <c r="B294" i="3"/>
  <c r="W293" i="3"/>
  <c r="V293" i="3"/>
  <c r="S293" i="3"/>
  <c r="B293" i="3"/>
  <c r="AJ292" i="3"/>
  <c r="W292" i="3" s="1"/>
  <c r="V292" i="3"/>
  <c r="S292" i="3"/>
  <c r="B292" i="3"/>
  <c r="AJ291" i="3"/>
  <c r="W291" i="3" s="1"/>
  <c r="V291" i="3"/>
  <c r="S291" i="3"/>
  <c r="B291" i="3"/>
  <c r="AJ290" i="3"/>
  <c r="W290" i="3" s="1"/>
  <c r="V290" i="3"/>
  <c r="S290" i="3"/>
  <c r="B290" i="3"/>
  <c r="R289" i="3"/>
  <c r="Q289" i="3"/>
  <c r="L289" i="3"/>
  <c r="K289" i="3"/>
  <c r="J289" i="3"/>
  <c r="I289" i="3"/>
  <c r="T289" i="3" s="1"/>
  <c r="AF288" i="3"/>
  <c r="W288" i="3" s="1"/>
  <c r="V288" i="3"/>
  <c r="S288" i="3"/>
  <c r="B288" i="3"/>
  <c r="AF287" i="3"/>
  <c r="W287" i="3" s="1"/>
  <c r="V287" i="3"/>
  <c r="S287" i="3"/>
  <c r="B287" i="3"/>
  <c r="R286" i="3"/>
  <c r="Q286" i="3"/>
  <c r="L286" i="3"/>
  <c r="K286" i="3"/>
  <c r="J286" i="3"/>
  <c r="I286" i="3"/>
  <c r="T286" i="3" s="1"/>
  <c r="W285" i="3"/>
  <c r="V285" i="3"/>
  <c r="S285" i="3"/>
  <c r="S284" i="3" s="1"/>
  <c r="B285" i="3"/>
  <c r="R284" i="3"/>
  <c r="Q284" i="3"/>
  <c r="L284" i="3"/>
  <c r="K284" i="3"/>
  <c r="J284" i="3"/>
  <c r="I284" i="3"/>
  <c r="T284" i="3" s="1"/>
  <c r="AF283" i="3"/>
  <c r="W283" i="3" s="1"/>
  <c r="V283" i="3"/>
  <c r="S283" i="3"/>
  <c r="B283" i="3"/>
  <c r="AF282" i="3"/>
  <c r="W282" i="3" s="1"/>
  <c r="V282" i="3"/>
  <c r="S282" i="3"/>
  <c r="B282" i="3"/>
  <c r="W281" i="3"/>
  <c r="V281" i="3"/>
  <c r="S281" i="3"/>
  <c r="B281" i="3"/>
  <c r="AF280" i="3"/>
  <c r="W280" i="3" s="1"/>
  <c r="V280" i="3"/>
  <c r="S280" i="3"/>
  <c r="B280" i="3"/>
  <c r="R279" i="3"/>
  <c r="Q279" i="3"/>
  <c r="L279" i="3"/>
  <c r="K279" i="3"/>
  <c r="J279" i="3"/>
  <c r="I279" i="3"/>
  <c r="T279" i="3" s="1"/>
  <c r="AF278" i="3"/>
  <c r="W278" i="3" s="1"/>
  <c r="V278" i="3"/>
  <c r="S278" i="3"/>
  <c r="B278" i="3"/>
  <c r="AF277" i="3"/>
  <c r="W277" i="3" s="1"/>
  <c r="V277" i="3"/>
  <c r="S277" i="3"/>
  <c r="B277" i="3"/>
  <c r="AJ276" i="3"/>
  <c r="W276" i="3" s="1"/>
  <c r="V276" i="3"/>
  <c r="S276" i="3"/>
  <c r="B276" i="3"/>
  <c r="AF275" i="3"/>
  <c r="W275" i="3" s="1"/>
  <c r="V275" i="3"/>
  <c r="S275" i="3"/>
  <c r="B275" i="3"/>
  <c r="AF274" i="3"/>
  <c r="W274" i="3" s="1"/>
  <c r="V274" i="3"/>
  <c r="S274" i="3"/>
  <c r="B274" i="3"/>
  <c r="AJ273" i="3"/>
  <c r="AF273" i="3"/>
  <c r="V273" i="3"/>
  <c r="S273" i="3"/>
  <c r="B273" i="3"/>
  <c r="R272" i="3"/>
  <c r="Q272" i="3"/>
  <c r="L272" i="3"/>
  <c r="K272" i="3"/>
  <c r="J272" i="3"/>
  <c r="I272" i="3"/>
  <c r="T272" i="3" s="1"/>
  <c r="AF271" i="3"/>
  <c r="W271" i="3" s="1"/>
  <c r="V271" i="3"/>
  <c r="S271" i="3"/>
  <c r="B271" i="3"/>
  <c r="AF270" i="3"/>
  <c r="W270" i="3" s="1"/>
  <c r="V270" i="3"/>
  <c r="S270" i="3"/>
  <c r="B270" i="3"/>
  <c r="AF269" i="3"/>
  <c r="W269" i="3" s="1"/>
  <c r="V269" i="3"/>
  <c r="S269" i="3"/>
  <c r="B269" i="3"/>
  <c r="AF268" i="3"/>
  <c r="W268" i="3" s="1"/>
  <c r="V268" i="3"/>
  <c r="S268" i="3"/>
  <c r="B268" i="3"/>
  <c r="AF267" i="3"/>
  <c r="W267" i="3" s="1"/>
  <c r="V267" i="3"/>
  <c r="S267" i="3"/>
  <c r="B267" i="3"/>
  <c r="R266" i="3"/>
  <c r="Q266" i="3"/>
  <c r="L266" i="3"/>
  <c r="K266" i="3"/>
  <c r="J266" i="3"/>
  <c r="I266" i="3"/>
  <c r="T266" i="3" s="1"/>
  <c r="AF265" i="3"/>
  <c r="W265" i="3" s="1"/>
  <c r="V265" i="3"/>
  <c r="S265" i="3"/>
  <c r="B265" i="3"/>
  <c r="AF264" i="3"/>
  <c r="W264" i="3" s="1"/>
  <c r="V264" i="3"/>
  <c r="S264" i="3"/>
  <c r="B264" i="3"/>
  <c r="AF263" i="3"/>
  <c r="W263" i="3" s="1"/>
  <c r="V263" i="3"/>
  <c r="S263" i="3"/>
  <c r="B263" i="3"/>
  <c r="AF262" i="3"/>
  <c r="W262" i="3" s="1"/>
  <c r="V262" i="3"/>
  <c r="S262" i="3"/>
  <c r="B262" i="3"/>
  <c r="AF261" i="3"/>
  <c r="W261" i="3" s="1"/>
  <c r="V261" i="3"/>
  <c r="S261" i="3"/>
  <c r="B261" i="3"/>
  <c r="W260" i="3"/>
  <c r="V260" i="3"/>
  <c r="S260" i="3"/>
  <c r="B260" i="3"/>
  <c r="AF259" i="3"/>
  <c r="W259" i="3" s="1"/>
  <c r="V259" i="3"/>
  <c r="S259" i="3"/>
  <c r="B259" i="3"/>
  <c r="AF258" i="3"/>
  <c r="W258" i="3" s="1"/>
  <c r="V258" i="3"/>
  <c r="S258" i="3"/>
  <c r="B258" i="3"/>
  <c r="AF257" i="3"/>
  <c r="W257" i="3" s="1"/>
  <c r="V257" i="3"/>
  <c r="S257" i="3"/>
  <c r="B257" i="3"/>
  <c r="W256" i="3"/>
  <c r="V256" i="3"/>
  <c r="S256" i="3"/>
  <c r="B256" i="3"/>
  <c r="AF255" i="3"/>
  <c r="W255" i="3" s="1"/>
  <c r="V255" i="3"/>
  <c r="S255" i="3"/>
  <c r="B255" i="3"/>
  <c r="AJ254" i="3"/>
  <c r="W254" i="3" s="1"/>
  <c r="V254" i="3"/>
  <c r="S254" i="3"/>
  <c r="B254" i="3"/>
  <c r="AF253" i="3"/>
  <c r="W253" i="3" s="1"/>
  <c r="V253" i="3"/>
  <c r="S253" i="3"/>
  <c r="B253" i="3"/>
  <c r="AF252" i="3"/>
  <c r="W252" i="3" s="1"/>
  <c r="V252" i="3"/>
  <c r="S252" i="3"/>
  <c r="B252" i="3"/>
  <c r="AF251" i="3"/>
  <c r="W251" i="3" s="1"/>
  <c r="V251" i="3"/>
  <c r="S251" i="3"/>
  <c r="B251" i="3"/>
  <c r="AF250" i="3"/>
  <c r="W250" i="3" s="1"/>
  <c r="V250" i="3"/>
  <c r="S250" i="3"/>
  <c r="B250" i="3"/>
  <c r="AF249" i="3"/>
  <c r="W249" i="3" s="1"/>
  <c r="V249" i="3"/>
  <c r="S249" i="3"/>
  <c r="B249" i="3"/>
  <c r="AF248" i="3"/>
  <c r="W248" i="3" s="1"/>
  <c r="V248" i="3"/>
  <c r="S248" i="3"/>
  <c r="B248" i="3"/>
  <c r="AD247" i="3"/>
  <c r="W247" i="3" s="1"/>
  <c r="V247" i="3"/>
  <c r="S247" i="3"/>
  <c r="B247" i="3"/>
  <c r="AF246" i="3"/>
  <c r="W246" i="3" s="1"/>
  <c r="V246" i="3"/>
  <c r="S246" i="3"/>
  <c r="B246" i="3"/>
  <c r="AF245" i="3"/>
  <c r="W245" i="3" s="1"/>
  <c r="V245" i="3"/>
  <c r="S245" i="3"/>
  <c r="B245" i="3"/>
  <c r="AF244" i="3"/>
  <c r="W244" i="3" s="1"/>
  <c r="V244" i="3"/>
  <c r="S244" i="3"/>
  <c r="B244" i="3"/>
  <c r="AD243" i="3"/>
  <c r="W243" i="3" s="1"/>
  <c r="V243" i="3"/>
  <c r="S243" i="3"/>
  <c r="B243" i="3"/>
  <c r="W242" i="3"/>
  <c r="S242" i="3"/>
  <c r="B242" i="3"/>
  <c r="AN241" i="3"/>
  <c r="W241" i="3" s="1"/>
  <c r="V241" i="3"/>
  <c r="S241" i="3"/>
  <c r="B241" i="3"/>
  <c r="AD240" i="3"/>
  <c r="W240" i="3" s="1"/>
  <c r="V240" i="3"/>
  <c r="S240" i="3"/>
  <c r="B240" i="3"/>
  <c r="R239" i="3"/>
  <c r="Q239" i="3"/>
  <c r="L239" i="3"/>
  <c r="K239" i="3"/>
  <c r="J239" i="3"/>
  <c r="I239" i="3"/>
  <c r="T239" i="3" s="1"/>
  <c r="AD238" i="3"/>
  <c r="W238" i="3" s="1"/>
  <c r="V238" i="3"/>
  <c r="S238" i="3"/>
  <c r="B238" i="3"/>
  <c r="W237" i="3"/>
  <c r="V237" i="3"/>
  <c r="S237" i="3"/>
  <c r="B237" i="3"/>
  <c r="S236" i="3"/>
  <c r="B236" i="3"/>
  <c r="AJ235" i="3"/>
  <c r="W235" i="3" s="1"/>
  <c r="V235" i="3"/>
  <c r="S235" i="3"/>
  <c r="B235" i="3"/>
  <c r="AF234" i="3"/>
  <c r="W234" i="3" s="1"/>
  <c r="V234" i="3"/>
  <c r="S234" i="3"/>
  <c r="B234" i="3"/>
  <c r="R233" i="3"/>
  <c r="Q233" i="3"/>
  <c r="L233" i="3"/>
  <c r="K233" i="3"/>
  <c r="J233" i="3"/>
  <c r="I233" i="3"/>
  <c r="T233" i="3" s="1"/>
  <c r="AJ232" i="3"/>
  <c r="AF232" i="3"/>
  <c r="S232" i="3"/>
  <c r="B232" i="3"/>
  <c r="AD231" i="3"/>
  <c r="W231" i="3" s="1"/>
  <c r="V231" i="3"/>
  <c r="S231" i="3"/>
  <c r="B231" i="3"/>
  <c r="AD230" i="3"/>
  <c r="W230" i="3" s="1"/>
  <c r="V230" i="3"/>
  <c r="S230" i="3"/>
  <c r="B230" i="3"/>
  <c r="AD229" i="3"/>
  <c r="W229" i="3" s="1"/>
  <c r="V229" i="3"/>
  <c r="S229" i="3"/>
  <c r="B229" i="3"/>
  <c r="W228" i="3"/>
  <c r="V228" i="3"/>
  <c r="S228" i="3"/>
  <c r="B228" i="3"/>
  <c r="AD227" i="3"/>
  <c r="W227" i="3" s="1"/>
  <c r="V227" i="3"/>
  <c r="S227" i="3"/>
  <c r="B227" i="3"/>
  <c r="AD226" i="3"/>
  <c r="W226" i="3" s="1"/>
  <c r="V226" i="3"/>
  <c r="S226" i="3"/>
  <c r="B226" i="3"/>
  <c r="AD225" i="3"/>
  <c r="W225" i="3" s="1"/>
  <c r="V225" i="3"/>
  <c r="S225" i="3"/>
  <c r="B225" i="3"/>
  <c r="AD224" i="3"/>
  <c r="W224" i="3" s="1"/>
  <c r="V224" i="3"/>
  <c r="S224" i="3"/>
  <c r="B224" i="3"/>
  <c r="AD223" i="3"/>
  <c r="W223" i="3" s="1"/>
  <c r="V223" i="3"/>
  <c r="S223" i="3"/>
  <c r="B223" i="3"/>
  <c r="AD222" i="3"/>
  <c r="W222" i="3" s="1"/>
  <c r="V222" i="3"/>
  <c r="S222" i="3"/>
  <c r="B222" i="3"/>
  <c r="AD221" i="3"/>
  <c r="W221" i="3" s="1"/>
  <c r="V221" i="3"/>
  <c r="S221" i="3"/>
  <c r="B221" i="3"/>
  <c r="AD220" i="3"/>
  <c r="W220" i="3" s="1"/>
  <c r="V220" i="3"/>
  <c r="S220" i="3"/>
  <c r="B220" i="3"/>
  <c r="AD219" i="3"/>
  <c r="W219" i="3" s="1"/>
  <c r="V219" i="3"/>
  <c r="S219" i="3"/>
  <c r="B219" i="3"/>
  <c r="AF218" i="3"/>
  <c r="W218" i="3" s="1"/>
  <c r="V218" i="3"/>
  <c r="S218" i="3"/>
  <c r="B218" i="3"/>
  <c r="AD217" i="3"/>
  <c r="W217" i="3" s="1"/>
  <c r="V217" i="3"/>
  <c r="S217" i="3"/>
  <c r="B217" i="3"/>
  <c r="AJ216" i="3"/>
  <c r="W216" i="3" s="1"/>
  <c r="V216" i="3"/>
  <c r="S216" i="3"/>
  <c r="B216" i="3"/>
  <c r="AJ215" i="3"/>
  <c r="W215" i="3" s="1"/>
  <c r="V215" i="3"/>
  <c r="S215" i="3"/>
  <c r="B215" i="3"/>
  <c r="AD214" i="3"/>
  <c r="W214" i="3" s="1"/>
  <c r="V214" i="3"/>
  <c r="S214" i="3"/>
  <c r="B214" i="3"/>
  <c r="AJ213" i="3"/>
  <c r="W213" i="3" s="1"/>
  <c r="V213" i="3"/>
  <c r="S213" i="3"/>
  <c r="B213" i="3"/>
  <c r="AF212" i="3"/>
  <c r="W212" i="3" s="1"/>
  <c r="V212" i="3"/>
  <c r="S212" i="3"/>
  <c r="B212" i="3"/>
  <c r="W211" i="3"/>
  <c r="V211" i="3"/>
  <c r="S211" i="3"/>
  <c r="B211" i="3"/>
  <c r="AF210" i="3"/>
  <c r="W210" i="3" s="1"/>
  <c r="V210" i="3"/>
  <c r="S210" i="3"/>
  <c r="B210" i="3"/>
  <c r="W209" i="3"/>
  <c r="V209" i="3"/>
  <c r="S209" i="3"/>
  <c r="B209" i="3"/>
  <c r="AJ208" i="3"/>
  <c r="W208" i="3" s="1"/>
  <c r="V208" i="3"/>
  <c r="S208" i="3"/>
  <c r="B208" i="3"/>
  <c r="AF207" i="3"/>
  <c r="W207" i="3" s="1"/>
  <c r="V207" i="3"/>
  <c r="S207" i="3"/>
  <c r="B207" i="3"/>
  <c r="AF206" i="3"/>
  <c r="W206" i="3" s="1"/>
  <c r="V206" i="3"/>
  <c r="S206" i="3"/>
  <c r="B206" i="3"/>
  <c r="W205" i="3"/>
  <c r="S205" i="3"/>
  <c r="B205" i="3"/>
  <c r="AF204" i="3"/>
  <c r="W204" i="3" s="1"/>
  <c r="V204" i="3"/>
  <c r="S204" i="3"/>
  <c r="B204" i="3"/>
  <c r="AD203" i="3"/>
  <c r="W203" i="3" s="1"/>
  <c r="V203" i="3"/>
  <c r="S203" i="3"/>
  <c r="B203" i="3"/>
  <c r="AD202" i="3"/>
  <c r="W202" i="3" s="1"/>
  <c r="V202" i="3"/>
  <c r="S202" i="3"/>
  <c r="B202" i="3"/>
  <c r="AD201" i="3"/>
  <c r="W201" i="3" s="1"/>
  <c r="V201" i="3"/>
  <c r="S201" i="3"/>
  <c r="B201" i="3"/>
  <c r="AD200" i="3"/>
  <c r="W200" i="3" s="1"/>
  <c r="V200" i="3"/>
  <c r="S200" i="3"/>
  <c r="B200" i="3"/>
  <c r="AF199" i="3"/>
  <c r="W199" i="3" s="1"/>
  <c r="V199" i="3"/>
  <c r="S199" i="3"/>
  <c r="B199" i="3"/>
  <c r="AF198" i="3"/>
  <c r="W198" i="3" s="1"/>
  <c r="V198" i="3"/>
  <c r="S198" i="3"/>
  <c r="B198" i="3"/>
  <c r="AJ197" i="3"/>
  <c r="W197" i="3" s="1"/>
  <c r="V197" i="3"/>
  <c r="S197" i="3"/>
  <c r="B197" i="3"/>
  <c r="R196" i="3"/>
  <c r="Q196" i="3"/>
  <c r="L196" i="3"/>
  <c r="K196" i="3"/>
  <c r="J196" i="3"/>
  <c r="I196" i="3"/>
  <c r="T196" i="3" s="1"/>
  <c r="AD195" i="3"/>
  <c r="W195" i="3" s="1"/>
  <c r="V195" i="3"/>
  <c r="S195" i="3"/>
  <c r="B195" i="3"/>
  <c r="AF194" i="3"/>
  <c r="W194" i="3" s="1"/>
  <c r="V194" i="3"/>
  <c r="S194" i="3"/>
  <c r="B194" i="3"/>
  <c r="AF193" i="3"/>
  <c r="W193" i="3" s="1"/>
  <c r="V193" i="3"/>
  <c r="S193" i="3"/>
  <c r="B193" i="3"/>
  <c r="AF192" i="3"/>
  <c r="W192" i="3" s="1"/>
  <c r="V192" i="3"/>
  <c r="S192" i="3"/>
  <c r="B192" i="3"/>
  <c r="AD191" i="3"/>
  <c r="W191" i="3" s="1"/>
  <c r="V191" i="3"/>
  <c r="S191" i="3"/>
  <c r="B191" i="3"/>
  <c r="AF190" i="3"/>
  <c r="W190" i="3" s="1"/>
  <c r="V190" i="3"/>
  <c r="S190" i="3"/>
  <c r="B190" i="3"/>
  <c r="AF189" i="3"/>
  <c r="W189" i="3" s="1"/>
  <c r="V189" i="3"/>
  <c r="S189" i="3"/>
  <c r="B189" i="3"/>
  <c r="AF188" i="3"/>
  <c r="W188" i="3" s="1"/>
  <c r="V188" i="3"/>
  <c r="S188" i="3"/>
  <c r="B188" i="3"/>
  <c r="AF187" i="3"/>
  <c r="W187" i="3" s="1"/>
  <c r="V187" i="3"/>
  <c r="S187" i="3"/>
  <c r="B187" i="3"/>
  <c r="AF186" i="3"/>
  <c r="W186" i="3" s="1"/>
  <c r="V186" i="3"/>
  <c r="S186" i="3"/>
  <c r="B186" i="3"/>
  <c r="AF185" i="3"/>
  <c r="W185" i="3" s="1"/>
  <c r="V185" i="3"/>
  <c r="S185" i="3"/>
  <c r="B185" i="3"/>
  <c r="AF184" i="3"/>
  <c r="W184" i="3" s="1"/>
  <c r="V184" i="3"/>
  <c r="S184" i="3"/>
  <c r="B184" i="3"/>
  <c r="AF183" i="3"/>
  <c r="W183" i="3" s="1"/>
  <c r="V183" i="3"/>
  <c r="S183" i="3"/>
  <c r="B183" i="3"/>
  <c r="AF182" i="3"/>
  <c r="W182" i="3" s="1"/>
  <c r="V182" i="3"/>
  <c r="S182" i="3"/>
  <c r="B182" i="3"/>
  <c r="S181" i="3"/>
  <c r="B181" i="3"/>
  <c r="W180" i="3"/>
  <c r="V180" i="3"/>
  <c r="S180" i="3"/>
  <c r="B180" i="3"/>
  <c r="AD179" i="3"/>
  <c r="W179" i="3" s="1"/>
  <c r="V179" i="3"/>
  <c r="S179" i="3"/>
  <c r="B179" i="3"/>
  <c r="AD178" i="3"/>
  <c r="W178" i="3" s="1"/>
  <c r="V178" i="3"/>
  <c r="S178" i="3"/>
  <c r="B178" i="3"/>
  <c r="AD177" i="3"/>
  <c r="W177" i="3" s="1"/>
  <c r="V177" i="3"/>
  <c r="S177" i="3"/>
  <c r="B177" i="3"/>
  <c r="W176" i="3"/>
  <c r="V176" i="3"/>
  <c r="S176" i="3"/>
  <c r="B176" i="3"/>
  <c r="W175" i="3"/>
  <c r="V175" i="3"/>
  <c r="S175" i="3"/>
  <c r="B175" i="3"/>
  <c r="AF174" i="3"/>
  <c r="W174" i="3" s="1"/>
  <c r="V174" i="3"/>
  <c r="S174" i="3"/>
  <c r="B174" i="3"/>
  <c r="W173" i="3"/>
  <c r="V173" i="3"/>
  <c r="S173" i="3"/>
  <c r="B173" i="3"/>
  <c r="AD172" i="3"/>
  <c r="W172" i="3" s="1"/>
  <c r="V172" i="3"/>
  <c r="S172" i="3"/>
  <c r="B172" i="3"/>
  <c r="AH171" i="3"/>
  <c r="W171" i="3" s="1"/>
  <c r="V171" i="3"/>
  <c r="S171" i="3"/>
  <c r="B171" i="3"/>
  <c r="AL170" i="3"/>
  <c r="W170" i="3" s="1"/>
  <c r="V170" i="3"/>
  <c r="S170" i="3"/>
  <c r="B170" i="3"/>
  <c r="AD169" i="3"/>
  <c r="W169" i="3" s="1"/>
  <c r="V169" i="3"/>
  <c r="S169" i="3"/>
  <c r="B169" i="3"/>
  <c r="AF168" i="3"/>
  <c r="W168" i="3" s="1"/>
  <c r="V168" i="3"/>
  <c r="S168" i="3"/>
  <c r="B168" i="3"/>
  <c r="W167" i="3"/>
  <c r="V167" i="3"/>
  <c r="S167" i="3"/>
  <c r="B167" i="3"/>
  <c r="AF166" i="3"/>
  <c r="W166" i="3" s="1"/>
  <c r="V166" i="3"/>
  <c r="S166" i="3"/>
  <c r="B166" i="3"/>
  <c r="AF165" i="3"/>
  <c r="W165" i="3" s="1"/>
  <c r="V165" i="3"/>
  <c r="S165" i="3"/>
  <c r="B165" i="3"/>
  <c r="AF164" i="3"/>
  <c r="W164" i="3" s="1"/>
  <c r="V164" i="3"/>
  <c r="S164" i="3"/>
  <c r="B164" i="3"/>
  <c r="W163" i="3"/>
  <c r="V163" i="3"/>
  <c r="S163" i="3"/>
  <c r="B163" i="3"/>
  <c r="AF162" i="3"/>
  <c r="W162" i="3" s="1"/>
  <c r="V162" i="3"/>
  <c r="S162" i="3"/>
  <c r="B162" i="3"/>
  <c r="AF161" i="3"/>
  <c r="W161" i="3" s="1"/>
  <c r="V161" i="3"/>
  <c r="S161" i="3"/>
  <c r="B161" i="3"/>
  <c r="AF160" i="3"/>
  <c r="W160" i="3" s="1"/>
  <c r="V160" i="3"/>
  <c r="S160" i="3"/>
  <c r="B160" i="3"/>
  <c r="AF159" i="3"/>
  <c r="W159" i="3" s="1"/>
  <c r="V159" i="3"/>
  <c r="S159" i="3"/>
  <c r="B159" i="3"/>
  <c r="AD158" i="3"/>
  <c r="W158" i="3" s="1"/>
  <c r="V158" i="3"/>
  <c r="S158" i="3"/>
  <c r="B158" i="3"/>
  <c r="AF157" i="3"/>
  <c r="W157" i="3" s="1"/>
  <c r="V157" i="3"/>
  <c r="S157" i="3"/>
  <c r="B157" i="3"/>
  <c r="AD156" i="3"/>
  <c r="W156" i="3" s="1"/>
  <c r="V156" i="3"/>
  <c r="S156" i="3"/>
  <c r="B156" i="3"/>
  <c r="AF155" i="3"/>
  <c r="W155" i="3" s="1"/>
  <c r="V155" i="3"/>
  <c r="S155" i="3"/>
  <c r="B155" i="3"/>
  <c r="AF154" i="3"/>
  <c r="W154" i="3" s="1"/>
  <c r="V154" i="3"/>
  <c r="S154" i="3"/>
  <c r="B154" i="3"/>
  <c r="AF153" i="3"/>
  <c r="W153" i="3" s="1"/>
  <c r="V153" i="3"/>
  <c r="S153" i="3"/>
  <c r="B153" i="3"/>
  <c r="W152" i="3"/>
  <c r="V152" i="3"/>
  <c r="S152" i="3"/>
  <c r="B152" i="3"/>
  <c r="AF151" i="3"/>
  <c r="W151" i="3" s="1"/>
  <c r="V151" i="3"/>
  <c r="S151" i="3"/>
  <c r="B151" i="3"/>
  <c r="R150" i="3"/>
  <c r="Q150" i="3"/>
  <c r="L150" i="3"/>
  <c r="K150" i="3"/>
  <c r="J150" i="3"/>
  <c r="I150" i="3"/>
  <c r="T150" i="3" s="1"/>
  <c r="AF149" i="3"/>
  <c r="W149" i="3"/>
  <c r="S149" i="3"/>
  <c r="B149" i="3"/>
  <c r="AF148" i="3"/>
  <c r="W148" i="3" s="1"/>
  <c r="V148" i="3"/>
  <c r="S148" i="3"/>
  <c r="B148" i="3"/>
  <c r="AF147" i="3"/>
  <c r="W147" i="3" s="1"/>
  <c r="V147" i="3"/>
  <c r="S147" i="3"/>
  <c r="B147" i="3"/>
  <c r="W146" i="3"/>
  <c r="V146" i="3"/>
  <c r="S146" i="3"/>
  <c r="B146" i="3"/>
  <c r="W145" i="3"/>
  <c r="V145" i="3"/>
  <c r="S145" i="3"/>
  <c r="B145" i="3"/>
  <c r="W144" i="3"/>
  <c r="V144" i="3"/>
  <c r="S144" i="3"/>
  <c r="B144" i="3"/>
  <c r="AD143" i="3"/>
  <c r="W143" i="3" s="1"/>
  <c r="V143" i="3"/>
  <c r="S143" i="3"/>
  <c r="B143" i="3"/>
  <c r="AJ142" i="3"/>
  <c r="W142" i="3" s="1"/>
  <c r="V142" i="3"/>
  <c r="S142" i="3"/>
  <c r="B142" i="3"/>
  <c r="AJ141" i="3"/>
  <c r="W141" i="3" s="1"/>
  <c r="V141" i="3"/>
  <c r="S141" i="3"/>
  <c r="B141" i="3"/>
  <c r="W140" i="3"/>
  <c r="V140" i="3"/>
  <c r="S140" i="3"/>
  <c r="B140" i="3"/>
  <c r="AJ139" i="3"/>
  <c r="W139" i="3" s="1"/>
  <c r="V139" i="3"/>
  <c r="S139" i="3"/>
  <c r="B139" i="3"/>
  <c r="W138" i="3"/>
  <c r="V138" i="3"/>
  <c r="S138" i="3"/>
  <c r="B138" i="3"/>
  <c r="AJ137" i="3"/>
  <c r="W137" i="3" s="1"/>
  <c r="V137" i="3"/>
  <c r="S137" i="3"/>
  <c r="B137" i="3"/>
  <c r="AJ136" i="3"/>
  <c r="W136" i="3" s="1"/>
  <c r="V136" i="3"/>
  <c r="S136" i="3"/>
  <c r="B136" i="3"/>
  <c r="W135" i="3"/>
  <c r="V135" i="3"/>
  <c r="S135" i="3"/>
  <c r="B135" i="3"/>
  <c r="W134" i="3"/>
  <c r="V134" i="3"/>
  <c r="S134" i="3"/>
  <c r="B134" i="3"/>
  <c r="V133" i="3"/>
  <c r="S133" i="3"/>
  <c r="B133" i="3"/>
  <c r="AF132" i="3"/>
  <c r="W132" i="3" s="1"/>
  <c r="V132" i="3"/>
  <c r="S132" i="3"/>
  <c r="B132" i="3"/>
  <c r="AF131" i="3"/>
  <c r="W131" i="3" s="1"/>
  <c r="V131" i="3"/>
  <c r="S131" i="3"/>
  <c r="B131" i="3"/>
  <c r="AF130" i="3"/>
  <c r="W130" i="3" s="1"/>
  <c r="V130" i="3"/>
  <c r="S130" i="3"/>
  <c r="B130" i="3"/>
  <c r="AF129" i="3"/>
  <c r="W129" i="3" s="1"/>
  <c r="V129" i="3"/>
  <c r="S129" i="3"/>
  <c r="B129" i="3"/>
  <c r="AF128" i="3"/>
  <c r="W128" i="3" s="1"/>
  <c r="V128" i="3"/>
  <c r="S128" i="3"/>
  <c r="B128" i="3"/>
  <c r="AF127" i="3"/>
  <c r="W127" i="3" s="1"/>
  <c r="V127" i="3"/>
  <c r="S127" i="3"/>
  <c r="B127" i="3"/>
  <c r="AF126" i="3"/>
  <c r="W126" i="3" s="1"/>
  <c r="V126" i="3"/>
  <c r="S126" i="3"/>
  <c r="B126" i="3"/>
  <c r="AF125" i="3"/>
  <c r="W125" i="3" s="1"/>
  <c r="V125" i="3"/>
  <c r="S125" i="3"/>
  <c r="B125" i="3"/>
  <c r="S124" i="3"/>
  <c r="B124" i="3"/>
  <c r="AF123" i="3"/>
  <c r="W123" i="3" s="1"/>
  <c r="V123" i="3"/>
  <c r="S123" i="3"/>
  <c r="B123" i="3"/>
  <c r="AF122" i="3"/>
  <c r="W122" i="3" s="1"/>
  <c r="V122" i="3"/>
  <c r="S122" i="3"/>
  <c r="B122" i="3"/>
  <c r="AF121" i="3"/>
  <c r="W121" i="3" s="1"/>
  <c r="V121" i="3"/>
  <c r="S121" i="3"/>
  <c r="B121" i="3"/>
  <c r="R120" i="3"/>
  <c r="Q120" i="3"/>
  <c r="L120" i="3"/>
  <c r="K120" i="3"/>
  <c r="J120" i="3"/>
  <c r="I120" i="3"/>
  <c r="T120" i="3" s="1"/>
  <c r="AF119" i="3"/>
  <c r="W119" i="3" s="1"/>
  <c r="V119" i="3"/>
  <c r="S119" i="3"/>
  <c r="B119" i="3"/>
  <c r="AF118" i="3"/>
  <c r="W118" i="3" s="1"/>
  <c r="V118" i="3"/>
  <c r="S118" i="3"/>
  <c r="B118" i="3"/>
  <c r="AD117" i="3"/>
  <c r="W117" i="3" s="1"/>
  <c r="V117" i="3"/>
  <c r="S117" i="3"/>
  <c r="B117" i="3"/>
  <c r="AD116" i="3"/>
  <c r="W116" i="3" s="1"/>
  <c r="V116" i="3"/>
  <c r="S116" i="3"/>
  <c r="B116" i="3"/>
  <c r="AD115" i="3"/>
  <c r="W115" i="3" s="1"/>
  <c r="V115" i="3"/>
  <c r="S115" i="3"/>
  <c r="B115" i="3"/>
  <c r="AD114" i="3"/>
  <c r="W114" i="3" s="1"/>
  <c r="V114" i="3"/>
  <c r="S114" i="3"/>
  <c r="B114" i="3"/>
  <c r="AD113" i="3"/>
  <c r="W113" i="3" s="1"/>
  <c r="V113" i="3"/>
  <c r="S113" i="3"/>
  <c r="B113" i="3"/>
  <c r="AD112" i="3"/>
  <c r="W112" i="3" s="1"/>
  <c r="V112" i="3"/>
  <c r="S112" i="3"/>
  <c r="B112" i="3"/>
  <c r="AF111" i="3"/>
  <c r="W111" i="3" s="1"/>
  <c r="V111" i="3"/>
  <c r="S111" i="3"/>
  <c r="B111" i="3"/>
  <c r="AJ110" i="3"/>
  <c r="W110" i="3" s="1"/>
  <c r="V110" i="3"/>
  <c r="S110" i="3"/>
  <c r="B110" i="3"/>
  <c r="AD109" i="3"/>
  <c r="W109" i="3" s="1"/>
  <c r="V109" i="3"/>
  <c r="S109" i="3"/>
  <c r="B109" i="3"/>
  <c r="AF108" i="3"/>
  <c r="W108" i="3" s="1"/>
  <c r="V108" i="3"/>
  <c r="S108" i="3"/>
  <c r="B108" i="3"/>
  <c r="AJ107" i="3"/>
  <c r="W107" i="3" s="1"/>
  <c r="V107" i="3"/>
  <c r="S107" i="3"/>
  <c r="B107" i="3"/>
  <c r="AF106" i="3"/>
  <c r="W106" i="3" s="1"/>
  <c r="V106" i="3"/>
  <c r="S106" i="3"/>
  <c r="B106" i="3"/>
  <c r="AJ105" i="3"/>
  <c r="W105" i="3" s="1"/>
  <c r="V105" i="3"/>
  <c r="S105" i="3"/>
  <c r="B105" i="3"/>
  <c r="AF104" i="3"/>
  <c r="W104" i="3" s="1"/>
  <c r="V104" i="3"/>
  <c r="S104" i="3"/>
  <c r="B104" i="3"/>
  <c r="AF103" i="3"/>
  <c r="W103" i="3" s="1"/>
  <c r="V103" i="3"/>
  <c r="S103" i="3"/>
  <c r="B103" i="3"/>
  <c r="AF102" i="3"/>
  <c r="W102" i="3" s="1"/>
  <c r="V102" i="3"/>
  <c r="S102" i="3"/>
  <c r="B102" i="3"/>
  <c r="AF101" i="3"/>
  <c r="W101" i="3" s="1"/>
  <c r="V101" i="3"/>
  <c r="S101" i="3"/>
  <c r="B101" i="3"/>
  <c r="AF100" i="3"/>
  <c r="W100" i="3" s="1"/>
  <c r="V100" i="3"/>
  <c r="S100" i="3"/>
  <c r="B100" i="3"/>
  <c r="AF99" i="3"/>
  <c r="W99" i="3" s="1"/>
  <c r="V99" i="3"/>
  <c r="S99" i="3"/>
  <c r="B99" i="3"/>
  <c r="AF98" i="3"/>
  <c r="W98" i="3" s="1"/>
  <c r="V98" i="3"/>
  <c r="S98" i="3"/>
  <c r="B98" i="3"/>
  <c r="AF97" i="3"/>
  <c r="W97" i="3" s="1"/>
  <c r="V97" i="3"/>
  <c r="S97" i="3"/>
  <c r="B97" i="3"/>
  <c r="AF96" i="3"/>
  <c r="W96" i="3" s="1"/>
  <c r="V96" i="3"/>
  <c r="S96" i="3"/>
  <c r="B96" i="3"/>
  <c r="AF95" i="3"/>
  <c r="W95" i="3" s="1"/>
  <c r="V95" i="3"/>
  <c r="S95" i="3"/>
  <c r="B95" i="3"/>
  <c r="AJ94" i="3"/>
  <c r="W94" i="3" s="1"/>
  <c r="V94" i="3"/>
  <c r="S94" i="3"/>
  <c r="B94" i="3"/>
  <c r="AJ93" i="3"/>
  <c r="W93" i="3" s="1"/>
  <c r="V93" i="3"/>
  <c r="S93" i="3"/>
  <c r="B93" i="3"/>
  <c r="AF92" i="3"/>
  <c r="W92" i="3" s="1"/>
  <c r="V92" i="3"/>
  <c r="S92" i="3"/>
  <c r="B92" i="3"/>
  <c r="AH91" i="3"/>
  <c r="W91" i="3" s="1"/>
  <c r="V91" i="3"/>
  <c r="S91" i="3"/>
  <c r="B91" i="3"/>
  <c r="AJ90" i="3"/>
  <c r="W90" i="3" s="1"/>
  <c r="V90" i="3"/>
  <c r="S90" i="3"/>
  <c r="B90" i="3"/>
  <c r="AF89" i="3"/>
  <c r="W89" i="3" s="1"/>
  <c r="V89" i="3"/>
  <c r="S89" i="3"/>
  <c r="B89" i="3"/>
  <c r="AJ88" i="3"/>
  <c r="W88" i="3" s="1"/>
  <c r="V88" i="3"/>
  <c r="S88" i="3"/>
  <c r="B88" i="3"/>
  <c r="AJ87" i="3"/>
  <c r="W87" i="3" s="1"/>
  <c r="V87" i="3"/>
  <c r="S87" i="3"/>
  <c r="B87" i="3"/>
  <c r="AJ86" i="3"/>
  <c r="W86" i="3" s="1"/>
  <c r="V86" i="3"/>
  <c r="S86" i="3"/>
  <c r="B86" i="3"/>
  <c r="AJ85" i="3"/>
  <c r="W85" i="3" s="1"/>
  <c r="V85" i="3"/>
  <c r="S85" i="3"/>
  <c r="B85" i="3"/>
  <c r="AF84" i="3"/>
  <c r="W84" i="3" s="1"/>
  <c r="V84" i="3"/>
  <c r="S84" i="3"/>
  <c r="B84" i="3"/>
  <c r="W83" i="3"/>
  <c r="V83" i="3"/>
  <c r="S83" i="3"/>
  <c r="B83" i="3"/>
  <c r="AD82" i="3"/>
  <c r="W82" i="3" s="1"/>
  <c r="V82" i="3"/>
  <c r="S82" i="3"/>
  <c r="B82" i="3"/>
  <c r="AD81" i="3"/>
  <c r="W81" i="3" s="1"/>
  <c r="V81" i="3"/>
  <c r="S81" i="3"/>
  <c r="B81" i="3"/>
  <c r="AF80" i="3"/>
  <c r="W80" i="3" s="1"/>
  <c r="V80" i="3"/>
  <c r="S80" i="3"/>
  <c r="B80" i="3"/>
  <c r="AF79" i="3"/>
  <c r="W79" i="3" s="1"/>
  <c r="V79" i="3"/>
  <c r="S79" i="3"/>
  <c r="B79" i="3"/>
  <c r="AF78" i="3"/>
  <c r="W78" i="3" s="1"/>
  <c r="V78" i="3"/>
  <c r="S78" i="3"/>
  <c r="B78" i="3"/>
  <c r="AF77" i="3"/>
  <c r="W77" i="3" s="1"/>
  <c r="V77" i="3"/>
  <c r="S77" i="3"/>
  <c r="B77" i="3"/>
  <c r="AJ76" i="3"/>
  <c r="W76" i="3" s="1"/>
  <c r="V76" i="3"/>
  <c r="S76" i="3"/>
  <c r="B76" i="3"/>
  <c r="AF75" i="3"/>
  <c r="W75" i="3" s="1"/>
  <c r="V75" i="3"/>
  <c r="S75" i="3"/>
  <c r="B75" i="3"/>
  <c r="AJ74" i="3"/>
  <c r="W74" i="3" s="1"/>
  <c r="V74" i="3"/>
  <c r="S74" i="3"/>
  <c r="B74" i="3"/>
  <c r="AF73" i="3"/>
  <c r="W73" i="3" s="1"/>
  <c r="V73" i="3"/>
  <c r="S73" i="3"/>
  <c r="B73" i="3"/>
  <c r="AF72" i="3"/>
  <c r="W72" i="3" s="1"/>
  <c r="V72" i="3"/>
  <c r="S72" i="3"/>
  <c r="B72" i="3"/>
  <c r="AF71" i="3"/>
  <c r="W71" i="3" s="1"/>
  <c r="V71" i="3"/>
  <c r="S71" i="3"/>
  <c r="B71" i="3"/>
  <c r="AN70" i="3"/>
  <c r="W70" i="3" s="1"/>
  <c r="V70" i="3"/>
  <c r="S70" i="3"/>
  <c r="B70" i="3"/>
  <c r="AJ69" i="3"/>
  <c r="W69" i="3" s="1"/>
  <c r="V69" i="3"/>
  <c r="S69" i="3"/>
  <c r="B69" i="3"/>
  <c r="AF68" i="3"/>
  <c r="W68" i="3" s="1"/>
  <c r="V68" i="3"/>
  <c r="S68" i="3"/>
  <c r="B68" i="3"/>
  <c r="AF67" i="3"/>
  <c r="W67" i="3" s="1"/>
  <c r="V67" i="3"/>
  <c r="S67" i="3"/>
  <c r="B67" i="3"/>
  <c r="AF66" i="3"/>
  <c r="W66" i="3" s="1"/>
  <c r="V66" i="3"/>
  <c r="S66" i="3"/>
  <c r="B66" i="3"/>
  <c r="AJ65" i="3"/>
  <c r="W65" i="3" s="1"/>
  <c r="V65" i="3"/>
  <c r="S65" i="3"/>
  <c r="B65" i="3"/>
  <c r="AJ64" i="3"/>
  <c r="W64" i="3" s="1"/>
  <c r="V64" i="3"/>
  <c r="S64" i="3"/>
  <c r="B64" i="3"/>
  <c r="AD63" i="3"/>
  <c r="W63" i="3" s="1"/>
  <c r="V63" i="3"/>
  <c r="S63" i="3"/>
  <c r="B63" i="3"/>
  <c r="AJ62" i="3"/>
  <c r="W62" i="3" s="1"/>
  <c r="V62" i="3"/>
  <c r="S62" i="3"/>
  <c r="B62" i="3"/>
  <c r="AF61" i="3"/>
  <c r="W61" i="3" s="1"/>
  <c r="V61" i="3"/>
  <c r="S61" i="3"/>
  <c r="B61" i="3"/>
  <c r="AF60" i="3"/>
  <c r="W60" i="3" s="1"/>
  <c r="V60" i="3"/>
  <c r="S60" i="3"/>
  <c r="B60" i="3"/>
  <c r="AF59" i="3"/>
  <c r="W59" i="3" s="1"/>
  <c r="V59" i="3"/>
  <c r="S59" i="3"/>
  <c r="B59" i="3"/>
  <c r="AF58" i="3"/>
  <c r="W58" i="3" s="1"/>
  <c r="V58" i="3"/>
  <c r="S58" i="3"/>
  <c r="B58" i="3"/>
  <c r="AF57" i="3"/>
  <c r="W57" i="3" s="1"/>
  <c r="V57" i="3"/>
  <c r="S57" i="3"/>
  <c r="B57" i="3"/>
  <c r="AF56" i="3"/>
  <c r="W56" i="3" s="1"/>
  <c r="V56" i="3"/>
  <c r="S56" i="3"/>
  <c r="B56" i="3"/>
  <c r="AF55" i="3"/>
  <c r="W55" i="3" s="1"/>
  <c r="V55" i="3"/>
  <c r="S55" i="3"/>
  <c r="B55" i="3"/>
  <c r="AF54" i="3"/>
  <c r="W54" i="3" s="1"/>
  <c r="V54" i="3"/>
  <c r="S54" i="3"/>
  <c r="B54" i="3"/>
  <c r="AF53" i="3"/>
  <c r="W53" i="3" s="1"/>
  <c r="V53" i="3"/>
  <c r="S53" i="3"/>
  <c r="B53" i="3"/>
  <c r="AF52" i="3"/>
  <c r="W52" i="3" s="1"/>
  <c r="V52" i="3"/>
  <c r="S52" i="3"/>
  <c r="B52" i="3"/>
  <c r="AF51" i="3"/>
  <c r="W51" i="3" s="1"/>
  <c r="V51" i="3"/>
  <c r="S51" i="3"/>
  <c r="B51" i="3"/>
  <c r="AF50" i="3"/>
  <c r="W50" i="3" s="1"/>
  <c r="V50" i="3"/>
  <c r="S50" i="3"/>
  <c r="B50" i="3"/>
  <c r="AF49" i="3"/>
  <c r="W49" i="3" s="1"/>
  <c r="V49" i="3"/>
  <c r="S49" i="3"/>
  <c r="B49" i="3"/>
  <c r="AF48" i="3"/>
  <c r="W48" i="3" s="1"/>
  <c r="V48" i="3"/>
  <c r="S48" i="3"/>
  <c r="B48" i="3"/>
  <c r="AF47" i="3"/>
  <c r="W47" i="3" s="1"/>
  <c r="V47" i="3"/>
  <c r="S47" i="3"/>
  <c r="B47" i="3"/>
  <c r="AD46" i="3"/>
  <c r="W46" i="3" s="1"/>
  <c r="V46" i="3"/>
  <c r="S46" i="3"/>
  <c r="B46" i="3"/>
  <c r="AJ45" i="3"/>
  <c r="W45" i="3" s="1"/>
  <c r="V45" i="3"/>
  <c r="S45" i="3"/>
  <c r="B45" i="3"/>
  <c r="AF44" i="3"/>
  <c r="W44" i="3" s="1"/>
  <c r="V44" i="3"/>
  <c r="S44" i="3"/>
  <c r="B44" i="3"/>
  <c r="AF43" i="3"/>
  <c r="W43" i="3" s="1"/>
  <c r="V43" i="3"/>
  <c r="S43" i="3"/>
  <c r="B43" i="3"/>
  <c r="AD42" i="3"/>
  <c r="W42" i="3" s="1"/>
  <c r="V42" i="3"/>
  <c r="S42" i="3"/>
  <c r="B42" i="3"/>
  <c r="AD41" i="3"/>
  <c r="W41" i="3" s="1"/>
  <c r="V41" i="3"/>
  <c r="S41" i="3"/>
  <c r="B41" i="3"/>
  <c r="AD40" i="3"/>
  <c r="W40" i="3" s="1"/>
  <c r="V40" i="3"/>
  <c r="S40" i="3"/>
  <c r="B40" i="3"/>
  <c r="AD39" i="3"/>
  <c r="W39" i="3" s="1"/>
  <c r="V39" i="3"/>
  <c r="S39" i="3"/>
  <c r="B39" i="3"/>
  <c r="AF38" i="3"/>
  <c r="W38" i="3" s="1"/>
  <c r="V38" i="3"/>
  <c r="S38" i="3"/>
  <c r="B38" i="3"/>
  <c r="AF37" i="3"/>
  <c r="W37" i="3" s="1"/>
  <c r="V37" i="3"/>
  <c r="S37" i="3"/>
  <c r="B37" i="3"/>
  <c r="V36" i="3"/>
  <c r="S36" i="3"/>
  <c r="B36" i="3"/>
  <c r="W35" i="3"/>
  <c r="V35" i="3"/>
  <c r="S35" i="3"/>
  <c r="B35" i="3"/>
  <c r="AF34" i="3"/>
  <c r="W34" i="3" s="1"/>
  <c r="V34" i="3"/>
  <c r="S34" i="3"/>
  <c r="B34" i="3"/>
  <c r="AF33" i="3"/>
  <c r="W33" i="3" s="1"/>
  <c r="V33" i="3"/>
  <c r="S33" i="3"/>
  <c r="B33" i="3"/>
  <c r="AF32" i="3"/>
  <c r="W32" i="3" s="1"/>
  <c r="V32" i="3"/>
  <c r="S32" i="3"/>
  <c r="B32" i="3"/>
  <c r="AF31" i="3"/>
  <c r="W31" i="3" s="1"/>
  <c r="V31" i="3"/>
  <c r="S31" i="3"/>
  <c r="B31" i="3"/>
  <c r="AF30" i="3"/>
  <c r="W30" i="3" s="1"/>
  <c r="V30" i="3"/>
  <c r="S30" i="3"/>
  <c r="B30" i="3"/>
  <c r="AD29" i="3"/>
  <c r="W29" i="3" s="1"/>
  <c r="V29" i="3"/>
  <c r="S29" i="3"/>
  <c r="B29" i="3"/>
  <c r="AF28" i="3"/>
  <c r="W28" i="3" s="1"/>
  <c r="V28" i="3"/>
  <c r="S28" i="3"/>
  <c r="B28" i="3"/>
  <c r="AF27" i="3"/>
  <c r="W27" i="3" s="1"/>
  <c r="V27" i="3"/>
  <c r="S27" i="3"/>
  <c r="B27" i="3"/>
  <c r="AF26" i="3"/>
  <c r="W26" i="3" s="1"/>
  <c r="V26" i="3"/>
  <c r="S26" i="3"/>
  <c r="B26" i="3"/>
  <c r="AF25" i="3"/>
  <c r="W25" i="3" s="1"/>
  <c r="V25" i="3"/>
  <c r="S25" i="3"/>
  <c r="B25" i="3"/>
  <c r="AF24" i="3"/>
  <c r="W24" i="3" s="1"/>
  <c r="V24" i="3"/>
  <c r="S24" i="3"/>
  <c r="B24" i="3"/>
  <c r="AF23" i="3"/>
  <c r="W23" i="3" s="1"/>
  <c r="V23" i="3"/>
  <c r="S23" i="3"/>
  <c r="B23" i="3"/>
  <c r="AF22" i="3"/>
  <c r="W22" i="3" s="1"/>
  <c r="V22" i="3"/>
  <c r="S22" i="3"/>
  <c r="B22" i="3"/>
  <c r="AF21" i="3"/>
  <c r="W21" i="3" s="1"/>
  <c r="V21" i="3"/>
  <c r="S21" i="3"/>
  <c r="B21" i="3"/>
  <c r="AJ20" i="3"/>
  <c r="W20" i="3" s="1"/>
  <c r="V20" i="3"/>
  <c r="S20" i="3"/>
  <c r="B20" i="3"/>
  <c r="AF19" i="3"/>
  <c r="W19" i="3" s="1"/>
  <c r="V19" i="3"/>
  <c r="S19" i="3"/>
  <c r="B19" i="3"/>
  <c r="AD18" i="3"/>
  <c r="W18" i="3" s="1"/>
  <c r="V18" i="3"/>
  <c r="S18" i="3"/>
  <c r="B18" i="3"/>
  <c r="AF17" i="3"/>
  <c r="W17" i="3" s="1"/>
  <c r="V17" i="3"/>
  <c r="S17" i="3"/>
  <c r="B17" i="3"/>
  <c r="AF16" i="3"/>
  <c r="W16" i="3" s="1"/>
  <c r="V16" i="3"/>
  <c r="S16" i="3"/>
  <c r="B16" i="3"/>
  <c r="R15" i="3"/>
  <c r="Q15" i="3"/>
  <c r="L15" i="3"/>
  <c r="K15" i="3"/>
  <c r="J15" i="3"/>
  <c r="I15" i="3"/>
  <c r="T15" i="3" s="1"/>
  <c r="S939" i="3" l="1"/>
  <c r="S435" i="3"/>
  <c r="S949" i="3"/>
  <c r="S1220" i="3"/>
  <c r="S386" i="3"/>
  <c r="J550" i="3"/>
  <c r="R550" i="3"/>
  <c r="S1234" i="3"/>
  <c r="S902" i="3"/>
  <c r="L550" i="3"/>
  <c r="T551" i="3"/>
  <c r="I550" i="3"/>
  <c r="T550" i="3" s="1"/>
  <c r="Q550" i="3"/>
  <c r="S391" i="3"/>
  <c r="T1376" i="3"/>
  <c r="S1326" i="3"/>
  <c r="V374" i="3"/>
  <c r="T1329" i="3"/>
  <c r="V1329" i="3" s="1"/>
  <c r="S1369" i="3"/>
  <c r="S1368" i="3" s="1"/>
  <c r="S422" i="3"/>
  <c r="V341" i="3"/>
  <c r="W1393" i="3"/>
  <c r="V1393" i="3" s="1"/>
  <c r="V867" i="3"/>
  <c r="S1329" i="3"/>
  <c r="V643" i="3"/>
  <c r="S964" i="3"/>
  <c r="V1299" i="3"/>
  <c r="W1358" i="3"/>
  <c r="J14" i="3"/>
  <c r="V1252" i="3"/>
  <c r="S1385" i="3"/>
  <c r="S1384" i="3" s="1"/>
  <c r="V418" i="3"/>
  <c r="V1348" i="3"/>
  <c r="S513" i="3"/>
  <c r="V233" i="3"/>
  <c r="V451" i="3"/>
  <c r="W456" i="3"/>
  <c r="V462" i="3"/>
  <c r="S461" i="3"/>
  <c r="W750" i="3"/>
  <c r="W1214" i="3"/>
  <c r="W665" i="3"/>
  <c r="W273" i="3"/>
  <c r="S438" i="3"/>
  <c r="V757" i="3"/>
  <c r="W856" i="3"/>
  <c r="W928" i="3"/>
  <c r="S942" i="3"/>
  <c r="V1211" i="3"/>
  <c r="V1256" i="3"/>
  <c r="V1295" i="3"/>
  <c r="V1297" i="3"/>
  <c r="V1305" i="3"/>
  <c r="V1346" i="3"/>
  <c r="W133" i="3"/>
  <c r="S295" i="3"/>
  <c r="V381" i="3"/>
  <c r="V524" i="3"/>
  <c r="W742" i="3"/>
  <c r="V919" i="3"/>
  <c r="V967" i="3"/>
  <c r="V1157" i="3"/>
  <c r="V1341" i="3"/>
  <c r="V1183" i="3"/>
  <c r="V673" i="3"/>
  <c r="V347" i="3"/>
  <c r="V385" i="3"/>
  <c r="V389" i="3"/>
  <c r="V455" i="3"/>
  <c r="V516" i="3"/>
  <c r="V522" i="3"/>
  <c r="V619" i="3"/>
  <c r="V754" i="3"/>
  <c r="V761" i="3"/>
  <c r="V850" i="3"/>
  <c r="S952" i="3"/>
  <c r="V1044" i="3"/>
  <c r="V1054" i="3"/>
  <c r="V1172" i="3"/>
  <c r="V1197" i="3"/>
  <c r="V1264" i="3"/>
  <c r="V1268" i="3"/>
  <c r="V1280" i="3"/>
  <c r="I1369" i="3"/>
  <c r="I1368" i="3" s="1"/>
  <c r="W1388" i="3"/>
  <c r="V1388" i="3" s="1"/>
  <c r="J1385" i="3"/>
  <c r="J1384" i="3" s="1"/>
  <c r="S120" i="3"/>
  <c r="V336" i="3"/>
  <c r="W337" i="3"/>
  <c r="V344" i="3"/>
  <c r="V356" i="3"/>
  <c r="V377" i="3"/>
  <c r="W378" i="3"/>
  <c r="V416" i="3"/>
  <c r="V467" i="3"/>
  <c r="V503" i="3"/>
  <c r="S797" i="3"/>
  <c r="K871" i="3"/>
  <c r="K550" i="3" s="1"/>
  <c r="S919" i="3"/>
  <c r="V1052" i="3"/>
  <c r="V1248" i="3"/>
  <c r="V1258" i="3"/>
  <c r="V1301" i="3"/>
  <c r="S1316" i="3"/>
  <c r="J1369" i="3"/>
  <c r="J1368" i="3" s="1"/>
  <c r="Q1369" i="3"/>
  <c r="Q1368" i="3" s="1"/>
  <c r="L1369" i="3"/>
  <c r="L1368" i="3" s="1"/>
  <c r="V963" i="3"/>
  <c r="V955" i="3"/>
  <c r="S408" i="3"/>
  <c r="V518" i="3"/>
  <c r="V746" i="3"/>
  <c r="V862" i="3"/>
  <c r="V866" i="3"/>
  <c r="V205" i="3"/>
  <c r="V319" i="3"/>
  <c r="S336" i="3"/>
  <c r="V379" i="3"/>
  <c r="V406" i="3"/>
  <c r="V422" i="3"/>
  <c r="V429" i="3"/>
  <c r="V459" i="3"/>
  <c r="S479" i="3"/>
  <c r="W533" i="3"/>
  <c r="V544" i="3"/>
  <c r="V637" i="3"/>
  <c r="V681" i="3"/>
  <c r="V149" i="3"/>
  <c r="V150" i="3"/>
  <c r="W232" i="3"/>
  <c r="S233" i="3"/>
  <c r="S272" i="3"/>
  <c r="S279" i="3"/>
  <c r="V289" i="3"/>
  <c r="V351" i="3"/>
  <c r="W355" i="3"/>
  <c r="S374" i="3"/>
  <c r="W395" i="3"/>
  <c r="V398" i="3"/>
  <c r="V492" i="3"/>
  <c r="S505" i="3"/>
  <c r="S544" i="3"/>
  <c r="V551" i="3"/>
  <c r="V902" i="3"/>
  <c r="V1048" i="3"/>
  <c r="V1066" i="3"/>
  <c r="V1184" i="3"/>
  <c r="S1223" i="3"/>
  <c r="V1261" i="3"/>
  <c r="V1284" i="3"/>
  <c r="V1289" i="3"/>
  <c r="V1293" i="3"/>
  <c r="V1312" i="3"/>
  <c r="S1361" i="3"/>
  <c r="K1369" i="3"/>
  <c r="K1368" i="3" s="1"/>
  <c r="R1369" i="3"/>
  <c r="R1368" i="3" s="1"/>
  <c r="L1385" i="3"/>
  <c r="L1384" i="3" s="1"/>
  <c r="T1390" i="3"/>
  <c r="V888" i="3"/>
  <c r="S888" i="3"/>
  <c r="V942" i="3"/>
  <c r="V952" i="3"/>
  <c r="V968" i="3"/>
  <c r="V988" i="3"/>
  <c r="S988" i="3"/>
  <c r="V1003" i="3"/>
  <c r="V1056" i="3"/>
  <c r="S1157" i="3"/>
  <c r="V1227" i="3"/>
  <c r="V1287" i="3"/>
  <c r="S735" i="3"/>
  <c r="V815" i="3"/>
  <c r="S926" i="3"/>
  <c r="S983" i="3"/>
  <c r="S991" i="3"/>
  <c r="V1012" i="3"/>
  <c r="V1018" i="3"/>
  <c r="S1037" i="3"/>
  <c r="S1076" i="3"/>
  <c r="S1086" i="3"/>
  <c r="V1333" i="3"/>
  <c r="V1337" i="3"/>
  <c r="K1385" i="3"/>
  <c r="K1384" i="3" s="1"/>
  <c r="R1385" i="3"/>
  <c r="R1384" i="3" s="1"/>
  <c r="S955" i="3"/>
  <c r="S547" i="3"/>
  <c r="V717" i="3"/>
  <c r="W717" i="3"/>
  <c r="V751" i="3"/>
  <c r="W751" i="3"/>
  <c r="Q14" i="3"/>
  <c r="V371" i="3"/>
  <c r="V386" i="3"/>
  <c r="S539" i="3"/>
  <c r="W627" i="3"/>
  <c r="V627" i="3"/>
  <c r="R14" i="3"/>
  <c r="W36" i="3"/>
  <c r="V367" i="3"/>
  <c r="V479" i="3"/>
  <c r="V497" i="3"/>
  <c r="S497" i="3"/>
  <c r="V747" i="3"/>
  <c r="W747" i="3"/>
  <c r="V755" i="3"/>
  <c r="W755" i="3"/>
  <c r="V762" i="3"/>
  <c r="W762" i="3"/>
  <c r="V808" i="3"/>
  <c r="S871" i="3"/>
  <c r="K1085" i="3"/>
  <c r="L14" i="3"/>
  <c r="V624" i="3"/>
  <c r="W624" i="3"/>
  <c r="V628" i="3"/>
  <c r="W628" i="3"/>
  <c r="V758" i="3"/>
  <c r="W758" i="3"/>
  <c r="W236" i="3"/>
  <c r="V236" i="3"/>
  <c r="S347" i="3"/>
  <c r="W415" i="3"/>
  <c r="V415" i="3"/>
  <c r="V623" i="3"/>
  <c r="V716" i="3"/>
  <c r="W748" i="3"/>
  <c r="V748" i="3"/>
  <c r="W756" i="3"/>
  <c r="V756" i="3"/>
  <c r="V814" i="3"/>
  <c r="W814" i="3"/>
  <c r="W956" i="3"/>
  <c r="I1385" i="3"/>
  <c r="T1386" i="3"/>
  <c r="W1387" i="3"/>
  <c r="V1387" i="3" s="1"/>
  <c r="S15" i="3"/>
  <c r="W348" i="3"/>
  <c r="V348" i="3"/>
  <c r="W410" i="3"/>
  <c r="V410" i="3"/>
  <c r="K14" i="3"/>
  <c r="S266" i="3"/>
  <c r="V286" i="3"/>
  <c r="W346" i="3"/>
  <c r="V346" i="3"/>
  <c r="V376" i="3"/>
  <c r="W384" i="3"/>
  <c r="V384" i="3"/>
  <c r="S398" i="3"/>
  <c r="V409" i="3"/>
  <c r="W510" i="3"/>
  <c r="W535" i="3"/>
  <c r="V535" i="3"/>
  <c r="W545" i="3"/>
  <c r="V545" i="3"/>
  <c r="W629" i="3"/>
  <c r="V629" i="3"/>
  <c r="W633" i="3"/>
  <c r="V633" i="3"/>
  <c r="W752" i="3"/>
  <c r="V752" i="3"/>
  <c r="W759" i="3"/>
  <c r="V759" i="3"/>
  <c r="S850" i="3"/>
  <c r="V924" i="3"/>
  <c r="T1392" i="3"/>
  <c r="S150" i="3"/>
  <c r="V272" i="3"/>
  <c r="V279" i="3"/>
  <c r="V303" i="3"/>
  <c r="V354" i="3"/>
  <c r="S381" i="3"/>
  <c r="V396" i="3"/>
  <c r="V408" i="3"/>
  <c r="V412" i="3"/>
  <c r="V449" i="3"/>
  <c r="V453" i="3"/>
  <c r="V457" i="3"/>
  <c r="V461" i="3"/>
  <c r="S492" i="3"/>
  <c r="S524" i="3"/>
  <c r="V540" i="3"/>
  <c r="W540" i="3"/>
  <c r="W621" i="3"/>
  <c r="V621" i="3"/>
  <c r="V632" i="3"/>
  <c r="W632" i="3"/>
  <c r="W714" i="3"/>
  <c r="V714" i="3"/>
  <c r="W806" i="3"/>
  <c r="V806" i="3"/>
  <c r="V864" i="3"/>
  <c r="V970" i="3"/>
  <c r="S1012" i="3"/>
  <c r="V1016" i="3"/>
  <c r="S1031" i="3"/>
  <c r="J1085" i="3"/>
  <c r="R1085" i="3"/>
  <c r="V266" i="3"/>
  <c r="S286" i="3"/>
  <c r="S344" i="3"/>
  <c r="V357" i="3"/>
  <c r="V474" i="3"/>
  <c r="S467" i="3"/>
  <c r="W537" i="3"/>
  <c r="V538" i="3"/>
  <c r="V599" i="3"/>
  <c r="V620" i="3"/>
  <c r="W620" i="3"/>
  <c r="W625" i="3"/>
  <c r="V625" i="3"/>
  <c r="V631" i="3"/>
  <c r="W682" i="3"/>
  <c r="V682" i="3"/>
  <c r="V713" i="3"/>
  <c r="W713" i="3"/>
  <c r="V909" i="3"/>
  <c r="S946" i="3"/>
  <c r="V997" i="3"/>
  <c r="W1000" i="3"/>
  <c r="V1000" i="3"/>
  <c r="S1003" i="3"/>
  <c r="V1050" i="3"/>
  <c r="V1220" i="3"/>
  <c r="V1303" i="3"/>
  <c r="V1324" i="3"/>
  <c r="V1351" i="3"/>
  <c r="W1356" i="3"/>
  <c r="V1356" i="3"/>
  <c r="V1357" i="3"/>
  <c r="T1372" i="3"/>
  <c r="V505" i="3"/>
  <c r="V508" i="3"/>
  <c r="S516" i="3"/>
  <c r="S529" i="3"/>
  <c r="V539" i="3"/>
  <c r="V735" i="3"/>
  <c r="W839" i="3"/>
  <c r="V871" i="3"/>
  <c r="V899" i="3"/>
  <c r="V905" i="3"/>
  <c r="V915" i="3"/>
  <c r="V926" i="3"/>
  <c r="V946" i="3"/>
  <c r="S970" i="3"/>
  <c r="V1001" i="3"/>
  <c r="V1062" i="3"/>
  <c r="V1223" i="3"/>
  <c r="V1254" i="3"/>
  <c r="V1310" i="3"/>
  <c r="V1344" i="3"/>
  <c r="V1355" i="3"/>
  <c r="V1361" i="3"/>
  <c r="S1044" i="3"/>
  <c r="S1056" i="3"/>
  <c r="S1172" i="3"/>
  <c r="S1227" i="3"/>
  <c r="V1230" i="3"/>
  <c r="V1234" i="3"/>
  <c r="S1241" i="3"/>
  <c r="S1248" i="3"/>
  <c r="V1266" i="3"/>
  <c r="V1270" i="3"/>
  <c r="S1333" i="3"/>
  <c r="S1341" i="3"/>
  <c r="W1371" i="3"/>
  <c r="V1371" i="3" s="1"/>
  <c r="W1375" i="3"/>
  <c r="W1389" i="3"/>
  <c r="V1389" i="3" s="1"/>
  <c r="W1391" i="3"/>
  <c r="V1391" i="3" s="1"/>
  <c r="Q1385" i="3"/>
  <c r="Q1384" i="3" s="1"/>
  <c r="V1064" i="3"/>
  <c r="V1068" i="3"/>
  <c r="S1211" i="3"/>
  <c r="W1226" i="3"/>
  <c r="V1232" i="3"/>
  <c r="S1258" i="3"/>
  <c r="S1337" i="3"/>
  <c r="V1359" i="3"/>
  <c r="V1365" i="3"/>
  <c r="T1370" i="3"/>
  <c r="W1373" i="3"/>
  <c r="V1373" i="3" s="1"/>
  <c r="V120" i="3"/>
  <c r="W124" i="3"/>
  <c r="V124" i="3"/>
  <c r="W181" i="3"/>
  <c r="V181" i="3"/>
  <c r="V239" i="3"/>
  <c r="S341" i="3"/>
  <c r="S412" i="3"/>
  <c r="S418" i="3"/>
  <c r="V511" i="3"/>
  <c r="V513" i="3"/>
  <c r="V527" i="3"/>
  <c r="W536" i="3"/>
  <c r="V536" i="3"/>
  <c r="V438" i="3"/>
  <c r="V441" i="3"/>
  <c r="W465" i="3"/>
  <c r="V465" i="3"/>
  <c r="S196" i="3"/>
  <c r="V284" i="3"/>
  <c r="S289" i="3"/>
  <c r="V295" i="3"/>
  <c r="W310" i="3"/>
  <c r="V310" i="3"/>
  <c r="S429" i="3"/>
  <c r="V490" i="3"/>
  <c r="S551" i="3"/>
  <c r="W618" i="3"/>
  <c r="V618" i="3"/>
  <c r="W622" i="3"/>
  <c r="V622" i="3"/>
  <c r="W626" i="3"/>
  <c r="V626" i="3"/>
  <c r="W630" i="3"/>
  <c r="V630" i="3"/>
  <c r="W634" i="3"/>
  <c r="V634" i="3"/>
  <c r="W674" i="3"/>
  <c r="V674" i="3"/>
  <c r="V675" i="3"/>
  <c r="W683" i="3"/>
  <c r="V683" i="3"/>
  <c r="W715" i="3"/>
  <c r="V715" i="3"/>
  <c r="W807" i="3"/>
  <c r="V807" i="3"/>
  <c r="V842" i="3"/>
  <c r="V301" i="3"/>
  <c r="S319" i="3"/>
  <c r="I14" i="3"/>
  <c r="T14" i="3" s="1"/>
  <c r="V232" i="3"/>
  <c r="V196" i="3"/>
  <c r="S239" i="3"/>
  <c r="W299" i="3"/>
  <c r="V299" i="3"/>
  <c r="S303" i="3"/>
  <c r="S356" i="3"/>
  <c r="V391" i="3"/>
  <c r="W411" i="3"/>
  <c r="V411" i="3"/>
  <c r="V435" i="3"/>
  <c r="V488" i="3"/>
  <c r="W542" i="3"/>
  <c r="V542" i="3"/>
  <c r="S643" i="3"/>
  <c r="V242" i="3"/>
  <c r="S675" i="3"/>
  <c r="W745" i="3"/>
  <c r="V745" i="3"/>
  <c r="W749" i="3"/>
  <c r="V749" i="3"/>
  <c r="W753" i="3"/>
  <c r="V753" i="3"/>
  <c r="W760" i="3"/>
  <c r="V760" i="3"/>
  <c r="V547" i="3"/>
  <c r="V797" i="3"/>
  <c r="S815" i="3"/>
  <c r="S842" i="3"/>
  <c r="V857" i="3"/>
  <c r="S864" i="3"/>
  <c r="V869" i="3"/>
  <c r="V939" i="3"/>
  <c r="V964" i="3"/>
  <c r="V977" i="3"/>
  <c r="V981" i="3"/>
  <c r="V1021" i="3"/>
  <c r="S1027" i="3"/>
  <c r="V1031" i="3"/>
  <c r="V1037" i="3"/>
  <c r="S1197" i="3"/>
  <c r="T1375" i="3"/>
  <c r="V907" i="3"/>
  <c r="V911" i="3"/>
  <c r="V917" i="3"/>
  <c r="V991" i="3"/>
  <c r="V1081" i="3"/>
  <c r="V949" i="3"/>
  <c r="V975" i="3"/>
  <c r="V979" i="3"/>
  <c r="V983" i="3"/>
  <c r="S997" i="3"/>
  <c r="V1023" i="3"/>
  <c r="V1025" i="3"/>
  <c r="V1027" i="3"/>
  <c r="S1068" i="3"/>
  <c r="V1076" i="3"/>
  <c r="V1083" i="3"/>
  <c r="V1086" i="3"/>
  <c r="I1085" i="3"/>
  <c r="T1085" i="3" s="1"/>
  <c r="Q1085" i="3"/>
  <c r="W1163" i="3"/>
  <c r="V1163" i="3"/>
  <c r="L1085" i="3"/>
  <c r="V1208" i="3"/>
  <c r="V1237" i="3"/>
  <c r="V1277" i="3"/>
  <c r="V1168" i="3"/>
  <c r="V1182" i="3"/>
  <c r="S1289" i="3"/>
  <c r="V1314" i="3"/>
  <c r="V1320" i="3"/>
  <c r="V1239" i="3"/>
  <c r="V1241" i="3"/>
  <c r="S1270" i="3"/>
  <c r="S1284" i="3"/>
  <c r="S1305" i="3"/>
  <c r="V1316" i="3"/>
  <c r="V1322" i="3"/>
  <c r="V1326" i="3"/>
  <c r="I1384" i="3" l="1"/>
  <c r="T1384" i="3" s="1"/>
  <c r="U529" i="3"/>
  <c r="U14" i="3" s="1"/>
  <c r="U550" i="3"/>
  <c r="U13" i="3" s="1"/>
  <c r="S550" i="3"/>
  <c r="C26" i="4"/>
  <c r="V1375" i="3"/>
  <c r="J13" i="3"/>
  <c r="L13" i="3"/>
  <c r="R13" i="3"/>
  <c r="S1085" i="3"/>
  <c r="S14" i="3"/>
  <c r="K13" i="3"/>
  <c r="Q13" i="3"/>
  <c r="T1385" i="3"/>
  <c r="I13" i="3"/>
  <c r="T13" i="3" s="1"/>
  <c r="T1374" i="3"/>
  <c r="V1085" i="3"/>
  <c r="V550" i="3" l="1"/>
  <c r="V529" i="3"/>
  <c r="T1369" i="3"/>
  <c r="T1368" i="3"/>
  <c r="S13" i="3"/>
  <c r="E19" i="11" l="1"/>
  <c r="AB18" i="11"/>
  <c r="AB17" i="11" s="1"/>
  <c r="AA18" i="11"/>
  <c r="AA17" i="11" s="1"/>
  <c r="Z18" i="11"/>
  <c r="Z17" i="11" s="1"/>
  <c r="Q18" i="11"/>
  <c r="P18" i="11"/>
  <c r="P17" i="11" s="1"/>
  <c r="O18" i="11"/>
  <c r="O17" i="11" s="1"/>
  <c r="N18" i="11"/>
  <c r="N17" i="11" s="1"/>
  <c r="M18" i="11"/>
  <c r="M17" i="11" s="1"/>
  <c r="L18" i="11"/>
  <c r="L17" i="11" s="1"/>
  <c r="K18" i="11"/>
  <c r="K17" i="11" s="1"/>
  <c r="J18" i="11"/>
  <c r="J17" i="11" s="1"/>
  <c r="I18" i="11"/>
  <c r="I17" i="11" s="1"/>
  <c r="H18" i="11"/>
  <c r="H17" i="11" s="1"/>
  <c r="G18" i="11"/>
  <c r="G17" i="11" s="1"/>
  <c r="F18" i="11"/>
  <c r="F17" i="11" s="1"/>
  <c r="Y17" i="11"/>
  <c r="X17" i="11"/>
  <c r="W17" i="11"/>
  <c r="V17" i="11"/>
  <c r="U17" i="11"/>
  <c r="T17" i="11"/>
  <c r="S17" i="11"/>
  <c r="R17" i="11"/>
  <c r="Q17" i="11"/>
  <c r="P240" i="13"/>
  <c r="P238" i="13"/>
  <c r="P236" i="13"/>
  <c r="P234" i="13"/>
  <c r="P232" i="13"/>
  <c r="P231" i="13"/>
  <c r="P229" i="13"/>
  <c r="P227" i="13"/>
  <c r="P225" i="13"/>
  <c r="P223" i="13"/>
  <c r="P221" i="13"/>
  <c r="P219" i="13"/>
  <c r="P217" i="13"/>
  <c r="P216" i="13"/>
  <c r="P215" i="13"/>
  <c r="P214" i="13"/>
  <c r="P212" i="13"/>
  <c r="P210" i="13"/>
  <c r="P208" i="13"/>
  <c r="P206" i="13"/>
  <c r="P205" i="13"/>
  <c r="P204" i="13"/>
  <c r="P202" i="13"/>
  <c r="P201" i="13"/>
  <c r="P199" i="13"/>
  <c r="P198" i="13"/>
  <c r="P196" i="13"/>
  <c r="P194" i="13"/>
  <c r="P193" i="13"/>
  <c r="P192" i="13"/>
  <c r="P191" i="13"/>
  <c r="P190" i="13"/>
  <c r="P188" i="13"/>
  <c r="P186" i="13"/>
  <c r="P185" i="13"/>
  <c r="P183" i="13"/>
  <c r="P182" i="13"/>
  <c r="P180" i="13"/>
  <c r="P179" i="13"/>
  <c r="P178" i="13"/>
  <c r="P177" i="13"/>
  <c r="P176" i="13"/>
  <c r="P175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7" i="13"/>
  <c r="P156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8" i="13"/>
  <c r="P127" i="13"/>
  <c r="P126" i="13"/>
  <c r="P125" i="13"/>
  <c r="P123" i="13"/>
  <c r="P122" i="13"/>
  <c r="P121" i="13"/>
  <c r="P120" i="13"/>
  <c r="P119" i="13"/>
  <c r="P118" i="13"/>
  <c r="P117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8" i="13"/>
  <c r="P97" i="13"/>
  <c r="P96" i="13"/>
  <c r="P94" i="13"/>
  <c r="P92" i="13"/>
  <c r="P91" i="13"/>
  <c r="P90" i="13"/>
  <c r="P89" i="13"/>
  <c r="P88" i="13"/>
  <c r="P87" i="13"/>
  <c r="P83" i="13"/>
  <c r="P81" i="13"/>
  <c r="P79" i="13"/>
  <c r="P77" i="13"/>
  <c r="P75" i="13"/>
  <c r="P74" i="13"/>
  <c r="P73" i="13"/>
  <c r="P71" i="13"/>
  <c r="P69" i="13"/>
  <c r="P67" i="13"/>
  <c r="P66" i="13"/>
  <c r="P65" i="13"/>
  <c r="P62" i="13"/>
  <c r="P60" i="13"/>
  <c r="P58" i="13"/>
  <c r="P56" i="13"/>
  <c r="P55" i="13"/>
  <c r="P54" i="13"/>
  <c r="P52" i="13"/>
  <c r="P50" i="13"/>
  <c r="P48" i="13"/>
  <c r="P46" i="13"/>
  <c r="P45" i="13"/>
  <c r="P44" i="13"/>
  <c r="P42" i="13"/>
  <c r="P40" i="13"/>
  <c r="P38" i="13"/>
  <c r="P37" i="13"/>
  <c r="P36" i="13"/>
  <c r="P34" i="13"/>
  <c r="P33" i="13"/>
  <c r="P31" i="13"/>
  <c r="P30" i="13"/>
  <c r="P28" i="13"/>
  <c r="P26" i="13"/>
  <c r="P24" i="13"/>
  <c r="P22" i="13"/>
  <c r="P21" i="13"/>
  <c r="P20" i="13"/>
  <c r="P19" i="13"/>
  <c r="P18" i="13"/>
  <c r="P17" i="13"/>
  <c r="P16" i="13"/>
  <c r="P15" i="13"/>
  <c r="P13" i="13"/>
  <c r="AG214" i="8"/>
  <c r="AF214" i="8"/>
  <c r="AD214" i="8"/>
  <c r="AC214" i="8"/>
  <c r="AB214" i="8"/>
  <c r="AA214" i="8"/>
  <c r="Z214" i="8"/>
  <c r="Y214" i="8"/>
  <c r="X214" i="8"/>
  <c r="W214" i="8"/>
  <c r="V214" i="8"/>
  <c r="U214" i="8"/>
  <c r="T214" i="8"/>
  <c r="S214" i="8"/>
  <c r="R214" i="8"/>
  <c r="Q214" i="8"/>
  <c r="P214" i="8"/>
  <c r="O214" i="8"/>
  <c r="N214" i="8"/>
  <c r="M214" i="8"/>
  <c r="L214" i="8"/>
  <c r="K214" i="8"/>
  <c r="J214" i="8"/>
  <c r="I214" i="8"/>
  <c r="H214" i="8"/>
  <c r="G214" i="8"/>
  <c r="P13" i="8"/>
  <c r="E18" i="11" l="1"/>
  <c r="E17" i="11" s="1"/>
  <c r="L237" i="7" l="1"/>
  <c r="D237" i="7" s="1"/>
  <c r="AC722" i="7"/>
  <c r="D722" i="7" s="1"/>
  <c r="B722" i="7"/>
  <c r="AC723" i="7"/>
  <c r="D723" i="7" s="1"/>
  <c r="B723" i="7"/>
  <c r="AC811" i="7"/>
  <c r="D811" i="7" s="1"/>
  <c r="B811" i="7"/>
  <c r="AC820" i="7"/>
  <c r="D820" i="7" s="1"/>
  <c r="B820" i="7"/>
  <c r="AC814" i="7"/>
  <c r="D814" i="7" s="1"/>
  <c r="B814" i="7"/>
  <c r="AC813" i="7"/>
  <c r="D813" i="7" s="1"/>
  <c r="B813" i="7"/>
  <c r="AC812" i="7"/>
  <c r="D812" i="7" s="1"/>
  <c r="B812" i="7"/>
  <c r="AC765" i="7"/>
  <c r="D765" i="7" s="1"/>
  <c r="B765" i="7"/>
  <c r="AC764" i="7"/>
  <c r="D764" i="7" s="1"/>
  <c r="B764" i="7"/>
  <c r="AC763" i="7"/>
  <c r="D763" i="7" s="1"/>
  <c r="B763" i="7"/>
  <c r="AC767" i="7"/>
  <c r="D767" i="7" s="1"/>
  <c r="B767" i="7"/>
  <c r="AC766" i="7"/>
  <c r="D766" i="7" s="1"/>
  <c r="B766" i="7"/>
  <c r="AC768" i="7"/>
  <c r="D768" i="7" s="1"/>
  <c r="B768" i="7"/>
  <c r="B60" i="13"/>
  <c r="K60" i="13"/>
  <c r="K59" i="13" s="1"/>
  <c r="L59" i="13"/>
  <c r="J59" i="13"/>
  <c r="I59" i="13"/>
  <c r="P59" i="13" s="1"/>
  <c r="B61" i="8"/>
  <c r="AE61" i="8"/>
  <c r="AG60" i="8"/>
  <c r="AF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E60" i="8"/>
  <c r="N892" i="7"/>
  <c r="AC892" i="7" s="1"/>
  <c r="D892" i="7" s="1"/>
  <c r="B892" i="7"/>
  <c r="F61" i="8" l="1"/>
  <c r="AE60" i="8"/>
  <c r="AC762" i="7"/>
  <c r="D762" i="7" s="1"/>
  <c r="B762" i="7"/>
  <c r="F60" i="8" l="1"/>
  <c r="AC980" i="7"/>
  <c r="D980" i="7" s="1"/>
  <c r="AC982" i="7"/>
  <c r="D982" i="7" s="1"/>
  <c r="B982" i="7"/>
  <c r="AE981" i="7"/>
  <c r="AD981" i="7"/>
  <c r="AB981" i="7"/>
  <c r="AA981" i="7"/>
  <c r="Z981" i="7"/>
  <c r="Y981" i="7"/>
  <c r="X981" i="7"/>
  <c r="W981" i="7"/>
  <c r="V981" i="7"/>
  <c r="U981" i="7"/>
  <c r="T981" i="7"/>
  <c r="S981" i="7"/>
  <c r="R981" i="7"/>
  <c r="Q981" i="7"/>
  <c r="P981" i="7"/>
  <c r="O981" i="7"/>
  <c r="M981" i="7"/>
  <c r="L981" i="7"/>
  <c r="K981" i="7"/>
  <c r="J981" i="7"/>
  <c r="I981" i="7"/>
  <c r="H981" i="7"/>
  <c r="G981" i="7"/>
  <c r="F981" i="7"/>
  <c r="E981" i="7"/>
  <c r="AC1081" i="7"/>
  <c r="D1081" i="7" s="1"/>
  <c r="N981" i="7" l="1"/>
  <c r="AC981" i="7"/>
  <c r="D981" i="7"/>
  <c r="N996" i="7" l="1"/>
  <c r="AC1049" i="7" l="1"/>
  <c r="D1049" i="7" s="1"/>
  <c r="N938" i="7"/>
  <c r="AC893" i="7"/>
  <c r="D893" i="7" s="1"/>
  <c r="AC847" i="7"/>
  <c r="D847" i="7" s="1"/>
  <c r="AC680" i="7"/>
  <c r="D680" i="7" s="1"/>
  <c r="AC944" i="7" l="1"/>
  <c r="D944" i="7" s="1"/>
  <c r="N901" i="7" l="1"/>
  <c r="N1055" i="7" l="1"/>
  <c r="N922" i="7"/>
  <c r="R891" i="7"/>
  <c r="AC891" i="7" s="1"/>
  <c r="D891" i="7" s="1"/>
  <c r="B891" i="7"/>
  <c r="B893" i="7"/>
  <c r="AC943" i="7"/>
  <c r="D943" i="7" s="1"/>
  <c r="B943" i="7"/>
  <c r="B944" i="7"/>
  <c r="CD979" i="7"/>
  <c r="D979" i="7"/>
  <c r="B979" i="7"/>
  <c r="B980" i="7"/>
  <c r="AD846" i="7"/>
  <c r="N846" i="7"/>
  <c r="B846" i="7"/>
  <c r="B847" i="7"/>
  <c r="AC1048" i="7"/>
  <c r="D1048" i="7" s="1"/>
  <c r="B1048" i="7"/>
  <c r="B1049" i="7"/>
  <c r="AC1080" i="7"/>
  <c r="D1080" i="7" s="1"/>
  <c r="B1080" i="7"/>
  <c r="B1081" i="7"/>
  <c r="AC679" i="7"/>
  <c r="D679" i="7" s="1"/>
  <c r="B679" i="7"/>
  <c r="B680" i="7"/>
  <c r="AC810" i="7"/>
  <c r="D810" i="7" s="1"/>
  <c r="B810" i="7"/>
  <c r="CD376" i="7"/>
  <c r="D376" i="7"/>
  <c r="B376" i="7"/>
  <c r="AT379" i="7"/>
  <c r="AC379" i="7"/>
  <c r="D379" i="7" s="1"/>
  <c r="B379" i="7"/>
  <c r="AC378" i="7"/>
  <c r="D378" i="7" s="1"/>
  <c r="B378" i="7"/>
  <c r="AC377" i="7"/>
  <c r="D377" i="7" s="1"/>
  <c r="B377" i="7"/>
  <c r="B678" i="7"/>
  <c r="D678" i="7"/>
  <c r="CD678" i="7"/>
  <c r="AD677" i="7"/>
  <c r="B743" i="7"/>
  <c r="B744" i="7"/>
  <c r="B745" i="7"/>
  <c r="B746" i="7"/>
  <c r="AC846" i="7" l="1"/>
  <c r="D846" i="7" s="1"/>
  <c r="D744" i="7"/>
  <c r="T1190" i="7" l="1"/>
  <c r="AC1190" i="7" s="1"/>
  <c r="N960" i="7" l="1"/>
  <c r="AC895" i="7" l="1"/>
  <c r="AC912" i="7"/>
  <c r="AC906" i="7"/>
  <c r="AC904" i="7"/>
  <c r="AC903" i="7"/>
  <c r="AC900" i="7"/>
  <c r="AC899" i="7"/>
  <c r="AC901" i="7"/>
  <c r="AC898" i="7"/>
  <c r="AC897" i="7"/>
  <c r="AC896" i="7"/>
  <c r="N962" i="7" l="1"/>
  <c r="N971" i="7"/>
  <c r="N1038" i="7"/>
  <c r="N926" i="7"/>
  <c r="N1331" i="7"/>
  <c r="N1071" i="7"/>
  <c r="D720" i="7" l="1"/>
  <c r="B720" i="7"/>
  <c r="B721" i="7"/>
  <c r="D1016" i="7"/>
  <c r="B1016" i="7"/>
  <c r="N1011" i="7"/>
  <c r="AC721" i="7" l="1"/>
  <c r="D721" i="7" s="1"/>
  <c r="N1010" i="7"/>
  <c r="T1231" i="7"/>
  <c r="AC1231" i="7" s="1"/>
  <c r="D1231" i="7" s="1"/>
  <c r="H1232" i="7"/>
  <c r="B860" i="7"/>
  <c r="B861" i="7"/>
  <c r="B862" i="7"/>
  <c r="AC862" i="7"/>
  <c r="D862" i="7" s="1"/>
  <c r="B1231" i="7"/>
  <c r="AC802" i="7"/>
  <c r="D802" i="7" s="1"/>
  <c r="AC745" i="7"/>
  <c r="D760" i="7"/>
  <c r="B760" i="7"/>
  <c r="D759" i="7"/>
  <c r="B759" i="7"/>
  <c r="D32" i="7"/>
  <c r="N1362" i="7"/>
  <c r="AC1069" i="7"/>
  <c r="B1069" i="7"/>
  <c r="AE1068" i="7"/>
  <c r="AD1068" i="7"/>
  <c r="AB1068" i="7"/>
  <c r="AA1068" i="7"/>
  <c r="Z1068" i="7"/>
  <c r="Y1068" i="7"/>
  <c r="X1068" i="7"/>
  <c r="W1068" i="7"/>
  <c r="V1068" i="7"/>
  <c r="U1068" i="7"/>
  <c r="T1068" i="7"/>
  <c r="S1068" i="7"/>
  <c r="R1068" i="7"/>
  <c r="Q1068" i="7"/>
  <c r="P1068" i="7"/>
  <c r="O1068" i="7"/>
  <c r="M1068" i="7"/>
  <c r="L1068" i="7"/>
  <c r="K1068" i="7"/>
  <c r="J1068" i="7"/>
  <c r="I1068" i="7"/>
  <c r="H1068" i="7"/>
  <c r="G1068" i="7"/>
  <c r="F1068" i="7"/>
  <c r="E1068" i="7"/>
  <c r="P1344" i="7"/>
  <c r="AC1344" i="7" s="1"/>
  <c r="R1345" i="7"/>
  <c r="AC1068" i="7" l="1"/>
  <c r="D1069" i="7"/>
  <c r="N1068" i="7"/>
  <c r="D1068" i="7" l="1"/>
  <c r="E39" i="10" l="1"/>
  <c r="E29" i="10"/>
  <c r="E10" i="10"/>
  <c r="L239" i="13"/>
  <c r="K239" i="13"/>
  <c r="J239" i="13"/>
  <c r="I239" i="13"/>
  <c r="P239" i="13" s="1"/>
  <c r="L237" i="13"/>
  <c r="K237" i="13"/>
  <c r="J237" i="13"/>
  <c r="I237" i="13"/>
  <c r="P237" i="13" s="1"/>
  <c r="L235" i="13"/>
  <c r="K235" i="13"/>
  <c r="J235" i="13"/>
  <c r="I235" i="13"/>
  <c r="P235" i="13" s="1"/>
  <c r="L233" i="13"/>
  <c r="K233" i="13"/>
  <c r="J233" i="13"/>
  <c r="I233" i="13"/>
  <c r="P233" i="13" s="1"/>
  <c r="L230" i="13"/>
  <c r="K230" i="13"/>
  <c r="J230" i="13"/>
  <c r="I230" i="13"/>
  <c r="P230" i="13" s="1"/>
  <c r="K229" i="13"/>
  <c r="K228" i="13" s="1"/>
  <c r="L228" i="13"/>
  <c r="J228" i="13"/>
  <c r="I228" i="13"/>
  <c r="P228" i="13" s="1"/>
  <c r="L226" i="13"/>
  <c r="K226" i="13"/>
  <c r="J226" i="13"/>
  <c r="I226" i="13"/>
  <c r="P226" i="13" s="1"/>
  <c r="L224" i="13"/>
  <c r="K224" i="13"/>
  <c r="J224" i="13"/>
  <c r="I224" i="13"/>
  <c r="P224" i="13" s="1"/>
  <c r="L222" i="13"/>
  <c r="K222" i="13"/>
  <c r="J222" i="13"/>
  <c r="I222" i="13"/>
  <c r="P222" i="13" s="1"/>
  <c r="L220" i="13"/>
  <c r="K220" i="13"/>
  <c r="J220" i="13"/>
  <c r="I220" i="13"/>
  <c r="P220" i="13" s="1"/>
  <c r="L218" i="13"/>
  <c r="K218" i="13"/>
  <c r="J218" i="13"/>
  <c r="I218" i="13"/>
  <c r="P218" i="13" s="1"/>
  <c r="L213" i="13"/>
  <c r="K213" i="13"/>
  <c r="J213" i="13"/>
  <c r="I213" i="13"/>
  <c r="P213" i="13" s="1"/>
  <c r="L211" i="13"/>
  <c r="K211" i="13"/>
  <c r="J211" i="13"/>
  <c r="I211" i="13"/>
  <c r="P211" i="13" s="1"/>
  <c r="L209" i="13"/>
  <c r="K209" i="13"/>
  <c r="J209" i="13"/>
  <c r="I209" i="13"/>
  <c r="P209" i="13" s="1"/>
  <c r="L207" i="13"/>
  <c r="K207" i="13"/>
  <c r="J207" i="13"/>
  <c r="I207" i="13"/>
  <c r="P207" i="13" s="1"/>
  <c r="L203" i="13"/>
  <c r="K203" i="13"/>
  <c r="J203" i="13"/>
  <c r="I203" i="13"/>
  <c r="P203" i="13" s="1"/>
  <c r="L200" i="13"/>
  <c r="K200" i="13"/>
  <c r="J200" i="13"/>
  <c r="I200" i="13"/>
  <c r="P200" i="13" s="1"/>
  <c r="L197" i="13"/>
  <c r="K197" i="13"/>
  <c r="J197" i="13"/>
  <c r="I197" i="13"/>
  <c r="P197" i="13" s="1"/>
  <c r="L195" i="13"/>
  <c r="K195" i="13"/>
  <c r="J195" i="13"/>
  <c r="I195" i="13"/>
  <c r="P195" i="13" s="1"/>
  <c r="K194" i="13"/>
  <c r="K189" i="13" s="1"/>
  <c r="L189" i="13"/>
  <c r="J189" i="13"/>
  <c r="I189" i="13"/>
  <c r="P189" i="13" s="1"/>
  <c r="L187" i="13"/>
  <c r="K187" i="13"/>
  <c r="J187" i="13"/>
  <c r="I187" i="13"/>
  <c r="P187" i="13" s="1"/>
  <c r="L184" i="13"/>
  <c r="K184" i="13"/>
  <c r="J184" i="13"/>
  <c r="I184" i="13"/>
  <c r="P184" i="13" s="1"/>
  <c r="L181" i="13"/>
  <c r="K181" i="13"/>
  <c r="J181" i="13"/>
  <c r="I181" i="13"/>
  <c r="P181" i="13" s="1"/>
  <c r="L174" i="13"/>
  <c r="K174" i="13"/>
  <c r="J174" i="13"/>
  <c r="I174" i="13"/>
  <c r="P174" i="13" s="1"/>
  <c r="B159" i="13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5" i="13" s="1"/>
  <c r="B176" i="13" s="1"/>
  <c r="B177" i="13" s="1"/>
  <c r="B178" i="13" s="1"/>
  <c r="B179" i="13" s="1"/>
  <c r="B180" i="13" s="1"/>
  <c r="B182" i="13" s="1"/>
  <c r="B183" i="13" s="1"/>
  <c r="B185" i="13" s="1"/>
  <c r="B186" i="13" s="1"/>
  <c r="B188" i="13" s="1"/>
  <c r="B190" i="13" s="1"/>
  <c r="B191" i="13" s="1"/>
  <c r="B192" i="13" s="1"/>
  <c r="B193" i="13" s="1"/>
  <c r="B194" i="13" s="1"/>
  <c r="B196" i="13" s="1"/>
  <c r="B198" i="13" s="1"/>
  <c r="B199" i="13" s="1"/>
  <c r="B201" i="13" s="1"/>
  <c r="B202" i="13" s="1"/>
  <c r="B204" i="13" s="1"/>
  <c r="B205" i="13" s="1"/>
  <c r="B206" i="13" s="1"/>
  <c r="B208" i="13" s="1"/>
  <c r="B210" i="13" s="1"/>
  <c r="B212" i="13" s="1"/>
  <c r="B214" i="13" s="1"/>
  <c r="B215" i="13" s="1"/>
  <c r="B216" i="13" s="1"/>
  <c r="B217" i="13" s="1"/>
  <c r="B219" i="13" s="1"/>
  <c r="B221" i="13" s="1"/>
  <c r="B223" i="13" s="1"/>
  <c r="B225" i="13" s="1"/>
  <c r="B227" i="13" s="1"/>
  <c r="B229" i="13" s="1"/>
  <c r="B231" i="13" s="1"/>
  <c r="B232" i="13" s="1"/>
  <c r="B234" i="13" s="1"/>
  <c r="B236" i="13" s="1"/>
  <c r="B238" i="13" s="1"/>
  <c r="B240" i="13" s="1"/>
  <c r="L158" i="13"/>
  <c r="K158" i="13"/>
  <c r="J158" i="13"/>
  <c r="I158" i="13"/>
  <c r="P158" i="13" s="1"/>
  <c r="L129" i="13"/>
  <c r="K129" i="13"/>
  <c r="J129" i="13"/>
  <c r="I129" i="13"/>
  <c r="P129" i="13" s="1"/>
  <c r="L124" i="13"/>
  <c r="K124" i="13"/>
  <c r="J124" i="13"/>
  <c r="I124" i="13"/>
  <c r="P124" i="13" s="1"/>
  <c r="L116" i="13"/>
  <c r="K116" i="13"/>
  <c r="J116" i="13"/>
  <c r="I116" i="13"/>
  <c r="P116" i="13" s="1"/>
  <c r="L99" i="13"/>
  <c r="K99" i="13"/>
  <c r="J99" i="13"/>
  <c r="I99" i="13"/>
  <c r="P99" i="13" s="1"/>
  <c r="L95" i="13"/>
  <c r="K95" i="13"/>
  <c r="J95" i="13"/>
  <c r="I95" i="13"/>
  <c r="P95" i="13" s="1"/>
  <c r="K94" i="13"/>
  <c r="K93" i="13" s="1"/>
  <c r="L93" i="13"/>
  <c r="J93" i="13"/>
  <c r="I93" i="13"/>
  <c r="P93" i="13" s="1"/>
  <c r="L86" i="13"/>
  <c r="K86" i="13"/>
  <c r="J86" i="13"/>
  <c r="I86" i="13"/>
  <c r="P86" i="13" s="1"/>
  <c r="K83" i="13"/>
  <c r="K82" i="13" s="1"/>
  <c r="B83" i="13"/>
  <c r="L82" i="13"/>
  <c r="J82" i="13"/>
  <c r="I82" i="13"/>
  <c r="P82" i="13" s="1"/>
  <c r="K81" i="13"/>
  <c r="K80" i="13" s="1"/>
  <c r="B81" i="13"/>
  <c r="L80" i="13"/>
  <c r="J80" i="13"/>
  <c r="I80" i="13"/>
  <c r="P80" i="13" s="1"/>
  <c r="K79" i="13"/>
  <c r="K78" i="13" s="1"/>
  <c r="B79" i="13"/>
  <c r="L78" i="13"/>
  <c r="J78" i="13"/>
  <c r="I78" i="13"/>
  <c r="P78" i="13" s="1"/>
  <c r="K77" i="13"/>
  <c r="K76" i="13" s="1"/>
  <c r="B77" i="13"/>
  <c r="L76" i="13"/>
  <c r="J76" i="13"/>
  <c r="I76" i="13"/>
  <c r="P76" i="13" s="1"/>
  <c r="K75" i="13"/>
  <c r="B75" i="13"/>
  <c r="K74" i="13"/>
  <c r="B74" i="13"/>
  <c r="K73" i="13"/>
  <c r="B73" i="13"/>
  <c r="L72" i="13"/>
  <c r="J72" i="13"/>
  <c r="I72" i="13"/>
  <c r="P72" i="13" s="1"/>
  <c r="B71" i="13"/>
  <c r="L70" i="13"/>
  <c r="L69" i="13" s="1"/>
  <c r="L68" i="13" s="1"/>
  <c r="K70" i="13"/>
  <c r="J70" i="13"/>
  <c r="I70" i="13"/>
  <c r="P70" i="13" s="1"/>
  <c r="K69" i="13"/>
  <c r="K68" i="13" s="1"/>
  <c r="B69" i="13"/>
  <c r="J68" i="13"/>
  <c r="I68" i="13"/>
  <c r="P68" i="13" s="1"/>
  <c r="B67" i="13"/>
  <c r="B66" i="13"/>
  <c r="K65" i="13"/>
  <c r="K64" i="13" s="1"/>
  <c r="B65" i="13"/>
  <c r="L64" i="13"/>
  <c r="J64" i="13"/>
  <c r="I64" i="13"/>
  <c r="P64" i="13" s="1"/>
  <c r="B62" i="13"/>
  <c r="L61" i="13"/>
  <c r="K61" i="13"/>
  <c r="J61" i="13"/>
  <c r="I61" i="13"/>
  <c r="P61" i="13" s="1"/>
  <c r="K58" i="13"/>
  <c r="K57" i="13" s="1"/>
  <c r="B58" i="13"/>
  <c r="L57" i="13"/>
  <c r="J57" i="13"/>
  <c r="I57" i="13"/>
  <c r="P57" i="13" s="1"/>
  <c r="B56" i="13"/>
  <c r="K55" i="13"/>
  <c r="K53" i="13" s="1"/>
  <c r="B55" i="13"/>
  <c r="B54" i="13"/>
  <c r="L53" i="13"/>
  <c r="J53" i="13"/>
  <c r="I53" i="13"/>
  <c r="P53" i="13" s="1"/>
  <c r="K52" i="13"/>
  <c r="K51" i="13" s="1"/>
  <c r="B52" i="13"/>
  <c r="L51" i="13"/>
  <c r="J51" i="13"/>
  <c r="I51" i="13"/>
  <c r="P51" i="13" s="1"/>
  <c r="K50" i="13"/>
  <c r="K49" i="13" s="1"/>
  <c r="B50" i="13"/>
  <c r="L49" i="13"/>
  <c r="J49" i="13"/>
  <c r="I49" i="13"/>
  <c r="P49" i="13" s="1"/>
  <c r="K48" i="13"/>
  <c r="K47" i="13" s="1"/>
  <c r="B48" i="13"/>
  <c r="L47" i="13"/>
  <c r="J47" i="13"/>
  <c r="I47" i="13"/>
  <c r="P47" i="13" s="1"/>
  <c r="K46" i="13"/>
  <c r="B46" i="13"/>
  <c r="K45" i="13"/>
  <c r="B45" i="13"/>
  <c r="K44" i="13"/>
  <c r="B44" i="13"/>
  <c r="L43" i="13"/>
  <c r="J43" i="13"/>
  <c r="I43" i="13"/>
  <c r="P43" i="13" s="1"/>
  <c r="K42" i="13"/>
  <c r="K41" i="13" s="1"/>
  <c r="B42" i="13"/>
  <c r="L41" i="13"/>
  <c r="J41" i="13"/>
  <c r="I41" i="13"/>
  <c r="P41" i="13" s="1"/>
  <c r="K40" i="13"/>
  <c r="K39" i="13" s="1"/>
  <c r="B40" i="13"/>
  <c r="L39" i="13"/>
  <c r="J39" i="13"/>
  <c r="I39" i="13"/>
  <c r="P39" i="13" s="1"/>
  <c r="K38" i="13"/>
  <c r="B38" i="13"/>
  <c r="K37" i="13"/>
  <c r="B37" i="13"/>
  <c r="K36" i="13"/>
  <c r="B36" i="13"/>
  <c r="L35" i="13"/>
  <c r="J35" i="13"/>
  <c r="I35" i="13"/>
  <c r="P35" i="13" s="1"/>
  <c r="B34" i="13"/>
  <c r="K33" i="13"/>
  <c r="K32" i="13" s="1"/>
  <c r="B33" i="13"/>
  <c r="L32" i="13"/>
  <c r="J32" i="13"/>
  <c r="I32" i="13"/>
  <c r="P32" i="13" s="1"/>
  <c r="K31" i="13"/>
  <c r="B31" i="13"/>
  <c r="K30" i="13"/>
  <c r="B30" i="13"/>
  <c r="L29" i="13"/>
  <c r="J29" i="13"/>
  <c r="I29" i="13"/>
  <c r="P29" i="13" s="1"/>
  <c r="K28" i="13"/>
  <c r="K27" i="13" s="1"/>
  <c r="B28" i="13"/>
  <c r="L27" i="13"/>
  <c r="J27" i="13"/>
  <c r="I27" i="13"/>
  <c r="P27" i="13" s="1"/>
  <c r="K26" i="13"/>
  <c r="K25" i="13" s="1"/>
  <c r="B26" i="13"/>
  <c r="L25" i="13"/>
  <c r="J25" i="13"/>
  <c r="I25" i="13"/>
  <c r="P25" i="13" s="1"/>
  <c r="K24" i="13"/>
  <c r="K23" i="13" s="1"/>
  <c r="B24" i="13"/>
  <c r="L23" i="13"/>
  <c r="J23" i="13"/>
  <c r="I23" i="13"/>
  <c r="P23" i="13" s="1"/>
  <c r="B22" i="13"/>
  <c r="B21" i="13"/>
  <c r="B20" i="13"/>
  <c r="K19" i="13"/>
  <c r="B19" i="13"/>
  <c r="K18" i="13"/>
  <c r="B18" i="13"/>
  <c r="K17" i="13"/>
  <c r="B17" i="13"/>
  <c r="K16" i="13"/>
  <c r="B16" i="13"/>
  <c r="K15" i="13"/>
  <c r="B15" i="13"/>
  <c r="L14" i="13"/>
  <c r="J14" i="13"/>
  <c r="I14" i="13"/>
  <c r="P14" i="13" s="1"/>
  <c r="K13" i="13"/>
  <c r="K12" i="13" s="1"/>
  <c r="B13" i="13"/>
  <c r="L12" i="13"/>
  <c r="J12" i="13"/>
  <c r="I12" i="13"/>
  <c r="P12" i="13" s="1"/>
  <c r="AE241" i="8"/>
  <c r="B241" i="8"/>
  <c r="AG240" i="8"/>
  <c r="AF240" i="8"/>
  <c r="AD240" i="8"/>
  <c r="AC240" i="8"/>
  <c r="AB240" i="8"/>
  <c r="AA240" i="8"/>
  <c r="Z240" i="8"/>
  <c r="Y240" i="8"/>
  <c r="X240" i="8"/>
  <c r="W240" i="8"/>
  <c r="V240" i="8"/>
  <c r="U240" i="8"/>
  <c r="T240" i="8"/>
  <c r="S240" i="8"/>
  <c r="R240" i="8"/>
  <c r="Q240" i="8"/>
  <c r="P240" i="8"/>
  <c r="O240" i="8"/>
  <c r="N240" i="8"/>
  <c r="M240" i="8"/>
  <c r="L240" i="8"/>
  <c r="K240" i="8"/>
  <c r="J240" i="8"/>
  <c r="I240" i="8"/>
  <c r="H240" i="8"/>
  <c r="G240" i="8"/>
  <c r="E240" i="8"/>
  <c r="AE239" i="8"/>
  <c r="B239" i="8"/>
  <c r="AG238" i="8"/>
  <c r="AF238" i="8"/>
  <c r="AD238" i="8"/>
  <c r="AC238" i="8"/>
  <c r="AB238" i="8"/>
  <c r="AA238" i="8"/>
  <c r="Z238" i="8"/>
  <c r="Y238" i="8"/>
  <c r="X238" i="8"/>
  <c r="W238" i="8"/>
  <c r="V238" i="8"/>
  <c r="U238" i="8"/>
  <c r="T238" i="8"/>
  <c r="S238" i="8"/>
  <c r="R238" i="8"/>
  <c r="Q238" i="8"/>
  <c r="P238" i="8"/>
  <c r="O238" i="8"/>
  <c r="N238" i="8"/>
  <c r="M238" i="8"/>
  <c r="L238" i="8"/>
  <c r="K238" i="8"/>
  <c r="J238" i="8"/>
  <c r="I238" i="8"/>
  <c r="H238" i="8"/>
  <c r="G238" i="8"/>
  <c r="E238" i="8"/>
  <c r="AE237" i="8"/>
  <c r="B237" i="8"/>
  <c r="AG236" i="8"/>
  <c r="AF236" i="8"/>
  <c r="AD236" i="8"/>
  <c r="AC236" i="8"/>
  <c r="AB236" i="8"/>
  <c r="AA236" i="8"/>
  <c r="Z236" i="8"/>
  <c r="Y236" i="8"/>
  <c r="X236" i="8"/>
  <c r="W236" i="8"/>
  <c r="V236" i="8"/>
  <c r="U236" i="8"/>
  <c r="T236" i="8"/>
  <c r="S236" i="8"/>
  <c r="R236" i="8"/>
  <c r="Q236" i="8"/>
  <c r="P236" i="8"/>
  <c r="O236" i="8"/>
  <c r="N236" i="8"/>
  <c r="M236" i="8"/>
  <c r="L236" i="8"/>
  <c r="K236" i="8"/>
  <c r="J236" i="8"/>
  <c r="I236" i="8"/>
  <c r="H236" i="8"/>
  <c r="G236" i="8"/>
  <c r="AE235" i="8"/>
  <c r="B235" i="8"/>
  <c r="AG234" i="8"/>
  <c r="AF234" i="8"/>
  <c r="AD234" i="8"/>
  <c r="AC234" i="8"/>
  <c r="AB234" i="8"/>
  <c r="AA234" i="8"/>
  <c r="Z234" i="8"/>
  <c r="Y234" i="8"/>
  <c r="X234" i="8"/>
  <c r="W234" i="8"/>
  <c r="V234" i="8"/>
  <c r="U234" i="8"/>
  <c r="T234" i="8"/>
  <c r="S234" i="8"/>
  <c r="R234" i="8"/>
  <c r="Q234" i="8"/>
  <c r="P234" i="8"/>
  <c r="O234" i="8"/>
  <c r="N234" i="8"/>
  <c r="M234" i="8"/>
  <c r="L234" i="8"/>
  <c r="K234" i="8"/>
  <c r="J234" i="8"/>
  <c r="I234" i="8"/>
  <c r="H234" i="8"/>
  <c r="G234" i="8"/>
  <c r="E234" i="8"/>
  <c r="B233" i="8"/>
  <c r="F232" i="8"/>
  <c r="B232" i="8"/>
  <c r="AG231" i="8"/>
  <c r="AF231" i="8"/>
  <c r="AD231" i="8"/>
  <c r="AC231" i="8"/>
  <c r="AB231" i="8"/>
  <c r="AA231" i="8"/>
  <c r="Z231" i="8"/>
  <c r="Y231" i="8"/>
  <c r="X231" i="8"/>
  <c r="W231" i="8"/>
  <c r="V231" i="8"/>
  <c r="U231" i="8"/>
  <c r="T231" i="8"/>
  <c r="S231" i="8"/>
  <c r="R231" i="8"/>
  <c r="Q231" i="8"/>
  <c r="P231" i="8"/>
  <c r="O231" i="8"/>
  <c r="N231" i="8"/>
  <c r="M231" i="8"/>
  <c r="L231" i="8"/>
  <c r="K231" i="8"/>
  <c r="J231" i="8"/>
  <c r="I231" i="8"/>
  <c r="H231" i="8"/>
  <c r="G231" i="8"/>
  <c r="E231" i="8"/>
  <c r="AE230" i="8"/>
  <c r="B230" i="8"/>
  <c r="AG229" i="8"/>
  <c r="AF229" i="8"/>
  <c r="AD229" i="8"/>
  <c r="AC229" i="8"/>
  <c r="AB229" i="8"/>
  <c r="AA229" i="8"/>
  <c r="Z229" i="8"/>
  <c r="Y229" i="8"/>
  <c r="X229" i="8"/>
  <c r="W229" i="8"/>
  <c r="V229" i="8"/>
  <c r="U229" i="8"/>
  <c r="T229" i="8"/>
  <c r="S229" i="8"/>
  <c r="R229" i="8"/>
  <c r="Q229" i="8"/>
  <c r="P229" i="8"/>
  <c r="O229" i="8"/>
  <c r="N229" i="8"/>
  <c r="M229" i="8"/>
  <c r="L229" i="8"/>
  <c r="K229" i="8"/>
  <c r="J229" i="8"/>
  <c r="I229" i="8"/>
  <c r="H229" i="8"/>
  <c r="G229" i="8"/>
  <c r="E229" i="8"/>
  <c r="AE228" i="8"/>
  <c r="B228" i="8"/>
  <c r="AG227" i="8"/>
  <c r="AF227" i="8"/>
  <c r="AD227" i="8"/>
  <c r="AC227" i="8"/>
  <c r="AB227" i="8"/>
  <c r="AA227" i="8"/>
  <c r="Z227" i="8"/>
  <c r="Y227" i="8"/>
  <c r="X227" i="8"/>
  <c r="W227" i="8"/>
  <c r="V227" i="8"/>
  <c r="U227" i="8"/>
  <c r="T227" i="8"/>
  <c r="S227" i="8"/>
  <c r="R227" i="8"/>
  <c r="Q227" i="8"/>
  <c r="P227" i="8"/>
  <c r="O227" i="8"/>
  <c r="N227" i="8"/>
  <c r="M227" i="8"/>
  <c r="L227" i="8"/>
  <c r="K227" i="8"/>
  <c r="J227" i="8"/>
  <c r="I227" i="8"/>
  <c r="H227" i="8"/>
  <c r="G227" i="8"/>
  <c r="E227" i="8"/>
  <c r="AE226" i="8"/>
  <c r="B226" i="8"/>
  <c r="AG225" i="8"/>
  <c r="AF225" i="8"/>
  <c r="AD225" i="8"/>
  <c r="AC225" i="8"/>
  <c r="AB225" i="8"/>
  <c r="AA225" i="8"/>
  <c r="Z225" i="8"/>
  <c r="Y225" i="8"/>
  <c r="X225" i="8"/>
  <c r="W225" i="8"/>
  <c r="V225" i="8"/>
  <c r="U225" i="8"/>
  <c r="T225" i="8"/>
  <c r="S225" i="8"/>
  <c r="R225" i="8"/>
  <c r="Q225" i="8"/>
  <c r="P225" i="8"/>
  <c r="O225" i="8"/>
  <c r="N225" i="8"/>
  <c r="M225" i="8"/>
  <c r="L225" i="8"/>
  <c r="K225" i="8"/>
  <c r="J225" i="8"/>
  <c r="I225" i="8"/>
  <c r="H225" i="8"/>
  <c r="G225" i="8"/>
  <c r="E225" i="8"/>
  <c r="AE224" i="8"/>
  <c r="B224" i="8"/>
  <c r="AG223" i="8"/>
  <c r="AF223" i="8"/>
  <c r="AD223" i="8"/>
  <c r="AC223" i="8"/>
  <c r="AB223" i="8"/>
  <c r="AA223" i="8"/>
  <c r="Z223" i="8"/>
  <c r="Y223" i="8"/>
  <c r="X223" i="8"/>
  <c r="W223" i="8"/>
  <c r="V223" i="8"/>
  <c r="U223" i="8"/>
  <c r="T223" i="8"/>
  <c r="S223" i="8"/>
  <c r="R223" i="8"/>
  <c r="Q223" i="8"/>
  <c r="P223" i="8"/>
  <c r="O223" i="8"/>
  <c r="N223" i="8"/>
  <c r="M223" i="8"/>
  <c r="L223" i="8"/>
  <c r="K223" i="8"/>
  <c r="J223" i="8"/>
  <c r="I223" i="8"/>
  <c r="H223" i="8"/>
  <c r="G223" i="8"/>
  <c r="E223" i="8"/>
  <c r="F222" i="8"/>
  <c r="B222" i="8"/>
  <c r="AG221" i="8"/>
  <c r="AF221" i="8"/>
  <c r="AE221" i="8"/>
  <c r="AD221" i="8"/>
  <c r="AC221" i="8"/>
  <c r="AB221" i="8"/>
  <c r="AA221" i="8"/>
  <c r="Z221" i="8"/>
  <c r="Y221" i="8"/>
  <c r="X221" i="8"/>
  <c r="W221" i="8"/>
  <c r="V221" i="8"/>
  <c r="U221" i="8"/>
  <c r="T221" i="8"/>
  <c r="S221" i="8"/>
  <c r="R221" i="8"/>
  <c r="Q221" i="8"/>
  <c r="P221" i="8"/>
  <c r="O221" i="8"/>
  <c r="N221" i="8"/>
  <c r="M221" i="8"/>
  <c r="L221" i="8"/>
  <c r="K221" i="8"/>
  <c r="J221" i="8"/>
  <c r="I221" i="8"/>
  <c r="H221" i="8"/>
  <c r="G221" i="8"/>
  <c r="E221" i="8"/>
  <c r="F220" i="8"/>
  <c r="B220" i="8"/>
  <c r="AG219" i="8"/>
  <c r="AF219" i="8"/>
  <c r="AE219" i="8"/>
  <c r="AD219" i="8"/>
  <c r="AC219" i="8"/>
  <c r="AB219" i="8"/>
  <c r="AA219" i="8"/>
  <c r="Z219" i="8"/>
  <c r="Y219" i="8"/>
  <c r="X219" i="8"/>
  <c r="W219" i="8"/>
  <c r="V219" i="8"/>
  <c r="U219" i="8"/>
  <c r="T219" i="8"/>
  <c r="S219" i="8"/>
  <c r="R219" i="8"/>
  <c r="Q219" i="8"/>
  <c r="P219" i="8"/>
  <c r="O219" i="8"/>
  <c r="N219" i="8"/>
  <c r="M219" i="8"/>
  <c r="L219" i="8"/>
  <c r="K219" i="8"/>
  <c r="J219" i="8"/>
  <c r="I219" i="8"/>
  <c r="H219" i="8"/>
  <c r="G219" i="8"/>
  <c r="E219" i="8"/>
  <c r="AE218" i="8"/>
  <c r="B218" i="8"/>
  <c r="AE217" i="8"/>
  <c r="B217" i="8"/>
  <c r="AE216" i="8"/>
  <c r="B216" i="8"/>
  <c r="AE215" i="8"/>
  <c r="B215" i="8"/>
  <c r="E214" i="8"/>
  <c r="AE213" i="8"/>
  <c r="B213" i="8"/>
  <c r="AE211" i="8"/>
  <c r="B211" i="8"/>
  <c r="AG210" i="8"/>
  <c r="AF210" i="8"/>
  <c r="AD210" i="8"/>
  <c r="AC210" i="8"/>
  <c r="AB210" i="8"/>
  <c r="AA210" i="8"/>
  <c r="Z210" i="8"/>
  <c r="Y210" i="8"/>
  <c r="X210" i="8"/>
  <c r="W210" i="8"/>
  <c r="V210" i="8"/>
  <c r="U210" i="8"/>
  <c r="T210" i="8"/>
  <c r="S210" i="8"/>
  <c r="R210" i="8"/>
  <c r="Q210" i="8"/>
  <c r="P210" i="8"/>
  <c r="O210" i="8"/>
  <c r="N210" i="8"/>
  <c r="M210" i="8"/>
  <c r="L210" i="8"/>
  <c r="K210" i="8"/>
  <c r="J210" i="8"/>
  <c r="I210" i="8"/>
  <c r="H210" i="8"/>
  <c r="G210" i="8"/>
  <c r="E210" i="8"/>
  <c r="AE209" i="8"/>
  <c r="B209" i="8"/>
  <c r="AG208" i="8"/>
  <c r="AF208" i="8"/>
  <c r="AD208" i="8"/>
  <c r="AC208" i="8"/>
  <c r="AB208" i="8"/>
  <c r="AA208" i="8"/>
  <c r="Z208" i="8"/>
  <c r="Y208" i="8"/>
  <c r="X208" i="8"/>
  <c r="W208" i="8"/>
  <c r="V208" i="8"/>
  <c r="U208" i="8"/>
  <c r="T208" i="8"/>
  <c r="S208" i="8"/>
  <c r="R208" i="8"/>
  <c r="Q208" i="8"/>
  <c r="P208" i="8"/>
  <c r="O208" i="8"/>
  <c r="N208" i="8"/>
  <c r="M208" i="8"/>
  <c r="L208" i="8"/>
  <c r="K208" i="8"/>
  <c r="J208" i="8"/>
  <c r="I208" i="8"/>
  <c r="H208" i="8"/>
  <c r="G208" i="8"/>
  <c r="E208" i="8"/>
  <c r="AE207" i="8"/>
  <c r="B207" i="8"/>
  <c r="AE206" i="8"/>
  <c r="B206" i="8"/>
  <c r="P205" i="8"/>
  <c r="B205" i="8"/>
  <c r="AG204" i="8"/>
  <c r="AF204" i="8"/>
  <c r="AD204" i="8"/>
  <c r="AC204" i="8"/>
  <c r="AB204" i="8"/>
  <c r="AA204" i="8"/>
  <c r="Z204" i="8"/>
  <c r="Y204" i="8"/>
  <c r="X204" i="8"/>
  <c r="W204" i="8"/>
  <c r="V204" i="8"/>
  <c r="U204" i="8"/>
  <c r="T204" i="8"/>
  <c r="S204" i="8"/>
  <c r="R204" i="8"/>
  <c r="Q204" i="8"/>
  <c r="O204" i="8"/>
  <c r="N204" i="8"/>
  <c r="M204" i="8"/>
  <c r="L204" i="8"/>
  <c r="K204" i="8"/>
  <c r="J204" i="8"/>
  <c r="I204" i="8"/>
  <c r="H204" i="8"/>
  <c r="G204" i="8"/>
  <c r="E204" i="8"/>
  <c r="AE203" i="8"/>
  <c r="B203" i="8"/>
  <c r="AE202" i="8"/>
  <c r="B202" i="8"/>
  <c r="AG201" i="8"/>
  <c r="AF201" i="8"/>
  <c r="AD201" i="8"/>
  <c r="AC201" i="8"/>
  <c r="AB201" i="8"/>
  <c r="AA201" i="8"/>
  <c r="Z201" i="8"/>
  <c r="Y201" i="8"/>
  <c r="X201" i="8"/>
  <c r="W201" i="8"/>
  <c r="V201" i="8"/>
  <c r="U201" i="8"/>
  <c r="T201" i="8"/>
  <c r="S201" i="8"/>
  <c r="R201" i="8"/>
  <c r="Q201" i="8"/>
  <c r="P201" i="8"/>
  <c r="O201" i="8"/>
  <c r="N201" i="8"/>
  <c r="M201" i="8"/>
  <c r="L201" i="8"/>
  <c r="K201" i="8"/>
  <c r="J201" i="8"/>
  <c r="I201" i="8"/>
  <c r="H201" i="8"/>
  <c r="G201" i="8"/>
  <c r="E201" i="8"/>
  <c r="AE200" i="8"/>
  <c r="B200" i="8"/>
  <c r="AE199" i="8"/>
  <c r="B199" i="8"/>
  <c r="AG198" i="8"/>
  <c r="AF198" i="8"/>
  <c r="AD198" i="8"/>
  <c r="AC198" i="8"/>
  <c r="AB198" i="8"/>
  <c r="AA198" i="8"/>
  <c r="Z198" i="8"/>
  <c r="Y198" i="8"/>
  <c r="X198" i="8"/>
  <c r="W198" i="8"/>
  <c r="V198" i="8"/>
  <c r="U198" i="8"/>
  <c r="T198" i="8"/>
  <c r="S198" i="8"/>
  <c r="R198" i="8"/>
  <c r="Q198" i="8"/>
  <c r="P198" i="8"/>
  <c r="O198" i="8"/>
  <c r="N198" i="8"/>
  <c r="M198" i="8"/>
  <c r="L198" i="8"/>
  <c r="K198" i="8"/>
  <c r="J198" i="8"/>
  <c r="I198" i="8"/>
  <c r="H198" i="8"/>
  <c r="G198" i="8"/>
  <c r="E198" i="8"/>
  <c r="F197" i="8"/>
  <c r="B197" i="8"/>
  <c r="AG196" i="8"/>
  <c r="AF196" i="8"/>
  <c r="AE196" i="8"/>
  <c r="AD196" i="8"/>
  <c r="AC196" i="8"/>
  <c r="AB196" i="8"/>
  <c r="AA196" i="8"/>
  <c r="Z196" i="8"/>
  <c r="Y196" i="8"/>
  <c r="X196" i="8"/>
  <c r="W196" i="8"/>
  <c r="V196" i="8"/>
  <c r="U196" i="8"/>
  <c r="T196" i="8"/>
  <c r="S196" i="8"/>
  <c r="R196" i="8"/>
  <c r="Q196" i="8"/>
  <c r="P196" i="8"/>
  <c r="O196" i="8"/>
  <c r="N196" i="8"/>
  <c r="M196" i="8"/>
  <c r="L196" i="8"/>
  <c r="K196" i="8"/>
  <c r="J196" i="8"/>
  <c r="I196" i="8"/>
  <c r="H196" i="8"/>
  <c r="G196" i="8"/>
  <c r="E196" i="8"/>
  <c r="AE195" i="8"/>
  <c r="B195" i="8"/>
  <c r="AE194" i="8"/>
  <c r="B194" i="8"/>
  <c r="AE193" i="8"/>
  <c r="B193" i="8"/>
  <c r="AE192" i="8"/>
  <c r="B192" i="8"/>
  <c r="AE191" i="8"/>
  <c r="B191" i="8"/>
  <c r="AG190" i="8"/>
  <c r="AF190" i="8"/>
  <c r="AD190" i="8"/>
  <c r="AC190" i="8"/>
  <c r="AB190" i="8"/>
  <c r="AA190" i="8"/>
  <c r="Z190" i="8"/>
  <c r="Y190" i="8"/>
  <c r="X190" i="8"/>
  <c r="W190" i="8"/>
  <c r="V190" i="8"/>
  <c r="U190" i="8"/>
  <c r="T190" i="8"/>
  <c r="S190" i="8"/>
  <c r="R190" i="8"/>
  <c r="Q190" i="8"/>
  <c r="P190" i="8"/>
  <c r="O190" i="8"/>
  <c r="N190" i="8"/>
  <c r="M190" i="8"/>
  <c r="L190" i="8"/>
  <c r="K190" i="8"/>
  <c r="J190" i="8"/>
  <c r="I190" i="8"/>
  <c r="H190" i="8"/>
  <c r="G190" i="8"/>
  <c r="E190" i="8"/>
  <c r="AE189" i="8"/>
  <c r="B189" i="8"/>
  <c r="AG188" i="8"/>
  <c r="AF188" i="8"/>
  <c r="AD188" i="8"/>
  <c r="AC188" i="8"/>
  <c r="AB188" i="8"/>
  <c r="AA188" i="8"/>
  <c r="Z188" i="8"/>
  <c r="Y188" i="8"/>
  <c r="X188" i="8"/>
  <c r="W188" i="8"/>
  <c r="V188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G188" i="8"/>
  <c r="E188" i="8"/>
  <c r="AE187" i="8"/>
  <c r="B187" i="8"/>
  <c r="F186" i="8"/>
  <c r="B186" i="8"/>
  <c r="AG185" i="8"/>
  <c r="AF185" i="8"/>
  <c r="AD185" i="8"/>
  <c r="AC185" i="8"/>
  <c r="AB185" i="8"/>
  <c r="AA185" i="8"/>
  <c r="Z185" i="8"/>
  <c r="Y185" i="8"/>
  <c r="X185" i="8"/>
  <c r="W185" i="8"/>
  <c r="V185" i="8"/>
  <c r="U185" i="8"/>
  <c r="T185" i="8"/>
  <c r="S185" i="8"/>
  <c r="R185" i="8"/>
  <c r="Q185" i="8"/>
  <c r="P185" i="8"/>
  <c r="O185" i="8"/>
  <c r="N185" i="8"/>
  <c r="M185" i="8"/>
  <c r="L185" i="8"/>
  <c r="K185" i="8"/>
  <c r="J185" i="8"/>
  <c r="I185" i="8"/>
  <c r="H185" i="8"/>
  <c r="G185" i="8"/>
  <c r="E185" i="8"/>
  <c r="F184" i="8"/>
  <c r="B184" i="8"/>
  <c r="F183" i="8"/>
  <c r="B183" i="8"/>
  <c r="AG182" i="8"/>
  <c r="AF182" i="8"/>
  <c r="AE182" i="8"/>
  <c r="AD182" i="8"/>
  <c r="AC182" i="8"/>
  <c r="AB182" i="8"/>
  <c r="AA182" i="8"/>
  <c r="Z182" i="8"/>
  <c r="Y182" i="8"/>
  <c r="X182" i="8"/>
  <c r="W182" i="8"/>
  <c r="V182" i="8"/>
  <c r="U182" i="8"/>
  <c r="T182" i="8"/>
  <c r="S182" i="8"/>
  <c r="R182" i="8"/>
  <c r="Q182" i="8"/>
  <c r="P182" i="8"/>
  <c r="O182" i="8"/>
  <c r="N182" i="8"/>
  <c r="M182" i="8"/>
  <c r="L182" i="8"/>
  <c r="K182" i="8"/>
  <c r="J182" i="8"/>
  <c r="I182" i="8"/>
  <c r="H182" i="8"/>
  <c r="G182" i="8"/>
  <c r="E182" i="8"/>
  <c r="AE181" i="8"/>
  <c r="B181" i="8"/>
  <c r="AE180" i="8"/>
  <c r="B180" i="8"/>
  <c r="AE179" i="8"/>
  <c r="B179" i="8"/>
  <c r="AE178" i="8"/>
  <c r="B178" i="8"/>
  <c r="AE177" i="8"/>
  <c r="B177" i="8"/>
  <c r="AE176" i="8"/>
  <c r="B176" i="8"/>
  <c r="AG175" i="8"/>
  <c r="AF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R175" i="8"/>
  <c r="Q175" i="8"/>
  <c r="P175" i="8"/>
  <c r="O175" i="8"/>
  <c r="N175" i="8"/>
  <c r="M175" i="8"/>
  <c r="L175" i="8"/>
  <c r="K175" i="8"/>
  <c r="J175" i="8"/>
  <c r="I175" i="8"/>
  <c r="H175" i="8"/>
  <c r="G175" i="8"/>
  <c r="E175" i="8"/>
  <c r="AE174" i="8"/>
  <c r="B174" i="8"/>
  <c r="AE173" i="8"/>
  <c r="B173" i="8"/>
  <c r="F172" i="8"/>
  <c r="B172" i="8"/>
  <c r="AE171" i="8"/>
  <c r="B171" i="8"/>
  <c r="F170" i="8"/>
  <c r="B170" i="8"/>
  <c r="F169" i="8"/>
  <c r="B169" i="8"/>
  <c r="F168" i="8"/>
  <c r="B168" i="8"/>
  <c r="F167" i="8"/>
  <c r="B167" i="8"/>
  <c r="F166" i="8"/>
  <c r="B166" i="8"/>
  <c r="F165" i="8"/>
  <c r="B165" i="8"/>
  <c r="F164" i="8"/>
  <c r="B164" i="8"/>
  <c r="F163" i="8"/>
  <c r="B163" i="8"/>
  <c r="F162" i="8"/>
  <c r="B162" i="8"/>
  <c r="F161" i="8"/>
  <c r="B161" i="8"/>
  <c r="F160" i="8"/>
  <c r="B160" i="8"/>
  <c r="AG159" i="8"/>
  <c r="AF159" i="8"/>
  <c r="AD159" i="8"/>
  <c r="AC159" i="8"/>
  <c r="AB159" i="8"/>
  <c r="AA159" i="8"/>
  <c r="Z159" i="8"/>
  <c r="Y159" i="8"/>
  <c r="X159" i="8"/>
  <c r="W159" i="8"/>
  <c r="V159" i="8"/>
  <c r="U159" i="8"/>
  <c r="T159" i="8"/>
  <c r="S159" i="8"/>
  <c r="R159" i="8"/>
  <c r="Q159" i="8"/>
  <c r="P159" i="8"/>
  <c r="O159" i="8"/>
  <c r="N159" i="8"/>
  <c r="M159" i="8"/>
  <c r="L159" i="8"/>
  <c r="K159" i="8"/>
  <c r="J159" i="8"/>
  <c r="I159" i="8"/>
  <c r="H159" i="8"/>
  <c r="G159" i="8"/>
  <c r="E159" i="8"/>
  <c r="AE158" i="8"/>
  <c r="B158" i="8"/>
  <c r="AE157" i="8"/>
  <c r="B157" i="8"/>
  <c r="AE154" i="8"/>
  <c r="B154" i="8"/>
  <c r="AE153" i="8"/>
  <c r="B153" i="8"/>
  <c r="AE152" i="8"/>
  <c r="B152" i="8"/>
  <c r="AE151" i="8"/>
  <c r="B151" i="8"/>
  <c r="AE150" i="8"/>
  <c r="B150" i="8"/>
  <c r="AE149" i="8"/>
  <c r="B149" i="8"/>
  <c r="AE148" i="8"/>
  <c r="B148" i="8"/>
  <c r="AE147" i="8"/>
  <c r="B147" i="8"/>
  <c r="F146" i="8"/>
  <c r="B146" i="8"/>
  <c r="AE145" i="8"/>
  <c r="B145" i="8"/>
  <c r="AE144" i="8"/>
  <c r="B144" i="8"/>
  <c r="AE143" i="8"/>
  <c r="B143" i="8"/>
  <c r="AE142" i="8"/>
  <c r="B142" i="8"/>
  <c r="AE141" i="8"/>
  <c r="B141" i="8"/>
  <c r="AE140" i="8"/>
  <c r="B140" i="8"/>
  <c r="F139" i="8"/>
  <c r="B139" i="8"/>
  <c r="AE138" i="8"/>
  <c r="B138" i="8"/>
  <c r="F137" i="8"/>
  <c r="B137" i="8"/>
  <c r="F136" i="8"/>
  <c r="B136" i="8"/>
  <c r="AE135" i="8"/>
  <c r="B135" i="8"/>
  <c r="AE134" i="8"/>
  <c r="B134" i="8"/>
  <c r="AE133" i="8"/>
  <c r="B133" i="8"/>
  <c r="AE132" i="8"/>
  <c r="B132" i="8"/>
  <c r="B131" i="8"/>
  <c r="AG130" i="8"/>
  <c r="AF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E130" i="8"/>
  <c r="F129" i="8"/>
  <c r="B129" i="8"/>
  <c r="AE128" i="8"/>
  <c r="B128" i="8"/>
  <c r="F127" i="8"/>
  <c r="B127" i="8"/>
  <c r="F126" i="8"/>
  <c r="B126" i="8"/>
  <c r="AG125" i="8"/>
  <c r="AF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E125" i="8"/>
  <c r="AE124" i="8"/>
  <c r="B124" i="8"/>
  <c r="AE123" i="8"/>
  <c r="B123" i="8"/>
  <c r="F122" i="8"/>
  <c r="B122" i="8"/>
  <c r="F121" i="8"/>
  <c r="B121" i="8"/>
  <c r="F120" i="8"/>
  <c r="B120" i="8"/>
  <c r="AE119" i="8"/>
  <c r="B119" i="8"/>
  <c r="F118" i="8"/>
  <c r="B118" i="8"/>
  <c r="AG117" i="8"/>
  <c r="AF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E117" i="8"/>
  <c r="AE116" i="8"/>
  <c r="B116" i="8"/>
  <c r="F115" i="8"/>
  <c r="B115" i="8"/>
  <c r="AE114" i="8"/>
  <c r="B114" i="8"/>
  <c r="AE113" i="8"/>
  <c r="B113" i="8"/>
  <c r="F112" i="8"/>
  <c r="B112" i="8"/>
  <c r="F111" i="8"/>
  <c r="B111" i="8"/>
  <c r="F110" i="8"/>
  <c r="B110" i="8"/>
  <c r="F109" i="8"/>
  <c r="B109" i="8"/>
  <c r="F108" i="8"/>
  <c r="B108" i="8"/>
  <c r="B107" i="8"/>
  <c r="AE106" i="8"/>
  <c r="B106" i="8"/>
  <c r="F105" i="8"/>
  <c r="B105" i="8"/>
  <c r="F104" i="8"/>
  <c r="B104" i="8"/>
  <c r="F103" i="8"/>
  <c r="B103" i="8"/>
  <c r="F102" i="8"/>
  <c r="B102" i="8"/>
  <c r="F101" i="8"/>
  <c r="B101" i="8"/>
  <c r="AG100" i="8"/>
  <c r="AF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E100" i="8"/>
  <c r="AE99" i="8"/>
  <c r="B99" i="8"/>
  <c r="F98" i="8"/>
  <c r="B98" i="8"/>
  <c r="AE97" i="8"/>
  <c r="B97" i="8"/>
  <c r="AG96" i="8"/>
  <c r="AF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E96" i="8"/>
  <c r="AE95" i="8"/>
  <c r="B95" i="8"/>
  <c r="AG94" i="8"/>
  <c r="AF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E94" i="8"/>
  <c r="F93" i="8"/>
  <c r="B93" i="8"/>
  <c r="AE92" i="8"/>
  <c r="B92" i="8"/>
  <c r="B91" i="8"/>
  <c r="B90" i="8"/>
  <c r="F89" i="8"/>
  <c r="B89" i="8"/>
  <c r="F88" i="8"/>
  <c r="B88" i="8"/>
  <c r="AG87" i="8"/>
  <c r="AF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E87" i="8"/>
  <c r="AE84" i="8"/>
  <c r="B84" i="8"/>
  <c r="AG83" i="8"/>
  <c r="AF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E83" i="8"/>
  <c r="AE82" i="8"/>
  <c r="B82" i="8"/>
  <c r="AG81" i="8"/>
  <c r="AF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E81" i="8"/>
  <c r="AE80" i="8"/>
  <c r="B80" i="8"/>
  <c r="AG79" i="8"/>
  <c r="AF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E79" i="8"/>
  <c r="AE78" i="8"/>
  <c r="B78" i="8"/>
  <c r="AG77" i="8"/>
  <c r="AF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E77" i="8"/>
  <c r="AE76" i="8"/>
  <c r="B76" i="8"/>
  <c r="AE75" i="8"/>
  <c r="B75" i="8"/>
  <c r="B74" i="8"/>
  <c r="AG73" i="8"/>
  <c r="AF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E73" i="8"/>
  <c r="AE72" i="8"/>
  <c r="B72" i="8"/>
  <c r="AG71" i="8"/>
  <c r="AF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E71" i="8"/>
  <c r="B70" i="8"/>
  <c r="AG69" i="8"/>
  <c r="AF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E69" i="8"/>
  <c r="AE68" i="8"/>
  <c r="B68" i="8"/>
  <c r="AE67" i="8"/>
  <c r="B67" i="8"/>
  <c r="AE66" i="8"/>
  <c r="B66" i="8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F63" i="8"/>
  <c r="B63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F59" i="8"/>
  <c r="B59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E58" i="8"/>
  <c r="F57" i="8"/>
  <c r="B57" i="8"/>
  <c r="P56" i="8"/>
  <c r="B56" i="8"/>
  <c r="F55" i="8"/>
  <c r="B55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O54" i="8"/>
  <c r="N54" i="8"/>
  <c r="M54" i="8"/>
  <c r="L54" i="8"/>
  <c r="K54" i="8"/>
  <c r="J54" i="8"/>
  <c r="I54" i="8"/>
  <c r="H54" i="8"/>
  <c r="G54" i="8"/>
  <c r="E54" i="8"/>
  <c r="F53" i="8"/>
  <c r="B53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E52" i="8"/>
  <c r="AE51" i="8"/>
  <c r="B51" i="8"/>
  <c r="AG50" i="8"/>
  <c r="AF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F49" i="8"/>
  <c r="B49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E48" i="8"/>
  <c r="AE47" i="8"/>
  <c r="B47" i="8"/>
  <c r="F46" i="8"/>
  <c r="B46" i="8"/>
  <c r="F45" i="8"/>
  <c r="B45" i="8"/>
  <c r="AG44" i="8"/>
  <c r="AF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E44" i="8"/>
  <c r="AE43" i="8"/>
  <c r="B43" i="8"/>
  <c r="AG42" i="8"/>
  <c r="AF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E42" i="8"/>
  <c r="B41" i="8"/>
  <c r="AG40" i="8"/>
  <c r="AF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E40" i="8"/>
  <c r="E36" i="8" s="1"/>
  <c r="AE39" i="8"/>
  <c r="B39" i="8"/>
  <c r="AE38" i="8"/>
  <c r="B38" i="8"/>
  <c r="AE37" i="8"/>
  <c r="B37" i="8"/>
  <c r="AG36" i="8"/>
  <c r="AF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5" i="8"/>
  <c r="B35" i="8"/>
  <c r="AE34" i="8"/>
  <c r="B34" i="8"/>
  <c r="AG33" i="8"/>
  <c r="AF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E33" i="8"/>
  <c r="AE32" i="8"/>
  <c r="B32" i="8"/>
  <c r="AE31" i="8"/>
  <c r="B31" i="8"/>
  <c r="AG30" i="8"/>
  <c r="AF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E30" i="8"/>
  <c r="AE29" i="8"/>
  <c r="B29" i="8"/>
  <c r="AG28" i="8"/>
  <c r="AF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E28" i="8"/>
  <c r="F27" i="8"/>
  <c r="B27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B25" i="8"/>
  <c r="AG24" i="8"/>
  <c r="AF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E24" i="8"/>
  <c r="B23" i="8"/>
  <c r="AE22" i="8"/>
  <c r="B22" i="8"/>
  <c r="AE21" i="8"/>
  <c r="B21" i="8"/>
  <c r="F20" i="8"/>
  <c r="B20" i="8"/>
  <c r="F19" i="8"/>
  <c r="B19" i="8"/>
  <c r="AE18" i="8"/>
  <c r="B18" i="8"/>
  <c r="B17" i="8"/>
  <c r="F16" i="8"/>
  <c r="B16" i="8"/>
  <c r="AG15" i="8"/>
  <c r="AF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E15" i="8"/>
  <c r="B14" i="8"/>
  <c r="AG13" i="8"/>
  <c r="AF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O13" i="8"/>
  <c r="N13" i="8"/>
  <c r="M13" i="8"/>
  <c r="L13" i="8"/>
  <c r="K13" i="8"/>
  <c r="J13" i="8"/>
  <c r="I13" i="8"/>
  <c r="H13" i="8"/>
  <c r="G13" i="8"/>
  <c r="E13" i="8"/>
  <c r="E16" i="11"/>
  <c r="AB15" i="11"/>
  <c r="AA15" i="11"/>
  <c r="Z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4" i="11"/>
  <c r="AB13" i="11"/>
  <c r="AB12" i="11" s="1"/>
  <c r="AB11" i="11" s="1"/>
  <c r="AA13" i="11"/>
  <c r="AA12" i="11" s="1"/>
  <c r="AA11" i="11" s="1"/>
  <c r="Z13" i="11"/>
  <c r="Z12" i="11" s="1"/>
  <c r="Z11" i="11" s="1"/>
  <c r="Q13" i="11"/>
  <c r="Q12" i="11" s="1"/>
  <c r="Q11" i="11" s="1"/>
  <c r="P13" i="11"/>
  <c r="O13" i="11"/>
  <c r="O12" i="11" s="1"/>
  <c r="O11" i="11" s="1"/>
  <c r="N13" i="11"/>
  <c r="N12" i="11" s="1"/>
  <c r="N11" i="11" s="1"/>
  <c r="M13" i="11"/>
  <c r="M12" i="11" s="1"/>
  <c r="M11" i="11" s="1"/>
  <c r="L13" i="11"/>
  <c r="K13" i="11"/>
  <c r="K12" i="11" s="1"/>
  <c r="K11" i="11" s="1"/>
  <c r="J13" i="11"/>
  <c r="J12" i="11" s="1"/>
  <c r="J11" i="11" s="1"/>
  <c r="I13" i="11"/>
  <c r="I12" i="11" s="1"/>
  <c r="I11" i="11" s="1"/>
  <c r="H13" i="11"/>
  <c r="H12" i="11" s="1"/>
  <c r="H11" i="11" s="1"/>
  <c r="G13" i="11"/>
  <c r="G12" i="11" s="1"/>
  <c r="G11" i="11" s="1"/>
  <c r="F13" i="11"/>
  <c r="F12" i="11" s="1"/>
  <c r="F11" i="11" s="1"/>
  <c r="Y12" i="11"/>
  <c r="Y11" i="11" s="1"/>
  <c r="X12" i="11"/>
  <c r="X11" i="11" s="1"/>
  <c r="W12" i="11"/>
  <c r="W11" i="11" s="1"/>
  <c r="V12" i="11"/>
  <c r="V11" i="11" s="1"/>
  <c r="U12" i="11"/>
  <c r="U11" i="11" s="1"/>
  <c r="T12" i="11"/>
  <c r="T11" i="11" s="1"/>
  <c r="S12" i="11"/>
  <c r="S11" i="11" s="1"/>
  <c r="R12" i="11"/>
  <c r="R11" i="11" s="1"/>
  <c r="P12" i="11"/>
  <c r="P11" i="11" s="1"/>
  <c r="L12" i="11"/>
  <c r="L11" i="11" s="1"/>
  <c r="E10" i="11"/>
  <c r="F10" i="11" s="1"/>
  <c r="D6" i="12"/>
  <c r="E6" i="12" s="1"/>
  <c r="F232" i="5"/>
  <c r="E219" i="5"/>
  <c r="E218" i="5" s="1"/>
  <c r="E209" i="5"/>
  <c r="E208" i="5" s="1"/>
  <c r="D209" i="5"/>
  <c r="D208" i="5" s="1"/>
  <c r="E148" i="5"/>
  <c r="E79" i="5"/>
  <c r="E11" i="5"/>
  <c r="C46" i="4"/>
  <c r="C45" i="4"/>
  <c r="C19" i="4"/>
  <c r="C12" i="4"/>
  <c r="C5" i="4"/>
  <c r="D1409" i="7"/>
  <c r="AE1408" i="7"/>
  <c r="AD1408" i="7"/>
  <c r="AB1408" i="7"/>
  <c r="AA1408" i="7"/>
  <c r="Z1408" i="7"/>
  <c r="Y1408" i="7"/>
  <c r="X1408" i="7"/>
  <c r="W1408" i="7"/>
  <c r="V1408" i="7"/>
  <c r="U1408" i="7"/>
  <c r="T1408" i="7"/>
  <c r="S1408" i="7"/>
  <c r="R1408" i="7"/>
  <c r="Q1408" i="7"/>
  <c r="P1408" i="7"/>
  <c r="O1408" i="7"/>
  <c r="N1408" i="7"/>
  <c r="M1408" i="7"/>
  <c r="L1408" i="7"/>
  <c r="K1408" i="7"/>
  <c r="J1408" i="7"/>
  <c r="I1408" i="7"/>
  <c r="H1408" i="7"/>
  <c r="G1408" i="7"/>
  <c r="F1408" i="7"/>
  <c r="E1408" i="7"/>
  <c r="AC1402" i="7"/>
  <c r="D1404" i="7"/>
  <c r="D1403" i="7"/>
  <c r="AE1402" i="7"/>
  <c r="AD1402" i="7"/>
  <c r="AB1402" i="7"/>
  <c r="AA1402" i="7"/>
  <c r="Z1402" i="7"/>
  <c r="Y1402" i="7"/>
  <c r="X1402" i="7"/>
  <c r="W1402" i="7"/>
  <c r="V1402" i="7"/>
  <c r="U1402" i="7"/>
  <c r="T1402" i="7"/>
  <c r="S1402" i="7"/>
  <c r="R1402" i="7"/>
  <c r="Q1402" i="7"/>
  <c r="P1402" i="7"/>
  <c r="O1402" i="7"/>
  <c r="N1402" i="7"/>
  <c r="M1402" i="7"/>
  <c r="L1402" i="7"/>
  <c r="K1402" i="7"/>
  <c r="J1402" i="7"/>
  <c r="I1402" i="7"/>
  <c r="H1402" i="7"/>
  <c r="G1402" i="7"/>
  <c r="F1402" i="7"/>
  <c r="E1402" i="7"/>
  <c r="D1382" i="7"/>
  <c r="AE1381" i="7"/>
  <c r="AD1381" i="7"/>
  <c r="AC1381" i="7"/>
  <c r="AB1381" i="7"/>
  <c r="AA1381" i="7"/>
  <c r="Z1381" i="7"/>
  <c r="Y1381" i="7"/>
  <c r="X1381" i="7"/>
  <c r="W1381" i="7"/>
  <c r="V1381" i="7"/>
  <c r="U1381" i="7"/>
  <c r="T1381" i="7"/>
  <c r="S1381" i="7"/>
  <c r="R1381" i="7"/>
  <c r="Q1381" i="7"/>
  <c r="P1381" i="7"/>
  <c r="O1381" i="7"/>
  <c r="N1381" i="7"/>
  <c r="M1381" i="7"/>
  <c r="L1381" i="7"/>
  <c r="K1381" i="7"/>
  <c r="J1381" i="7"/>
  <c r="I1381" i="7"/>
  <c r="H1381" i="7"/>
  <c r="G1381" i="7"/>
  <c r="F1381" i="7"/>
  <c r="E1381" i="7"/>
  <c r="D1380" i="7"/>
  <c r="AE1379" i="7"/>
  <c r="AD1379" i="7"/>
  <c r="AC1379" i="7"/>
  <c r="AB1379" i="7"/>
  <c r="AA1379" i="7"/>
  <c r="Z1379" i="7"/>
  <c r="Y1379" i="7"/>
  <c r="X1379" i="7"/>
  <c r="W1379" i="7"/>
  <c r="V1379" i="7"/>
  <c r="U1379" i="7"/>
  <c r="T1379" i="7"/>
  <c r="S1379" i="7"/>
  <c r="R1379" i="7"/>
  <c r="Q1379" i="7"/>
  <c r="P1379" i="7"/>
  <c r="O1379" i="7"/>
  <c r="N1379" i="7"/>
  <c r="M1379" i="7"/>
  <c r="L1379" i="7"/>
  <c r="K1379" i="7"/>
  <c r="J1379" i="7"/>
  <c r="I1379" i="7"/>
  <c r="H1379" i="7"/>
  <c r="G1379" i="7"/>
  <c r="F1379" i="7"/>
  <c r="E1379" i="7"/>
  <c r="D1378" i="7"/>
  <c r="AE1377" i="7"/>
  <c r="AD1377" i="7"/>
  <c r="AC1377" i="7"/>
  <c r="AB1377" i="7"/>
  <c r="AA1377" i="7"/>
  <c r="Z1377" i="7"/>
  <c r="Y1377" i="7"/>
  <c r="X1377" i="7"/>
  <c r="W1377" i="7"/>
  <c r="V1377" i="7"/>
  <c r="U1377" i="7"/>
  <c r="T1377" i="7"/>
  <c r="S1377" i="7"/>
  <c r="R1377" i="7"/>
  <c r="Q1377" i="7"/>
  <c r="P1377" i="7"/>
  <c r="O1377" i="7"/>
  <c r="N1377" i="7"/>
  <c r="M1377" i="7"/>
  <c r="L1377" i="7"/>
  <c r="K1377" i="7"/>
  <c r="J1377" i="7"/>
  <c r="I1377" i="7"/>
  <c r="H1377" i="7"/>
  <c r="G1377" i="7"/>
  <c r="F1377" i="7"/>
  <c r="E1377" i="7"/>
  <c r="EU1373" i="7"/>
  <c r="CK1373" i="7"/>
  <c r="CH1373" i="7"/>
  <c r="AT1372" i="7"/>
  <c r="AC1372" i="7"/>
  <c r="B1372" i="7"/>
  <c r="AE1371" i="7"/>
  <c r="AD1371" i="7"/>
  <c r="AB1371" i="7"/>
  <c r="AA1371" i="7"/>
  <c r="Z1371" i="7"/>
  <c r="Y1371" i="7"/>
  <c r="X1371" i="7"/>
  <c r="W1371" i="7"/>
  <c r="V1371" i="7"/>
  <c r="U1371" i="7"/>
  <c r="T1371" i="7"/>
  <c r="S1371" i="7"/>
  <c r="R1371" i="7"/>
  <c r="Q1371" i="7"/>
  <c r="P1371" i="7"/>
  <c r="O1371" i="7"/>
  <c r="N1371" i="7"/>
  <c r="M1371" i="7"/>
  <c r="L1371" i="7"/>
  <c r="K1371" i="7"/>
  <c r="J1371" i="7"/>
  <c r="I1371" i="7"/>
  <c r="H1371" i="7"/>
  <c r="G1371" i="7"/>
  <c r="F1371" i="7"/>
  <c r="E1371" i="7"/>
  <c r="AC1370" i="7"/>
  <c r="B1370" i="7"/>
  <c r="AC1369" i="7"/>
  <c r="D1369" i="7" s="1"/>
  <c r="B1369" i="7"/>
  <c r="AC1368" i="7"/>
  <c r="D1368" i="7" s="1"/>
  <c r="B1368" i="7"/>
  <c r="AE1367" i="7"/>
  <c r="AD1367" i="7"/>
  <c r="AB1367" i="7"/>
  <c r="AA1367" i="7"/>
  <c r="Z1367" i="7"/>
  <c r="Y1367" i="7"/>
  <c r="X1367" i="7"/>
  <c r="W1367" i="7"/>
  <c r="V1367" i="7"/>
  <c r="U1367" i="7"/>
  <c r="T1367" i="7"/>
  <c r="S1367" i="7"/>
  <c r="R1367" i="7"/>
  <c r="Q1367" i="7"/>
  <c r="P1367" i="7"/>
  <c r="O1367" i="7"/>
  <c r="N1367" i="7"/>
  <c r="M1367" i="7"/>
  <c r="L1367" i="7"/>
  <c r="K1367" i="7"/>
  <c r="J1367" i="7"/>
  <c r="I1367" i="7"/>
  <c r="H1367" i="7"/>
  <c r="G1367" i="7"/>
  <c r="F1367" i="7"/>
  <c r="E1367" i="7"/>
  <c r="N1366" i="7"/>
  <c r="AC1366" i="7" s="1"/>
  <c r="D1366" i="7" s="1"/>
  <c r="D1365" i="7" s="1"/>
  <c r="B1366" i="7"/>
  <c r="AE1365" i="7"/>
  <c r="AD1365" i="7"/>
  <c r="AB1365" i="7"/>
  <c r="AA1365" i="7"/>
  <c r="Z1365" i="7"/>
  <c r="Y1365" i="7"/>
  <c r="X1365" i="7"/>
  <c r="W1365" i="7"/>
  <c r="V1365" i="7"/>
  <c r="U1365" i="7"/>
  <c r="T1365" i="7"/>
  <c r="S1365" i="7"/>
  <c r="R1365" i="7"/>
  <c r="Q1365" i="7"/>
  <c r="P1365" i="7"/>
  <c r="O1365" i="7"/>
  <c r="M1365" i="7"/>
  <c r="L1365" i="7"/>
  <c r="K1365" i="7"/>
  <c r="J1365" i="7"/>
  <c r="I1365" i="7"/>
  <c r="H1365" i="7"/>
  <c r="G1365" i="7"/>
  <c r="F1365" i="7"/>
  <c r="E1365" i="7"/>
  <c r="AC1364" i="7"/>
  <c r="D1364" i="7" s="1"/>
  <c r="B1364" i="7"/>
  <c r="AE1363" i="7"/>
  <c r="AD1363" i="7"/>
  <c r="AB1363" i="7"/>
  <c r="AA1363" i="7"/>
  <c r="Z1363" i="7"/>
  <c r="Y1363" i="7"/>
  <c r="X1363" i="7"/>
  <c r="W1363" i="7"/>
  <c r="V1363" i="7"/>
  <c r="U1363" i="7"/>
  <c r="T1363" i="7"/>
  <c r="S1363" i="7"/>
  <c r="R1363" i="7"/>
  <c r="Q1363" i="7"/>
  <c r="P1363" i="7"/>
  <c r="O1363" i="7"/>
  <c r="N1363" i="7"/>
  <c r="M1363" i="7"/>
  <c r="L1363" i="7"/>
  <c r="K1363" i="7"/>
  <c r="J1363" i="7"/>
  <c r="I1363" i="7"/>
  <c r="H1363" i="7"/>
  <c r="G1363" i="7"/>
  <c r="F1363" i="7"/>
  <c r="E1363" i="7"/>
  <c r="AC1362" i="7"/>
  <c r="B1362" i="7"/>
  <c r="AE1361" i="7"/>
  <c r="AD1361" i="7"/>
  <c r="AB1361" i="7"/>
  <c r="AA1361" i="7"/>
  <c r="Z1361" i="7"/>
  <c r="Y1361" i="7"/>
  <c r="X1361" i="7"/>
  <c r="W1361" i="7"/>
  <c r="V1361" i="7"/>
  <c r="U1361" i="7"/>
  <c r="T1361" i="7"/>
  <c r="S1361" i="7"/>
  <c r="R1361" i="7"/>
  <c r="Q1361" i="7"/>
  <c r="P1361" i="7"/>
  <c r="O1361" i="7"/>
  <c r="N1361" i="7"/>
  <c r="M1361" i="7"/>
  <c r="L1361" i="7"/>
  <c r="K1361" i="7"/>
  <c r="J1361" i="7"/>
  <c r="I1361" i="7"/>
  <c r="H1361" i="7"/>
  <c r="G1361" i="7"/>
  <c r="F1361" i="7"/>
  <c r="E1361" i="7"/>
  <c r="AC1360" i="7"/>
  <c r="B1360" i="7"/>
  <c r="AC1359" i="7"/>
  <c r="D1359" i="7" s="1"/>
  <c r="B1359" i="7"/>
  <c r="AC1358" i="7"/>
  <c r="D1358" i="7" s="1"/>
  <c r="B1358" i="7"/>
  <c r="AE1357" i="7"/>
  <c r="AD1357" i="7"/>
  <c r="AB1357" i="7"/>
  <c r="AA1357" i="7"/>
  <c r="Z1357" i="7"/>
  <c r="Y1357" i="7"/>
  <c r="X1357" i="7"/>
  <c r="W1357" i="7"/>
  <c r="V1357" i="7"/>
  <c r="U1357" i="7"/>
  <c r="T1357" i="7"/>
  <c r="S1357" i="7"/>
  <c r="R1357" i="7"/>
  <c r="Q1357" i="7"/>
  <c r="P1357" i="7"/>
  <c r="O1357" i="7"/>
  <c r="N1357" i="7"/>
  <c r="M1357" i="7"/>
  <c r="L1357" i="7"/>
  <c r="K1357" i="7"/>
  <c r="J1357" i="7"/>
  <c r="I1357" i="7"/>
  <c r="H1357" i="7"/>
  <c r="G1357" i="7"/>
  <c r="F1357" i="7"/>
  <c r="E1357" i="7"/>
  <c r="AC1356" i="7"/>
  <c r="D1356" i="7" s="1"/>
  <c r="B1356" i="7"/>
  <c r="AC1355" i="7"/>
  <c r="D1355" i="7" s="1"/>
  <c r="B1355" i="7"/>
  <c r="AE1354" i="7"/>
  <c r="AD1354" i="7"/>
  <c r="AB1354" i="7"/>
  <c r="AA1354" i="7"/>
  <c r="Z1354" i="7"/>
  <c r="Y1354" i="7"/>
  <c r="X1354" i="7"/>
  <c r="W1354" i="7"/>
  <c r="V1354" i="7"/>
  <c r="U1354" i="7"/>
  <c r="T1354" i="7"/>
  <c r="S1354" i="7"/>
  <c r="R1354" i="7"/>
  <c r="Q1354" i="7"/>
  <c r="P1354" i="7"/>
  <c r="O1354" i="7"/>
  <c r="N1354" i="7"/>
  <c r="M1354" i="7"/>
  <c r="L1354" i="7"/>
  <c r="K1354" i="7"/>
  <c r="J1354" i="7"/>
  <c r="I1354" i="7"/>
  <c r="H1354" i="7"/>
  <c r="G1354" i="7"/>
  <c r="F1354" i="7"/>
  <c r="E1354" i="7"/>
  <c r="AC1353" i="7"/>
  <c r="B1353" i="7"/>
  <c r="AE1352" i="7"/>
  <c r="AD1352" i="7"/>
  <c r="AB1352" i="7"/>
  <c r="AA1352" i="7"/>
  <c r="Z1352" i="7"/>
  <c r="Y1352" i="7"/>
  <c r="X1352" i="7"/>
  <c r="W1352" i="7"/>
  <c r="V1352" i="7"/>
  <c r="U1352" i="7"/>
  <c r="T1352" i="7"/>
  <c r="S1352" i="7"/>
  <c r="R1352" i="7"/>
  <c r="Q1352" i="7"/>
  <c r="P1352" i="7"/>
  <c r="O1352" i="7"/>
  <c r="N1352" i="7"/>
  <c r="M1352" i="7"/>
  <c r="L1352" i="7"/>
  <c r="K1352" i="7"/>
  <c r="J1352" i="7"/>
  <c r="I1352" i="7"/>
  <c r="H1352" i="7"/>
  <c r="G1352" i="7"/>
  <c r="F1352" i="7"/>
  <c r="E1352" i="7"/>
  <c r="AC1351" i="7"/>
  <c r="B1351" i="7"/>
  <c r="AE1350" i="7"/>
  <c r="AD1350" i="7"/>
  <c r="AB1350" i="7"/>
  <c r="AA1350" i="7"/>
  <c r="Z1350" i="7"/>
  <c r="Y1350" i="7"/>
  <c r="X1350" i="7"/>
  <c r="W1350" i="7"/>
  <c r="V1350" i="7"/>
  <c r="U1350" i="7"/>
  <c r="T1350" i="7"/>
  <c r="S1350" i="7"/>
  <c r="R1350" i="7"/>
  <c r="Q1350" i="7"/>
  <c r="P1350" i="7"/>
  <c r="O1350" i="7"/>
  <c r="N1350" i="7"/>
  <c r="M1350" i="7"/>
  <c r="L1350" i="7"/>
  <c r="K1350" i="7"/>
  <c r="J1350" i="7"/>
  <c r="I1350" i="7"/>
  <c r="H1350" i="7"/>
  <c r="G1350" i="7"/>
  <c r="F1350" i="7"/>
  <c r="E1350" i="7"/>
  <c r="AC1349" i="7"/>
  <c r="D1349" i="7" s="1"/>
  <c r="B1349" i="7"/>
  <c r="AC1348" i="7"/>
  <c r="D1348" i="7" s="1"/>
  <c r="B1348" i="7"/>
  <c r="AE1347" i="7"/>
  <c r="AD1347" i="7"/>
  <c r="AB1347" i="7"/>
  <c r="AA1347" i="7"/>
  <c r="Z1347" i="7"/>
  <c r="Y1347" i="7"/>
  <c r="X1347" i="7"/>
  <c r="W1347" i="7"/>
  <c r="V1347" i="7"/>
  <c r="U1347" i="7"/>
  <c r="T1347" i="7"/>
  <c r="S1347" i="7"/>
  <c r="R1347" i="7"/>
  <c r="Q1347" i="7"/>
  <c r="P1347" i="7"/>
  <c r="O1347" i="7"/>
  <c r="N1347" i="7"/>
  <c r="M1347" i="7"/>
  <c r="L1347" i="7"/>
  <c r="K1347" i="7"/>
  <c r="J1347" i="7"/>
  <c r="I1347" i="7"/>
  <c r="H1347" i="7"/>
  <c r="G1347" i="7"/>
  <c r="F1347" i="7"/>
  <c r="E1347" i="7"/>
  <c r="AT1346" i="7"/>
  <c r="AC1346" i="7"/>
  <c r="D1346" i="7" s="1"/>
  <c r="B1346" i="7"/>
  <c r="AC1345" i="7"/>
  <c r="D1345" i="7" s="1"/>
  <c r="B1345" i="7"/>
  <c r="B1344" i="7"/>
  <c r="AE1343" i="7"/>
  <c r="AD1343" i="7"/>
  <c r="AB1343" i="7"/>
  <c r="AA1343" i="7"/>
  <c r="Z1343" i="7"/>
  <c r="Y1343" i="7"/>
  <c r="X1343" i="7"/>
  <c r="W1343" i="7"/>
  <c r="V1343" i="7"/>
  <c r="U1343" i="7"/>
  <c r="T1343" i="7"/>
  <c r="S1343" i="7"/>
  <c r="R1343" i="7"/>
  <c r="Q1343" i="7"/>
  <c r="P1343" i="7"/>
  <c r="O1343" i="7"/>
  <c r="N1343" i="7"/>
  <c r="M1343" i="7"/>
  <c r="L1343" i="7"/>
  <c r="K1343" i="7"/>
  <c r="J1343" i="7"/>
  <c r="I1343" i="7"/>
  <c r="H1343" i="7"/>
  <c r="G1343" i="7"/>
  <c r="F1343" i="7"/>
  <c r="E1343" i="7"/>
  <c r="AC1342" i="7"/>
  <c r="D1342" i="7" s="1"/>
  <c r="B1342" i="7"/>
  <c r="AC1341" i="7"/>
  <c r="D1341" i="7" s="1"/>
  <c r="B1341" i="7"/>
  <c r="AC1340" i="7"/>
  <c r="B1340" i="7"/>
  <c r="AE1339" i="7"/>
  <c r="AD1339" i="7"/>
  <c r="AB1339" i="7"/>
  <c r="AA1339" i="7"/>
  <c r="Z1339" i="7"/>
  <c r="Y1339" i="7"/>
  <c r="X1339" i="7"/>
  <c r="W1339" i="7"/>
  <c r="V1339" i="7"/>
  <c r="U1339" i="7"/>
  <c r="T1339" i="7"/>
  <c r="S1339" i="7"/>
  <c r="R1339" i="7"/>
  <c r="Q1339" i="7"/>
  <c r="P1339" i="7"/>
  <c r="O1339" i="7"/>
  <c r="N1339" i="7"/>
  <c r="M1339" i="7"/>
  <c r="L1339" i="7"/>
  <c r="K1339" i="7"/>
  <c r="J1339" i="7"/>
  <c r="I1339" i="7"/>
  <c r="H1339" i="7"/>
  <c r="G1339" i="7"/>
  <c r="F1339" i="7"/>
  <c r="E1339" i="7"/>
  <c r="AC1338" i="7"/>
  <c r="D1338" i="7" s="1"/>
  <c r="B1338" i="7"/>
  <c r="AC1337" i="7"/>
  <c r="D1337" i="7" s="1"/>
  <c r="B1337" i="7"/>
  <c r="AC1336" i="7"/>
  <c r="D1336" i="7" s="1"/>
  <c r="B1336" i="7"/>
  <c r="AE1335" i="7"/>
  <c r="AD1335" i="7"/>
  <c r="AB1335" i="7"/>
  <c r="AA1335" i="7"/>
  <c r="Z1335" i="7"/>
  <c r="Y1335" i="7"/>
  <c r="X1335" i="7"/>
  <c r="W1335" i="7"/>
  <c r="V1335" i="7"/>
  <c r="U1335" i="7"/>
  <c r="T1335" i="7"/>
  <c r="S1335" i="7"/>
  <c r="R1335" i="7"/>
  <c r="Q1335" i="7"/>
  <c r="P1335" i="7"/>
  <c r="O1335" i="7"/>
  <c r="N1335" i="7"/>
  <c r="M1335" i="7"/>
  <c r="L1335" i="7"/>
  <c r="K1335" i="7"/>
  <c r="J1335" i="7"/>
  <c r="I1335" i="7"/>
  <c r="H1335" i="7"/>
  <c r="G1335" i="7"/>
  <c r="F1335" i="7"/>
  <c r="E1335" i="7"/>
  <c r="AC1334" i="7"/>
  <c r="D1334" i="7" s="1"/>
  <c r="B1334" i="7"/>
  <c r="AC1333" i="7"/>
  <c r="B1333" i="7"/>
  <c r="AE1332" i="7"/>
  <c r="AD1332" i="7"/>
  <c r="AB1332" i="7"/>
  <c r="AA1332" i="7"/>
  <c r="Z1332" i="7"/>
  <c r="Y1332" i="7"/>
  <c r="X1332" i="7"/>
  <c r="W1332" i="7"/>
  <c r="V1332" i="7"/>
  <c r="U1332" i="7"/>
  <c r="T1332" i="7"/>
  <c r="S1332" i="7"/>
  <c r="R1332" i="7"/>
  <c r="Q1332" i="7"/>
  <c r="P1332" i="7"/>
  <c r="O1332" i="7"/>
  <c r="N1332" i="7"/>
  <c r="M1332" i="7"/>
  <c r="L1332" i="7"/>
  <c r="K1332" i="7"/>
  <c r="J1332" i="7"/>
  <c r="I1332" i="7"/>
  <c r="H1332" i="7"/>
  <c r="G1332" i="7"/>
  <c r="F1332" i="7"/>
  <c r="E1332" i="7"/>
  <c r="AC1331" i="7"/>
  <c r="D1331" i="7" s="1"/>
  <c r="B1331" i="7"/>
  <c r="AE1330" i="7"/>
  <c r="AD1330" i="7"/>
  <c r="AB1330" i="7"/>
  <c r="AA1330" i="7"/>
  <c r="Z1330" i="7"/>
  <c r="Y1330" i="7"/>
  <c r="X1330" i="7"/>
  <c r="W1330" i="7"/>
  <c r="V1330" i="7"/>
  <c r="U1330" i="7"/>
  <c r="T1330" i="7"/>
  <c r="S1330" i="7"/>
  <c r="R1330" i="7"/>
  <c r="Q1330" i="7"/>
  <c r="P1330" i="7"/>
  <c r="O1330" i="7"/>
  <c r="N1330" i="7"/>
  <c r="M1330" i="7"/>
  <c r="L1330" i="7"/>
  <c r="K1330" i="7"/>
  <c r="J1330" i="7"/>
  <c r="I1330" i="7"/>
  <c r="H1330" i="7"/>
  <c r="G1330" i="7"/>
  <c r="F1330" i="7"/>
  <c r="E1330" i="7"/>
  <c r="AC1329" i="7"/>
  <c r="B1329" i="7"/>
  <c r="AE1328" i="7"/>
  <c r="AD1328" i="7"/>
  <c r="AB1328" i="7"/>
  <c r="AA1328" i="7"/>
  <c r="Z1328" i="7"/>
  <c r="Y1328" i="7"/>
  <c r="X1328" i="7"/>
  <c r="W1328" i="7"/>
  <c r="V1328" i="7"/>
  <c r="U1328" i="7"/>
  <c r="T1328" i="7"/>
  <c r="S1328" i="7"/>
  <c r="R1328" i="7"/>
  <c r="Q1328" i="7"/>
  <c r="P1328" i="7"/>
  <c r="O1328" i="7"/>
  <c r="N1328" i="7"/>
  <c r="M1328" i="7"/>
  <c r="L1328" i="7"/>
  <c r="K1328" i="7"/>
  <c r="J1328" i="7"/>
  <c r="I1328" i="7"/>
  <c r="H1328" i="7"/>
  <c r="G1328" i="7"/>
  <c r="F1328" i="7"/>
  <c r="E1328" i="7"/>
  <c r="AC1327" i="7"/>
  <c r="B1327" i="7"/>
  <c r="AE1326" i="7"/>
  <c r="AD1326" i="7"/>
  <c r="AB1326" i="7"/>
  <c r="AA1326" i="7"/>
  <c r="Z1326" i="7"/>
  <c r="Y1326" i="7"/>
  <c r="X1326" i="7"/>
  <c r="W1326" i="7"/>
  <c r="V1326" i="7"/>
  <c r="U1326" i="7"/>
  <c r="T1326" i="7"/>
  <c r="S1326" i="7"/>
  <c r="R1326" i="7"/>
  <c r="Q1326" i="7"/>
  <c r="P1326" i="7"/>
  <c r="O1326" i="7"/>
  <c r="N1326" i="7"/>
  <c r="M1326" i="7"/>
  <c r="L1326" i="7"/>
  <c r="K1326" i="7"/>
  <c r="J1326" i="7"/>
  <c r="I1326" i="7"/>
  <c r="H1326" i="7"/>
  <c r="G1326" i="7"/>
  <c r="F1326" i="7"/>
  <c r="E1326" i="7"/>
  <c r="AC1325" i="7"/>
  <c r="D1325" i="7" s="1"/>
  <c r="B1325" i="7"/>
  <c r="AC1324" i="7"/>
  <c r="D1324" i="7" s="1"/>
  <c r="B1324" i="7"/>
  <c r="AC1323" i="7"/>
  <c r="B1323" i="7"/>
  <c r="AE1322" i="7"/>
  <c r="AD1322" i="7"/>
  <c r="AB1322" i="7"/>
  <c r="AA1322" i="7"/>
  <c r="Z1322" i="7"/>
  <c r="Y1322" i="7"/>
  <c r="X1322" i="7"/>
  <c r="W1322" i="7"/>
  <c r="V1322" i="7"/>
  <c r="U1322" i="7"/>
  <c r="T1322" i="7"/>
  <c r="S1322" i="7"/>
  <c r="R1322" i="7"/>
  <c r="Q1322" i="7"/>
  <c r="P1322" i="7"/>
  <c r="O1322" i="7"/>
  <c r="N1322" i="7"/>
  <c r="M1322" i="7"/>
  <c r="L1322" i="7"/>
  <c r="K1322" i="7"/>
  <c r="J1322" i="7"/>
  <c r="I1322" i="7"/>
  <c r="H1322" i="7"/>
  <c r="G1322" i="7"/>
  <c r="F1322" i="7"/>
  <c r="E1322" i="7"/>
  <c r="AC1321" i="7"/>
  <c r="AC1320" i="7" s="1"/>
  <c r="B1321" i="7"/>
  <c r="AE1320" i="7"/>
  <c r="AD1320" i="7"/>
  <c r="AB1320" i="7"/>
  <c r="AA1320" i="7"/>
  <c r="Z1320" i="7"/>
  <c r="Y1320" i="7"/>
  <c r="X1320" i="7"/>
  <c r="W1320" i="7"/>
  <c r="V1320" i="7"/>
  <c r="U1320" i="7"/>
  <c r="T1320" i="7"/>
  <c r="S1320" i="7"/>
  <c r="R1320" i="7"/>
  <c r="Q1320" i="7"/>
  <c r="P1320" i="7"/>
  <c r="O1320" i="7"/>
  <c r="N1320" i="7"/>
  <c r="M1320" i="7"/>
  <c r="L1320" i="7"/>
  <c r="K1320" i="7"/>
  <c r="J1320" i="7"/>
  <c r="I1320" i="7"/>
  <c r="H1320" i="7"/>
  <c r="G1320" i="7"/>
  <c r="F1320" i="7"/>
  <c r="E1320" i="7"/>
  <c r="AC1319" i="7"/>
  <c r="B1319" i="7"/>
  <c r="AE1318" i="7"/>
  <c r="AD1318" i="7"/>
  <c r="AB1318" i="7"/>
  <c r="AA1318" i="7"/>
  <c r="Z1318" i="7"/>
  <c r="Y1318" i="7"/>
  <c r="X1318" i="7"/>
  <c r="W1318" i="7"/>
  <c r="V1318" i="7"/>
  <c r="U1318" i="7"/>
  <c r="T1318" i="7"/>
  <c r="S1318" i="7"/>
  <c r="R1318" i="7"/>
  <c r="Q1318" i="7"/>
  <c r="P1318" i="7"/>
  <c r="O1318" i="7"/>
  <c r="N1318" i="7"/>
  <c r="M1318" i="7"/>
  <c r="L1318" i="7"/>
  <c r="K1318" i="7"/>
  <c r="J1318" i="7"/>
  <c r="I1318" i="7"/>
  <c r="H1318" i="7"/>
  <c r="G1318" i="7"/>
  <c r="F1318" i="7"/>
  <c r="E1318" i="7"/>
  <c r="AC1317" i="7"/>
  <c r="B1317" i="7"/>
  <c r="AE1316" i="7"/>
  <c r="AD1316" i="7"/>
  <c r="AB1316" i="7"/>
  <c r="AA1316" i="7"/>
  <c r="Z1316" i="7"/>
  <c r="Y1316" i="7"/>
  <c r="X1316" i="7"/>
  <c r="W1316" i="7"/>
  <c r="V1316" i="7"/>
  <c r="U1316" i="7"/>
  <c r="T1316" i="7"/>
  <c r="S1316" i="7"/>
  <c r="R1316" i="7"/>
  <c r="Q1316" i="7"/>
  <c r="P1316" i="7"/>
  <c r="O1316" i="7"/>
  <c r="N1316" i="7"/>
  <c r="M1316" i="7"/>
  <c r="L1316" i="7"/>
  <c r="K1316" i="7"/>
  <c r="J1316" i="7"/>
  <c r="I1316" i="7"/>
  <c r="H1316" i="7"/>
  <c r="G1316" i="7"/>
  <c r="F1316" i="7"/>
  <c r="E1316" i="7"/>
  <c r="D1315" i="7"/>
  <c r="B1315" i="7"/>
  <c r="AC1313" i="7"/>
  <c r="B1313" i="7"/>
  <c r="AC1312" i="7"/>
  <c r="B1312" i="7"/>
  <c r="AC1310" i="7"/>
  <c r="D1310" i="7" s="1"/>
  <c r="B1310" i="7"/>
  <c r="AE1309" i="7"/>
  <c r="AD1309" i="7"/>
  <c r="AB1309" i="7"/>
  <c r="AA1309" i="7"/>
  <c r="Z1309" i="7"/>
  <c r="Y1309" i="7"/>
  <c r="X1309" i="7"/>
  <c r="W1309" i="7"/>
  <c r="V1309" i="7"/>
  <c r="U1309" i="7"/>
  <c r="T1309" i="7"/>
  <c r="S1309" i="7"/>
  <c r="R1309" i="7"/>
  <c r="Q1309" i="7"/>
  <c r="P1309" i="7"/>
  <c r="O1309" i="7"/>
  <c r="N1309" i="7"/>
  <c r="M1309" i="7"/>
  <c r="L1309" i="7"/>
  <c r="K1309" i="7"/>
  <c r="J1309" i="7"/>
  <c r="I1309" i="7"/>
  <c r="H1309" i="7"/>
  <c r="G1309" i="7"/>
  <c r="F1309" i="7"/>
  <c r="E1309" i="7"/>
  <c r="N1308" i="7"/>
  <c r="N1307" i="7" s="1"/>
  <c r="B1308" i="7"/>
  <c r="AE1307" i="7"/>
  <c r="AD1307" i="7"/>
  <c r="AB1307" i="7"/>
  <c r="AA1307" i="7"/>
  <c r="Z1307" i="7"/>
  <c r="Y1307" i="7"/>
  <c r="X1307" i="7"/>
  <c r="W1307" i="7"/>
  <c r="V1307" i="7"/>
  <c r="U1307" i="7"/>
  <c r="T1307" i="7"/>
  <c r="S1307" i="7"/>
  <c r="R1307" i="7"/>
  <c r="Q1307" i="7"/>
  <c r="P1307" i="7"/>
  <c r="O1307" i="7"/>
  <c r="M1307" i="7"/>
  <c r="L1307" i="7"/>
  <c r="K1307" i="7"/>
  <c r="J1307" i="7"/>
  <c r="I1307" i="7"/>
  <c r="H1307" i="7"/>
  <c r="G1307" i="7"/>
  <c r="F1307" i="7"/>
  <c r="E1307" i="7"/>
  <c r="AC1306" i="7"/>
  <c r="AC1305" i="7" s="1"/>
  <c r="B1306" i="7"/>
  <c r="AE1305" i="7"/>
  <c r="AD1305" i="7"/>
  <c r="AB1305" i="7"/>
  <c r="AA1305" i="7"/>
  <c r="Z1305" i="7"/>
  <c r="Y1305" i="7"/>
  <c r="X1305" i="7"/>
  <c r="W1305" i="7"/>
  <c r="V1305" i="7"/>
  <c r="U1305" i="7"/>
  <c r="T1305" i="7"/>
  <c r="S1305" i="7"/>
  <c r="R1305" i="7"/>
  <c r="Q1305" i="7"/>
  <c r="P1305" i="7"/>
  <c r="O1305" i="7"/>
  <c r="N1305" i="7"/>
  <c r="M1305" i="7"/>
  <c r="L1305" i="7"/>
  <c r="K1305" i="7"/>
  <c r="J1305" i="7"/>
  <c r="I1305" i="7"/>
  <c r="H1305" i="7"/>
  <c r="G1305" i="7"/>
  <c r="F1305" i="7"/>
  <c r="E1305" i="7"/>
  <c r="AC1304" i="7"/>
  <c r="B1304" i="7"/>
  <c r="AE1303" i="7"/>
  <c r="AD1303" i="7"/>
  <c r="AB1303" i="7"/>
  <c r="AA1303" i="7"/>
  <c r="Z1303" i="7"/>
  <c r="Y1303" i="7"/>
  <c r="X1303" i="7"/>
  <c r="W1303" i="7"/>
  <c r="V1303" i="7"/>
  <c r="U1303" i="7"/>
  <c r="T1303" i="7"/>
  <c r="S1303" i="7"/>
  <c r="R1303" i="7"/>
  <c r="Q1303" i="7"/>
  <c r="P1303" i="7"/>
  <c r="O1303" i="7"/>
  <c r="N1303" i="7"/>
  <c r="M1303" i="7"/>
  <c r="L1303" i="7"/>
  <c r="K1303" i="7"/>
  <c r="J1303" i="7"/>
  <c r="I1303" i="7"/>
  <c r="H1303" i="7"/>
  <c r="G1303" i="7"/>
  <c r="F1303" i="7"/>
  <c r="E1303" i="7"/>
  <c r="AC1302" i="7"/>
  <c r="B1302" i="7"/>
  <c r="AE1301" i="7"/>
  <c r="AD1301" i="7"/>
  <c r="AB1301" i="7"/>
  <c r="AA1301" i="7"/>
  <c r="Z1301" i="7"/>
  <c r="Y1301" i="7"/>
  <c r="X1301" i="7"/>
  <c r="W1301" i="7"/>
  <c r="V1301" i="7"/>
  <c r="U1301" i="7"/>
  <c r="T1301" i="7"/>
  <c r="S1301" i="7"/>
  <c r="R1301" i="7"/>
  <c r="Q1301" i="7"/>
  <c r="P1301" i="7"/>
  <c r="O1301" i="7"/>
  <c r="N1301" i="7"/>
  <c r="M1301" i="7"/>
  <c r="L1301" i="7"/>
  <c r="K1301" i="7"/>
  <c r="J1301" i="7"/>
  <c r="I1301" i="7"/>
  <c r="H1301" i="7"/>
  <c r="G1301" i="7"/>
  <c r="F1301" i="7"/>
  <c r="E1301" i="7"/>
  <c r="AC1300" i="7"/>
  <c r="B1300" i="7"/>
  <c r="AE1299" i="7"/>
  <c r="AD1299" i="7"/>
  <c r="AB1299" i="7"/>
  <c r="AA1299" i="7"/>
  <c r="Z1299" i="7"/>
  <c r="Y1299" i="7"/>
  <c r="X1299" i="7"/>
  <c r="W1299" i="7"/>
  <c r="V1299" i="7"/>
  <c r="U1299" i="7"/>
  <c r="T1299" i="7"/>
  <c r="S1299" i="7"/>
  <c r="R1299" i="7"/>
  <c r="Q1299" i="7"/>
  <c r="P1299" i="7"/>
  <c r="O1299" i="7"/>
  <c r="N1299" i="7"/>
  <c r="M1299" i="7"/>
  <c r="L1299" i="7"/>
  <c r="K1299" i="7"/>
  <c r="J1299" i="7"/>
  <c r="I1299" i="7"/>
  <c r="H1299" i="7"/>
  <c r="G1299" i="7"/>
  <c r="F1299" i="7"/>
  <c r="E1299" i="7"/>
  <c r="AC1298" i="7"/>
  <c r="D1298" i="7" s="1"/>
  <c r="B1298" i="7"/>
  <c r="AC1297" i="7"/>
  <c r="D1297" i="7" s="1"/>
  <c r="B1297" i="7"/>
  <c r="AC1296" i="7"/>
  <c r="B1296" i="7"/>
  <c r="AE1295" i="7"/>
  <c r="AD1295" i="7"/>
  <c r="AB1295" i="7"/>
  <c r="AA1295" i="7"/>
  <c r="Z1295" i="7"/>
  <c r="Y1295" i="7"/>
  <c r="X1295" i="7"/>
  <c r="W1295" i="7"/>
  <c r="V1295" i="7"/>
  <c r="U1295" i="7"/>
  <c r="T1295" i="7"/>
  <c r="S1295" i="7"/>
  <c r="R1295" i="7"/>
  <c r="Q1295" i="7"/>
  <c r="P1295" i="7"/>
  <c r="O1295" i="7"/>
  <c r="N1295" i="7"/>
  <c r="M1295" i="7"/>
  <c r="L1295" i="7"/>
  <c r="K1295" i="7"/>
  <c r="J1295" i="7"/>
  <c r="I1295" i="7"/>
  <c r="H1295" i="7"/>
  <c r="G1295" i="7"/>
  <c r="F1295" i="7"/>
  <c r="E1295" i="7"/>
  <c r="AC1294" i="7"/>
  <c r="D1294" i="7" s="1"/>
  <c r="B1294" i="7"/>
  <c r="AE1293" i="7"/>
  <c r="AD1293" i="7"/>
  <c r="AB1293" i="7"/>
  <c r="AA1293" i="7"/>
  <c r="Z1293" i="7"/>
  <c r="Y1293" i="7"/>
  <c r="X1293" i="7"/>
  <c r="W1293" i="7"/>
  <c r="V1293" i="7"/>
  <c r="U1293" i="7"/>
  <c r="T1293" i="7"/>
  <c r="S1293" i="7"/>
  <c r="R1293" i="7"/>
  <c r="Q1293" i="7"/>
  <c r="P1293" i="7"/>
  <c r="O1293" i="7"/>
  <c r="N1293" i="7"/>
  <c r="M1293" i="7"/>
  <c r="L1293" i="7"/>
  <c r="K1293" i="7"/>
  <c r="J1293" i="7"/>
  <c r="I1293" i="7"/>
  <c r="H1293" i="7"/>
  <c r="G1293" i="7"/>
  <c r="F1293" i="7"/>
  <c r="E1293" i="7"/>
  <c r="AC1292" i="7"/>
  <c r="D1292" i="7" s="1"/>
  <c r="B1292" i="7"/>
  <c r="AC1291" i="7"/>
  <c r="B1291" i="7"/>
  <c r="AE1290" i="7"/>
  <c r="AD1290" i="7"/>
  <c r="AB1290" i="7"/>
  <c r="AA1290" i="7"/>
  <c r="Z1290" i="7"/>
  <c r="Y1290" i="7"/>
  <c r="X1290" i="7"/>
  <c r="W1290" i="7"/>
  <c r="V1290" i="7"/>
  <c r="U1290" i="7"/>
  <c r="T1290" i="7"/>
  <c r="S1290" i="7"/>
  <c r="R1290" i="7"/>
  <c r="Q1290" i="7"/>
  <c r="P1290" i="7"/>
  <c r="O1290" i="7"/>
  <c r="N1290" i="7"/>
  <c r="M1290" i="7"/>
  <c r="L1290" i="7"/>
  <c r="K1290" i="7"/>
  <c r="J1290" i="7"/>
  <c r="I1290" i="7"/>
  <c r="H1290" i="7"/>
  <c r="G1290" i="7"/>
  <c r="F1290" i="7"/>
  <c r="E1290" i="7"/>
  <c r="AC1289" i="7"/>
  <c r="D1289" i="7" s="1"/>
  <c r="B1289" i="7"/>
  <c r="AC1288" i="7"/>
  <c r="D1288" i="7" s="1"/>
  <c r="B1288" i="7"/>
  <c r="AC1287" i="7"/>
  <c r="D1287" i="7" s="1"/>
  <c r="B1287" i="7"/>
  <c r="AE1286" i="7"/>
  <c r="AD1286" i="7"/>
  <c r="AB1286" i="7"/>
  <c r="AA1286" i="7"/>
  <c r="Z1286" i="7"/>
  <c r="Y1286" i="7"/>
  <c r="X1286" i="7"/>
  <c r="W1286" i="7"/>
  <c r="V1286" i="7"/>
  <c r="U1286" i="7"/>
  <c r="T1286" i="7"/>
  <c r="S1286" i="7"/>
  <c r="R1286" i="7"/>
  <c r="Q1286" i="7"/>
  <c r="P1286" i="7"/>
  <c r="O1286" i="7"/>
  <c r="N1286" i="7"/>
  <c r="M1286" i="7"/>
  <c r="L1286" i="7"/>
  <c r="K1286" i="7"/>
  <c r="J1286" i="7"/>
  <c r="I1286" i="7"/>
  <c r="H1286" i="7"/>
  <c r="G1286" i="7"/>
  <c r="F1286" i="7"/>
  <c r="E1286" i="7"/>
  <c r="AC1285" i="7"/>
  <c r="D1285" i="7" s="1"/>
  <c r="B1285" i="7"/>
  <c r="AC1284" i="7"/>
  <c r="B1284" i="7"/>
  <c r="AE1283" i="7"/>
  <c r="AD1283" i="7"/>
  <c r="AB1283" i="7"/>
  <c r="AA1283" i="7"/>
  <c r="Z1283" i="7"/>
  <c r="Y1283" i="7"/>
  <c r="X1283" i="7"/>
  <c r="W1283" i="7"/>
  <c r="V1283" i="7"/>
  <c r="U1283" i="7"/>
  <c r="T1283" i="7"/>
  <c r="S1283" i="7"/>
  <c r="R1283" i="7"/>
  <c r="Q1283" i="7"/>
  <c r="P1283" i="7"/>
  <c r="O1283" i="7"/>
  <c r="N1283" i="7"/>
  <c r="M1283" i="7"/>
  <c r="L1283" i="7"/>
  <c r="K1283" i="7"/>
  <c r="J1283" i="7"/>
  <c r="I1283" i="7"/>
  <c r="H1283" i="7"/>
  <c r="G1283" i="7"/>
  <c r="F1283" i="7"/>
  <c r="E1283" i="7"/>
  <c r="U1282" i="7"/>
  <c r="AC1282" i="7" s="1"/>
  <c r="D1282" i="7" s="1"/>
  <c r="B1282" i="7"/>
  <c r="N1281" i="7"/>
  <c r="AC1281" i="7" s="1"/>
  <c r="D1281" i="7" s="1"/>
  <c r="B1281" i="7"/>
  <c r="N1280" i="7"/>
  <c r="AC1280" i="7" s="1"/>
  <c r="D1280" i="7" s="1"/>
  <c r="B1280" i="7"/>
  <c r="N1279" i="7"/>
  <c r="AC1279" i="7" s="1"/>
  <c r="D1279" i="7" s="1"/>
  <c r="B1279" i="7"/>
  <c r="AC1278" i="7"/>
  <c r="D1278" i="7" s="1"/>
  <c r="B1278" i="7"/>
  <c r="B1277" i="7"/>
  <c r="AE1276" i="7"/>
  <c r="AD1276" i="7"/>
  <c r="AB1276" i="7"/>
  <c r="AA1276" i="7"/>
  <c r="Z1276" i="7"/>
  <c r="Y1276" i="7"/>
  <c r="X1276" i="7"/>
  <c r="W1276" i="7"/>
  <c r="V1276" i="7"/>
  <c r="T1276" i="7"/>
  <c r="S1276" i="7"/>
  <c r="R1276" i="7"/>
  <c r="Q1276" i="7"/>
  <c r="P1276" i="7"/>
  <c r="O1276" i="7"/>
  <c r="M1276" i="7"/>
  <c r="L1276" i="7"/>
  <c r="K1276" i="7"/>
  <c r="J1276" i="7"/>
  <c r="I1276" i="7"/>
  <c r="H1276" i="7"/>
  <c r="G1276" i="7"/>
  <c r="F1276" i="7"/>
  <c r="E1276" i="7"/>
  <c r="AC1275" i="7"/>
  <c r="B1275" i="7"/>
  <c r="AE1274" i="7"/>
  <c r="AD1274" i="7"/>
  <c r="AB1274" i="7"/>
  <c r="AA1274" i="7"/>
  <c r="Z1274" i="7"/>
  <c r="Y1274" i="7"/>
  <c r="X1274" i="7"/>
  <c r="W1274" i="7"/>
  <c r="V1274" i="7"/>
  <c r="U1274" i="7"/>
  <c r="T1274" i="7"/>
  <c r="S1274" i="7"/>
  <c r="R1274" i="7"/>
  <c r="Q1274" i="7"/>
  <c r="P1274" i="7"/>
  <c r="O1274" i="7"/>
  <c r="N1274" i="7"/>
  <c r="M1274" i="7"/>
  <c r="L1274" i="7"/>
  <c r="K1274" i="7"/>
  <c r="J1274" i="7"/>
  <c r="I1274" i="7"/>
  <c r="H1274" i="7"/>
  <c r="G1274" i="7"/>
  <c r="F1274" i="7"/>
  <c r="E1274" i="7"/>
  <c r="N1273" i="7"/>
  <c r="N1272" i="7" s="1"/>
  <c r="B1273" i="7"/>
  <c r="AE1272" i="7"/>
  <c r="AD1272" i="7"/>
  <c r="AB1272" i="7"/>
  <c r="AA1272" i="7"/>
  <c r="Z1272" i="7"/>
  <c r="Y1272" i="7"/>
  <c r="X1272" i="7"/>
  <c r="W1272" i="7"/>
  <c r="V1272" i="7"/>
  <c r="U1272" i="7"/>
  <c r="T1272" i="7"/>
  <c r="S1272" i="7"/>
  <c r="R1272" i="7"/>
  <c r="Q1272" i="7"/>
  <c r="P1272" i="7"/>
  <c r="O1272" i="7"/>
  <c r="M1272" i="7"/>
  <c r="L1272" i="7"/>
  <c r="K1272" i="7"/>
  <c r="J1272" i="7"/>
  <c r="I1272" i="7"/>
  <c r="H1272" i="7"/>
  <c r="G1272" i="7"/>
  <c r="F1272" i="7"/>
  <c r="E1272" i="7"/>
  <c r="AC1271" i="7"/>
  <c r="B1271" i="7"/>
  <c r="AE1270" i="7"/>
  <c r="AD1270" i="7"/>
  <c r="AB1270" i="7"/>
  <c r="AA1270" i="7"/>
  <c r="Z1270" i="7"/>
  <c r="Y1270" i="7"/>
  <c r="X1270" i="7"/>
  <c r="W1270" i="7"/>
  <c r="V1270" i="7"/>
  <c r="U1270" i="7"/>
  <c r="T1270" i="7"/>
  <c r="S1270" i="7"/>
  <c r="R1270" i="7"/>
  <c r="Q1270" i="7"/>
  <c r="P1270" i="7"/>
  <c r="O1270" i="7"/>
  <c r="N1270" i="7"/>
  <c r="M1270" i="7"/>
  <c r="L1270" i="7"/>
  <c r="K1270" i="7"/>
  <c r="J1270" i="7"/>
  <c r="I1270" i="7"/>
  <c r="H1270" i="7"/>
  <c r="G1270" i="7"/>
  <c r="F1270" i="7"/>
  <c r="E1270" i="7"/>
  <c r="AC1269" i="7"/>
  <c r="D1269" i="7" s="1"/>
  <c r="B1269" i="7"/>
  <c r="AC1268" i="7"/>
  <c r="D1268" i="7" s="1"/>
  <c r="B1268" i="7"/>
  <c r="AE1267" i="7"/>
  <c r="AD1267" i="7"/>
  <c r="AB1267" i="7"/>
  <c r="AA1267" i="7"/>
  <c r="Z1267" i="7"/>
  <c r="Y1267" i="7"/>
  <c r="X1267" i="7"/>
  <c r="W1267" i="7"/>
  <c r="V1267" i="7"/>
  <c r="U1267" i="7"/>
  <c r="T1267" i="7"/>
  <c r="S1267" i="7"/>
  <c r="R1267" i="7"/>
  <c r="Q1267" i="7"/>
  <c r="P1267" i="7"/>
  <c r="O1267" i="7"/>
  <c r="N1267" i="7"/>
  <c r="M1267" i="7"/>
  <c r="L1267" i="7"/>
  <c r="K1267" i="7"/>
  <c r="J1267" i="7"/>
  <c r="I1267" i="7"/>
  <c r="H1267" i="7"/>
  <c r="G1267" i="7"/>
  <c r="F1267" i="7"/>
  <c r="E1267" i="7"/>
  <c r="N1266" i="7"/>
  <c r="AC1266" i="7" s="1"/>
  <c r="D1266" i="7" s="1"/>
  <c r="B1266" i="7"/>
  <c r="AC1265" i="7"/>
  <c r="B1265" i="7"/>
  <c r="AE1264" i="7"/>
  <c r="AD1264" i="7"/>
  <c r="AB1264" i="7"/>
  <c r="AA1264" i="7"/>
  <c r="Z1264" i="7"/>
  <c r="Y1264" i="7"/>
  <c r="X1264" i="7"/>
  <c r="W1264" i="7"/>
  <c r="V1264" i="7"/>
  <c r="U1264" i="7"/>
  <c r="T1264" i="7"/>
  <c r="S1264" i="7"/>
  <c r="R1264" i="7"/>
  <c r="Q1264" i="7"/>
  <c r="P1264" i="7"/>
  <c r="O1264" i="7"/>
  <c r="N1264" i="7"/>
  <c r="M1264" i="7"/>
  <c r="L1264" i="7"/>
  <c r="K1264" i="7"/>
  <c r="J1264" i="7"/>
  <c r="I1264" i="7"/>
  <c r="H1264" i="7"/>
  <c r="G1264" i="7"/>
  <c r="F1264" i="7"/>
  <c r="E1264" i="7"/>
  <c r="AC1263" i="7"/>
  <c r="B1263" i="7"/>
  <c r="AE1262" i="7"/>
  <c r="AD1262" i="7"/>
  <c r="AB1262" i="7"/>
  <c r="AA1262" i="7"/>
  <c r="Z1262" i="7"/>
  <c r="Y1262" i="7"/>
  <c r="X1262" i="7"/>
  <c r="W1262" i="7"/>
  <c r="V1262" i="7"/>
  <c r="U1262" i="7"/>
  <c r="T1262" i="7"/>
  <c r="S1262" i="7"/>
  <c r="R1262" i="7"/>
  <c r="Q1262" i="7"/>
  <c r="P1262" i="7"/>
  <c r="O1262" i="7"/>
  <c r="N1262" i="7"/>
  <c r="M1262" i="7"/>
  <c r="L1262" i="7"/>
  <c r="K1262" i="7"/>
  <c r="J1262" i="7"/>
  <c r="I1262" i="7"/>
  <c r="H1262" i="7"/>
  <c r="G1262" i="7"/>
  <c r="F1262" i="7"/>
  <c r="E1262" i="7"/>
  <c r="AC1261" i="7"/>
  <c r="AC1260" i="7" s="1"/>
  <c r="B1261" i="7"/>
  <c r="AE1260" i="7"/>
  <c r="AD1260" i="7"/>
  <c r="AB1260" i="7"/>
  <c r="AA1260" i="7"/>
  <c r="Z1260" i="7"/>
  <c r="Y1260" i="7"/>
  <c r="X1260" i="7"/>
  <c r="W1260" i="7"/>
  <c r="V1260" i="7"/>
  <c r="U1260" i="7"/>
  <c r="T1260" i="7"/>
  <c r="S1260" i="7"/>
  <c r="R1260" i="7"/>
  <c r="Q1260" i="7"/>
  <c r="P1260" i="7"/>
  <c r="O1260" i="7"/>
  <c r="N1260" i="7"/>
  <c r="M1260" i="7"/>
  <c r="L1260" i="7"/>
  <c r="K1260" i="7"/>
  <c r="J1260" i="7"/>
  <c r="I1260" i="7"/>
  <c r="H1260" i="7"/>
  <c r="G1260" i="7"/>
  <c r="F1260" i="7"/>
  <c r="E1260" i="7"/>
  <c r="AC1259" i="7"/>
  <c r="D1259" i="7" s="1"/>
  <c r="B1259" i="7"/>
  <c r="AE1258" i="7"/>
  <c r="AD1258" i="7"/>
  <c r="AB1258" i="7"/>
  <c r="AA1258" i="7"/>
  <c r="Z1258" i="7"/>
  <c r="Y1258" i="7"/>
  <c r="X1258" i="7"/>
  <c r="W1258" i="7"/>
  <c r="V1258" i="7"/>
  <c r="U1258" i="7"/>
  <c r="T1258" i="7"/>
  <c r="S1258" i="7"/>
  <c r="R1258" i="7"/>
  <c r="Q1258" i="7"/>
  <c r="P1258" i="7"/>
  <c r="O1258" i="7"/>
  <c r="N1258" i="7"/>
  <c r="M1258" i="7"/>
  <c r="L1258" i="7"/>
  <c r="K1258" i="7"/>
  <c r="J1258" i="7"/>
  <c r="I1258" i="7"/>
  <c r="H1258" i="7"/>
  <c r="G1258" i="7"/>
  <c r="F1258" i="7"/>
  <c r="E1258" i="7"/>
  <c r="AC1257" i="7"/>
  <c r="D1257" i="7" s="1"/>
  <c r="B1257" i="7"/>
  <c r="AC1256" i="7"/>
  <c r="D1256" i="7" s="1"/>
  <c r="B1256" i="7"/>
  <c r="AC1255" i="7"/>
  <c r="B1255" i="7"/>
  <c r="AE1254" i="7"/>
  <c r="AD1254" i="7"/>
  <c r="AB1254" i="7"/>
  <c r="AA1254" i="7"/>
  <c r="Z1254" i="7"/>
  <c r="Y1254" i="7"/>
  <c r="X1254" i="7"/>
  <c r="W1254" i="7"/>
  <c r="V1254" i="7"/>
  <c r="U1254" i="7"/>
  <c r="T1254" i="7"/>
  <c r="S1254" i="7"/>
  <c r="R1254" i="7"/>
  <c r="Q1254" i="7"/>
  <c r="P1254" i="7"/>
  <c r="O1254" i="7"/>
  <c r="N1254" i="7"/>
  <c r="M1254" i="7"/>
  <c r="L1254" i="7"/>
  <c r="K1254" i="7"/>
  <c r="J1254" i="7"/>
  <c r="I1254" i="7"/>
  <c r="H1254" i="7"/>
  <c r="G1254" i="7"/>
  <c r="F1254" i="7"/>
  <c r="E1254" i="7"/>
  <c r="AT1251" i="7"/>
  <c r="AC1251" i="7"/>
  <c r="D1251" i="7" s="1"/>
  <c r="B1251" i="7"/>
  <c r="AC1250" i="7"/>
  <c r="D1250" i="7" s="1"/>
  <c r="B1250" i="7"/>
  <c r="AC1249" i="7"/>
  <c r="D1249" i="7" s="1"/>
  <c r="B1249" i="7"/>
  <c r="AC1248" i="7"/>
  <c r="B1248" i="7"/>
  <c r="AE1247" i="7"/>
  <c r="AD1247" i="7"/>
  <c r="AB1247" i="7"/>
  <c r="AA1247" i="7"/>
  <c r="Z1247" i="7"/>
  <c r="Y1247" i="7"/>
  <c r="X1247" i="7"/>
  <c r="W1247" i="7"/>
  <c r="V1247" i="7"/>
  <c r="U1247" i="7"/>
  <c r="T1247" i="7"/>
  <c r="S1247" i="7"/>
  <c r="R1247" i="7"/>
  <c r="Q1247" i="7"/>
  <c r="P1247" i="7"/>
  <c r="O1247" i="7"/>
  <c r="N1247" i="7"/>
  <c r="M1247" i="7"/>
  <c r="L1247" i="7"/>
  <c r="K1247" i="7"/>
  <c r="J1247" i="7"/>
  <c r="I1247" i="7"/>
  <c r="H1247" i="7"/>
  <c r="G1247" i="7"/>
  <c r="F1247" i="7"/>
  <c r="E1247" i="7"/>
  <c r="AC1246" i="7"/>
  <c r="D1246" i="7" s="1"/>
  <c r="B1246" i="7"/>
  <c r="AE1245" i="7"/>
  <c r="AD1245" i="7"/>
  <c r="AB1245" i="7"/>
  <c r="AA1245" i="7"/>
  <c r="Z1245" i="7"/>
  <c r="Y1245" i="7"/>
  <c r="X1245" i="7"/>
  <c r="W1245" i="7"/>
  <c r="V1245" i="7"/>
  <c r="U1245" i="7"/>
  <c r="T1245" i="7"/>
  <c r="S1245" i="7"/>
  <c r="R1245" i="7"/>
  <c r="Q1245" i="7"/>
  <c r="P1245" i="7"/>
  <c r="O1245" i="7"/>
  <c r="N1245" i="7"/>
  <c r="M1245" i="7"/>
  <c r="L1245" i="7"/>
  <c r="K1245" i="7"/>
  <c r="J1245" i="7"/>
  <c r="I1245" i="7"/>
  <c r="H1245" i="7"/>
  <c r="G1245" i="7"/>
  <c r="F1245" i="7"/>
  <c r="E1245" i="7"/>
  <c r="AC1244" i="7"/>
  <c r="B1244" i="7"/>
  <c r="AE1243" i="7"/>
  <c r="AD1243" i="7"/>
  <c r="AB1243" i="7"/>
  <c r="AA1243" i="7"/>
  <c r="Z1243" i="7"/>
  <c r="Y1243" i="7"/>
  <c r="X1243" i="7"/>
  <c r="W1243" i="7"/>
  <c r="V1243" i="7"/>
  <c r="U1243" i="7"/>
  <c r="T1243" i="7"/>
  <c r="S1243" i="7"/>
  <c r="R1243" i="7"/>
  <c r="Q1243" i="7"/>
  <c r="P1243" i="7"/>
  <c r="O1243" i="7"/>
  <c r="N1243" i="7"/>
  <c r="M1243" i="7"/>
  <c r="L1243" i="7"/>
  <c r="K1243" i="7"/>
  <c r="J1243" i="7"/>
  <c r="I1243" i="7"/>
  <c r="H1243" i="7"/>
  <c r="G1243" i="7"/>
  <c r="F1243" i="7"/>
  <c r="E1243" i="7"/>
  <c r="AC1242" i="7"/>
  <c r="D1242" i="7" s="1"/>
  <c r="B1242" i="7"/>
  <c r="AC1241" i="7"/>
  <c r="B1241" i="7"/>
  <c r="AE1240" i="7"/>
  <c r="AD1240" i="7"/>
  <c r="AB1240" i="7"/>
  <c r="AA1240" i="7"/>
  <c r="Z1240" i="7"/>
  <c r="Y1240" i="7"/>
  <c r="X1240" i="7"/>
  <c r="W1240" i="7"/>
  <c r="V1240" i="7"/>
  <c r="U1240" i="7"/>
  <c r="T1240" i="7"/>
  <c r="S1240" i="7"/>
  <c r="R1240" i="7"/>
  <c r="Q1240" i="7"/>
  <c r="P1240" i="7"/>
  <c r="O1240" i="7"/>
  <c r="N1240" i="7"/>
  <c r="M1240" i="7"/>
  <c r="L1240" i="7"/>
  <c r="K1240" i="7"/>
  <c r="J1240" i="7"/>
  <c r="I1240" i="7"/>
  <c r="H1240" i="7"/>
  <c r="G1240" i="7"/>
  <c r="F1240" i="7"/>
  <c r="E1240" i="7"/>
  <c r="AC1239" i="7"/>
  <c r="D1239" i="7" s="1"/>
  <c r="B1239" i="7"/>
  <c r="AE1238" i="7"/>
  <c r="AD1238" i="7"/>
  <c r="AB1238" i="7"/>
  <c r="AA1238" i="7"/>
  <c r="Z1238" i="7"/>
  <c r="Y1238" i="7"/>
  <c r="X1238" i="7"/>
  <c r="W1238" i="7"/>
  <c r="V1238" i="7"/>
  <c r="U1238" i="7"/>
  <c r="T1238" i="7"/>
  <c r="S1238" i="7"/>
  <c r="R1238" i="7"/>
  <c r="Q1238" i="7"/>
  <c r="P1238" i="7"/>
  <c r="O1238" i="7"/>
  <c r="N1238" i="7"/>
  <c r="M1238" i="7"/>
  <c r="L1238" i="7"/>
  <c r="K1238" i="7"/>
  <c r="J1238" i="7"/>
  <c r="I1238" i="7"/>
  <c r="H1238" i="7"/>
  <c r="G1238" i="7"/>
  <c r="F1238" i="7"/>
  <c r="E1238" i="7"/>
  <c r="AC1237" i="7"/>
  <c r="B1237" i="7"/>
  <c r="AE1236" i="7"/>
  <c r="AD1236" i="7"/>
  <c r="AB1236" i="7"/>
  <c r="AA1236" i="7"/>
  <c r="Z1236" i="7"/>
  <c r="Y1236" i="7"/>
  <c r="X1236" i="7"/>
  <c r="W1236" i="7"/>
  <c r="V1236" i="7"/>
  <c r="U1236" i="7"/>
  <c r="T1236" i="7"/>
  <c r="S1236" i="7"/>
  <c r="R1236" i="7"/>
  <c r="Q1236" i="7"/>
  <c r="P1236" i="7"/>
  <c r="O1236" i="7"/>
  <c r="N1236" i="7"/>
  <c r="M1236" i="7"/>
  <c r="L1236" i="7"/>
  <c r="K1236" i="7"/>
  <c r="J1236" i="7"/>
  <c r="I1236" i="7"/>
  <c r="H1236" i="7"/>
  <c r="G1236" i="7"/>
  <c r="F1236" i="7"/>
  <c r="E1236" i="7"/>
  <c r="AC1235" i="7"/>
  <c r="D1235" i="7" s="1"/>
  <c r="B1235" i="7"/>
  <c r="AC1234" i="7"/>
  <c r="B1234" i="7"/>
  <c r="AE1233" i="7"/>
  <c r="AD1233" i="7"/>
  <c r="AB1233" i="7"/>
  <c r="AA1233" i="7"/>
  <c r="Z1233" i="7"/>
  <c r="Y1233" i="7"/>
  <c r="X1233" i="7"/>
  <c r="W1233" i="7"/>
  <c r="V1233" i="7"/>
  <c r="U1233" i="7"/>
  <c r="T1233" i="7"/>
  <c r="S1233" i="7"/>
  <c r="R1233" i="7"/>
  <c r="Q1233" i="7"/>
  <c r="P1233" i="7"/>
  <c r="O1233" i="7"/>
  <c r="N1233" i="7"/>
  <c r="M1233" i="7"/>
  <c r="L1233" i="7"/>
  <c r="K1233" i="7"/>
  <c r="J1233" i="7"/>
  <c r="I1233" i="7"/>
  <c r="H1233" i="7"/>
  <c r="G1233" i="7"/>
  <c r="F1233" i="7"/>
  <c r="E1233" i="7"/>
  <c r="AC1232" i="7"/>
  <c r="D1232" i="7" s="1"/>
  <c r="B1232" i="7"/>
  <c r="AC1230" i="7"/>
  <c r="D1230" i="7" s="1"/>
  <c r="B1230" i="7"/>
  <c r="AE1229" i="7"/>
  <c r="AD1229" i="7"/>
  <c r="AB1229" i="7"/>
  <c r="AA1229" i="7"/>
  <c r="Z1229" i="7"/>
  <c r="Y1229" i="7"/>
  <c r="X1229" i="7"/>
  <c r="W1229" i="7"/>
  <c r="V1229" i="7"/>
  <c r="U1229" i="7"/>
  <c r="T1229" i="7"/>
  <c r="S1229" i="7"/>
  <c r="R1229" i="7"/>
  <c r="Q1229" i="7"/>
  <c r="P1229" i="7"/>
  <c r="O1229" i="7"/>
  <c r="N1229" i="7"/>
  <c r="M1229" i="7"/>
  <c r="L1229" i="7"/>
  <c r="K1229" i="7"/>
  <c r="J1229" i="7"/>
  <c r="I1229" i="7"/>
  <c r="H1229" i="7"/>
  <c r="G1229" i="7"/>
  <c r="F1229" i="7"/>
  <c r="E1229" i="7"/>
  <c r="AC1228" i="7"/>
  <c r="D1228" i="7" s="1"/>
  <c r="B1228" i="7"/>
  <c r="AC1227" i="7"/>
  <c r="B1227" i="7"/>
  <c r="AE1226" i="7"/>
  <c r="AD1226" i="7"/>
  <c r="AB1226" i="7"/>
  <c r="AA1226" i="7"/>
  <c r="Z1226" i="7"/>
  <c r="Y1226" i="7"/>
  <c r="X1226" i="7"/>
  <c r="W1226" i="7"/>
  <c r="V1226" i="7"/>
  <c r="U1226" i="7"/>
  <c r="T1226" i="7"/>
  <c r="S1226" i="7"/>
  <c r="R1226" i="7"/>
  <c r="Q1226" i="7"/>
  <c r="P1226" i="7"/>
  <c r="O1226" i="7"/>
  <c r="N1226" i="7"/>
  <c r="M1226" i="7"/>
  <c r="L1226" i="7"/>
  <c r="K1226" i="7"/>
  <c r="J1226" i="7"/>
  <c r="I1226" i="7"/>
  <c r="H1226" i="7"/>
  <c r="G1226" i="7"/>
  <c r="F1226" i="7"/>
  <c r="E1226" i="7"/>
  <c r="AC1225" i="7"/>
  <c r="D1225" i="7" s="1"/>
  <c r="B1225" i="7"/>
  <c r="AC1224" i="7"/>
  <c r="D1224" i="7" s="1"/>
  <c r="B1224" i="7"/>
  <c r="AC1223" i="7"/>
  <c r="D1223" i="7" s="1"/>
  <c r="M1223" i="7"/>
  <c r="M1217" i="7" s="1"/>
  <c r="B1223" i="7"/>
  <c r="AC1222" i="7"/>
  <c r="D1222" i="7" s="1"/>
  <c r="B1222" i="7"/>
  <c r="AC1221" i="7"/>
  <c r="D1221" i="7" s="1"/>
  <c r="B1221" i="7"/>
  <c r="N1220" i="7"/>
  <c r="N1217" i="7" s="1"/>
  <c r="B1220" i="7"/>
  <c r="AC1219" i="7"/>
  <c r="B1219" i="7"/>
  <c r="AC1218" i="7"/>
  <c r="D1218" i="7" s="1"/>
  <c r="B1218" i="7"/>
  <c r="AE1217" i="7"/>
  <c r="AD1217" i="7"/>
  <c r="AB1217" i="7"/>
  <c r="AA1217" i="7"/>
  <c r="Z1217" i="7"/>
  <c r="Y1217" i="7"/>
  <c r="X1217" i="7"/>
  <c r="W1217" i="7"/>
  <c r="V1217" i="7"/>
  <c r="U1217" i="7"/>
  <c r="T1217" i="7"/>
  <c r="S1217" i="7"/>
  <c r="R1217" i="7"/>
  <c r="Q1217" i="7"/>
  <c r="P1217" i="7"/>
  <c r="O1217" i="7"/>
  <c r="L1217" i="7"/>
  <c r="K1217" i="7"/>
  <c r="J1217" i="7"/>
  <c r="I1217" i="7"/>
  <c r="H1217" i="7"/>
  <c r="G1217" i="7"/>
  <c r="F1217" i="7"/>
  <c r="E1217" i="7"/>
  <c r="AC1216" i="7"/>
  <c r="D1216" i="7" s="1"/>
  <c r="B1216" i="7"/>
  <c r="AC1215" i="7"/>
  <c r="D1215" i="7" s="1"/>
  <c r="B1215" i="7"/>
  <c r="AE1214" i="7"/>
  <c r="AD1214" i="7"/>
  <c r="AB1214" i="7"/>
  <c r="AA1214" i="7"/>
  <c r="Z1214" i="7"/>
  <c r="Y1214" i="7"/>
  <c r="X1214" i="7"/>
  <c r="W1214" i="7"/>
  <c r="V1214" i="7"/>
  <c r="U1214" i="7"/>
  <c r="T1214" i="7"/>
  <c r="S1214" i="7"/>
  <c r="R1214" i="7"/>
  <c r="Q1214" i="7"/>
  <c r="P1214" i="7"/>
  <c r="O1214" i="7"/>
  <c r="N1214" i="7"/>
  <c r="M1214" i="7"/>
  <c r="L1214" i="7"/>
  <c r="K1214" i="7"/>
  <c r="J1214" i="7"/>
  <c r="I1214" i="7"/>
  <c r="H1214" i="7"/>
  <c r="G1214" i="7"/>
  <c r="F1214" i="7"/>
  <c r="E1214" i="7"/>
  <c r="AC1212" i="7"/>
  <c r="D1212" i="7" s="1"/>
  <c r="N1211" i="7"/>
  <c r="AC1211" i="7" s="1"/>
  <c r="D1211" i="7" s="1"/>
  <c r="B1211" i="7"/>
  <c r="N1210" i="7"/>
  <c r="B1210" i="7"/>
  <c r="AC1209" i="7"/>
  <c r="D1209" i="7" s="1"/>
  <c r="B1209" i="7"/>
  <c r="AC1208" i="7"/>
  <c r="D1208" i="7" s="1"/>
  <c r="B1208" i="7"/>
  <c r="AT1207" i="7"/>
  <c r="AC1207" i="7"/>
  <c r="D1207" i="7" s="1"/>
  <c r="B1207" i="7"/>
  <c r="AD1203" i="7"/>
  <c r="L1203" i="7"/>
  <c r="AC1206" i="7"/>
  <c r="D1206" i="7" s="1"/>
  <c r="B1206" i="7"/>
  <c r="AC1205" i="7"/>
  <c r="D1205" i="7" s="1"/>
  <c r="B1205" i="7"/>
  <c r="AC1204" i="7"/>
  <c r="B1204" i="7"/>
  <c r="AE1203" i="7"/>
  <c r="AB1203" i="7"/>
  <c r="AA1203" i="7"/>
  <c r="Z1203" i="7"/>
  <c r="Y1203" i="7"/>
  <c r="X1203" i="7"/>
  <c r="W1203" i="7"/>
  <c r="V1203" i="7"/>
  <c r="U1203" i="7"/>
  <c r="T1203" i="7"/>
  <c r="S1203" i="7"/>
  <c r="R1203" i="7"/>
  <c r="Q1203" i="7"/>
  <c r="P1203" i="7"/>
  <c r="O1203" i="7"/>
  <c r="M1203" i="7"/>
  <c r="K1203" i="7"/>
  <c r="J1203" i="7"/>
  <c r="I1203" i="7"/>
  <c r="H1203" i="7"/>
  <c r="G1203" i="7"/>
  <c r="F1203" i="7"/>
  <c r="E1203" i="7"/>
  <c r="AC1202" i="7"/>
  <c r="D1202" i="7" s="1"/>
  <c r="B1202" i="7"/>
  <c r="AC1201" i="7"/>
  <c r="D1201" i="7" s="1"/>
  <c r="B1201" i="7"/>
  <c r="AC1200" i="7"/>
  <c r="D1200" i="7" s="1"/>
  <c r="B1200" i="7"/>
  <c r="AC1199" i="7"/>
  <c r="D1199" i="7" s="1"/>
  <c r="B1199" i="7"/>
  <c r="AC1198" i="7"/>
  <c r="D1198" i="7" s="1"/>
  <c r="B1198" i="7"/>
  <c r="AC1197" i="7"/>
  <c r="D1197" i="7" s="1"/>
  <c r="B1197" i="7"/>
  <c r="AC1196" i="7"/>
  <c r="D1196" i="7" s="1"/>
  <c r="B1196" i="7"/>
  <c r="AC1195" i="7"/>
  <c r="D1195" i="7" s="1"/>
  <c r="B1195" i="7"/>
  <c r="AC1194" i="7"/>
  <c r="D1194" i="7" s="1"/>
  <c r="B1194" i="7"/>
  <c r="AC1193" i="7"/>
  <c r="D1193" i="7" s="1"/>
  <c r="B1193" i="7"/>
  <c r="AC1192" i="7"/>
  <c r="D1192" i="7" s="1"/>
  <c r="B1192" i="7"/>
  <c r="AC1191" i="7"/>
  <c r="D1191" i="7" s="1"/>
  <c r="B1191" i="7"/>
  <c r="B1190" i="7"/>
  <c r="AC1189" i="7"/>
  <c r="D1189" i="7" s="1"/>
  <c r="B1189" i="7"/>
  <c r="AC1188" i="7"/>
  <c r="D1188" i="7" s="1"/>
  <c r="B1188" i="7"/>
  <c r="AC1187" i="7"/>
  <c r="D1187" i="7" s="1"/>
  <c r="B1187" i="7"/>
  <c r="AC1186" i="7"/>
  <c r="D1186" i="7" s="1"/>
  <c r="B1186" i="7"/>
  <c r="AC1185" i="7"/>
  <c r="D1185" i="7" s="1"/>
  <c r="B1185" i="7"/>
  <c r="AC1184" i="7"/>
  <c r="D1184" i="7" s="1"/>
  <c r="B1184" i="7"/>
  <c r="AC1183" i="7"/>
  <c r="D1183" i="7" s="1"/>
  <c r="B1183" i="7"/>
  <c r="AC1182" i="7"/>
  <c r="D1182" i="7" s="1"/>
  <c r="B1182" i="7"/>
  <c r="AC1181" i="7"/>
  <c r="D1181" i="7" s="1"/>
  <c r="B1181" i="7"/>
  <c r="G1180" i="7"/>
  <c r="AC1180" i="7" s="1"/>
  <c r="D1180" i="7" s="1"/>
  <c r="B1180" i="7"/>
  <c r="AC1179" i="7"/>
  <c r="D1179" i="7" s="1"/>
  <c r="B1179" i="7"/>
  <c r="AE1178" i="7"/>
  <c r="AD1178" i="7"/>
  <c r="AB1178" i="7"/>
  <c r="AA1178" i="7"/>
  <c r="Z1178" i="7"/>
  <c r="Y1178" i="7"/>
  <c r="X1178" i="7"/>
  <c r="W1178" i="7"/>
  <c r="V1178" i="7"/>
  <c r="U1178" i="7"/>
  <c r="T1178" i="7"/>
  <c r="S1178" i="7"/>
  <c r="R1178" i="7"/>
  <c r="Q1178" i="7"/>
  <c r="P1178" i="7"/>
  <c r="O1178" i="7"/>
  <c r="N1178" i="7"/>
  <c r="M1178" i="7"/>
  <c r="L1178" i="7"/>
  <c r="K1178" i="7"/>
  <c r="J1178" i="7"/>
  <c r="I1178" i="7"/>
  <c r="H1178" i="7"/>
  <c r="F1178" i="7"/>
  <c r="E1178" i="7"/>
  <c r="AC1177" i="7"/>
  <c r="D1177" i="7" s="1"/>
  <c r="B1177" i="7"/>
  <c r="AC1176" i="7"/>
  <c r="D1176" i="7" s="1"/>
  <c r="B1176" i="7"/>
  <c r="N1175" i="7"/>
  <c r="AC1175" i="7" s="1"/>
  <c r="D1175" i="7" s="1"/>
  <c r="B1175" i="7"/>
  <c r="AC1174" i="7"/>
  <c r="D1174" i="7" s="1"/>
  <c r="B1174" i="7"/>
  <c r="N1173" i="7"/>
  <c r="AC1173" i="7" s="1"/>
  <c r="D1173" i="7" s="1"/>
  <c r="B1173" i="7"/>
  <c r="AC1172" i="7"/>
  <c r="D1172" i="7" s="1"/>
  <c r="B1172" i="7"/>
  <c r="AC1171" i="7"/>
  <c r="D1171" i="7" s="1"/>
  <c r="B1171" i="7"/>
  <c r="AC1170" i="7"/>
  <c r="D1170" i="7" s="1"/>
  <c r="B1170" i="7"/>
  <c r="AC1169" i="7"/>
  <c r="D1169" i="7" s="1"/>
  <c r="B1169" i="7"/>
  <c r="AC1168" i="7"/>
  <c r="D1168" i="7" s="1"/>
  <c r="B1168" i="7"/>
  <c r="AC1167" i="7"/>
  <c r="D1167" i="7" s="1"/>
  <c r="B1167" i="7"/>
  <c r="AC1166" i="7"/>
  <c r="B1166" i="7"/>
  <c r="AC1165" i="7"/>
  <c r="D1165" i="7" s="1"/>
  <c r="B1165" i="7"/>
  <c r="AC1164" i="7"/>
  <c r="D1164" i="7" s="1"/>
  <c r="B1164" i="7"/>
  <c r="AE1163" i="7"/>
  <c r="AD1163" i="7"/>
  <c r="AB1163" i="7"/>
  <c r="AA1163" i="7"/>
  <c r="Z1163" i="7"/>
  <c r="Y1163" i="7"/>
  <c r="X1163" i="7"/>
  <c r="W1163" i="7"/>
  <c r="V1163" i="7"/>
  <c r="U1163" i="7"/>
  <c r="T1163" i="7"/>
  <c r="S1163" i="7"/>
  <c r="R1163" i="7"/>
  <c r="Q1163" i="7"/>
  <c r="P1163" i="7"/>
  <c r="O1163" i="7"/>
  <c r="N1163" i="7"/>
  <c r="M1163" i="7"/>
  <c r="L1163" i="7"/>
  <c r="K1163" i="7"/>
  <c r="J1163" i="7"/>
  <c r="I1163" i="7"/>
  <c r="H1163" i="7"/>
  <c r="G1163" i="7"/>
  <c r="F1163" i="7"/>
  <c r="E1163" i="7"/>
  <c r="D1162" i="7"/>
  <c r="D1149" i="7"/>
  <c r="B1149" i="7"/>
  <c r="D1148" i="7"/>
  <c r="B1148" i="7"/>
  <c r="D1147" i="7"/>
  <c r="B1147" i="7"/>
  <c r="D1146" i="7"/>
  <c r="B1146" i="7"/>
  <c r="D1145" i="7"/>
  <c r="B1145" i="7"/>
  <c r="D1144" i="7"/>
  <c r="B1144" i="7"/>
  <c r="D1143" i="7"/>
  <c r="B1143" i="7"/>
  <c r="D1142" i="7"/>
  <c r="B1142" i="7"/>
  <c r="D1141" i="7"/>
  <c r="B1141" i="7"/>
  <c r="D1140" i="7"/>
  <c r="B1140" i="7"/>
  <c r="D1139" i="7"/>
  <c r="B1139" i="7"/>
  <c r="D1138" i="7"/>
  <c r="B1138" i="7"/>
  <c r="D1137" i="7"/>
  <c r="B1137" i="7"/>
  <c r="D1136" i="7"/>
  <c r="B1136" i="7"/>
  <c r="D1135" i="7"/>
  <c r="B1135" i="7"/>
  <c r="D1134" i="7"/>
  <c r="B1134" i="7"/>
  <c r="D1133" i="7"/>
  <c r="B1133" i="7"/>
  <c r="D1132" i="7"/>
  <c r="B1132" i="7"/>
  <c r="D1131" i="7"/>
  <c r="B1131" i="7"/>
  <c r="D1130" i="7"/>
  <c r="B1130" i="7"/>
  <c r="D1129" i="7"/>
  <c r="B1129" i="7"/>
  <c r="D1128" i="7"/>
  <c r="B1128" i="7"/>
  <c r="D1127" i="7"/>
  <c r="B1127" i="7"/>
  <c r="D1126" i="7"/>
  <c r="B1126" i="7"/>
  <c r="D1125" i="7"/>
  <c r="B1125" i="7"/>
  <c r="D1124" i="7"/>
  <c r="B1124" i="7"/>
  <c r="D1123" i="7"/>
  <c r="B1123" i="7"/>
  <c r="D1122" i="7"/>
  <c r="B1122" i="7"/>
  <c r="D1121" i="7"/>
  <c r="B1121" i="7"/>
  <c r="D1120" i="7"/>
  <c r="B1120" i="7"/>
  <c r="D1119" i="7"/>
  <c r="B1119" i="7"/>
  <c r="D1118" i="7"/>
  <c r="B1118" i="7"/>
  <c r="D1117" i="7"/>
  <c r="B1117" i="7"/>
  <c r="D1116" i="7"/>
  <c r="B1116" i="7"/>
  <c r="D1115" i="7"/>
  <c r="B1115" i="7"/>
  <c r="D1114" i="7"/>
  <c r="B1114" i="7"/>
  <c r="D1113" i="7"/>
  <c r="B1113" i="7"/>
  <c r="D1112" i="7"/>
  <c r="B1112" i="7"/>
  <c r="D1111" i="7"/>
  <c r="B1111" i="7"/>
  <c r="D1110" i="7"/>
  <c r="B1110" i="7"/>
  <c r="D1109" i="7"/>
  <c r="B1109" i="7"/>
  <c r="D1108" i="7"/>
  <c r="B1108" i="7"/>
  <c r="D1107" i="7"/>
  <c r="B1107" i="7"/>
  <c r="D1106" i="7"/>
  <c r="B1106" i="7"/>
  <c r="D1105" i="7"/>
  <c r="B1105" i="7"/>
  <c r="D1104" i="7"/>
  <c r="B1104" i="7"/>
  <c r="D1103" i="7"/>
  <c r="B1103" i="7"/>
  <c r="D1102" i="7"/>
  <c r="B1102" i="7"/>
  <c r="D1101" i="7"/>
  <c r="B1101" i="7"/>
  <c r="D1100" i="7"/>
  <c r="B1100" i="7"/>
  <c r="D1099" i="7"/>
  <c r="B1099" i="7"/>
  <c r="D1098" i="7"/>
  <c r="B1098" i="7"/>
  <c r="D1097" i="7"/>
  <c r="B1097" i="7"/>
  <c r="D1096" i="7"/>
  <c r="B1096" i="7"/>
  <c r="D1095" i="7"/>
  <c r="B1095" i="7"/>
  <c r="D1094" i="7"/>
  <c r="B1094" i="7"/>
  <c r="D1093" i="7"/>
  <c r="B1093" i="7"/>
  <c r="AE1092" i="7"/>
  <c r="AD1092" i="7"/>
  <c r="AC1092" i="7"/>
  <c r="AB1092" i="7"/>
  <c r="AA1092" i="7"/>
  <c r="Z1092" i="7"/>
  <c r="Y1092" i="7"/>
  <c r="X1092" i="7"/>
  <c r="W1092" i="7"/>
  <c r="V1092" i="7"/>
  <c r="U1092" i="7"/>
  <c r="T1092" i="7"/>
  <c r="S1092" i="7"/>
  <c r="R1092" i="7"/>
  <c r="Q1092" i="7"/>
  <c r="P1092" i="7"/>
  <c r="O1092" i="7"/>
  <c r="N1092" i="7"/>
  <c r="M1092" i="7"/>
  <c r="L1092" i="7"/>
  <c r="K1092" i="7"/>
  <c r="J1092" i="7"/>
  <c r="I1092" i="7"/>
  <c r="H1092" i="7"/>
  <c r="G1092" i="7"/>
  <c r="F1092" i="7"/>
  <c r="E1092" i="7"/>
  <c r="H1090" i="7"/>
  <c r="AC1090" i="7" s="1"/>
  <c r="D1090" i="7" s="1"/>
  <c r="B1090" i="7"/>
  <c r="AE1089" i="7"/>
  <c r="AD1089" i="7"/>
  <c r="AB1089" i="7"/>
  <c r="AA1089" i="7"/>
  <c r="Z1089" i="7"/>
  <c r="Y1089" i="7"/>
  <c r="X1089" i="7"/>
  <c r="W1089" i="7"/>
  <c r="V1089" i="7"/>
  <c r="U1089" i="7"/>
  <c r="T1089" i="7"/>
  <c r="S1089" i="7"/>
  <c r="R1089" i="7"/>
  <c r="Q1089" i="7"/>
  <c r="P1089" i="7"/>
  <c r="O1089" i="7"/>
  <c r="N1089" i="7"/>
  <c r="M1089" i="7"/>
  <c r="L1089" i="7"/>
  <c r="K1089" i="7"/>
  <c r="J1089" i="7"/>
  <c r="I1089" i="7"/>
  <c r="H1089" i="7"/>
  <c r="G1089" i="7"/>
  <c r="F1089" i="7"/>
  <c r="E1089" i="7"/>
  <c r="N1088" i="7"/>
  <c r="AC1088" i="7" s="1"/>
  <c r="D1088" i="7" s="1"/>
  <c r="B1088" i="7"/>
  <c r="AE1087" i="7"/>
  <c r="AD1087" i="7"/>
  <c r="AB1087" i="7"/>
  <c r="AA1087" i="7"/>
  <c r="Z1087" i="7"/>
  <c r="Y1087" i="7"/>
  <c r="X1087" i="7"/>
  <c r="W1087" i="7"/>
  <c r="V1087" i="7"/>
  <c r="U1087" i="7"/>
  <c r="T1087" i="7"/>
  <c r="S1087" i="7"/>
  <c r="R1087" i="7"/>
  <c r="Q1087" i="7"/>
  <c r="P1087" i="7"/>
  <c r="O1087" i="7"/>
  <c r="M1087" i="7"/>
  <c r="L1087" i="7"/>
  <c r="K1087" i="7"/>
  <c r="J1087" i="7"/>
  <c r="I1087" i="7"/>
  <c r="H1087" i="7"/>
  <c r="G1087" i="7"/>
  <c r="F1087" i="7"/>
  <c r="E1087" i="7"/>
  <c r="D1086" i="7"/>
  <c r="B1086" i="7"/>
  <c r="D1085" i="7"/>
  <c r="B1085" i="7"/>
  <c r="D1084" i="7"/>
  <c r="B1084" i="7"/>
  <c r="N1083" i="7"/>
  <c r="N1082" i="7" s="1"/>
  <c r="B1083" i="7"/>
  <c r="AE1082" i="7"/>
  <c r="AD1082" i="7"/>
  <c r="AB1082" i="7"/>
  <c r="AA1082" i="7"/>
  <c r="Z1082" i="7"/>
  <c r="Y1082" i="7"/>
  <c r="X1082" i="7"/>
  <c r="W1082" i="7"/>
  <c r="V1082" i="7"/>
  <c r="U1082" i="7"/>
  <c r="T1082" i="7"/>
  <c r="S1082" i="7"/>
  <c r="R1082" i="7"/>
  <c r="Q1082" i="7"/>
  <c r="P1082" i="7"/>
  <c r="O1082" i="7"/>
  <c r="M1082" i="7"/>
  <c r="L1082" i="7"/>
  <c r="K1082" i="7"/>
  <c r="J1082" i="7"/>
  <c r="I1082" i="7"/>
  <c r="H1082" i="7"/>
  <c r="G1082" i="7"/>
  <c r="F1082" i="7"/>
  <c r="E1082" i="7"/>
  <c r="AC1079" i="7"/>
  <c r="D1079" i="7" s="1"/>
  <c r="B1079" i="7"/>
  <c r="AC1078" i="7"/>
  <c r="D1078" i="7" s="1"/>
  <c r="B1078" i="7"/>
  <c r="G1077" i="7"/>
  <c r="AC1077" i="7" s="1"/>
  <c r="D1077" i="7" s="1"/>
  <c r="B1077" i="7"/>
  <c r="N1076" i="7"/>
  <c r="B1076" i="7"/>
  <c r="N1075" i="7"/>
  <c r="AC1075" i="7" s="1"/>
  <c r="D1075" i="7" s="1"/>
  <c r="B1075" i="7"/>
  <c r="AE1074" i="7"/>
  <c r="AD1074" i="7"/>
  <c r="AB1074" i="7"/>
  <c r="AA1074" i="7"/>
  <c r="Z1074" i="7"/>
  <c r="Y1074" i="7"/>
  <c r="X1074" i="7"/>
  <c r="W1074" i="7"/>
  <c r="V1074" i="7"/>
  <c r="U1074" i="7"/>
  <c r="T1074" i="7"/>
  <c r="S1074" i="7"/>
  <c r="R1074" i="7"/>
  <c r="Q1074" i="7"/>
  <c r="P1074" i="7"/>
  <c r="O1074" i="7"/>
  <c r="M1074" i="7"/>
  <c r="L1074" i="7"/>
  <c r="K1074" i="7"/>
  <c r="J1074" i="7"/>
  <c r="I1074" i="7"/>
  <c r="H1074" i="7"/>
  <c r="F1074" i="7"/>
  <c r="E1074" i="7"/>
  <c r="AC1073" i="7"/>
  <c r="B1073" i="7"/>
  <c r="AE1072" i="7"/>
  <c r="AD1072" i="7"/>
  <c r="AB1072" i="7"/>
  <c r="AA1072" i="7"/>
  <c r="Z1072" i="7"/>
  <c r="Y1072" i="7"/>
  <c r="X1072" i="7"/>
  <c r="W1072" i="7"/>
  <c r="V1072" i="7"/>
  <c r="U1072" i="7"/>
  <c r="T1072" i="7"/>
  <c r="S1072" i="7"/>
  <c r="R1072" i="7"/>
  <c r="Q1072" i="7"/>
  <c r="P1072" i="7"/>
  <c r="O1072" i="7"/>
  <c r="N1072" i="7"/>
  <c r="M1072" i="7"/>
  <c r="L1072" i="7"/>
  <c r="K1072" i="7"/>
  <c r="J1072" i="7"/>
  <c r="I1072" i="7"/>
  <c r="H1072" i="7"/>
  <c r="G1072" i="7"/>
  <c r="F1072" i="7"/>
  <c r="E1072" i="7"/>
  <c r="AC1071" i="7"/>
  <c r="D1071" i="7" s="1"/>
  <c r="B1071" i="7"/>
  <c r="AE1070" i="7"/>
  <c r="AD1070" i="7"/>
  <c r="AB1070" i="7"/>
  <c r="AA1070" i="7"/>
  <c r="Z1070" i="7"/>
  <c r="Y1070" i="7"/>
  <c r="X1070" i="7"/>
  <c r="W1070" i="7"/>
  <c r="V1070" i="7"/>
  <c r="U1070" i="7"/>
  <c r="T1070" i="7"/>
  <c r="S1070" i="7"/>
  <c r="R1070" i="7"/>
  <c r="Q1070" i="7"/>
  <c r="P1070" i="7"/>
  <c r="O1070" i="7"/>
  <c r="M1070" i="7"/>
  <c r="L1070" i="7"/>
  <c r="K1070" i="7"/>
  <c r="J1070" i="7"/>
  <c r="I1070" i="7"/>
  <c r="H1070" i="7"/>
  <c r="G1070" i="7"/>
  <c r="F1070" i="7"/>
  <c r="E1070" i="7"/>
  <c r="D1067" i="7"/>
  <c r="B1067" i="7"/>
  <c r="AC1066" i="7"/>
  <c r="D1066" i="7" s="1"/>
  <c r="B1066" i="7"/>
  <c r="D1065" i="7"/>
  <c r="B1065" i="7"/>
  <c r="N1064" i="7"/>
  <c r="AC1064" i="7" s="1"/>
  <c r="D1064" i="7" s="1"/>
  <c r="B1064" i="7"/>
  <c r="AC1063" i="7"/>
  <c r="D1063" i="7" s="1"/>
  <c r="B1063" i="7"/>
  <c r="AE1062" i="7"/>
  <c r="AD1062" i="7"/>
  <c r="AB1062" i="7"/>
  <c r="AA1062" i="7"/>
  <c r="Z1062" i="7"/>
  <c r="Y1062" i="7"/>
  <c r="X1062" i="7"/>
  <c r="W1062" i="7"/>
  <c r="V1062" i="7"/>
  <c r="U1062" i="7"/>
  <c r="T1062" i="7"/>
  <c r="S1062" i="7"/>
  <c r="R1062" i="7"/>
  <c r="Q1062" i="7"/>
  <c r="P1062" i="7"/>
  <c r="O1062" i="7"/>
  <c r="N1062" i="7"/>
  <c r="M1062" i="7"/>
  <c r="L1062" i="7"/>
  <c r="K1062" i="7"/>
  <c r="J1062" i="7"/>
  <c r="I1062" i="7"/>
  <c r="H1062" i="7"/>
  <c r="G1062" i="7"/>
  <c r="F1062" i="7"/>
  <c r="E1062" i="7"/>
  <c r="N1061" i="7"/>
  <c r="N1060" i="7" s="1"/>
  <c r="B1061" i="7"/>
  <c r="AE1060" i="7"/>
  <c r="AD1060" i="7"/>
  <c r="AB1060" i="7"/>
  <c r="AA1060" i="7"/>
  <c r="Z1060" i="7"/>
  <c r="Y1060" i="7"/>
  <c r="X1060" i="7"/>
  <c r="W1060" i="7"/>
  <c r="V1060" i="7"/>
  <c r="U1060" i="7"/>
  <c r="T1060" i="7"/>
  <c r="S1060" i="7"/>
  <c r="R1060" i="7"/>
  <c r="Q1060" i="7"/>
  <c r="P1060" i="7"/>
  <c r="O1060" i="7"/>
  <c r="M1060" i="7"/>
  <c r="L1060" i="7"/>
  <c r="K1060" i="7"/>
  <c r="J1060" i="7"/>
  <c r="I1060" i="7"/>
  <c r="H1060" i="7"/>
  <c r="G1060" i="7"/>
  <c r="F1060" i="7"/>
  <c r="E1060" i="7"/>
  <c r="H1059" i="7"/>
  <c r="AC1059" i="7" s="1"/>
  <c r="B1059" i="7"/>
  <c r="AE1058" i="7"/>
  <c r="AD1058" i="7"/>
  <c r="AB1058" i="7"/>
  <c r="AA1058" i="7"/>
  <c r="Z1058" i="7"/>
  <c r="Y1058" i="7"/>
  <c r="X1058" i="7"/>
  <c r="W1058" i="7"/>
  <c r="V1058" i="7"/>
  <c r="U1058" i="7"/>
  <c r="T1058" i="7"/>
  <c r="S1058" i="7"/>
  <c r="R1058" i="7"/>
  <c r="Q1058" i="7"/>
  <c r="P1058" i="7"/>
  <c r="O1058" i="7"/>
  <c r="N1058" i="7"/>
  <c r="M1058" i="7"/>
  <c r="L1058" i="7"/>
  <c r="K1058" i="7"/>
  <c r="J1058" i="7"/>
  <c r="I1058" i="7"/>
  <c r="H1058" i="7"/>
  <c r="G1058" i="7"/>
  <c r="F1058" i="7"/>
  <c r="E1058" i="7"/>
  <c r="N1056" i="7"/>
  <c r="B1057" i="7"/>
  <c r="AE1056" i="7"/>
  <c r="AD1056" i="7"/>
  <c r="AB1056" i="7"/>
  <c r="AA1056" i="7"/>
  <c r="Z1056" i="7"/>
  <c r="Y1056" i="7"/>
  <c r="X1056" i="7"/>
  <c r="W1056" i="7"/>
  <c r="V1056" i="7"/>
  <c r="U1056" i="7"/>
  <c r="T1056" i="7"/>
  <c r="S1056" i="7"/>
  <c r="R1056" i="7"/>
  <c r="Q1056" i="7"/>
  <c r="P1056" i="7"/>
  <c r="O1056" i="7"/>
  <c r="M1056" i="7"/>
  <c r="L1056" i="7"/>
  <c r="K1056" i="7"/>
  <c r="J1056" i="7"/>
  <c r="I1056" i="7"/>
  <c r="H1056" i="7"/>
  <c r="G1056" i="7"/>
  <c r="F1056" i="7"/>
  <c r="E1056" i="7"/>
  <c r="N1054" i="7"/>
  <c r="B1055" i="7"/>
  <c r="AE1054" i="7"/>
  <c r="AD1054" i="7"/>
  <c r="AB1054" i="7"/>
  <c r="AA1054" i="7"/>
  <c r="Z1054" i="7"/>
  <c r="Y1054" i="7"/>
  <c r="X1054" i="7"/>
  <c r="W1054" i="7"/>
  <c r="V1054" i="7"/>
  <c r="U1054" i="7"/>
  <c r="T1054" i="7"/>
  <c r="S1054" i="7"/>
  <c r="R1054" i="7"/>
  <c r="Q1054" i="7"/>
  <c r="P1054" i="7"/>
  <c r="O1054" i="7"/>
  <c r="M1054" i="7"/>
  <c r="L1054" i="7"/>
  <c r="K1054" i="7"/>
  <c r="J1054" i="7"/>
  <c r="I1054" i="7"/>
  <c r="H1054" i="7"/>
  <c r="G1054" i="7"/>
  <c r="F1054" i="7"/>
  <c r="E1054" i="7"/>
  <c r="R1053" i="7"/>
  <c r="R1050" i="7" s="1"/>
  <c r="N1053" i="7"/>
  <c r="B1053" i="7"/>
  <c r="N1052" i="7"/>
  <c r="AC1052" i="7" s="1"/>
  <c r="D1052" i="7" s="1"/>
  <c r="B1052" i="7"/>
  <c r="AC1051" i="7"/>
  <c r="B1051" i="7"/>
  <c r="AE1050" i="7"/>
  <c r="AD1050" i="7"/>
  <c r="AB1050" i="7"/>
  <c r="AA1050" i="7"/>
  <c r="Z1050" i="7"/>
  <c r="Y1050" i="7"/>
  <c r="X1050" i="7"/>
  <c r="W1050" i="7"/>
  <c r="V1050" i="7"/>
  <c r="U1050" i="7"/>
  <c r="T1050" i="7"/>
  <c r="S1050" i="7"/>
  <c r="Q1050" i="7"/>
  <c r="P1050" i="7"/>
  <c r="O1050" i="7"/>
  <c r="M1050" i="7"/>
  <c r="L1050" i="7"/>
  <c r="K1050" i="7"/>
  <c r="J1050" i="7"/>
  <c r="I1050" i="7"/>
  <c r="H1050" i="7"/>
  <c r="G1050" i="7"/>
  <c r="F1050" i="7"/>
  <c r="E1050" i="7"/>
  <c r="CD1047" i="7"/>
  <c r="N1047" i="7"/>
  <c r="B1047" i="7"/>
  <c r="N1046" i="7"/>
  <c r="AC1046" i="7" s="1"/>
  <c r="D1046" i="7" s="1"/>
  <c r="B1046" i="7"/>
  <c r="AT1045" i="7"/>
  <c r="AC1045" i="7"/>
  <c r="D1045" i="7" s="1"/>
  <c r="B1045" i="7"/>
  <c r="B1044" i="7"/>
  <c r="AE1043" i="7"/>
  <c r="AD1043" i="7"/>
  <c r="AB1043" i="7"/>
  <c r="AA1043" i="7"/>
  <c r="Z1043" i="7"/>
  <c r="Y1043" i="7"/>
  <c r="X1043" i="7"/>
  <c r="W1043" i="7"/>
  <c r="V1043" i="7"/>
  <c r="U1043" i="7"/>
  <c r="T1043" i="7"/>
  <c r="S1043" i="7"/>
  <c r="R1043" i="7"/>
  <c r="Q1043" i="7"/>
  <c r="P1043" i="7"/>
  <c r="O1043" i="7"/>
  <c r="M1043" i="7"/>
  <c r="L1043" i="7"/>
  <c r="K1043" i="7"/>
  <c r="J1043" i="7"/>
  <c r="I1043" i="7"/>
  <c r="H1043" i="7"/>
  <c r="G1043" i="7"/>
  <c r="F1043" i="7"/>
  <c r="E1043" i="7"/>
  <c r="N1042" i="7"/>
  <c r="B1042" i="7"/>
  <c r="CD1041" i="7"/>
  <c r="AC1041" i="7"/>
  <c r="D1041" i="7" s="1"/>
  <c r="B1041" i="7"/>
  <c r="CD1040" i="7"/>
  <c r="AC1040" i="7"/>
  <c r="D1040" i="7" s="1"/>
  <c r="B1040" i="7"/>
  <c r="AC1039" i="7"/>
  <c r="D1039" i="7" s="1"/>
  <c r="B1039" i="7"/>
  <c r="AC1038" i="7"/>
  <c r="D1038" i="7" s="1"/>
  <c r="B1038" i="7"/>
  <c r="AE1037" i="7"/>
  <c r="AD1037" i="7"/>
  <c r="AB1037" i="7"/>
  <c r="AA1037" i="7"/>
  <c r="Z1037" i="7"/>
  <c r="Y1037" i="7"/>
  <c r="X1037" i="7"/>
  <c r="W1037" i="7"/>
  <c r="V1037" i="7"/>
  <c r="U1037" i="7"/>
  <c r="T1037" i="7"/>
  <c r="S1037" i="7"/>
  <c r="R1037" i="7"/>
  <c r="Q1037" i="7"/>
  <c r="P1037" i="7"/>
  <c r="O1037" i="7"/>
  <c r="N1037" i="7"/>
  <c r="M1037" i="7"/>
  <c r="L1037" i="7"/>
  <c r="K1037" i="7"/>
  <c r="J1037" i="7"/>
  <c r="I1037" i="7"/>
  <c r="H1037" i="7"/>
  <c r="G1037" i="7"/>
  <c r="F1037" i="7"/>
  <c r="E1037" i="7"/>
  <c r="AC1036" i="7"/>
  <c r="D1036" i="7" s="1"/>
  <c r="B1036" i="7"/>
  <c r="U1035" i="7"/>
  <c r="U1033" i="7" s="1"/>
  <c r="B1035" i="7"/>
  <c r="AC1034" i="7"/>
  <c r="B1034" i="7"/>
  <c r="AE1033" i="7"/>
  <c r="AD1033" i="7"/>
  <c r="AB1033" i="7"/>
  <c r="AA1033" i="7"/>
  <c r="Z1033" i="7"/>
  <c r="Y1033" i="7"/>
  <c r="X1033" i="7"/>
  <c r="W1033" i="7"/>
  <c r="V1033" i="7"/>
  <c r="T1033" i="7"/>
  <c r="S1033" i="7"/>
  <c r="R1033" i="7"/>
  <c r="Q1033" i="7"/>
  <c r="P1033" i="7"/>
  <c r="O1033" i="7"/>
  <c r="M1033" i="7"/>
  <c r="L1033" i="7"/>
  <c r="K1033" i="7"/>
  <c r="J1033" i="7"/>
  <c r="I1033" i="7"/>
  <c r="H1033" i="7"/>
  <c r="G1033" i="7"/>
  <c r="F1033" i="7"/>
  <c r="E1033" i="7"/>
  <c r="N1032" i="7"/>
  <c r="N1031" i="7" s="1"/>
  <c r="B1032" i="7"/>
  <c r="AE1031" i="7"/>
  <c r="AD1031" i="7"/>
  <c r="AB1031" i="7"/>
  <c r="AA1031" i="7"/>
  <c r="Z1031" i="7"/>
  <c r="Y1031" i="7"/>
  <c r="X1031" i="7"/>
  <c r="W1031" i="7"/>
  <c r="V1031" i="7"/>
  <c r="U1031" i="7"/>
  <c r="T1031" i="7"/>
  <c r="S1031" i="7"/>
  <c r="R1031" i="7"/>
  <c r="Q1031" i="7"/>
  <c r="P1031" i="7"/>
  <c r="O1031" i="7"/>
  <c r="M1031" i="7"/>
  <c r="L1031" i="7"/>
  <c r="K1031" i="7"/>
  <c r="J1031" i="7"/>
  <c r="I1031" i="7"/>
  <c r="H1031" i="7"/>
  <c r="G1031" i="7"/>
  <c r="F1031" i="7"/>
  <c r="E1031" i="7"/>
  <c r="AC1030" i="7"/>
  <c r="D1030" i="7" s="1"/>
  <c r="B1030" i="7"/>
  <c r="AE1029" i="7"/>
  <c r="AD1029" i="7"/>
  <c r="AB1029" i="7"/>
  <c r="AA1029" i="7"/>
  <c r="Z1029" i="7"/>
  <c r="Y1029" i="7"/>
  <c r="X1029" i="7"/>
  <c r="W1029" i="7"/>
  <c r="V1029" i="7"/>
  <c r="U1029" i="7"/>
  <c r="T1029" i="7"/>
  <c r="S1029" i="7"/>
  <c r="R1029" i="7"/>
  <c r="Q1029" i="7"/>
  <c r="P1029" i="7"/>
  <c r="O1029" i="7"/>
  <c r="M1029" i="7"/>
  <c r="L1029" i="7"/>
  <c r="K1029" i="7"/>
  <c r="J1029" i="7"/>
  <c r="I1029" i="7"/>
  <c r="H1029" i="7"/>
  <c r="G1029" i="7"/>
  <c r="F1029" i="7"/>
  <c r="E1029" i="7"/>
  <c r="N1027" i="7"/>
  <c r="B1028" i="7"/>
  <c r="AE1027" i="7"/>
  <c r="AD1027" i="7"/>
  <c r="AB1027" i="7"/>
  <c r="AA1027" i="7"/>
  <c r="Z1027" i="7"/>
  <c r="Y1027" i="7"/>
  <c r="X1027" i="7"/>
  <c r="W1027" i="7"/>
  <c r="V1027" i="7"/>
  <c r="U1027" i="7"/>
  <c r="T1027" i="7"/>
  <c r="S1027" i="7"/>
  <c r="R1027" i="7"/>
  <c r="Q1027" i="7"/>
  <c r="P1027" i="7"/>
  <c r="O1027" i="7"/>
  <c r="M1027" i="7"/>
  <c r="L1027" i="7"/>
  <c r="K1027" i="7"/>
  <c r="J1027" i="7"/>
  <c r="I1027" i="7"/>
  <c r="H1027" i="7"/>
  <c r="G1027" i="7"/>
  <c r="F1027" i="7"/>
  <c r="E1027" i="7"/>
  <c r="AC1026" i="7"/>
  <c r="B1026" i="7"/>
  <c r="N1025" i="7"/>
  <c r="N1024" i="7" s="1"/>
  <c r="B1025" i="7"/>
  <c r="AE1024" i="7"/>
  <c r="AD1024" i="7"/>
  <c r="AB1024" i="7"/>
  <c r="AA1024" i="7"/>
  <c r="Z1024" i="7"/>
  <c r="Y1024" i="7"/>
  <c r="X1024" i="7"/>
  <c r="W1024" i="7"/>
  <c r="V1024" i="7"/>
  <c r="U1024" i="7"/>
  <c r="T1024" i="7"/>
  <c r="S1024" i="7"/>
  <c r="R1024" i="7"/>
  <c r="Q1024" i="7"/>
  <c r="P1024" i="7"/>
  <c r="O1024" i="7"/>
  <c r="M1024" i="7"/>
  <c r="L1024" i="7"/>
  <c r="K1024" i="7"/>
  <c r="J1024" i="7"/>
  <c r="I1024" i="7"/>
  <c r="H1024" i="7"/>
  <c r="G1024" i="7"/>
  <c r="F1024" i="7"/>
  <c r="E1024" i="7"/>
  <c r="N1022" i="7"/>
  <c r="B1023" i="7"/>
  <c r="AE1022" i="7"/>
  <c r="AD1022" i="7"/>
  <c r="AB1022" i="7"/>
  <c r="AA1022" i="7"/>
  <c r="Z1022" i="7"/>
  <c r="Y1022" i="7"/>
  <c r="X1022" i="7"/>
  <c r="W1022" i="7"/>
  <c r="V1022" i="7"/>
  <c r="U1022" i="7"/>
  <c r="T1022" i="7"/>
  <c r="S1022" i="7"/>
  <c r="R1022" i="7"/>
  <c r="Q1022" i="7"/>
  <c r="P1022" i="7"/>
  <c r="O1022" i="7"/>
  <c r="M1022" i="7"/>
  <c r="L1022" i="7"/>
  <c r="K1022" i="7"/>
  <c r="J1022" i="7"/>
  <c r="I1022" i="7"/>
  <c r="H1022" i="7"/>
  <c r="G1022" i="7"/>
  <c r="F1022" i="7"/>
  <c r="E1022" i="7"/>
  <c r="AC1021" i="7"/>
  <c r="D1021" i="7" s="1"/>
  <c r="B1021" i="7"/>
  <c r="AC1020" i="7"/>
  <c r="D1020" i="7" s="1"/>
  <c r="B1020" i="7"/>
  <c r="AC1019" i="7"/>
  <c r="D1019" i="7" s="1"/>
  <c r="B1019" i="7"/>
  <c r="AE1018" i="7"/>
  <c r="AD1018" i="7"/>
  <c r="AB1018" i="7"/>
  <c r="AA1018" i="7"/>
  <c r="Z1018" i="7"/>
  <c r="Y1018" i="7"/>
  <c r="X1018" i="7"/>
  <c r="W1018" i="7"/>
  <c r="V1018" i="7"/>
  <c r="U1018" i="7"/>
  <c r="T1018" i="7"/>
  <c r="S1018" i="7"/>
  <c r="R1018" i="7"/>
  <c r="Q1018" i="7"/>
  <c r="P1018" i="7"/>
  <c r="O1018" i="7"/>
  <c r="N1018" i="7"/>
  <c r="M1018" i="7"/>
  <c r="L1018" i="7"/>
  <c r="K1018" i="7"/>
  <c r="J1018" i="7"/>
  <c r="I1018" i="7"/>
  <c r="H1018" i="7"/>
  <c r="G1018" i="7"/>
  <c r="F1018" i="7"/>
  <c r="E1018" i="7"/>
  <c r="AC1017" i="7"/>
  <c r="D1017" i="7" s="1"/>
  <c r="B1017" i="7"/>
  <c r="AC1015" i="7"/>
  <c r="D1015" i="7" s="1"/>
  <c r="B1015" i="7"/>
  <c r="AC1014" i="7"/>
  <c r="D1014" i="7" s="1"/>
  <c r="B1014" i="7"/>
  <c r="AC1013" i="7"/>
  <c r="D1013" i="7" s="1"/>
  <c r="B1013" i="7"/>
  <c r="B1012" i="7"/>
  <c r="AC1011" i="7"/>
  <c r="D1011" i="7" s="1"/>
  <c r="B1011" i="7"/>
  <c r="N1009" i="7"/>
  <c r="B1010" i="7"/>
  <c r="AE1009" i="7"/>
  <c r="AD1009" i="7"/>
  <c r="AB1009" i="7"/>
  <c r="AA1009" i="7"/>
  <c r="Z1009" i="7"/>
  <c r="Y1009" i="7"/>
  <c r="X1009" i="7"/>
  <c r="W1009" i="7"/>
  <c r="V1009" i="7"/>
  <c r="U1009" i="7"/>
  <c r="T1009" i="7"/>
  <c r="S1009" i="7"/>
  <c r="R1009" i="7"/>
  <c r="Q1009" i="7"/>
  <c r="P1009" i="7"/>
  <c r="O1009" i="7"/>
  <c r="M1009" i="7"/>
  <c r="L1009" i="7"/>
  <c r="K1009" i="7"/>
  <c r="J1009" i="7"/>
  <c r="I1009" i="7"/>
  <c r="H1009" i="7"/>
  <c r="G1009" i="7"/>
  <c r="F1009" i="7"/>
  <c r="E1009" i="7"/>
  <c r="D1008" i="7"/>
  <c r="B1008" i="7"/>
  <c r="AE1007" i="7"/>
  <c r="AD1007" i="7"/>
  <c r="AB1007" i="7"/>
  <c r="AA1007" i="7"/>
  <c r="Z1007" i="7"/>
  <c r="Y1007" i="7"/>
  <c r="X1007" i="7"/>
  <c r="W1007" i="7"/>
  <c r="V1007" i="7"/>
  <c r="U1007" i="7"/>
  <c r="T1007" i="7"/>
  <c r="S1007" i="7"/>
  <c r="R1007" i="7"/>
  <c r="Q1007" i="7"/>
  <c r="P1007" i="7"/>
  <c r="O1007" i="7"/>
  <c r="N1007" i="7"/>
  <c r="M1007" i="7"/>
  <c r="L1007" i="7"/>
  <c r="K1007" i="7"/>
  <c r="J1007" i="7"/>
  <c r="I1007" i="7"/>
  <c r="H1007" i="7"/>
  <c r="G1007" i="7"/>
  <c r="F1007" i="7"/>
  <c r="E1007" i="7"/>
  <c r="AC1006" i="7"/>
  <c r="D1006" i="7" s="1"/>
  <c r="B1006" i="7"/>
  <c r="AC1005" i="7"/>
  <c r="B1005" i="7"/>
  <c r="AC1004" i="7"/>
  <c r="D1004" i="7" s="1"/>
  <c r="B1004" i="7"/>
  <c r="AE1003" i="7"/>
  <c r="AD1003" i="7"/>
  <c r="AB1003" i="7"/>
  <c r="AA1003" i="7"/>
  <c r="Z1003" i="7"/>
  <c r="Y1003" i="7"/>
  <c r="X1003" i="7"/>
  <c r="W1003" i="7"/>
  <c r="V1003" i="7"/>
  <c r="U1003" i="7"/>
  <c r="T1003" i="7"/>
  <c r="S1003" i="7"/>
  <c r="R1003" i="7"/>
  <c r="Q1003" i="7"/>
  <c r="P1003" i="7"/>
  <c r="O1003" i="7"/>
  <c r="N1003" i="7"/>
  <c r="M1003" i="7"/>
  <c r="L1003" i="7"/>
  <c r="K1003" i="7"/>
  <c r="J1003" i="7"/>
  <c r="I1003" i="7"/>
  <c r="H1003" i="7"/>
  <c r="G1003" i="7"/>
  <c r="F1003" i="7"/>
  <c r="E1003" i="7"/>
  <c r="AC1002" i="7"/>
  <c r="D1002" i="7" s="1"/>
  <c r="B1002" i="7"/>
  <c r="AC1001" i="7"/>
  <c r="D1001" i="7" s="1"/>
  <c r="B1001" i="7"/>
  <c r="AC1000" i="7"/>
  <c r="D1000" i="7" s="1"/>
  <c r="B1000" i="7"/>
  <c r="AC999" i="7"/>
  <c r="D999" i="7" s="1"/>
  <c r="B999" i="7"/>
  <c r="AC998" i="7"/>
  <c r="B998" i="7"/>
  <c r="AE997" i="7"/>
  <c r="AD997" i="7"/>
  <c r="AB997" i="7"/>
  <c r="AA997" i="7"/>
  <c r="Z997" i="7"/>
  <c r="Y997" i="7"/>
  <c r="X997" i="7"/>
  <c r="W997" i="7"/>
  <c r="V997" i="7"/>
  <c r="U997" i="7"/>
  <c r="T997" i="7"/>
  <c r="S997" i="7"/>
  <c r="R997" i="7"/>
  <c r="Q997" i="7"/>
  <c r="P997" i="7"/>
  <c r="O997" i="7"/>
  <c r="M997" i="7"/>
  <c r="L997" i="7"/>
  <c r="K997" i="7"/>
  <c r="J997" i="7"/>
  <c r="I997" i="7"/>
  <c r="H997" i="7"/>
  <c r="F997" i="7"/>
  <c r="E997" i="7"/>
  <c r="CD996" i="7"/>
  <c r="AC996" i="7"/>
  <c r="D996" i="7" s="1"/>
  <c r="B996" i="7"/>
  <c r="AC995" i="7"/>
  <c r="B995" i="7"/>
  <c r="AE994" i="7"/>
  <c r="AD994" i="7"/>
  <c r="AB994" i="7"/>
  <c r="AA994" i="7"/>
  <c r="Z994" i="7"/>
  <c r="Y994" i="7"/>
  <c r="X994" i="7"/>
  <c r="W994" i="7"/>
  <c r="V994" i="7"/>
  <c r="U994" i="7"/>
  <c r="T994" i="7"/>
  <c r="S994" i="7"/>
  <c r="R994" i="7"/>
  <c r="Q994" i="7"/>
  <c r="P994" i="7"/>
  <c r="O994" i="7"/>
  <c r="N994" i="7"/>
  <c r="M994" i="7"/>
  <c r="L994" i="7"/>
  <c r="K994" i="7"/>
  <c r="J994" i="7"/>
  <c r="I994" i="7"/>
  <c r="H994" i="7"/>
  <c r="G994" i="7"/>
  <c r="F994" i="7"/>
  <c r="E994" i="7"/>
  <c r="B993" i="7"/>
  <c r="AC992" i="7"/>
  <c r="D992" i="7" s="1"/>
  <c r="B992" i="7"/>
  <c r="AC991" i="7"/>
  <c r="D991" i="7" s="1"/>
  <c r="B991" i="7"/>
  <c r="AC990" i="7"/>
  <c r="B990" i="7"/>
  <c r="AE989" i="7"/>
  <c r="AD989" i="7"/>
  <c r="AB989" i="7"/>
  <c r="AA989" i="7"/>
  <c r="Z989" i="7"/>
  <c r="Y989" i="7"/>
  <c r="X989" i="7"/>
  <c r="W989" i="7"/>
  <c r="V989" i="7"/>
  <c r="U989" i="7"/>
  <c r="T989" i="7"/>
  <c r="S989" i="7"/>
  <c r="R989" i="7"/>
  <c r="Q989" i="7"/>
  <c r="P989" i="7"/>
  <c r="O989" i="7"/>
  <c r="M989" i="7"/>
  <c r="L989" i="7"/>
  <c r="K989" i="7"/>
  <c r="J989" i="7"/>
  <c r="I989" i="7"/>
  <c r="H989" i="7"/>
  <c r="G989" i="7"/>
  <c r="F989" i="7"/>
  <c r="E989" i="7"/>
  <c r="AC988" i="7"/>
  <c r="D988" i="7" s="1"/>
  <c r="B988" i="7"/>
  <c r="AE987" i="7"/>
  <c r="AD987" i="7"/>
  <c r="AB987" i="7"/>
  <c r="AA987" i="7"/>
  <c r="Z987" i="7"/>
  <c r="Y987" i="7"/>
  <c r="X987" i="7"/>
  <c r="W987" i="7"/>
  <c r="V987" i="7"/>
  <c r="U987" i="7"/>
  <c r="T987" i="7"/>
  <c r="S987" i="7"/>
  <c r="R987" i="7"/>
  <c r="Q987" i="7"/>
  <c r="P987" i="7"/>
  <c r="O987" i="7"/>
  <c r="N987" i="7"/>
  <c r="M987" i="7"/>
  <c r="L987" i="7"/>
  <c r="K987" i="7"/>
  <c r="J987" i="7"/>
  <c r="I987" i="7"/>
  <c r="H987" i="7"/>
  <c r="G987" i="7"/>
  <c r="F987" i="7"/>
  <c r="E987" i="7"/>
  <c r="D986" i="7"/>
  <c r="B986" i="7"/>
  <c r="AE985" i="7"/>
  <c r="AD985" i="7"/>
  <c r="AB985" i="7"/>
  <c r="AA985" i="7"/>
  <c r="Z985" i="7"/>
  <c r="Y985" i="7"/>
  <c r="X985" i="7"/>
  <c r="W985" i="7"/>
  <c r="V985" i="7"/>
  <c r="U985" i="7"/>
  <c r="T985" i="7"/>
  <c r="S985" i="7"/>
  <c r="R985" i="7"/>
  <c r="Q985" i="7"/>
  <c r="P985" i="7"/>
  <c r="O985" i="7"/>
  <c r="N985" i="7"/>
  <c r="M985" i="7"/>
  <c r="L985" i="7"/>
  <c r="K985" i="7"/>
  <c r="J985" i="7"/>
  <c r="I985" i="7"/>
  <c r="H985" i="7"/>
  <c r="G985" i="7"/>
  <c r="F985" i="7"/>
  <c r="E985" i="7"/>
  <c r="D984" i="7"/>
  <c r="B984" i="7"/>
  <c r="AE983" i="7"/>
  <c r="AD983" i="7"/>
  <c r="AB983" i="7"/>
  <c r="AA983" i="7"/>
  <c r="Z983" i="7"/>
  <c r="Y983" i="7"/>
  <c r="X983" i="7"/>
  <c r="W983" i="7"/>
  <c r="V983" i="7"/>
  <c r="U983" i="7"/>
  <c r="T983" i="7"/>
  <c r="S983" i="7"/>
  <c r="R983" i="7"/>
  <c r="Q983" i="7"/>
  <c r="P983" i="7"/>
  <c r="O983" i="7"/>
  <c r="N983" i="7"/>
  <c r="M983" i="7"/>
  <c r="L983" i="7"/>
  <c r="K983" i="7"/>
  <c r="J983" i="7"/>
  <c r="I983" i="7"/>
  <c r="H983" i="7"/>
  <c r="G983" i="7"/>
  <c r="F983" i="7"/>
  <c r="E983" i="7"/>
  <c r="CD978" i="7"/>
  <c r="AC978" i="7"/>
  <c r="D978" i="7" s="1"/>
  <c r="B978" i="7"/>
  <c r="B977" i="7"/>
  <c r="AE976" i="7"/>
  <c r="AD976" i="7"/>
  <c r="AB976" i="7"/>
  <c r="AA976" i="7"/>
  <c r="Z976" i="7"/>
  <c r="Y976" i="7"/>
  <c r="X976" i="7"/>
  <c r="W976" i="7"/>
  <c r="V976" i="7"/>
  <c r="U976" i="7"/>
  <c r="T976" i="7"/>
  <c r="S976" i="7"/>
  <c r="R976" i="7"/>
  <c r="Q976" i="7"/>
  <c r="P976" i="7"/>
  <c r="O976" i="7"/>
  <c r="M976" i="7"/>
  <c r="L976" i="7"/>
  <c r="K976" i="7"/>
  <c r="J976" i="7"/>
  <c r="I976" i="7"/>
  <c r="H976" i="7"/>
  <c r="G976" i="7"/>
  <c r="F976" i="7"/>
  <c r="E976" i="7"/>
  <c r="AC975" i="7"/>
  <c r="B975" i="7"/>
  <c r="AE974" i="7"/>
  <c r="AD974" i="7"/>
  <c r="AB974" i="7"/>
  <c r="AA974" i="7"/>
  <c r="Z974" i="7"/>
  <c r="Y974" i="7"/>
  <c r="X974" i="7"/>
  <c r="W974" i="7"/>
  <c r="V974" i="7"/>
  <c r="U974" i="7"/>
  <c r="T974" i="7"/>
  <c r="S974" i="7"/>
  <c r="R974" i="7"/>
  <c r="Q974" i="7"/>
  <c r="P974" i="7"/>
  <c r="O974" i="7"/>
  <c r="N974" i="7"/>
  <c r="M974" i="7"/>
  <c r="L974" i="7"/>
  <c r="K974" i="7"/>
  <c r="J974" i="7"/>
  <c r="I974" i="7"/>
  <c r="H974" i="7"/>
  <c r="G974" i="7"/>
  <c r="F974" i="7"/>
  <c r="E974" i="7"/>
  <c r="AC973" i="7"/>
  <c r="D973" i="7" s="1"/>
  <c r="B973" i="7"/>
  <c r="N972" i="7"/>
  <c r="AC972" i="7" s="1"/>
  <c r="D972" i="7" s="1"/>
  <c r="B972" i="7"/>
  <c r="AC971" i="7"/>
  <c r="B971" i="7"/>
  <c r="AE970" i="7"/>
  <c r="AD970" i="7"/>
  <c r="AB970" i="7"/>
  <c r="AA970" i="7"/>
  <c r="Z970" i="7"/>
  <c r="Y970" i="7"/>
  <c r="X970" i="7"/>
  <c r="W970" i="7"/>
  <c r="V970" i="7"/>
  <c r="U970" i="7"/>
  <c r="T970" i="7"/>
  <c r="S970" i="7"/>
  <c r="R970" i="7"/>
  <c r="Q970" i="7"/>
  <c r="P970" i="7"/>
  <c r="O970" i="7"/>
  <c r="M970" i="7"/>
  <c r="L970" i="7"/>
  <c r="K970" i="7"/>
  <c r="J970" i="7"/>
  <c r="I970" i="7"/>
  <c r="H970" i="7"/>
  <c r="G970" i="7"/>
  <c r="F970" i="7"/>
  <c r="E970" i="7"/>
  <c r="AC969" i="7"/>
  <c r="D969" i="7" s="1"/>
  <c r="B969" i="7"/>
  <c r="CD968" i="7"/>
  <c r="N968" i="7"/>
  <c r="AC968" i="7" s="1"/>
  <c r="D968" i="7" s="1"/>
  <c r="B968" i="7"/>
  <c r="AC967" i="7"/>
  <c r="D967" i="7" s="1"/>
  <c r="B967" i="7"/>
  <c r="AC966" i="7"/>
  <c r="D966" i="7" s="1"/>
  <c r="B966" i="7"/>
  <c r="AC965" i="7"/>
  <c r="D965" i="7" s="1"/>
  <c r="B965" i="7"/>
  <c r="AC964" i="7"/>
  <c r="D964" i="7" s="1"/>
  <c r="B964" i="7"/>
  <c r="N963" i="7"/>
  <c r="AC963" i="7" s="1"/>
  <c r="D963" i="7" s="1"/>
  <c r="B963" i="7"/>
  <c r="B962" i="7"/>
  <c r="AE961" i="7"/>
  <c r="AD961" i="7"/>
  <c r="AB961" i="7"/>
  <c r="AA961" i="7"/>
  <c r="Z961" i="7"/>
  <c r="Y961" i="7"/>
  <c r="X961" i="7"/>
  <c r="W961" i="7"/>
  <c r="V961" i="7"/>
  <c r="U961" i="7"/>
  <c r="T961" i="7"/>
  <c r="S961" i="7"/>
  <c r="R961" i="7"/>
  <c r="Q961" i="7"/>
  <c r="P961" i="7"/>
  <c r="O961" i="7"/>
  <c r="M961" i="7"/>
  <c r="L961" i="7"/>
  <c r="K961" i="7"/>
  <c r="J961" i="7"/>
  <c r="I961" i="7"/>
  <c r="H961" i="7"/>
  <c r="G961" i="7"/>
  <c r="F961" i="7"/>
  <c r="E961" i="7"/>
  <c r="CD960" i="7"/>
  <c r="AC960" i="7"/>
  <c r="B960" i="7"/>
  <c r="AC959" i="7"/>
  <c r="D959" i="7" s="1"/>
  <c r="B959" i="7"/>
  <c r="AE958" i="7"/>
  <c r="AD958" i="7"/>
  <c r="AB958" i="7"/>
  <c r="AA958" i="7"/>
  <c r="Z958" i="7"/>
  <c r="Y958" i="7"/>
  <c r="X958" i="7"/>
  <c r="W958" i="7"/>
  <c r="V958" i="7"/>
  <c r="U958" i="7"/>
  <c r="T958" i="7"/>
  <c r="S958" i="7"/>
  <c r="R958" i="7"/>
  <c r="Q958" i="7"/>
  <c r="P958" i="7"/>
  <c r="O958" i="7"/>
  <c r="N958" i="7"/>
  <c r="M958" i="7"/>
  <c r="L958" i="7"/>
  <c r="K958" i="7"/>
  <c r="J958" i="7"/>
  <c r="I958" i="7"/>
  <c r="H958" i="7"/>
  <c r="G958" i="7"/>
  <c r="F958" i="7"/>
  <c r="E958" i="7"/>
  <c r="AC957" i="7"/>
  <c r="D957" i="7" s="1"/>
  <c r="B957" i="7"/>
  <c r="AC956" i="7"/>
  <c r="B956" i="7"/>
  <c r="AE955" i="7"/>
  <c r="AD955" i="7"/>
  <c r="AB955" i="7"/>
  <c r="AA955" i="7"/>
  <c r="Z955" i="7"/>
  <c r="Y955" i="7"/>
  <c r="X955" i="7"/>
  <c r="W955" i="7"/>
  <c r="V955" i="7"/>
  <c r="U955" i="7"/>
  <c r="T955" i="7"/>
  <c r="S955" i="7"/>
  <c r="R955" i="7"/>
  <c r="Q955" i="7"/>
  <c r="P955" i="7"/>
  <c r="O955" i="7"/>
  <c r="N955" i="7"/>
  <c r="M955" i="7"/>
  <c r="L955" i="7"/>
  <c r="K955" i="7"/>
  <c r="J955" i="7"/>
  <c r="I955" i="7"/>
  <c r="H955" i="7"/>
  <c r="G955" i="7"/>
  <c r="F955" i="7"/>
  <c r="E955" i="7"/>
  <c r="AC954" i="7"/>
  <c r="D954" i="7" s="1"/>
  <c r="B954" i="7"/>
  <c r="AC953" i="7"/>
  <c r="B953" i="7"/>
  <c r="AE952" i="7"/>
  <c r="AD952" i="7"/>
  <c r="AB952" i="7"/>
  <c r="AA952" i="7"/>
  <c r="Z952" i="7"/>
  <c r="Y952" i="7"/>
  <c r="X952" i="7"/>
  <c r="W952" i="7"/>
  <c r="V952" i="7"/>
  <c r="U952" i="7"/>
  <c r="T952" i="7"/>
  <c r="S952" i="7"/>
  <c r="R952" i="7"/>
  <c r="Q952" i="7"/>
  <c r="P952" i="7"/>
  <c r="O952" i="7"/>
  <c r="N952" i="7"/>
  <c r="M952" i="7"/>
  <c r="L952" i="7"/>
  <c r="K952" i="7"/>
  <c r="J952" i="7"/>
  <c r="I952" i="7"/>
  <c r="H952" i="7"/>
  <c r="G952" i="7"/>
  <c r="F952" i="7"/>
  <c r="E952" i="7"/>
  <c r="D951" i="7"/>
  <c r="B951" i="7"/>
  <c r="AC950" i="7"/>
  <c r="D950" i="7" s="1"/>
  <c r="B950" i="7"/>
  <c r="AC949" i="7"/>
  <c r="B949" i="7"/>
  <c r="AE948" i="7"/>
  <c r="AD948" i="7"/>
  <c r="AB948" i="7"/>
  <c r="AA948" i="7"/>
  <c r="Z948" i="7"/>
  <c r="Y948" i="7"/>
  <c r="X948" i="7"/>
  <c r="W948" i="7"/>
  <c r="V948" i="7"/>
  <c r="U948" i="7"/>
  <c r="T948" i="7"/>
  <c r="S948" i="7"/>
  <c r="R948" i="7"/>
  <c r="Q948" i="7"/>
  <c r="P948" i="7"/>
  <c r="O948" i="7"/>
  <c r="N948" i="7"/>
  <c r="M948" i="7"/>
  <c r="L948" i="7"/>
  <c r="K948" i="7"/>
  <c r="J948" i="7"/>
  <c r="I948" i="7"/>
  <c r="H948" i="7"/>
  <c r="G948" i="7"/>
  <c r="F948" i="7"/>
  <c r="E948" i="7"/>
  <c r="N945" i="7"/>
  <c r="B947" i="7"/>
  <c r="D946" i="7"/>
  <c r="B946" i="7"/>
  <c r="AE945" i="7"/>
  <c r="AD945" i="7"/>
  <c r="AB945" i="7"/>
  <c r="AA945" i="7"/>
  <c r="Z945" i="7"/>
  <c r="Y945" i="7"/>
  <c r="X945" i="7"/>
  <c r="W945" i="7"/>
  <c r="V945" i="7"/>
  <c r="T945" i="7"/>
  <c r="S945" i="7"/>
  <c r="R945" i="7"/>
  <c r="Q945" i="7"/>
  <c r="P945" i="7"/>
  <c r="O945" i="7"/>
  <c r="M945" i="7"/>
  <c r="L945" i="7"/>
  <c r="K945" i="7"/>
  <c r="J945" i="7"/>
  <c r="I945" i="7"/>
  <c r="H945" i="7"/>
  <c r="G945" i="7"/>
  <c r="F945" i="7"/>
  <c r="E945" i="7"/>
  <c r="AC942" i="7"/>
  <c r="D942" i="7" s="1"/>
  <c r="B942" i="7"/>
  <c r="AC941" i="7"/>
  <c r="D941" i="7" s="1"/>
  <c r="B941" i="7"/>
  <c r="AC940" i="7"/>
  <c r="D940" i="7" s="1"/>
  <c r="B940" i="7"/>
  <c r="AC939" i="7"/>
  <c r="D939" i="7" s="1"/>
  <c r="B939" i="7"/>
  <c r="AC938" i="7"/>
  <c r="D938" i="7" s="1"/>
  <c r="B938" i="7"/>
  <c r="AC937" i="7"/>
  <c r="D937" i="7" s="1"/>
  <c r="B937" i="7"/>
  <c r="AT936" i="7"/>
  <c r="N936" i="7"/>
  <c r="AC936" i="7" s="1"/>
  <c r="D936" i="7" s="1"/>
  <c r="B936" i="7"/>
  <c r="AC935" i="7"/>
  <c r="B935" i="7"/>
  <c r="AC934" i="7"/>
  <c r="D934" i="7" s="1"/>
  <c r="B934" i="7"/>
  <c r="AC933" i="7"/>
  <c r="D933" i="7" s="1"/>
  <c r="B933" i="7"/>
  <c r="AE932" i="7"/>
  <c r="AD932" i="7"/>
  <c r="AB932" i="7"/>
  <c r="AA932" i="7"/>
  <c r="Z932" i="7"/>
  <c r="Y932" i="7"/>
  <c r="X932" i="7"/>
  <c r="W932" i="7"/>
  <c r="V932" i="7"/>
  <c r="U932" i="7"/>
  <c r="T932" i="7"/>
  <c r="S932" i="7"/>
  <c r="R932" i="7"/>
  <c r="Q932" i="7"/>
  <c r="P932" i="7"/>
  <c r="O932" i="7"/>
  <c r="N932" i="7"/>
  <c r="M932" i="7"/>
  <c r="L932" i="7"/>
  <c r="K932" i="7"/>
  <c r="J932" i="7"/>
  <c r="I932" i="7"/>
  <c r="H932" i="7"/>
  <c r="G932" i="7"/>
  <c r="F932" i="7"/>
  <c r="E932" i="7"/>
  <c r="AC931" i="7"/>
  <c r="B931" i="7"/>
  <c r="AE930" i="7"/>
  <c r="AD930" i="7"/>
  <c r="AB930" i="7"/>
  <c r="AA930" i="7"/>
  <c r="Z930" i="7"/>
  <c r="Y930" i="7"/>
  <c r="X930" i="7"/>
  <c r="W930" i="7"/>
  <c r="V930" i="7"/>
  <c r="U930" i="7"/>
  <c r="T930" i="7"/>
  <c r="S930" i="7"/>
  <c r="R930" i="7"/>
  <c r="Q930" i="7"/>
  <c r="P930" i="7"/>
  <c r="O930" i="7"/>
  <c r="N930" i="7"/>
  <c r="M930" i="7"/>
  <c r="L930" i="7"/>
  <c r="K930" i="7"/>
  <c r="J930" i="7"/>
  <c r="I930" i="7"/>
  <c r="H930" i="7"/>
  <c r="G930" i="7"/>
  <c r="F930" i="7"/>
  <c r="E930" i="7"/>
  <c r="AC929" i="7"/>
  <c r="D929" i="7" s="1"/>
  <c r="B929" i="7"/>
  <c r="AC928" i="7"/>
  <c r="D928" i="7" s="1"/>
  <c r="B928" i="7"/>
  <c r="CD927" i="7"/>
  <c r="N927" i="7"/>
  <c r="AC927" i="7" s="1"/>
  <c r="D927" i="7" s="1"/>
  <c r="B927" i="7"/>
  <c r="AD926" i="7"/>
  <c r="AD925" i="7" s="1"/>
  <c r="B926" i="7"/>
  <c r="AE925" i="7"/>
  <c r="AB925" i="7"/>
  <c r="AA925" i="7"/>
  <c r="Z925" i="7"/>
  <c r="Y925" i="7"/>
  <c r="X925" i="7"/>
  <c r="W925" i="7"/>
  <c r="V925" i="7"/>
  <c r="U925" i="7"/>
  <c r="T925" i="7"/>
  <c r="S925" i="7"/>
  <c r="R925" i="7"/>
  <c r="Q925" i="7"/>
  <c r="P925" i="7"/>
  <c r="O925" i="7"/>
  <c r="M925" i="7"/>
  <c r="L925" i="7"/>
  <c r="K925" i="7"/>
  <c r="J925" i="7"/>
  <c r="I925" i="7"/>
  <c r="H925" i="7"/>
  <c r="G925" i="7"/>
  <c r="F925" i="7"/>
  <c r="E925" i="7"/>
  <c r="AC924" i="7"/>
  <c r="D924" i="7" s="1"/>
  <c r="B924" i="7"/>
  <c r="AE923" i="7"/>
  <c r="AD923" i="7"/>
  <c r="AB923" i="7"/>
  <c r="AA923" i="7"/>
  <c r="Z923" i="7"/>
  <c r="Y923" i="7"/>
  <c r="X923" i="7"/>
  <c r="W923" i="7"/>
  <c r="V923" i="7"/>
  <c r="U923" i="7"/>
  <c r="T923" i="7"/>
  <c r="S923" i="7"/>
  <c r="R923" i="7"/>
  <c r="Q923" i="7"/>
  <c r="P923" i="7"/>
  <c r="O923" i="7"/>
  <c r="N923" i="7"/>
  <c r="M923" i="7"/>
  <c r="L923" i="7"/>
  <c r="K923" i="7"/>
  <c r="J923" i="7"/>
  <c r="I923" i="7"/>
  <c r="H923" i="7"/>
  <c r="G923" i="7"/>
  <c r="F923" i="7"/>
  <c r="E923" i="7"/>
  <c r="AC922" i="7"/>
  <c r="D922" i="7" s="1"/>
  <c r="D921" i="7" s="1"/>
  <c r="B922" i="7"/>
  <c r="AE921" i="7"/>
  <c r="AD921" i="7"/>
  <c r="AB921" i="7"/>
  <c r="AA921" i="7"/>
  <c r="Z921" i="7"/>
  <c r="Y921" i="7"/>
  <c r="X921" i="7"/>
  <c r="W921" i="7"/>
  <c r="V921" i="7"/>
  <c r="U921" i="7"/>
  <c r="T921" i="7"/>
  <c r="S921" i="7"/>
  <c r="R921" i="7"/>
  <c r="Q921" i="7"/>
  <c r="P921" i="7"/>
  <c r="O921" i="7"/>
  <c r="N921" i="7"/>
  <c r="M921" i="7"/>
  <c r="L921" i="7"/>
  <c r="K921" i="7"/>
  <c r="J921" i="7"/>
  <c r="I921" i="7"/>
  <c r="H921" i="7"/>
  <c r="G921" i="7"/>
  <c r="F921" i="7"/>
  <c r="E921" i="7"/>
  <c r="AC918" i="7"/>
  <c r="AC917" i="7" s="1"/>
  <c r="B918" i="7"/>
  <c r="AE917" i="7"/>
  <c r="AD917" i="7"/>
  <c r="AB917" i="7"/>
  <c r="AA917" i="7"/>
  <c r="Z917" i="7"/>
  <c r="Y917" i="7"/>
  <c r="X917" i="7"/>
  <c r="W917" i="7"/>
  <c r="V917" i="7"/>
  <c r="U917" i="7"/>
  <c r="T917" i="7"/>
  <c r="S917" i="7"/>
  <c r="R917" i="7"/>
  <c r="Q917" i="7"/>
  <c r="P917" i="7"/>
  <c r="O917" i="7"/>
  <c r="N917" i="7"/>
  <c r="M917" i="7"/>
  <c r="L917" i="7"/>
  <c r="K917" i="7"/>
  <c r="J917" i="7"/>
  <c r="I917" i="7"/>
  <c r="H917" i="7"/>
  <c r="G917" i="7"/>
  <c r="F917" i="7"/>
  <c r="E917" i="7"/>
  <c r="AC916" i="7"/>
  <c r="D916" i="7" s="1"/>
  <c r="D915" i="7" s="1"/>
  <c r="B916" i="7"/>
  <c r="AE915" i="7"/>
  <c r="AD915" i="7"/>
  <c r="AB915" i="7"/>
  <c r="AA915" i="7"/>
  <c r="Z915" i="7"/>
  <c r="Y915" i="7"/>
  <c r="X915" i="7"/>
  <c r="W915" i="7"/>
  <c r="V915" i="7"/>
  <c r="U915" i="7"/>
  <c r="T915" i="7"/>
  <c r="S915" i="7"/>
  <c r="R915" i="7"/>
  <c r="Q915" i="7"/>
  <c r="P915" i="7"/>
  <c r="O915" i="7"/>
  <c r="N915" i="7"/>
  <c r="M915" i="7"/>
  <c r="L915" i="7"/>
  <c r="K915" i="7"/>
  <c r="J915" i="7"/>
  <c r="I915" i="7"/>
  <c r="H915" i="7"/>
  <c r="G915" i="7"/>
  <c r="F915" i="7"/>
  <c r="E915" i="7"/>
  <c r="AC914" i="7"/>
  <c r="D914" i="7" s="1"/>
  <c r="B914" i="7"/>
  <c r="AE913" i="7"/>
  <c r="AD913" i="7"/>
  <c r="AB913" i="7"/>
  <c r="AA913" i="7"/>
  <c r="Z913" i="7"/>
  <c r="Y913" i="7"/>
  <c r="X913" i="7"/>
  <c r="W913" i="7"/>
  <c r="V913" i="7"/>
  <c r="U913" i="7"/>
  <c r="T913" i="7"/>
  <c r="S913" i="7"/>
  <c r="R913" i="7"/>
  <c r="Q913" i="7"/>
  <c r="P913" i="7"/>
  <c r="O913" i="7"/>
  <c r="N913" i="7"/>
  <c r="M913" i="7"/>
  <c r="L913" i="7"/>
  <c r="K913" i="7"/>
  <c r="J913" i="7"/>
  <c r="I913" i="7"/>
  <c r="H913" i="7"/>
  <c r="G913" i="7"/>
  <c r="F913" i="7"/>
  <c r="E913" i="7"/>
  <c r="AC911" i="7"/>
  <c r="B912" i="7"/>
  <c r="AE911" i="7"/>
  <c r="AD911" i="7"/>
  <c r="AB911" i="7"/>
  <c r="AA911" i="7"/>
  <c r="Z911" i="7"/>
  <c r="Y911" i="7"/>
  <c r="X911" i="7"/>
  <c r="W911" i="7"/>
  <c r="V911" i="7"/>
  <c r="U911" i="7"/>
  <c r="T911" i="7"/>
  <c r="S911" i="7"/>
  <c r="R911" i="7"/>
  <c r="Q911" i="7"/>
  <c r="P911" i="7"/>
  <c r="O911" i="7"/>
  <c r="N911" i="7"/>
  <c r="M911" i="7"/>
  <c r="L911" i="7"/>
  <c r="K911" i="7"/>
  <c r="J911" i="7"/>
  <c r="I911" i="7"/>
  <c r="H911" i="7"/>
  <c r="G911" i="7"/>
  <c r="F911" i="7"/>
  <c r="E911" i="7"/>
  <c r="R910" i="7"/>
  <c r="B910" i="7"/>
  <c r="AC909" i="7"/>
  <c r="B909" i="7"/>
  <c r="AE908" i="7"/>
  <c r="AD908" i="7"/>
  <c r="AB908" i="7"/>
  <c r="AA908" i="7"/>
  <c r="Z908" i="7"/>
  <c r="Y908" i="7"/>
  <c r="X908" i="7"/>
  <c r="W908" i="7"/>
  <c r="V908" i="7"/>
  <c r="U908" i="7"/>
  <c r="T908" i="7"/>
  <c r="S908" i="7"/>
  <c r="Q908" i="7"/>
  <c r="P908" i="7"/>
  <c r="O908" i="7"/>
  <c r="N908" i="7"/>
  <c r="M908" i="7"/>
  <c r="L908" i="7"/>
  <c r="K908" i="7"/>
  <c r="J908" i="7"/>
  <c r="I908" i="7"/>
  <c r="H908" i="7"/>
  <c r="G908" i="7"/>
  <c r="F908" i="7"/>
  <c r="E908" i="7"/>
  <c r="AC907" i="7"/>
  <c r="B907" i="7"/>
  <c r="D906" i="7"/>
  <c r="B906" i="7"/>
  <c r="AE905" i="7"/>
  <c r="AD905" i="7"/>
  <c r="AB905" i="7"/>
  <c r="AA905" i="7"/>
  <c r="Z905" i="7"/>
  <c r="Y905" i="7"/>
  <c r="X905" i="7"/>
  <c r="W905" i="7"/>
  <c r="V905" i="7"/>
  <c r="U905" i="7"/>
  <c r="T905" i="7"/>
  <c r="S905" i="7"/>
  <c r="Q905" i="7"/>
  <c r="P905" i="7"/>
  <c r="O905" i="7"/>
  <c r="N905" i="7"/>
  <c r="M905" i="7"/>
  <c r="L905" i="7"/>
  <c r="K905" i="7"/>
  <c r="J905" i="7"/>
  <c r="I905" i="7"/>
  <c r="H905" i="7"/>
  <c r="G905" i="7"/>
  <c r="F905" i="7"/>
  <c r="E905" i="7"/>
  <c r="D904" i="7"/>
  <c r="B904" i="7"/>
  <c r="D903" i="7"/>
  <c r="B903" i="7"/>
  <c r="AC902" i="7"/>
  <c r="D902" i="7" s="1"/>
  <c r="B902" i="7"/>
  <c r="D901" i="7"/>
  <c r="B901" i="7"/>
  <c r="D900" i="7"/>
  <c r="B900" i="7"/>
  <c r="D899" i="7"/>
  <c r="B899" i="7"/>
  <c r="D898" i="7"/>
  <c r="B898" i="7"/>
  <c r="D897" i="7"/>
  <c r="B897" i="7"/>
  <c r="D896" i="7"/>
  <c r="B896" i="7"/>
  <c r="AT895" i="7"/>
  <c r="N894" i="7"/>
  <c r="B895" i="7"/>
  <c r="AE894" i="7"/>
  <c r="AD894" i="7"/>
  <c r="AB894" i="7"/>
  <c r="AA894" i="7"/>
  <c r="Z894" i="7"/>
  <c r="Y894" i="7"/>
  <c r="X894" i="7"/>
  <c r="W894" i="7"/>
  <c r="V894" i="7"/>
  <c r="U894" i="7"/>
  <c r="T894" i="7"/>
  <c r="S894" i="7"/>
  <c r="R894" i="7"/>
  <c r="Q894" i="7"/>
  <c r="P894" i="7"/>
  <c r="O894" i="7"/>
  <c r="M894" i="7"/>
  <c r="L894" i="7"/>
  <c r="K894" i="7"/>
  <c r="J894" i="7"/>
  <c r="I894" i="7"/>
  <c r="H894" i="7"/>
  <c r="G894" i="7"/>
  <c r="F894" i="7"/>
  <c r="E894" i="7"/>
  <c r="T890" i="7"/>
  <c r="AC890" i="7" s="1"/>
  <c r="D890" i="7" s="1"/>
  <c r="B890" i="7"/>
  <c r="N889" i="7"/>
  <c r="AC889" i="7" s="1"/>
  <c r="D889" i="7" s="1"/>
  <c r="B889" i="7"/>
  <c r="CD888" i="7"/>
  <c r="AC888" i="7"/>
  <c r="D888" i="7" s="1"/>
  <c r="B888" i="7"/>
  <c r="AC887" i="7"/>
  <c r="D887" i="7" s="1"/>
  <c r="B887" i="7"/>
  <c r="AC886" i="7"/>
  <c r="D886" i="7" s="1"/>
  <c r="B886" i="7"/>
  <c r="AC885" i="7"/>
  <c r="D885" i="7" s="1"/>
  <c r="B885" i="7"/>
  <c r="CD884" i="7"/>
  <c r="AC884" i="7"/>
  <c r="D884" i="7" s="1"/>
  <c r="B884" i="7"/>
  <c r="AC883" i="7"/>
  <c r="D883" i="7" s="1"/>
  <c r="B883" i="7"/>
  <c r="AC882" i="7"/>
  <c r="D882" i="7" s="1"/>
  <c r="B882" i="7"/>
  <c r="B881" i="7"/>
  <c r="AC880" i="7"/>
  <c r="D880" i="7" s="1"/>
  <c r="B880" i="7"/>
  <c r="AC879" i="7"/>
  <c r="D879" i="7" s="1"/>
  <c r="B879" i="7"/>
  <c r="AT878" i="7"/>
  <c r="AC878" i="7"/>
  <c r="D878" i="7" s="1"/>
  <c r="B878" i="7"/>
  <c r="AE877" i="7"/>
  <c r="AD877" i="7"/>
  <c r="AB877" i="7"/>
  <c r="AA877" i="7"/>
  <c r="Z877" i="7"/>
  <c r="Y877" i="7"/>
  <c r="X877" i="7"/>
  <c r="W877" i="7"/>
  <c r="V877" i="7"/>
  <c r="U877" i="7"/>
  <c r="S877" i="7"/>
  <c r="Q877" i="7"/>
  <c r="P877" i="7"/>
  <c r="O877" i="7"/>
  <c r="M877" i="7"/>
  <c r="L877" i="7"/>
  <c r="K877" i="7"/>
  <c r="J877" i="7"/>
  <c r="I877" i="7"/>
  <c r="H877" i="7"/>
  <c r="G877" i="7"/>
  <c r="F877" i="7"/>
  <c r="E877" i="7"/>
  <c r="N876" i="7"/>
  <c r="N875" i="7" s="1"/>
  <c r="B876" i="7"/>
  <c r="AE875" i="7"/>
  <c r="AD875" i="7"/>
  <c r="AB875" i="7"/>
  <c r="AA875" i="7"/>
  <c r="Z875" i="7"/>
  <c r="Y875" i="7"/>
  <c r="X875" i="7"/>
  <c r="W875" i="7"/>
  <c r="V875" i="7"/>
  <c r="U875" i="7"/>
  <c r="T875" i="7"/>
  <c r="S875" i="7"/>
  <c r="R875" i="7"/>
  <c r="Q875" i="7"/>
  <c r="P875" i="7"/>
  <c r="O875" i="7"/>
  <c r="M875" i="7"/>
  <c r="L875" i="7"/>
  <c r="K875" i="7"/>
  <c r="J875" i="7"/>
  <c r="I875" i="7"/>
  <c r="H875" i="7"/>
  <c r="G875" i="7"/>
  <c r="F875" i="7"/>
  <c r="E875" i="7"/>
  <c r="AC874" i="7"/>
  <c r="B874" i="7"/>
  <c r="AE873" i="7"/>
  <c r="AD873" i="7"/>
  <c r="AB873" i="7"/>
  <c r="AA873" i="7"/>
  <c r="Z873" i="7"/>
  <c r="Y873" i="7"/>
  <c r="X873" i="7"/>
  <c r="W873" i="7"/>
  <c r="V873" i="7"/>
  <c r="U873" i="7"/>
  <c r="T873" i="7"/>
  <c r="S873" i="7"/>
  <c r="R873" i="7"/>
  <c r="Q873" i="7"/>
  <c r="P873" i="7"/>
  <c r="O873" i="7"/>
  <c r="N873" i="7"/>
  <c r="M873" i="7"/>
  <c r="L873" i="7"/>
  <c r="K873" i="7"/>
  <c r="J873" i="7"/>
  <c r="I873" i="7"/>
  <c r="H873" i="7"/>
  <c r="G873" i="7"/>
  <c r="F873" i="7"/>
  <c r="E873" i="7"/>
  <c r="AC872" i="7"/>
  <c r="D872" i="7" s="1"/>
  <c r="B872" i="7"/>
  <c r="D871" i="7"/>
  <c r="B871" i="7"/>
  <c r="AE870" i="7"/>
  <c r="AD870" i="7"/>
  <c r="AB870" i="7"/>
  <c r="AA870" i="7"/>
  <c r="Z870" i="7"/>
  <c r="Y870" i="7"/>
  <c r="X870" i="7"/>
  <c r="W870" i="7"/>
  <c r="V870" i="7"/>
  <c r="U870" i="7"/>
  <c r="T870" i="7"/>
  <c r="S870" i="7"/>
  <c r="R870" i="7"/>
  <c r="Q870" i="7"/>
  <c r="P870" i="7"/>
  <c r="O870" i="7"/>
  <c r="N870" i="7"/>
  <c r="M870" i="7"/>
  <c r="L870" i="7"/>
  <c r="K870" i="7"/>
  <c r="J870" i="7"/>
  <c r="I870" i="7"/>
  <c r="H870" i="7"/>
  <c r="G870" i="7"/>
  <c r="F870" i="7"/>
  <c r="E870" i="7"/>
  <c r="AC869" i="7"/>
  <c r="D869" i="7" s="1"/>
  <c r="B869" i="7"/>
  <c r="AE868" i="7"/>
  <c r="AD868" i="7"/>
  <c r="AB868" i="7"/>
  <c r="AA868" i="7"/>
  <c r="Z868" i="7"/>
  <c r="Y868" i="7"/>
  <c r="X868" i="7"/>
  <c r="W868" i="7"/>
  <c r="V868" i="7"/>
  <c r="U868" i="7"/>
  <c r="T868" i="7"/>
  <c r="S868" i="7"/>
  <c r="R868" i="7"/>
  <c r="Q868" i="7"/>
  <c r="P868" i="7"/>
  <c r="O868" i="7"/>
  <c r="N868" i="7"/>
  <c r="M868" i="7"/>
  <c r="L868" i="7"/>
  <c r="K868" i="7"/>
  <c r="J868" i="7"/>
  <c r="I868" i="7"/>
  <c r="H868" i="7"/>
  <c r="G868" i="7"/>
  <c r="F868" i="7"/>
  <c r="E868" i="7"/>
  <c r="AC867" i="7"/>
  <c r="D867" i="7" s="1"/>
  <c r="B867" i="7"/>
  <c r="G866" i="7"/>
  <c r="AC866" i="7" s="1"/>
  <c r="B866" i="7"/>
  <c r="AC865" i="7"/>
  <c r="D865" i="7" s="1"/>
  <c r="B865" i="7"/>
  <c r="AC864" i="7"/>
  <c r="D864" i="7" s="1"/>
  <c r="B864" i="7"/>
  <c r="AE863" i="7"/>
  <c r="AD863" i="7"/>
  <c r="AB863" i="7"/>
  <c r="AA863" i="7"/>
  <c r="Z863" i="7"/>
  <c r="Y863" i="7"/>
  <c r="X863" i="7"/>
  <c r="W863" i="7"/>
  <c r="V863" i="7"/>
  <c r="U863" i="7"/>
  <c r="T863" i="7"/>
  <c r="S863" i="7"/>
  <c r="R863" i="7"/>
  <c r="Q863" i="7"/>
  <c r="P863" i="7"/>
  <c r="O863" i="7"/>
  <c r="N863" i="7"/>
  <c r="M863" i="7"/>
  <c r="L863" i="7"/>
  <c r="K863" i="7"/>
  <c r="J863" i="7"/>
  <c r="I863" i="7"/>
  <c r="H863" i="7"/>
  <c r="F863" i="7"/>
  <c r="E863" i="7"/>
  <c r="AC861" i="7"/>
  <c r="D861" i="7" s="1"/>
  <c r="AC860" i="7"/>
  <c r="D860" i="7" s="1"/>
  <c r="AC859" i="7"/>
  <c r="B859" i="7"/>
  <c r="AC858" i="7"/>
  <c r="D858" i="7" s="1"/>
  <c r="B858" i="7"/>
  <c r="AC857" i="7"/>
  <c r="D857" i="7" s="1"/>
  <c r="B857" i="7"/>
  <c r="AE856" i="7"/>
  <c r="AD856" i="7"/>
  <c r="AB856" i="7"/>
  <c r="AA856" i="7"/>
  <c r="Z856" i="7"/>
  <c r="Y856" i="7"/>
  <c r="X856" i="7"/>
  <c r="W856" i="7"/>
  <c r="V856" i="7"/>
  <c r="U856" i="7"/>
  <c r="T856" i="7"/>
  <c r="S856" i="7"/>
  <c r="R856" i="7"/>
  <c r="Q856" i="7"/>
  <c r="P856" i="7"/>
  <c r="O856" i="7"/>
  <c r="M856" i="7"/>
  <c r="L856" i="7"/>
  <c r="K856" i="7"/>
  <c r="J856" i="7"/>
  <c r="I856" i="7"/>
  <c r="H856" i="7"/>
  <c r="G856" i="7"/>
  <c r="F856" i="7"/>
  <c r="E856" i="7"/>
  <c r="AC855" i="7"/>
  <c r="D855" i="7" s="1"/>
  <c r="B855" i="7"/>
  <c r="CD854" i="7"/>
  <c r="AC854" i="7"/>
  <c r="D854" i="7" s="1"/>
  <c r="B854" i="7"/>
  <c r="AC853" i="7"/>
  <c r="D853" i="7" s="1"/>
  <c r="B853" i="7"/>
  <c r="AC852" i="7"/>
  <c r="B852" i="7"/>
  <c r="B851" i="7"/>
  <c r="AC850" i="7"/>
  <c r="D850" i="7" s="1"/>
  <c r="B850" i="7"/>
  <c r="AC849" i="7"/>
  <c r="D849" i="7" s="1"/>
  <c r="B849" i="7"/>
  <c r="AE848" i="7"/>
  <c r="AD848" i="7"/>
  <c r="AB848" i="7"/>
  <c r="AA848" i="7"/>
  <c r="Z848" i="7"/>
  <c r="Y848" i="7"/>
  <c r="X848" i="7"/>
  <c r="W848" i="7"/>
  <c r="V848" i="7"/>
  <c r="U848" i="7"/>
  <c r="T848" i="7"/>
  <c r="S848" i="7"/>
  <c r="R848" i="7"/>
  <c r="Q848" i="7"/>
  <c r="P848" i="7"/>
  <c r="O848" i="7"/>
  <c r="M848" i="7"/>
  <c r="L848" i="7"/>
  <c r="K848" i="7"/>
  <c r="J848" i="7"/>
  <c r="I848" i="7"/>
  <c r="H848" i="7"/>
  <c r="G848" i="7"/>
  <c r="F848" i="7"/>
  <c r="E848" i="7"/>
  <c r="AD845" i="7"/>
  <c r="B845" i="7"/>
  <c r="B844" i="7"/>
  <c r="AC843" i="7"/>
  <c r="D843" i="7" s="1"/>
  <c r="B843" i="7"/>
  <c r="G842" i="7"/>
  <c r="G821" i="7" s="1"/>
  <c r="B842" i="7"/>
  <c r="U821" i="7"/>
  <c r="B841" i="7"/>
  <c r="AC840" i="7"/>
  <c r="D840" i="7" s="1"/>
  <c r="B840" i="7"/>
  <c r="T839" i="7"/>
  <c r="T821" i="7" s="1"/>
  <c r="R839" i="7"/>
  <c r="R821" i="7" s="1"/>
  <c r="B839" i="7"/>
  <c r="AC838" i="7"/>
  <c r="D838" i="7" s="1"/>
  <c r="B838" i="7"/>
  <c r="AC837" i="7"/>
  <c r="D837" i="7" s="1"/>
  <c r="B837" i="7"/>
  <c r="AC836" i="7"/>
  <c r="D836" i="7" s="1"/>
  <c r="B836" i="7"/>
  <c r="AC835" i="7"/>
  <c r="D835" i="7" s="1"/>
  <c r="B835" i="7"/>
  <c r="N834" i="7"/>
  <c r="AC834" i="7" s="1"/>
  <c r="D834" i="7" s="1"/>
  <c r="B834" i="7"/>
  <c r="AC833" i="7"/>
  <c r="D833" i="7" s="1"/>
  <c r="B833" i="7"/>
  <c r="AC832" i="7"/>
  <c r="D832" i="7" s="1"/>
  <c r="B832" i="7"/>
  <c r="D831" i="7"/>
  <c r="B831" i="7"/>
  <c r="AC830" i="7"/>
  <c r="D830" i="7" s="1"/>
  <c r="B830" i="7"/>
  <c r="AC829" i="7"/>
  <c r="D829" i="7" s="1"/>
  <c r="B829" i="7"/>
  <c r="AC828" i="7"/>
  <c r="D828" i="7" s="1"/>
  <c r="B828" i="7"/>
  <c r="AT827" i="7"/>
  <c r="AC827" i="7"/>
  <c r="D827" i="7" s="1"/>
  <c r="B827" i="7"/>
  <c r="AC826" i="7"/>
  <c r="D826" i="7" s="1"/>
  <c r="B826" i="7"/>
  <c r="AT825" i="7"/>
  <c r="AC825" i="7"/>
  <c r="D825" i="7" s="1"/>
  <c r="B825" i="7"/>
  <c r="AC824" i="7"/>
  <c r="D824" i="7" s="1"/>
  <c r="B824" i="7"/>
  <c r="AC823" i="7"/>
  <c r="D823" i="7" s="1"/>
  <c r="B823" i="7"/>
  <c r="AC822" i="7"/>
  <c r="D822" i="7" s="1"/>
  <c r="B822" i="7"/>
  <c r="AE821" i="7"/>
  <c r="AB821" i="7"/>
  <c r="AA821" i="7"/>
  <c r="Z821" i="7"/>
  <c r="Y821" i="7"/>
  <c r="X821" i="7"/>
  <c r="W821" i="7"/>
  <c r="V821" i="7"/>
  <c r="S821" i="7"/>
  <c r="Q821" i="7"/>
  <c r="P821" i="7"/>
  <c r="O821" i="7"/>
  <c r="M821" i="7"/>
  <c r="L821" i="7"/>
  <c r="K821" i="7"/>
  <c r="J821" i="7"/>
  <c r="I821" i="7"/>
  <c r="H821" i="7"/>
  <c r="F821" i="7"/>
  <c r="E821" i="7"/>
  <c r="L809" i="7"/>
  <c r="D809" i="7" s="1"/>
  <c r="B809" i="7"/>
  <c r="AC808" i="7"/>
  <c r="D808" i="7" s="1"/>
  <c r="B808" i="7"/>
  <c r="AC807" i="7"/>
  <c r="D807" i="7" s="1"/>
  <c r="B807" i="7"/>
  <c r="AC806" i="7"/>
  <c r="B806" i="7"/>
  <c r="AC805" i="7"/>
  <c r="D805" i="7" s="1"/>
  <c r="B805" i="7"/>
  <c r="D804" i="7"/>
  <c r="B804" i="7"/>
  <c r="AE803" i="7"/>
  <c r="AD803" i="7"/>
  <c r="AB803" i="7"/>
  <c r="AA803" i="7"/>
  <c r="Z803" i="7"/>
  <c r="Y803" i="7"/>
  <c r="X803" i="7"/>
  <c r="W803" i="7"/>
  <c r="V803" i="7"/>
  <c r="U803" i="7"/>
  <c r="T803" i="7"/>
  <c r="S803" i="7"/>
  <c r="R803" i="7"/>
  <c r="Q803" i="7"/>
  <c r="P803" i="7"/>
  <c r="O803" i="7"/>
  <c r="N803" i="7"/>
  <c r="M803" i="7"/>
  <c r="K803" i="7"/>
  <c r="J803" i="7"/>
  <c r="I803" i="7"/>
  <c r="H803" i="7"/>
  <c r="F803" i="7"/>
  <c r="E803" i="7"/>
  <c r="B802" i="7"/>
  <c r="D761" i="7"/>
  <c r="B761" i="7"/>
  <c r="CD758" i="7"/>
  <c r="N758" i="7"/>
  <c r="AC758" i="7" s="1"/>
  <c r="D758" i="7" s="1"/>
  <c r="B758" i="7"/>
  <c r="AC757" i="7"/>
  <c r="D757" i="7" s="1"/>
  <c r="B757" i="7"/>
  <c r="N756" i="7"/>
  <c r="B756" i="7"/>
  <c r="AC755" i="7"/>
  <c r="D755" i="7" s="1"/>
  <c r="B755" i="7"/>
  <c r="AC754" i="7"/>
  <c r="D754" i="7" s="1"/>
  <c r="B754" i="7"/>
  <c r="G753" i="7"/>
  <c r="AC753" i="7" s="1"/>
  <c r="D753" i="7" s="1"/>
  <c r="B753" i="7"/>
  <c r="AC752" i="7"/>
  <c r="D752" i="7" s="1"/>
  <c r="B752" i="7"/>
  <c r="AC751" i="7"/>
  <c r="D751" i="7" s="1"/>
  <c r="B751" i="7"/>
  <c r="AC750" i="7"/>
  <c r="D750" i="7" s="1"/>
  <c r="B750" i="7"/>
  <c r="CD749" i="7"/>
  <c r="AC749" i="7"/>
  <c r="D749" i="7" s="1"/>
  <c r="B749" i="7"/>
  <c r="AC748" i="7"/>
  <c r="B748" i="7"/>
  <c r="AC747" i="7"/>
  <c r="D747" i="7" s="1"/>
  <c r="B747" i="7"/>
  <c r="AC746" i="7"/>
  <c r="D745" i="7"/>
  <c r="D743" i="7"/>
  <c r="AC742" i="7"/>
  <c r="D742" i="7" s="1"/>
  <c r="B742" i="7"/>
  <c r="AE741" i="7"/>
  <c r="AD741" i="7"/>
  <c r="AB741" i="7"/>
  <c r="AA741" i="7"/>
  <c r="Z741" i="7"/>
  <c r="Y741" i="7"/>
  <c r="X741" i="7"/>
  <c r="W741" i="7"/>
  <c r="V741" i="7"/>
  <c r="U741" i="7"/>
  <c r="T741" i="7"/>
  <c r="S741" i="7"/>
  <c r="R741" i="7"/>
  <c r="Q741" i="7"/>
  <c r="P741" i="7"/>
  <c r="O741" i="7"/>
  <c r="M741" i="7"/>
  <c r="K741" i="7"/>
  <c r="J741" i="7"/>
  <c r="I741" i="7"/>
  <c r="H741" i="7"/>
  <c r="F741" i="7"/>
  <c r="E741" i="7"/>
  <c r="D719" i="7"/>
  <c r="B719" i="7"/>
  <c r="AC718" i="7"/>
  <c r="D718" i="7" s="1"/>
  <c r="B718" i="7"/>
  <c r="D717" i="7"/>
  <c r="B717" i="7"/>
  <c r="D716" i="7"/>
  <c r="B716" i="7"/>
  <c r="AC715" i="7"/>
  <c r="D715" i="7" s="1"/>
  <c r="B715" i="7"/>
  <c r="AC714" i="7"/>
  <c r="D714" i="7" s="1"/>
  <c r="B714" i="7"/>
  <c r="N713" i="7"/>
  <c r="AC713" i="7" s="1"/>
  <c r="D713" i="7" s="1"/>
  <c r="B713" i="7"/>
  <c r="AC712" i="7"/>
  <c r="D712" i="7" s="1"/>
  <c r="B712" i="7"/>
  <c r="AC711" i="7"/>
  <c r="D711" i="7" s="1"/>
  <c r="B711" i="7"/>
  <c r="AC710" i="7"/>
  <c r="D710" i="7" s="1"/>
  <c r="B710" i="7"/>
  <c r="AC709" i="7"/>
  <c r="D709" i="7" s="1"/>
  <c r="B709" i="7"/>
  <c r="D708" i="7"/>
  <c r="B708" i="7"/>
  <c r="D707" i="7"/>
  <c r="B707" i="7"/>
  <c r="D706" i="7"/>
  <c r="B706" i="7"/>
  <c r="AC705" i="7"/>
  <c r="D705" i="7" s="1"/>
  <c r="B705" i="7"/>
  <c r="D704" i="7"/>
  <c r="B704" i="7"/>
  <c r="AC703" i="7"/>
  <c r="D703" i="7" s="1"/>
  <c r="B703" i="7"/>
  <c r="AC702" i="7"/>
  <c r="D702" i="7" s="1"/>
  <c r="B702" i="7"/>
  <c r="AC701" i="7"/>
  <c r="D701" i="7" s="1"/>
  <c r="B701" i="7"/>
  <c r="D700" i="7"/>
  <c r="B700" i="7"/>
  <c r="AC699" i="7"/>
  <c r="D699" i="7" s="1"/>
  <c r="B699" i="7"/>
  <c r="D698" i="7"/>
  <c r="B698" i="7"/>
  <c r="AC697" i="7"/>
  <c r="D697" i="7" s="1"/>
  <c r="B697" i="7"/>
  <c r="D696" i="7"/>
  <c r="B696" i="7"/>
  <c r="AC695" i="7"/>
  <c r="D695" i="7" s="1"/>
  <c r="B695" i="7"/>
  <c r="D694" i="7"/>
  <c r="B694" i="7"/>
  <c r="D693" i="7"/>
  <c r="B693" i="7"/>
  <c r="AC692" i="7"/>
  <c r="D692" i="7" s="1"/>
  <c r="B692" i="7"/>
  <c r="D691" i="7"/>
  <c r="B691" i="7"/>
  <c r="D690" i="7"/>
  <c r="B690" i="7"/>
  <c r="AC689" i="7"/>
  <c r="D689" i="7" s="1"/>
  <c r="B689" i="7"/>
  <c r="AC688" i="7"/>
  <c r="D688" i="7" s="1"/>
  <c r="B688" i="7"/>
  <c r="AC687" i="7"/>
  <c r="D687" i="7" s="1"/>
  <c r="B687" i="7"/>
  <c r="D686" i="7"/>
  <c r="B686" i="7"/>
  <c r="D685" i="7"/>
  <c r="B685" i="7"/>
  <c r="AC684" i="7"/>
  <c r="D684" i="7" s="1"/>
  <c r="B684" i="7"/>
  <c r="D683" i="7"/>
  <c r="B683" i="7"/>
  <c r="B682" i="7"/>
  <c r="AE681" i="7"/>
  <c r="AD681" i="7"/>
  <c r="AB681" i="7"/>
  <c r="AA681" i="7"/>
  <c r="Z681" i="7"/>
  <c r="Y681" i="7"/>
  <c r="X681" i="7"/>
  <c r="W681" i="7"/>
  <c r="V681" i="7"/>
  <c r="U681" i="7"/>
  <c r="T681" i="7"/>
  <c r="S681" i="7"/>
  <c r="R681" i="7"/>
  <c r="Q681" i="7"/>
  <c r="P681" i="7"/>
  <c r="O681" i="7"/>
  <c r="M681" i="7"/>
  <c r="L681" i="7"/>
  <c r="K681" i="7"/>
  <c r="J681" i="7"/>
  <c r="I681" i="7"/>
  <c r="H681" i="7"/>
  <c r="G681" i="7"/>
  <c r="F681" i="7"/>
  <c r="E681" i="7"/>
  <c r="R677" i="7"/>
  <c r="AC677" i="7" s="1"/>
  <c r="D677" i="7" s="1"/>
  <c r="B677" i="7"/>
  <c r="AC676" i="7"/>
  <c r="D676" i="7" s="1"/>
  <c r="B676" i="7"/>
  <c r="D675" i="7"/>
  <c r="B675" i="7"/>
  <c r="G674" i="7"/>
  <c r="AC674" i="7" s="1"/>
  <c r="D674" i="7" s="1"/>
  <c r="B674" i="7"/>
  <c r="R673" i="7"/>
  <c r="AC673" i="7" s="1"/>
  <c r="D673" i="7" s="1"/>
  <c r="B673" i="7"/>
  <c r="AC672" i="7"/>
  <c r="D672" i="7" s="1"/>
  <c r="B672" i="7"/>
  <c r="AC671" i="7"/>
  <c r="D671" i="7" s="1"/>
  <c r="B671" i="7"/>
  <c r="G670" i="7"/>
  <c r="AC670" i="7" s="1"/>
  <c r="D670" i="7" s="1"/>
  <c r="B670" i="7"/>
  <c r="AC669" i="7"/>
  <c r="D669" i="7" s="1"/>
  <c r="B669" i="7"/>
  <c r="G668" i="7"/>
  <c r="AC668" i="7" s="1"/>
  <c r="D668" i="7" s="1"/>
  <c r="B668" i="7"/>
  <c r="G667" i="7"/>
  <c r="B667" i="7"/>
  <c r="N666" i="7"/>
  <c r="AC666" i="7" s="1"/>
  <c r="D666" i="7" s="1"/>
  <c r="B666" i="7"/>
  <c r="AD649" i="7"/>
  <c r="AC665" i="7"/>
  <c r="B665" i="7"/>
  <c r="AC664" i="7"/>
  <c r="D664" i="7" s="1"/>
  <c r="B664" i="7"/>
  <c r="AC663" i="7"/>
  <c r="D663" i="7" s="1"/>
  <c r="B663" i="7"/>
  <c r="AC662" i="7"/>
  <c r="D662" i="7" s="1"/>
  <c r="B662" i="7"/>
  <c r="AC661" i="7"/>
  <c r="D661" i="7" s="1"/>
  <c r="B661" i="7"/>
  <c r="AC660" i="7"/>
  <c r="D660" i="7" s="1"/>
  <c r="B660" i="7"/>
  <c r="AC659" i="7"/>
  <c r="D659" i="7" s="1"/>
  <c r="B659" i="7"/>
  <c r="D658" i="7"/>
  <c r="B658" i="7"/>
  <c r="E657" i="7"/>
  <c r="AC657" i="7" s="1"/>
  <c r="D657" i="7" s="1"/>
  <c r="B657" i="7"/>
  <c r="AC656" i="7"/>
  <c r="D656" i="7" s="1"/>
  <c r="B656" i="7"/>
  <c r="AC655" i="7"/>
  <c r="D655" i="7" s="1"/>
  <c r="B655" i="7"/>
  <c r="AC654" i="7"/>
  <c r="D654" i="7" s="1"/>
  <c r="B654" i="7"/>
  <c r="AC653" i="7"/>
  <c r="D653" i="7" s="1"/>
  <c r="B653" i="7"/>
  <c r="AC652" i="7"/>
  <c r="D652" i="7" s="1"/>
  <c r="B652" i="7"/>
  <c r="AC651" i="7"/>
  <c r="D651" i="7" s="1"/>
  <c r="B651" i="7"/>
  <c r="AC650" i="7"/>
  <c r="D650" i="7" s="1"/>
  <c r="B650" i="7"/>
  <c r="AE649" i="7"/>
  <c r="AB649" i="7"/>
  <c r="AA649" i="7"/>
  <c r="Z649" i="7"/>
  <c r="Y649" i="7"/>
  <c r="X649" i="7"/>
  <c r="W649" i="7"/>
  <c r="V649" i="7"/>
  <c r="U649" i="7"/>
  <c r="T649" i="7"/>
  <c r="S649" i="7"/>
  <c r="Q649" i="7"/>
  <c r="P649" i="7"/>
  <c r="O649" i="7"/>
  <c r="M649" i="7"/>
  <c r="L649" i="7"/>
  <c r="K649" i="7"/>
  <c r="J649" i="7"/>
  <c r="I649" i="7"/>
  <c r="H649" i="7"/>
  <c r="F649" i="7"/>
  <c r="D643" i="7"/>
  <c r="B643" i="7"/>
  <c r="D642" i="7"/>
  <c r="B642" i="7"/>
  <c r="D641" i="7"/>
  <c r="B641" i="7"/>
  <c r="D640" i="7"/>
  <c r="B640" i="7"/>
  <c r="D639" i="7"/>
  <c r="B639" i="7"/>
  <c r="D638" i="7"/>
  <c r="B638" i="7"/>
  <c r="D637" i="7"/>
  <c r="B637" i="7"/>
  <c r="D636" i="7"/>
  <c r="B636" i="7"/>
  <c r="D635" i="7"/>
  <c r="B635" i="7"/>
  <c r="D634" i="7"/>
  <c r="B634" i="7"/>
  <c r="D633" i="7"/>
  <c r="B633" i="7"/>
  <c r="D632" i="7"/>
  <c r="B632" i="7"/>
  <c r="D631" i="7"/>
  <c r="B631" i="7"/>
  <c r="D630" i="7"/>
  <c r="B630" i="7"/>
  <c r="D629" i="7"/>
  <c r="B629" i="7"/>
  <c r="D628" i="7"/>
  <c r="B628" i="7"/>
  <c r="D627" i="7"/>
  <c r="B627" i="7"/>
  <c r="D626" i="7"/>
  <c r="B626" i="7"/>
  <c r="D625" i="7"/>
  <c r="B625" i="7"/>
  <c r="D624" i="7"/>
  <c r="B624" i="7"/>
  <c r="D623" i="7"/>
  <c r="B623" i="7"/>
  <c r="CD622" i="7"/>
  <c r="D622" i="7"/>
  <c r="B622" i="7"/>
  <c r="D621" i="7"/>
  <c r="B621" i="7"/>
  <c r="D620" i="7"/>
  <c r="B620" i="7"/>
  <c r="D619" i="7"/>
  <c r="B619" i="7"/>
  <c r="D618" i="7"/>
  <c r="B618" i="7"/>
  <c r="D617" i="7"/>
  <c r="B617" i="7"/>
  <c r="D616" i="7"/>
  <c r="B616" i="7"/>
  <c r="D615" i="7"/>
  <c r="B615" i="7"/>
  <c r="D614" i="7"/>
  <c r="B614" i="7"/>
  <c r="D613" i="7"/>
  <c r="B613" i="7"/>
  <c r="D612" i="7"/>
  <c r="B612" i="7"/>
  <c r="D611" i="7"/>
  <c r="B611" i="7"/>
  <c r="D610" i="7"/>
  <c r="B610" i="7"/>
  <c r="D609" i="7"/>
  <c r="B609" i="7"/>
  <c r="D608" i="7"/>
  <c r="B608" i="7"/>
  <c r="D607" i="7"/>
  <c r="B607" i="7"/>
  <c r="D606" i="7"/>
  <c r="B606" i="7"/>
  <c r="D605" i="7"/>
  <c r="B605" i="7"/>
  <c r="D604" i="7"/>
  <c r="B604" i="7"/>
  <c r="D603" i="7"/>
  <c r="B603" i="7"/>
  <c r="D602" i="7"/>
  <c r="B602" i="7"/>
  <c r="CD601" i="7"/>
  <c r="D601" i="7"/>
  <c r="B601" i="7"/>
  <c r="CD600" i="7"/>
  <c r="D600" i="7"/>
  <c r="B600" i="7"/>
  <c r="D599" i="7"/>
  <c r="B599" i="7"/>
  <c r="D598" i="7"/>
  <c r="B598" i="7"/>
  <c r="D597" i="7"/>
  <c r="B597" i="7"/>
  <c r="D596" i="7"/>
  <c r="B596" i="7"/>
  <c r="D595" i="7"/>
  <c r="B595" i="7"/>
  <c r="D594" i="7"/>
  <c r="B594" i="7"/>
  <c r="D593" i="7"/>
  <c r="B593" i="7"/>
  <c r="D592" i="7"/>
  <c r="B592" i="7"/>
  <c r="D591" i="7"/>
  <c r="B591" i="7"/>
  <c r="D590" i="7"/>
  <c r="B590" i="7"/>
  <c r="D589" i="7"/>
  <c r="B589" i="7"/>
  <c r="D588" i="7"/>
  <c r="B588" i="7"/>
  <c r="D587" i="7"/>
  <c r="B587" i="7"/>
  <c r="D586" i="7"/>
  <c r="B586" i="7"/>
  <c r="D585" i="7"/>
  <c r="B585" i="7"/>
  <c r="D584" i="7"/>
  <c r="B584" i="7"/>
  <c r="D583" i="7"/>
  <c r="B583" i="7"/>
  <c r="D582" i="7"/>
  <c r="B582" i="7"/>
  <c r="D581" i="7"/>
  <c r="B581" i="7"/>
  <c r="D580" i="7"/>
  <c r="B580" i="7"/>
  <c r="D579" i="7"/>
  <c r="B579" i="7"/>
  <c r="D578" i="7"/>
  <c r="B578" i="7"/>
  <c r="D577" i="7"/>
  <c r="B577" i="7"/>
  <c r="D576" i="7"/>
  <c r="B576" i="7"/>
  <c r="D575" i="7"/>
  <c r="B575" i="7"/>
  <c r="D574" i="7"/>
  <c r="B574" i="7"/>
  <c r="D573" i="7"/>
  <c r="B573" i="7"/>
  <c r="D572" i="7"/>
  <c r="B572" i="7"/>
  <c r="D571" i="7"/>
  <c r="B571" i="7"/>
  <c r="D570" i="7"/>
  <c r="B570" i="7"/>
  <c r="D569" i="7"/>
  <c r="B569" i="7"/>
  <c r="D568" i="7"/>
  <c r="B568" i="7"/>
  <c r="D567" i="7"/>
  <c r="B567" i="7"/>
  <c r="D566" i="7"/>
  <c r="B566" i="7"/>
  <c r="D565" i="7"/>
  <c r="B565" i="7"/>
  <c r="D564" i="7"/>
  <c r="B564" i="7"/>
  <c r="D563" i="7"/>
  <c r="B563" i="7"/>
  <c r="D562" i="7"/>
  <c r="B562" i="7"/>
  <c r="D561" i="7"/>
  <c r="B561" i="7"/>
  <c r="D560" i="7"/>
  <c r="B560" i="7"/>
  <c r="D559" i="7"/>
  <c r="B559" i="7"/>
  <c r="D558" i="7"/>
  <c r="B558" i="7"/>
  <c r="AE557" i="7"/>
  <c r="AD557" i="7"/>
  <c r="AC557" i="7"/>
  <c r="AB557" i="7"/>
  <c r="AA557" i="7"/>
  <c r="Z557" i="7"/>
  <c r="Y557" i="7"/>
  <c r="X557" i="7"/>
  <c r="W557" i="7"/>
  <c r="V557" i="7"/>
  <c r="U557" i="7"/>
  <c r="T557" i="7"/>
  <c r="S557" i="7"/>
  <c r="R557" i="7"/>
  <c r="Q557" i="7"/>
  <c r="P557" i="7"/>
  <c r="O557" i="7"/>
  <c r="N557" i="7"/>
  <c r="M557" i="7"/>
  <c r="L557" i="7"/>
  <c r="K557" i="7"/>
  <c r="J557" i="7"/>
  <c r="I557" i="7"/>
  <c r="H557" i="7"/>
  <c r="G557" i="7"/>
  <c r="F557" i="7"/>
  <c r="E557" i="7"/>
  <c r="AC555" i="7"/>
  <c r="AC553" i="7" s="1"/>
  <c r="B555" i="7"/>
  <c r="CD554" i="7"/>
  <c r="D554" i="7"/>
  <c r="B554" i="7"/>
  <c r="AE553" i="7"/>
  <c r="AD553" i="7"/>
  <c r="AB553" i="7"/>
  <c r="AA553" i="7"/>
  <c r="Z553" i="7"/>
  <c r="Y553" i="7"/>
  <c r="X553" i="7"/>
  <c r="W553" i="7"/>
  <c r="V553" i="7"/>
  <c r="U553" i="7"/>
  <c r="T553" i="7"/>
  <c r="S553" i="7"/>
  <c r="R553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D552" i="7"/>
  <c r="B552" i="7"/>
  <c r="D551" i="7"/>
  <c r="B551" i="7"/>
  <c r="AE550" i="7"/>
  <c r="AD550" i="7"/>
  <c r="AC550" i="7"/>
  <c r="AB550" i="7"/>
  <c r="AA550" i="7"/>
  <c r="Z550" i="7"/>
  <c r="Y550" i="7"/>
  <c r="X550" i="7"/>
  <c r="W550" i="7"/>
  <c r="V550" i="7"/>
  <c r="U550" i="7"/>
  <c r="T550" i="7"/>
  <c r="S550" i="7"/>
  <c r="R550" i="7"/>
  <c r="Q550" i="7"/>
  <c r="P550" i="7"/>
  <c r="O550" i="7"/>
  <c r="N550" i="7"/>
  <c r="M550" i="7"/>
  <c r="L550" i="7"/>
  <c r="K550" i="7"/>
  <c r="J550" i="7"/>
  <c r="I550" i="7"/>
  <c r="H550" i="7"/>
  <c r="G550" i="7"/>
  <c r="F550" i="7"/>
  <c r="E550" i="7"/>
  <c r="D549" i="7"/>
  <c r="B549" i="7"/>
  <c r="D548" i="7"/>
  <c r="B548" i="7"/>
  <c r="AC547" i="7"/>
  <c r="D547" i="7" s="1"/>
  <c r="B547" i="7"/>
  <c r="CD546" i="7"/>
  <c r="D546" i="7"/>
  <c r="B546" i="7"/>
  <c r="AE545" i="7"/>
  <c r="AD545" i="7"/>
  <c r="AB545" i="7"/>
  <c r="AA545" i="7"/>
  <c r="Z545" i="7"/>
  <c r="Y545" i="7"/>
  <c r="X545" i="7"/>
  <c r="W545" i="7"/>
  <c r="V545" i="7"/>
  <c r="U545" i="7"/>
  <c r="T545" i="7"/>
  <c r="S545" i="7"/>
  <c r="R545" i="7"/>
  <c r="Q545" i="7"/>
  <c r="P545" i="7"/>
  <c r="O545" i="7"/>
  <c r="N545" i="7"/>
  <c r="M545" i="7"/>
  <c r="L545" i="7"/>
  <c r="K545" i="7"/>
  <c r="J545" i="7"/>
  <c r="I545" i="7"/>
  <c r="H545" i="7"/>
  <c r="G545" i="7"/>
  <c r="F545" i="7"/>
  <c r="E545" i="7"/>
  <c r="AC544" i="7"/>
  <c r="D544" i="7" s="1"/>
  <c r="B544" i="7"/>
  <c r="AC543" i="7"/>
  <c r="D543" i="7" s="1"/>
  <c r="B543" i="7"/>
  <c r="AC542" i="7"/>
  <c r="D542" i="7" s="1"/>
  <c r="B542" i="7"/>
  <c r="AC541" i="7"/>
  <c r="D541" i="7" s="1"/>
  <c r="B541" i="7"/>
  <c r="AC540" i="7"/>
  <c r="D540" i="7" s="1"/>
  <c r="B540" i="7"/>
  <c r="D539" i="7"/>
  <c r="B539" i="7"/>
  <c r="D538" i="7"/>
  <c r="B538" i="7"/>
  <c r="AC537" i="7"/>
  <c r="B537" i="7"/>
  <c r="CD536" i="7"/>
  <c r="AC536" i="7"/>
  <c r="D536" i="7" s="1"/>
  <c r="B536" i="7"/>
  <c r="AE535" i="7"/>
  <c r="AD535" i="7"/>
  <c r="AB535" i="7"/>
  <c r="AA535" i="7"/>
  <c r="Z535" i="7"/>
  <c r="Y535" i="7"/>
  <c r="X535" i="7"/>
  <c r="W535" i="7"/>
  <c r="V535" i="7"/>
  <c r="U535" i="7"/>
  <c r="T535" i="7"/>
  <c r="S535" i="7"/>
  <c r="R535" i="7"/>
  <c r="Q535" i="7"/>
  <c r="P535" i="7"/>
  <c r="O535" i="7"/>
  <c r="N535" i="7"/>
  <c r="M535" i="7"/>
  <c r="L535" i="7"/>
  <c r="K535" i="7"/>
  <c r="J535" i="7"/>
  <c r="I535" i="7"/>
  <c r="H535" i="7"/>
  <c r="G535" i="7"/>
  <c r="F535" i="7"/>
  <c r="E535" i="7"/>
  <c r="CD534" i="7"/>
  <c r="D534" i="7"/>
  <c r="B534" i="7"/>
  <c r="AE533" i="7"/>
  <c r="AD533" i="7"/>
  <c r="AC533" i="7"/>
  <c r="AB533" i="7"/>
  <c r="AA533" i="7"/>
  <c r="Z533" i="7"/>
  <c r="Y533" i="7"/>
  <c r="X533" i="7"/>
  <c r="W533" i="7"/>
  <c r="V533" i="7"/>
  <c r="U533" i="7"/>
  <c r="T533" i="7"/>
  <c r="S533" i="7"/>
  <c r="R533" i="7"/>
  <c r="Q533" i="7"/>
  <c r="P533" i="7"/>
  <c r="O533" i="7"/>
  <c r="N533" i="7"/>
  <c r="M533" i="7"/>
  <c r="L533" i="7"/>
  <c r="K533" i="7"/>
  <c r="J533" i="7"/>
  <c r="I533" i="7"/>
  <c r="H533" i="7"/>
  <c r="G533" i="7"/>
  <c r="F533" i="7"/>
  <c r="E533" i="7"/>
  <c r="R532" i="7"/>
  <c r="D532" i="7" s="1"/>
  <c r="B532" i="7"/>
  <c r="D531" i="7"/>
  <c r="B531" i="7"/>
  <c r="AE530" i="7"/>
  <c r="AD530" i="7"/>
  <c r="AC530" i="7"/>
  <c r="AB530" i="7"/>
  <c r="AA530" i="7"/>
  <c r="Z530" i="7"/>
  <c r="Y530" i="7"/>
  <c r="X530" i="7"/>
  <c r="W530" i="7"/>
  <c r="V530" i="7"/>
  <c r="U530" i="7"/>
  <c r="T530" i="7"/>
  <c r="S530" i="7"/>
  <c r="Q530" i="7"/>
  <c r="P530" i="7"/>
  <c r="O530" i="7"/>
  <c r="N530" i="7"/>
  <c r="M530" i="7"/>
  <c r="L530" i="7"/>
  <c r="K530" i="7"/>
  <c r="J530" i="7"/>
  <c r="I530" i="7"/>
  <c r="H530" i="7"/>
  <c r="G530" i="7"/>
  <c r="F530" i="7"/>
  <c r="E530" i="7"/>
  <c r="CD529" i="7"/>
  <c r="D529" i="7"/>
  <c r="B529" i="7"/>
  <c r="AE528" i="7"/>
  <c r="AD528" i="7"/>
  <c r="AC528" i="7"/>
  <c r="AB528" i="7"/>
  <c r="AA528" i="7"/>
  <c r="Z528" i="7"/>
  <c r="Y528" i="7"/>
  <c r="X528" i="7"/>
  <c r="W528" i="7"/>
  <c r="V528" i="7"/>
  <c r="U528" i="7"/>
  <c r="T528" i="7"/>
  <c r="S528" i="7"/>
  <c r="R528" i="7"/>
  <c r="Q528" i="7"/>
  <c r="P528" i="7"/>
  <c r="O528" i="7"/>
  <c r="N528" i="7"/>
  <c r="M528" i="7"/>
  <c r="L528" i="7"/>
  <c r="K528" i="7"/>
  <c r="J528" i="7"/>
  <c r="I528" i="7"/>
  <c r="H528" i="7"/>
  <c r="G528" i="7"/>
  <c r="F528" i="7"/>
  <c r="E528" i="7"/>
  <c r="D527" i="7"/>
  <c r="B527" i="7"/>
  <c r="CD526" i="7"/>
  <c r="D526" i="7"/>
  <c r="B526" i="7"/>
  <c r="CD525" i="7"/>
  <c r="D525" i="7"/>
  <c r="B525" i="7"/>
  <c r="AC524" i="7"/>
  <c r="B524" i="7"/>
  <c r="CD523" i="7"/>
  <c r="D523" i="7"/>
  <c r="B523" i="7"/>
  <c r="AE522" i="7"/>
  <c r="AD522" i="7"/>
  <c r="AB522" i="7"/>
  <c r="AA522" i="7"/>
  <c r="Z522" i="7"/>
  <c r="Y522" i="7"/>
  <c r="X522" i="7"/>
  <c r="W522" i="7"/>
  <c r="V522" i="7"/>
  <c r="U522" i="7"/>
  <c r="T522" i="7"/>
  <c r="S522" i="7"/>
  <c r="R522" i="7"/>
  <c r="Q522" i="7"/>
  <c r="P522" i="7"/>
  <c r="O522" i="7"/>
  <c r="N522" i="7"/>
  <c r="M522" i="7"/>
  <c r="L522" i="7"/>
  <c r="K522" i="7"/>
  <c r="J522" i="7"/>
  <c r="I522" i="7"/>
  <c r="H522" i="7"/>
  <c r="G522" i="7"/>
  <c r="F522" i="7"/>
  <c r="E522" i="7"/>
  <c r="AC521" i="7"/>
  <c r="B521" i="7"/>
  <c r="D520" i="7"/>
  <c r="B520" i="7"/>
  <c r="AE519" i="7"/>
  <c r="AD519" i="7"/>
  <c r="AB519" i="7"/>
  <c r="AA519" i="7"/>
  <c r="Z519" i="7"/>
  <c r="Y519" i="7"/>
  <c r="X519" i="7"/>
  <c r="W519" i="7"/>
  <c r="V519" i="7"/>
  <c r="U519" i="7"/>
  <c r="T519" i="7"/>
  <c r="S519" i="7"/>
  <c r="R519" i="7"/>
  <c r="Q519" i="7"/>
  <c r="P519" i="7"/>
  <c r="O519" i="7"/>
  <c r="N519" i="7"/>
  <c r="M519" i="7"/>
  <c r="L519" i="7"/>
  <c r="K519" i="7"/>
  <c r="J519" i="7"/>
  <c r="I519" i="7"/>
  <c r="H519" i="7"/>
  <c r="G519" i="7"/>
  <c r="F519" i="7"/>
  <c r="E519" i="7"/>
  <c r="D518" i="7"/>
  <c r="B518" i="7"/>
  <c r="AE517" i="7"/>
  <c r="AD517" i="7"/>
  <c r="AC517" i="7"/>
  <c r="AB517" i="7"/>
  <c r="AA517" i="7"/>
  <c r="Z517" i="7"/>
  <c r="Y517" i="7"/>
  <c r="X517" i="7"/>
  <c r="W517" i="7"/>
  <c r="V517" i="7"/>
  <c r="U517" i="7"/>
  <c r="T517" i="7"/>
  <c r="S517" i="7"/>
  <c r="R517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AC516" i="7"/>
  <c r="B516" i="7"/>
  <c r="D515" i="7"/>
  <c r="B515" i="7"/>
  <c r="AE514" i="7"/>
  <c r="AD514" i="7"/>
  <c r="AB514" i="7"/>
  <c r="AA514" i="7"/>
  <c r="Z514" i="7"/>
  <c r="Y514" i="7"/>
  <c r="X514" i="7"/>
  <c r="W514" i="7"/>
  <c r="V514" i="7"/>
  <c r="U514" i="7"/>
  <c r="T514" i="7"/>
  <c r="S514" i="7"/>
  <c r="R514" i="7"/>
  <c r="Q514" i="7"/>
  <c r="P514" i="7"/>
  <c r="O514" i="7"/>
  <c r="N514" i="7"/>
  <c r="M514" i="7"/>
  <c r="L514" i="7"/>
  <c r="K514" i="7"/>
  <c r="J514" i="7"/>
  <c r="I514" i="7"/>
  <c r="H514" i="7"/>
  <c r="G514" i="7"/>
  <c r="F514" i="7"/>
  <c r="E514" i="7"/>
  <c r="AC513" i="7"/>
  <c r="B513" i="7"/>
  <c r="D512" i="7"/>
  <c r="B512" i="7"/>
  <c r="AE511" i="7"/>
  <c r="AD511" i="7"/>
  <c r="AB511" i="7"/>
  <c r="AA511" i="7"/>
  <c r="Z511" i="7"/>
  <c r="Y511" i="7"/>
  <c r="X511" i="7"/>
  <c r="W511" i="7"/>
  <c r="V511" i="7"/>
  <c r="U511" i="7"/>
  <c r="T511" i="7"/>
  <c r="S511" i="7"/>
  <c r="R511" i="7"/>
  <c r="Q511" i="7"/>
  <c r="P511" i="7"/>
  <c r="O511" i="7"/>
  <c r="N511" i="7"/>
  <c r="M511" i="7"/>
  <c r="L511" i="7"/>
  <c r="K511" i="7"/>
  <c r="J511" i="7"/>
  <c r="I511" i="7"/>
  <c r="H511" i="7"/>
  <c r="G511" i="7"/>
  <c r="F511" i="7"/>
  <c r="E511" i="7"/>
  <c r="CD510" i="7"/>
  <c r="D510" i="7"/>
  <c r="B510" i="7"/>
  <c r="AE509" i="7"/>
  <c r="AD509" i="7"/>
  <c r="AC509" i="7"/>
  <c r="AB509" i="7"/>
  <c r="AA509" i="7"/>
  <c r="Z509" i="7"/>
  <c r="Y509" i="7"/>
  <c r="X509" i="7"/>
  <c r="W509" i="7"/>
  <c r="V509" i="7"/>
  <c r="U509" i="7"/>
  <c r="T509" i="7"/>
  <c r="S509" i="7"/>
  <c r="R509" i="7"/>
  <c r="Q509" i="7"/>
  <c r="P509" i="7"/>
  <c r="O509" i="7"/>
  <c r="N509" i="7"/>
  <c r="M509" i="7"/>
  <c r="L509" i="7"/>
  <c r="K509" i="7"/>
  <c r="J509" i="7"/>
  <c r="I509" i="7"/>
  <c r="H509" i="7"/>
  <c r="G509" i="7"/>
  <c r="F509" i="7"/>
  <c r="E509" i="7"/>
  <c r="CD508" i="7"/>
  <c r="D508" i="7"/>
  <c r="B508" i="7"/>
  <c r="AC507" i="7"/>
  <c r="D507" i="7" s="1"/>
  <c r="B507" i="7"/>
  <c r="D506" i="7"/>
  <c r="B506" i="7"/>
  <c r="D505" i="7"/>
  <c r="B505" i="7"/>
  <c r="D504" i="7"/>
  <c r="B504" i="7"/>
  <c r="AE503" i="7"/>
  <c r="AD503" i="7"/>
  <c r="AB503" i="7"/>
  <c r="AA503" i="7"/>
  <c r="Z503" i="7"/>
  <c r="Y503" i="7"/>
  <c r="X503" i="7"/>
  <c r="W503" i="7"/>
  <c r="V503" i="7"/>
  <c r="U503" i="7"/>
  <c r="T503" i="7"/>
  <c r="S503" i="7"/>
  <c r="R503" i="7"/>
  <c r="Q503" i="7"/>
  <c r="P503" i="7"/>
  <c r="O503" i="7"/>
  <c r="N503" i="7"/>
  <c r="M503" i="7"/>
  <c r="L503" i="7"/>
  <c r="K503" i="7"/>
  <c r="J503" i="7"/>
  <c r="I503" i="7"/>
  <c r="H503" i="7"/>
  <c r="G503" i="7"/>
  <c r="F503" i="7"/>
  <c r="E503" i="7"/>
  <c r="D502" i="7"/>
  <c r="B502" i="7"/>
  <c r="D501" i="7"/>
  <c r="B501" i="7"/>
  <c r="D500" i="7"/>
  <c r="B500" i="7"/>
  <c r="D499" i="7"/>
  <c r="B499" i="7"/>
  <c r="AE498" i="7"/>
  <c r="AD498" i="7"/>
  <c r="AC498" i="7"/>
  <c r="AB498" i="7"/>
  <c r="AA498" i="7"/>
  <c r="Z498" i="7"/>
  <c r="Y498" i="7"/>
  <c r="X498" i="7"/>
  <c r="W498" i="7"/>
  <c r="V498" i="7"/>
  <c r="U498" i="7"/>
  <c r="T498" i="7"/>
  <c r="S498" i="7"/>
  <c r="R498" i="7"/>
  <c r="Q498" i="7"/>
  <c r="P498" i="7"/>
  <c r="O498" i="7"/>
  <c r="N498" i="7"/>
  <c r="M498" i="7"/>
  <c r="L498" i="7"/>
  <c r="K498" i="7"/>
  <c r="J498" i="7"/>
  <c r="I498" i="7"/>
  <c r="H498" i="7"/>
  <c r="G498" i="7"/>
  <c r="F498" i="7"/>
  <c r="E498" i="7"/>
  <c r="AC496" i="7"/>
  <c r="B497" i="7"/>
  <c r="AE496" i="7"/>
  <c r="AD496" i="7"/>
  <c r="AB496" i="7"/>
  <c r="AA496" i="7"/>
  <c r="Z496" i="7"/>
  <c r="Y496" i="7"/>
  <c r="X496" i="7"/>
  <c r="W496" i="7"/>
  <c r="V496" i="7"/>
  <c r="U496" i="7"/>
  <c r="T496" i="7"/>
  <c r="S496" i="7"/>
  <c r="R496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CD495" i="7"/>
  <c r="D495" i="7"/>
  <c r="D494" i="7" s="1"/>
  <c r="B495" i="7"/>
  <c r="AE494" i="7"/>
  <c r="AD494" i="7"/>
  <c r="AC494" i="7"/>
  <c r="AB494" i="7"/>
  <c r="AA494" i="7"/>
  <c r="Z494" i="7"/>
  <c r="Y494" i="7"/>
  <c r="X494" i="7"/>
  <c r="W494" i="7"/>
  <c r="V494" i="7"/>
  <c r="U494" i="7"/>
  <c r="T494" i="7"/>
  <c r="S494" i="7"/>
  <c r="R494" i="7"/>
  <c r="Q494" i="7"/>
  <c r="P494" i="7"/>
  <c r="O494" i="7"/>
  <c r="N494" i="7"/>
  <c r="M494" i="7"/>
  <c r="L494" i="7"/>
  <c r="K494" i="7"/>
  <c r="J494" i="7"/>
  <c r="I494" i="7"/>
  <c r="H494" i="7"/>
  <c r="G494" i="7"/>
  <c r="F494" i="7"/>
  <c r="E494" i="7"/>
  <c r="D493" i="7"/>
  <c r="B493" i="7"/>
  <c r="D492" i="7"/>
  <c r="B492" i="7"/>
  <c r="CD491" i="7"/>
  <c r="D491" i="7"/>
  <c r="B491" i="7"/>
  <c r="CD490" i="7"/>
  <c r="D490" i="7"/>
  <c r="B490" i="7"/>
  <c r="CD489" i="7"/>
  <c r="AC489" i="7"/>
  <c r="B489" i="7"/>
  <c r="AT488" i="7"/>
  <c r="D488" i="7"/>
  <c r="B488" i="7"/>
  <c r="D487" i="7"/>
  <c r="B487" i="7"/>
  <c r="CD486" i="7"/>
  <c r="D486" i="7"/>
  <c r="B486" i="7"/>
  <c r="AE485" i="7"/>
  <c r="AD485" i="7"/>
  <c r="AB485" i="7"/>
  <c r="AA485" i="7"/>
  <c r="Z485" i="7"/>
  <c r="Y485" i="7"/>
  <c r="X485" i="7"/>
  <c r="W485" i="7"/>
  <c r="V485" i="7"/>
  <c r="U485" i="7"/>
  <c r="T485" i="7"/>
  <c r="S485" i="7"/>
  <c r="R485" i="7"/>
  <c r="Q485" i="7"/>
  <c r="P485" i="7"/>
  <c r="O485" i="7"/>
  <c r="N485" i="7"/>
  <c r="M485" i="7"/>
  <c r="L485" i="7"/>
  <c r="K485" i="7"/>
  <c r="J485" i="7"/>
  <c r="I485" i="7"/>
  <c r="H485" i="7"/>
  <c r="G485" i="7"/>
  <c r="F485" i="7"/>
  <c r="E485" i="7"/>
  <c r="CD484" i="7"/>
  <c r="D484" i="7"/>
  <c r="B484" i="7"/>
  <c r="D483" i="7"/>
  <c r="B483" i="7"/>
  <c r="D482" i="7"/>
  <c r="B482" i="7"/>
  <c r="CD481" i="7"/>
  <c r="AC481" i="7"/>
  <c r="D481" i="7" s="1"/>
  <c r="B481" i="7"/>
  <c r="CD480" i="7"/>
  <c r="AC480" i="7"/>
  <c r="D480" i="7" s="1"/>
  <c r="B480" i="7"/>
  <c r="D479" i="7"/>
  <c r="B479" i="7"/>
  <c r="D478" i="7"/>
  <c r="B478" i="7"/>
  <c r="D477" i="7"/>
  <c r="B477" i="7"/>
  <c r="CD476" i="7"/>
  <c r="D476" i="7"/>
  <c r="B476" i="7"/>
  <c r="B475" i="7"/>
  <c r="CD474" i="7"/>
  <c r="D474" i="7"/>
  <c r="B474" i="7"/>
  <c r="AE473" i="7"/>
  <c r="AD473" i="7"/>
  <c r="AB473" i="7"/>
  <c r="AA473" i="7"/>
  <c r="Z473" i="7"/>
  <c r="Y473" i="7"/>
  <c r="X473" i="7"/>
  <c r="W473" i="7"/>
  <c r="V473" i="7"/>
  <c r="U473" i="7"/>
  <c r="T473" i="7"/>
  <c r="S473" i="7"/>
  <c r="R473" i="7"/>
  <c r="Q473" i="7"/>
  <c r="P473" i="7"/>
  <c r="O473" i="7"/>
  <c r="N473" i="7"/>
  <c r="M473" i="7"/>
  <c r="L473" i="7"/>
  <c r="K473" i="7"/>
  <c r="J473" i="7"/>
  <c r="I473" i="7"/>
  <c r="H473" i="7"/>
  <c r="G473" i="7"/>
  <c r="F473" i="7"/>
  <c r="E473" i="7"/>
  <c r="AC472" i="7"/>
  <c r="D472" i="7" s="1"/>
  <c r="B472" i="7"/>
  <c r="CD471" i="7"/>
  <c r="D471" i="7"/>
  <c r="B471" i="7"/>
  <c r="D470" i="7"/>
  <c r="B470" i="7"/>
  <c r="CD469" i="7"/>
  <c r="D469" i="7"/>
  <c r="B469" i="7"/>
  <c r="AC468" i="7"/>
  <c r="B468" i="7"/>
  <c r="AE467" i="7"/>
  <c r="AD467" i="7"/>
  <c r="AB467" i="7"/>
  <c r="AA467" i="7"/>
  <c r="Z467" i="7"/>
  <c r="Y467" i="7"/>
  <c r="X467" i="7"/>
  <c r="W467" i="7"/>
  <c r="V467" i="7"/>
  <c r="U467" i="7"/>
  <c r="T467" i="7"/>
  <c r="S467" i="7"/>
  <c r="R467" i="7"/>
  <c r="Q467" i="7"/>
  <c r="P467" i="7"/>
  <c r="O467" i="7"/>
  <c r="M467" i="7"/>
  <c r="L467" i="7"/>
  <c r="K467" i="7"/>
  <c r="J467" i="7"/>
  <c r="I467" i="7"/>
  <c r="H467" i="7"/>
  <c r="G467" i="7"/>
  <c r="F467" i="7"/>
  <c r="E467" i="7"/>
  <c r="AC466" i="7"/>
  <c r="D466" i="7" s="1"/>
  <c r="B466" i="7"/>
  <c r="AE465" i="7"/>
  <c r="AD465" i="7"/>
  <c r="AB465" i="7"/>
  <c r="AA46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AC464" i="7"/>
  <c r="AC463" i="7" s="1"/>
  <c r="B464" i="7"/>
  <c r="AE463" i="7"/>
  <c r="AD463" i="7"/>
  <c r="AB463" i="7"/>
  <c r="AA463" i="7"/>
  <c r="Z463" i="7"/>
  <c r="Y463" i="7"/>
  <c r="X463" i="7"/>
  <c r="W463" i="7"/>
  <c r="V463" i="7"/>
  <c r="U463" i="7"/>
  <c r="T463" i="7"/>
  <c r="S463" i="7"/>
  <c r="R463" i="7"/>
  <c r="Q463" i="7"/>
  <c r="P463" i="7"/>
  <c r="O463" i="7"/>
  <c r="N463" i="7"/>
  <c r="M463" i="7"/>
  <c r="L463" i="7"/>
  <c r="K463" i="7"/>
  <c r="J463" i="7"/>
  <c r="I463" i="7"/>
  <c r="H463" i="7"/>
  <c r="G463" i="7"/>
  <c r="F463" i="7"/>
  <c r="E463" i="7"/>
  <c r="AC462" i="7"/>
  <c r="AC461" i="7" s="1"/>
  <c r="B462" i="7"/>
  <c r="AE461" i="7"/>
  <c r="AD461" i="7"/>
  <c r="AB461" i="7"/>
  <c r="AA461" i="7"/>
  <c r="Z461" i="7"/>
  <c r="Y461" i="7"/>
  <c r="X461" i="7"/>
  <c r="W461" i="7"/>
  <c r="V461" i="7"/>
  <c r="U461" i="7"/>
  <c r="T461" i="7"/>
  <c r="S461" i="7"/>
  <c r="R461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CD460" i="7"/>
  <c r="D460" i="7"/>
  <c r="B460" i="7"/>
  <c r="AE459" i="7"/>
  <c r="AD459" i="7"/>
  <c r="AC459" i="7"/>
  <c r="AB459" i="7"/>
  <c r="AA459" i="7"/>
  <c r="Z459" i="7"/>
  <c r="Y459" i="7"/>
  <c r="X459" i="7"/>
  <c r="W459" i="7"/>
  <c r="V459" i="7"/>
  <c r="U459" i="7"/>
  <c r="T459" i="7"/>
  <c r="S459" i="7"/>
  <c r="R459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CD458" i="7"/>
  <c r="D458" i="7"/>
  <c r="D457" i="7" s="1"/>
  <c r="B458" i="7"/>
  <c r="AE457" i="7"/>
  <c r="AD457" i="7"/>
  <c r="AC457" i="7"/>
  <c r="AB457" i="7"/>
  <c r="AA457" i="7"/>
  <c r="Z457" i="7"/>
  <c r="Y457" i="7"/>
  <c r="X457" i="7"/>
  <c r="W457" i="7"/>
  <c r="V457" i="7"/>
  <c r="U457" i="7"/>
  <c r="T457" i="7"/>
  <c r="S457" i="7"/>
  <c r="R457" i="7"/>
  <c r="Q457" i="7"/>
  <c r="P457" i="7"/>
  <c r="O457" i="7"/>
  <c r="N457" i="7"/>
  <c r="M457" i="7"/>
  <c r="L457" i="7"/>
  <c r="K457" i="7"/>
  <c r="J457" i="7"/>
  <c r="I457" i="7"/>
  <c r="H457" i="7"/>
  <c r="G457" i="7"/>
  <c r="F457" i="7"/>
  <c r="E457" i="7"/>
  <c r="CD456" i="7"/>
  <c r="AC456" i="7"/>
  <c r="B456" i="7"/>
  <c r="AE455" i="7"/>
  <c r="AD455" i="7"/>
  <c r="AB455" i="7"/>
  <c r="AA455" i="7"/>
  <c r="Z455" i="7"/>
  <c r="Y455" i="7"/>
  <c r="X455" i="7"/>
  <c r="W455" i="7"/>
  <c r="V455" i="7"/>
  <c r="U455" i="7"/>
  <c r="T455" i="7"/>
  <c r="S455" i="7"/>
  <c r="R455" i="7"/>
  <c r="Q455" i="7"/>
  <c r="P455" i="7"/>
  <c r="O455" i="7"/>
  <c r="N455" i="7"/>
  <c r="M455" i="7"/>
  <c r="L455" i="7"/>
  <c r="K455" i="7"/>
  <c r="J455" i="7"/>
  <c r="I455" i="7"/>
  <c r="H455" i="7"/>
  <c r="G455" i="7"/>
  <c r="F455" i="7"/>
  <c r="E455" i="7"/>
  <c r="AC454" i="7"/>
  <c r="D454" i="7" s="1"/>
  <c r="B454" i="7"/>
  <c r="AC453" i="7"/>
  <c r="D453" i="7" s="1"/>
  <c r="B453" i="7"/>
  <c r="CD452" i="7"/>
  <c r="AC452" i="7"/>
  <c r="D452" i="7" s="1"/>
  <c r="B452" i="7"/>
  <c r="CD451" i="7"/>
  <c r="AC451" i="7"/>
  <c r="D451" i="7" s="1"/>
  <c r="B451" i="7"/>
  <c r="CD450" i="7"/>
  <c r="AC450" i="7"/>
  <c r="D450" i="7" s="1"/>
  <c r="B450" i="7"/>
  <c r="CD449" i="7"/>
  <c r="AC449" i="7"/>
  <c r="D449" i="7" s="1"/>
  <c r="B449" i="7"/>
  <c r="D448" i="7"/>
  <c r="B448" i="7"/>
  <c r="AC447" i="7"/>
  <c r="B447" i="7"/>
  <c r="D446" i="7"/>
  <c r="B446" i="7"/>
  <c r="D445" i="7"/>
  <c r="B445" i="7"/>
  <c r="AE444" i="7"/>
  <c r="AD444" i="7"/>
  <c r="AB444" i="7"/>
  <c r="AA444" i="7"/>
  <c r="Z444" i="7"/>
  <c r="Y444" i="7"/>
  <c r="X444" i="7"/>
  <c r="W444" i="7"/>
  <c r="V444" i="7"/>
  <c r="U444" i="7"/>
  <c r="T444" i="7"/>
  <c r="S444" i="7"/>
  <c r="R444" i="7"/>
  <c r="Q444" i="7"/>
  <c r="P444" i="7"/>
  <c r="O444" i="7"/>
  <c r="N444" i="7"/>
  <c r="M444" i="7"/>
  <c r="L444" i="7"/>
  <c r="K444" i="7"/>
  <c r="J444" i="7"/>
  <c r="I444" i="7"/>
  <c r="H444" i="7"/>
  <c r="G444" i="7"/>
  <c r="F444" i="7"/>
  <c r="E444" i="7"/>
  <c r="AC443" i="7"/>
  <c r="D443" i="7" s="1"/>
  <c r="B443" i="7"/>
  <c r="CD442" i="7"/>
  <c r="D442" i="7"/>
  <c r="B442" i="7"/>
  <c r="AE441" i="7"/>
  <c r="AD441" i="7"/>
  <c r="AB441" i="7"/>
  <c r="AA441" i="7"/>
  <c r="Z441" i="7"/>
  <c r="Y441" i="7"/>
  <c r="X441" i="7"/>
  <c r="W441" i="7"/>
  <c r="V441" i="7"/>
  <c r="U441" i="7"/>
  <c r="T441" i="7"/>
  <c r="S441" i="7"/>
  <c r="R441" i="7"/>
  <c r="Q441" i="7"/>
  <c r="P441" i="7"/>
  <c r="O441" i="7"/>
  <c r="N441" i="7"/>
  <c r="M441" i="7"/>
  <c r="L441" i="7"/>
  <c r="K441" i="7"/>
  <c r="J441" i="7"/>
  <c r="I441" i="7"/>
  <c r="H441" i="7"/>
  <c r="G441" i="7"/>
  <c r="F441" i="7"/>
  <c r="E441" i="7"/>
  <c r="CD440" i="7"/>
  <c r="AC440" i="7"/>
  <c r="D440" i="7" s="1"/>
  <c r="B440" i="7"/>
  <c r="D439" i="7"/>
  <c r="B439" i="7"/>
  <c r="CD438" i="7"/>
  <c r="D438" i="7"/>
  <c r="B438" i="7"/>
  <c r="CD437" i="7"/>
  <c r="D437" i="7"/>
  <c r="B437" i="7"/>
  <c r="D436" i="7"/>
  <c r="B436" i="7"/>
  <c r="AE435" i="7"/>
  <c r="AD435" i="7"/>
  <c r="AB435" i="7"/>
  <c r="AA435" i="7"/>
  <c r="Z435" i="7"/>
  <c r="Y435" i="7"/>
  <c r="X435" i="7"/>
  <c r="W435" i="7"/>
  <c r="V435" i="7"/>
  <c r="U435" i="7"/>
  <c r="T435" i="7"/>
  <c r="S435" i="7"/>
  <c r="R435" i="7"/>
  <c r="Q435" i="7"/>
  <c r="P435" i="7"/>
  <c r="O435" i="7"/>
  <c r="N435" i="7"/>
  <c r="M435" i="7"/>
  <c r="L435" i="7"/>
  <c r="K435" i="7"/>
  <c r="J435" i="7"/>
  <c r="I435" i="7"/>
  <c r="H435" i="7"/>
  <c r="G435" i="7"/>
  <c r="F435" i="7"/>
  <c r="E435" i="7"/>
  <c r="AC434" i="7"/>
  <c r="D434" i="7" s="1"/>
  <c r="B434" i="7"/>
  <c r="D433" i="7"/>
  <c r="B433" i="7"/>
  <c r="D432" i="7"/>
  <c r="B432" i="7"/>
  <c r="D431" i="7"/>
  <c r="B431" i="7"/>
  <c r="B430" i="7"/>
  <c r="AC429" i="7"/>
  <c r="D429" i="7" s="1"/>
  <c r="B429" i="7"/>
  <c r="AE428" i="7"/>
  <c r="AD428" i="7"/>
  <c r="AB428" i="7"/>
  <c r="AA428" i="7"/>
  <c r="Z428" i="7"/>
  <c r="Y428" i="7"/>
  <c r="X428" i="7"/>
  <c r="W428" i="7"/>
  <c r="V428" i="7"/>
  <c r="U428" i="7"/>
  <c r="T428" i="7"/>
  <c r="S428" i="7"/>
  <c r="R428" i="7"/>
  <c r="Q428" i="7"/>
  <c r="P428" i="7"/>
  <c r="O428" i="7"/>
  <c r="N428" i="7"/>
  <c r="M428" i="7"/>
  <c r="L428" i="7"/>
  <c r="K428" i="7"/>
  <c r="J428" i="7"/>
  <c r="I428" i="7"/>
  <c r="H428" i="7"/>
  <c r="G428" i="7"/>
  <c r="F428" i="7"/>
  <c r="E428" i="7"/>
  <c r="AC427" i="7"/>
  <c r="D427" i="7" s="1"/>
  <c r="B427" i="7"/>
  <c r="B426" i="7"/>
  <c r="AC425" i="7"/>
  <c r="D425" i="7" s="1"/>
  <c r="B425" i="7"/>
  <c r="AE424" i="7"/>
  <c r="AD424" i="7"/>
  <c r="AB424" i="7"/>
  <c r="AA424" i="7"/>
  <c r="Z424" i="7"/>
  <c r="Y424" i="7"/>
  <c r="X424" i="7"/>
  <c r="W424" i="7"/>
  <c r="V424" i="7"/>
  <c r="U424" i="7"/>
  <c r="T424" i="7"/>
  <c r="S424" i="7"/>
  <c r="R424" i="7"/>
  <c r="Q424" i="7"/>
  <c r="P424" i="7"/>
  <c r="O424" i="7"/>
  <c r="N424" i="7"/>
  <c r="M424" i="7"/>
  <c r="L424" i="7"/>
  <c r="K424" i="7"/>
  <c r="J424" i="7"/>
  <c r="I424" i="7"/>
  <c r="H424" i="7"/>
  <c r="G424" i="7"/>
  <c r="F424" i="7"/>
  <c r="E424" i="7"/>
  <c r="D423" i="7"/>
  <c r="B423" i="7"/>
  <c r="AE422" i="7"/>
  <c r="AD422" i="7"/>
  <c r="AC422" i="7"/>
  <c r="AB422" i="7"/>
  <c r="AA422" i="7"/>
  <c r="Z422" i="7"/>
  <c r="Y422" i="7"/>
  <c r="X422" i="7"/>
  <c r="W422" i="7"/>
  <c r="V422" i="7"/>
  <c r="U422" i="7"/>
  <c r="T422" i="7"/>
  <c r="S422" i="7"/>
  <c r="R422" i="7"/>
  <c r="Q422" i="7"/>
  <c r="P422" i="7"/>
  <c r="O422" i="7"/>
  <c r="N422" i="7"/>
  <c r="M422" i="7"/>
  <c r="L422" i="7"/>
  <c r="K422" i="7"/>
  <c r="J422" i="7"/>
  <c r="I422" i="7"/>
  <c r="H422" i="7"/>
  <c r="G422" i="7"/>
  <c r="F422" i="7"/>
  <c r="E422" i="7"/>
  <c r="CD421" i="7"/>
  <c r="D421" i="7"/>
  <c r="B421" i="7"/>
  <c r="CD420" i="7"/>
  <c r="D420" i="7"/>
  <c r="B420" i="7"/>
  <c r="CD419" i="7"/>
  <c r="D419" i="7"/>
  <c r="B419" i="7"/>
  <c r="AE418" i="7"/>
  <c r="AD418" i="7"/>
  <c r="AC418" i="7"/>
  <c r="AB418" i="7"/>
  <c r="AA418" i="7"/>
  <c r="Z418" i="7"/>
  <c r="Y418" i="7"/>
  <c r="X418" i="7"/>
  <c r="W418" i="7"/>
  <c r="V418" i="7"/>
  <c r="U418" i="7"/>
  <c r="T418" i="7"/>
  <c r="S418" i="7"/>
  <c r="R418" i="7"/>
  <c r="Q418" i="7"/>
  <c r="P418" i="7"/>
  <c r="O418" i="7"/>
  <c r="N418" i="7"/>
  <c r="M418" i="7"/>
  <c r="L418" i="7"/>
  <c r="K418" i="7"/>
  <c r="J418" i="7"/>
  <c r="I418" i="7"/>
  <c r="H418" i="7"/>
  <c r="G418" i="7"/>
  <c r="F418" i="7"/>
  <c r="E418" i="7"/>
  <c r="AC417" i="7"/>
  <c r="D417" i="7" s="1"/>
  <c r="B417" i="7"/>
  <c r="AC416" i="7"/>
  <c r="D416" i="7" s="1"/>
  <c r="B416" i="7"/>
  <c r="AC415" i="7"/>
  <c r="D415" i="7" s="1"/>
  <c r="B415" i="7"/>
  <c r="AE414" i="7"/>
  <c r="AD414" i="7"/>
  <c r="AB414" i="7"/>
  <c r="AA414" i="7"/>
  <c r="Z414" i="7"/>
  <c r="Y414" i="7"/>
  <c r="X414" i="7"/>
  <c r="W414" i="7"/>
  <c r="V414" i="7"/>
  <c r="U414" i="7"/>
  <c r="T414" i="7"/>
  <c r="S414" i="7"/>
  <c r="R414" i="7"/>
  <c r="Q414" i="7"/>
  <c r="P414" i="7"/>
  <c r="O414" i="7"/>
  <c r="N414" i="7"/>
  <c r="M414" i="7"/>
  <c r="L414" i="7"/>
  <c r="K414" i="7"/>
  <c r="J414" i="7"/>
  <c r="I414" i="7"/>
  <c r="H414" i="7"/>
  <c r="G414" i="7"/>
  <c r="F414" i="7"/>
  <c r="E414" i="7"/>
  <c r="D413" i="7"/>
  <c r="B413" i="7"/>
  <c r="AE412" i="7"/>
  <c r="AD412" i="7"/>
  <c r="AC412" i="7"/>
  <c r="AB412" i="7"/>
  <c r="AA412" i="7"/>
  <c r="Z412" i="7"/>
  <c r="Y412" i="7"/>
  <c r="X412" i="7"/>
  <c r="W412" i="7"/>
  <c r="V412" i="7"/>
  <c r="U412" i="7"/>
  <c r="T412" i="7"/>
  <c r="S412" i="7"/>
  <c r="R412" i="7"/>
  <c r="Q412" i="7"/>
  <c r="P412" i="7"/>
  <c r="O412" i="7"/>
  <c r="N412" i="7"/>
  <c r="M412" i="7"/>
  <c r="L412" i="7"/>
  <c r="K412" i="7"/>
  <c r="J412" i="7"/>
  <c r="I412" i="7"/>
  <c r="H412" i="7"/>
  <c r="G412" i="7"/>
  <c r="F412" i="7"/>
  <c r="E412" i="7"/>
  <c r="AC411" i="7"/>
  <c r="D411" i="7" s="1"/>
  <c r="B411" i="7"/>
  <c r="AC410" i="7"/>
  <c r="D410" i="7" s="1"/>
  <c r="B410" i="7"/>
  <c r="AC409" i="7"/>
  <c r="D409" i="7" s="1"/>
  <c r="B409" i="7"/>
  <c r="CD408" i="7"/>
  <c r="AC408" i="7"/>
  <c r="D408" i="7" s="1"/>
  <c r="B408" i="7"/>
  <c r="AC407" i="7"/>
  <c r="B407" i="7"/>
  <c r="D406" i="7"/>
  <c r="B406" i="7"/>
  <c r="D405" i="7"/>
  <c r="B405" i="7"/>
  <c r="AE404" i="7"/>
  <c r="AD404" i="7"/>
  <c r="AB404" i="7"/>
  <c r="AA404" i="7"/>
  <c r="Z404" i="7"/>
  <c r="Y404" i="7"/>
  <c r="X404" i="7"/>
  <c r="W404" i="7"/>
  <c r="V404" i="7"/>
  <c r="U404" i="7"/>
  <c r="T404" i="7"/>
  <c r="S404" i="7"/>
  <c r="R404" i="7"/>
  <c r="Q404" i="7"/>
  <c r="P404" i="7"/>
  <c r="O404" i="7"/>
  <c r="N404" i="7"/>
  <c r="M404" i="7"/>
  <c r="L404" i="7"/>
  <c r="K404" i="7"/>
  <c r="J404" i="7"/>
  <c r="I404" i="7"/>
  <c r="H404" i="7"/>
  <c r="G404" i="7"/>
  <c r="F404" i="7"/>
  <c r="E404" i="7"/>
  <c r="D403" i="7"/>
  <c r="D402" i="7" s="1"/>
  <c r="B403" i="7"/>
  <c r="AE402" i="7"/>
  <c r="AD402" i="7"/>
  <c r="AC402" i="7"/>
  <c r="AB402" i="7"/>
  <c r="AA402" i="7"/>
  <c r="Z402" i="7"/>
  <c r="Y402" i="7"/>
  <c r="X402" i="7"/>
  <c r="W402" i="7"/>
  <c r="V402" i="7"/>
  <c r="U402" i="7"/>
  <c r="T402" i="7"/>
  <c r="S402" i="7"/>
  <c r="R402" i="7"/>
  <c r="Q402" i="7"/>
  <c r="P402" i="7"/>
  <c r="O402" i="7"/>
  <c r="N402" i="7"/>
  <c r="M402" i="7"/>
  <c r="L402" i="7"/>
  <c r="K402" i="7"/>
  <c r="J402" i="7"/>
  <c r="I402" i="7"/>
  <c r="H402" i="7"/>
  <c r="G402" i="7"/>
  <c r="F402" i="7"/>
  <c r="E402" i="7"/>
  <c r="AC401" i="7"/>
  <c r="B401" i="7"/>
  <c r="D400" i="7"/>
  <c r="B400" i="7"/>
  <c r="D399" i="7"/>
  <c r="B399" i="7"/>
  <c r="AC398" i="7"/>
  <c r="D398" i="7" s="1"/>
  <c r="B398" i="7"/>
  <c r="AE397" i="7"/>
  <c r="AD397" i="7"/>
  <c r="AB397" i="7"/>
  <c r="AA397" i="7"/>
  <c r="Z397" i="7"/>
  <c r="Y397" i="7"/>
  <c r="X397" i="7"/>
  <c r="W397" i="7"/>
  <c r="V397" i="7"/>
  <c r="U397" i="7"/>
  <c r="T397" i="7"/>
  <c r="S397" i="7"/>
  <c r="R397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CD396" i="7"/>
  <c r="AC396" i="7"/>
  <c r="AC395" i="7" s="1"/>
  <c r="B396" i="7"/>
  <c r="AE395" i="7"/>
  <c r="AD395" i="7"/>
  <c r="AB395" i="7"/>
  <c r="AA395" i="7"/>
  <c r="Z395" i="7"/>
  <c r="Y395" i="7"/>
  <c r="X395" i="7"/>
  <c r="W395" i="7"/>
  <c r="V395" i="7"/>
  <c r="U395" i="7"/>
  <c r="T395" i="7"/>
  <c r="S395" i="7"/>
  <c r="R395" i="7"/>
  <c r="Q395" i="7"/>
  <c r="P395" i="7"/>
  <c r="O395" i="7"/>
  <c r="N395" i="7"/>
  <c r="M395" i="7"/>
  <c r="L395" i="7"/>
  <c r="K395" i="7"/>
  <c r="J395" i="7"/>
  <c r="I395" i="7"/>
  <c r="H395" i="7"/>
  <c r="G395" i="7"/>
  <c r="F395" i="7"/>
  <c r="E395" i="7"/>
  <c r="D394" i="7"/>
  <c r="B394" i="7"/>
  <c r="D393" i="7"/>
  <c r="B393" i="7"/>
  <c r="AE392" i="7"/>
  <c r="AD392" i="7"/>
  <c r="AC392" i="7"/>
  <c r="AB392" i="7"/>
  <c r="AA392" i="7"/>
  <c r="Z392" i="7"/>
  <c r="Y392" i="7"/>
  <c r="X392" i="7"/>
  <c r="W392" i="7"/>
  <c r="V392" i="7"/>
  <c r="U392" i="7"/>
  <c r="T392" i="7"/>
  <c r="S392" i="7"/>
  <c r="R392" i="7"/>
  <c r="Q392" i="7"/>
  <c r="P392" i="7"/>
  <c r="O392" i="7"/>
  <c r="N392" i="7"/>
  <c r="M392" i="7"/>
  <c r="L392" i="7"/>
  <c r="K392" i="7"/>
  <c r="J392" i="7"/>
  <c r="I392" i="7"/>
  <c r="H392" i="7"/>
  <c r="G392" i="7"/>
  <c r="F392" i="7"/>
  <c r="E392" i="7"/>
  <c r="AC391" i="7"/>
  <c r="D391" i="7" s="1"/>
  <c r="B391" i="7"/>
  <c r="AC390" i="7"/>
  <c r="B390" i="7"/>
  <c r="D389" i="7"/>
  <c r="B389" i="7"/>
  <c r="CD388" i="7"/>
  <c r="D388" i="7"/>
  <c r="B388" i="7"/>
  <c r="AE387" i="7"/>
  <c r="AD387" i="7"/>
  <c r="AB387" i="7"/>
  <c r="AA387" i="7"/>
  <c r="Z387" i="7"/>
  <c r="Y387" i="7"/>
  <c r="X387" i="7"/>
  <c r="W387" i="7"/>
  <c r="V387" i="7"/>
  <c r="U387" i="7"/>
  <c r="T387" i="7"/>
  <c r="S387" i="7"/>
  <c r="R387" i="7"/>
  <c r="Q387" i="7"/>
  <c r="P387" i="7"/>
  <c r="O387" i="7"/>
  <c r="N387" i="7"/>
  <c r="M387" i="7"/>
  <c r="L387" i="7"/>
  <c r="K387" i="7"/>
  <c r="J387" i="7"/>
  <c r="I387" i="7"/>
  <c r="H387" i="7"/>
  <c r="G387" i="7"/>
  <c r="F387" i="7"/>
  <c r="E387" i="7"/>
  <c r="D386" i="7"/>
  <c r="B386" i="7"/>
  <c r="AE385" i="7"/>
  <c r="AD385" i="7"/>
  <c r="AC385" i="7"/>
  <c r="AB385" i="7"/>
  <c r="AA385" i="7"/>
  <c r="Z385" i="7"/>
  <c r="Y385" i="7"/>
  <c r="X385" i="7"/>
  <c r="W385" i="7"/>
  <c r="V385" i="7"/>
  <c r="U385" i="7"/>
  <c r="T385" i="7"/>
  <c r="S385" i="7"/>
  <c r="R385" i="7"/>
  <c r="Q385" i="7"/>
  <c r="P385" i="7"/>
  <c r="O385" i="7"/>
  <c r="N385" i="7"/>
  <c r="M385" i="7"/>
  <c r="L385" i="7"/>
  <c r="K385" i="7"/>
  <c r="J385" i="7"/>
  <c r="I385" i="7"/>
  <c r="H385" i="7"/>
  <c r="G385" i="7"/>
  <c r="F385" i="7"/>
  <c r="E385" i="7"/>
  <c r="CD384" i="7"/>
  <c r="D384" i="7"/>
  <c r="B384" i="7"/>
  <c r="AE383" i="7"/>
  <c r="AD383" i="7"/>
  <c r="AC383" i="7"/>
  <c r="AB383" i="7"/>
  <c r="AA383" i="7"/>
  <c r="Z383" i="7"/>
  <c r="Y383" i="7"/>
  <c r="X383" i="7"/>
  <c r="W383" i="7"/>
  <c r="V383" i="7"/>
  <c r="U383" i="7"/>
  <c r="T383" i="7"/>
  <c r="S383" i="7"/>
  <c r="R383" i="7"/>
  <c r="Q383" i="7"/>
  <c r="P383" i="7"/>
  <c r="O383" i="7"/>
  <c r="N383" i="7"/>
  <c r="M383" i="7"/>
  <c r="L383" i="7"/>
  <c r="K383" i="7"/>
  <c r="J383" i="7"/>
  <c r="I383" i="7"/>
  <c r="H383" i="7"/>
  <c r="G383" i="7"/>
  <c r="F383" i="7"/>
  <c r="E383" i="7"/>
  <c r="B382" i="7"/>
  <c r="CD381" i="7"/>
  <c r="D381" i="7"/>
  <c r="B381" i="7"/>
  <c r="AE380" i="7"/>
  <c r="AD380" i="7"/>
  <c r="AB380" i="7"/>
  <c r="AA380" i="7"/>
  <c r="Z380" i="7"/>
  <c r="Y380" i="7"/>
  <c r="X380" i="7"/>
  <c r="W380" i="7"/>
  <c r="V380" i="7"/>
  <c r="U380" i="7"/>
  <c r="T380" i="7"/>
  <c r="S380" i="7"/>
  <c r="R380" i="7"/>
  <c r="Q380" i="7"/>
  <c r="P380" i="7"/>
  <c r="O380" i="7"/>
  <c r="N380" i="7"/>
  <c r="M380" i="7"/>
  <c r="L380" i="7"/>
  <c r="K380" i="7"/>
  <c r="J380" i="7"/>
  <c r="I380" i="7"/>
  <c r="G380" i="7"/>
  <c r="F380" i="7"/>
  <c r="E380" i="7"/>
  <c r="CD375" i="7"/>
  <c r="D375" i="7"/>
  <c r="B375" i="7"/>
  <c r="CD374" i="7"/>
  <c r="D374" i="7"/>
  <c r="B374" i="7"/>
  <c r="D373" i="7"/>
  <c r="B373" i="7"/>
  <c r="CD372" i="7"/>
  <c r="D372" i="7"/>
  <c r="B372" i="7"/>
  <c r="CD371" i="7"/>
  <c r="D371" i="7"/>
  <c r="B371" i="7"/>
  <c r="CD370" i="7"/>
  <c r="D370" i="7"/>
  <c r="B370" i="7"/>
  <c r="R369" i="7"/>
  <c r="AC369" i="7" s="1"/>
  <c r="D369" i="7" s="1"/>
  <c r="B369" i="7"/>
  <c r="D368" i="7"/>
  <c r="B368" i="7"/>
  <c r="D367" i="7"/>
  <c r="B367" i="7"/>
  <c r="CD366" i="7"/>
  <c r="D366" i="7"/>
  <c r="B366" i="7"/>
  <c r="D365" i="7"/>
  <c r="B365" i="7"/>
  <c r="D364" i="7"/>
  <c r="B364" i="7"/>
  <c r="AC363" i="7"/>
  <c r="B363" i="7"/>
  <c r="AE362" i="7"/>
  <c r="AD362" i="7"/>
  <c r="AB362" i="7"/>
  <c r="AA362" i="7"/>
  <c r="Z362" i="7"/>
  <c r="Y362" i="7"/>
  <c r="X362" i="7"/>
  <c r="W362" i="7"/>
  <c r="V362" i="7"/>
  <c r="U362" i="7"/>
  <c r="T362" i="7"/>
  <c r="S362" i="7"/>
  <c r="Q362" i="7"/>
  <c r="P362" i="7"/>
  <c r="O362" i="7"/>
  <c r="N362" i="7"/>
  <c r="M362" i="7"/>
  <c r="L362" i="7"/>
  <c r="K362" i="7"/>
  <c r="J362" i="7"/>
  <c r="I362" i="7"/>
  <c r="H362" i="7"/>
  <c r="G362" i="7"/>
  <c r="F362" i="7"/>
  <c r="E362" i="7"/>
  <c r="AC360" i="7"/>
  <c r="B361" i="7"/>
  <c r="AE360" i="7"/>
  <c r="AD360" i="7"/>
  <c r="AB360" i="7"/>
  <c r="AA360" i="7"/>
  <c r="Z360" i="7"/>
  <c r="Y360" i="7"/>
  <c r="X360" i="7"/>
  <c r="W360" i="7"/>
  <c r="V360" i="7"/>
  <c r="U360" i="7"/>
  <c r="T360" i="7"/>
  <c r="S360" i="7"/>
  <c r="R360" i="7"/>
  <c r="Q360" i="7"/>
  <c r="P360" i="7"/>
  <c r="O360" i="7"/>
  <c r="N360" i="7"/>
  <c r="M360" i="7"/>
  <c r="L360" i="7"/>
  <c r="K360" i="7"/>
  <c r="J360" i="7"/>
  <c r="I360" i="7"/>
  <c r="H360" i="7"/>
  <c r="G360" i="7"/>
  <c r="F360" i="7"/>
  <c r="E360" i="7"/>
  <c r="G359" i="7"/>
  <c r="D359" i="7" s="1"/>
  <c r="B359" i="7"/>
  <c r="D358" i="7"/>
  <c r="B358" i="7"/>
  <c r="AE357" i="7"/>
  <c r="AD357" i="7"/>
  <c r="AC357" i="7"/>
  <c r="AB357" i="7"/>
  <c r="AA357" i="7"/>
  <c r="Z357" i="7"/>
  <c r="Y357" i="7"/>
  <c r="X357" i="7"/>
  <c r="W357" i="7"/>
  <c r="V357" i="7"/>
  <c r="U357" i="7"/>
  <c r="T357" i="7"/>
  <c r="S357" i="7"/>
  <c r="R357" i="7"/>
  <c r="Q357" i="7"/>
  <c r="P357" i="7"/>
  <c r="O357" i="7"/>
  <c r="N357" i="7"/>
  <c r="M357" i="7"/>
  <c r="L357" i="7"/>
  <c r="K357" i="7"/>
  <c r="J357" i="7"/>
  <c r="I357" i="7"/>
  <c r="H357" i="7"/>
  <c r="F357" i="7"/>
  <c r="E357" i="7"/>
  <c r="D356" i="7"/>
  <c r="B356" i="7"/>
  <c r="D355" i="7"/>
  <c r="B355" i="7"/>
  <c r="AC354" i="7"/>
  <c r="D354" i="7" s="1"/>
  <c r="B354" i="7"/>
  <c r="AE353" i="7"/>
  <c r="AD353" i="7"/>
  <c r="AB353" i="7"/>
  <c r="AA353" i="7"/>
  <c r="Z353" i="7"/>
  <c r="Y353" i="7"/>
  <c r="X353" i="7"/>
  <c r="W353" i="7"/>
  <c r="V353" i="7"/>
  <c r="U353" i="7"/>
  <c r="T353" i="7"/>
  <c r="S353" i="7"/>
  <c r="R353" i="7"/>
  <c r="Q353" i="7"/>
  <c r="P353" i="7"/>
  <c r="O353" i="7"/>
  <c r="N353" i="7"/>
  <c r="M353" i="7"/>
  <c r="L353" i="7"/>
  <c r="K353" i="7"/>
  <c r="J353" i="7"/>
  <c r="I353" i="7"/>
  <c r="H353" i="7"/>
  <c r="G353" i="7"/>
  <c r="F353" i="7"/>
  <c r="E353" i="7"/>
  <c r="D352" i="7"/>
  <c r="B352" i="7"/>
  <c r="CD351" i="7"/>
  <c r="D351" i="7"/>
  <c r="B351" i="7"/>
  <c r="AE350" i="7"/>
  <c r="AD350" i="7"/>
  <c r="AC350" i="7"/>
  <c r="AB350" i="7"/>
  <c r="AA350" i="7"/>
  <c r="Z350" i="7"/>
  <c r="Y350" i="7"/>
  <c r="X350" i="7"/>
  <c r="W350" i="7"/>
  <c r="V350" i="7"/>
  <c r="U350" i="7"/>
  <c r="T350" i="7"/>
  <c r="S350" i="7"/>
  <c r="R350" i="7"/>
  <c r="Q350" i="7"/>
  <c r="P350" i="7"/>
  <c r="O350" i="7"/>
  <c r="N350" i="7"/>
  <c r="M350" i="7"/>
  <c r="L350" i="7"/>
  <c r="K350" i="7"/>
  <c r="J350" i="7"/>
  <c r="I350" i="7"/>
  <c r="H350" i="7"/>
  <c r="G350" i="7"/>
  <c r="F350" i="7"/>
  <c r="E350" i="7"/>
  <c r="D349" i="7"/>
  <c r="B349" i="7"/>
  <c r="D348" i="7"/>
  <c r="B348" i="7"/>
  <c r="AE347" i="7"/>
  <c r="AD347" i="7"/>
  <c r="AC347" i="7"/>
  <c r="AB347" i="7"/>
  <c r="AA347" i="7"/>
  <c r="Z347" i="7"/>
  <c r="Y347" i="7"/>
  <c r="X347" i="7"/>
  <c r="W347" i="7"/>
  <c r="V347" i="7"/>
  <c r="U347" i="7"/>
  <c r="T347" i="7"/>
  <c r="S347" i="7"/>
  <c r="R347" i="7"/>
  <c r="Q347" i="7"/>
  <c r="P347" i="7"/>
  <c r="O347" i="7"/>
  <c r="N347" i="7"/>
  <c r="M347" i="7"/>
  <c r="L347" i="7"/>
  <c r="K347" i="7"/>
  <c r="J347" i="7"/>
  <c r="I347" i="7"/>
  <c r="H347" i="7"/>
  <c r="G347" i="7"/>
  <c r="F347" i="7"/>
  <c r="E347" i="7"/>
  <c r="CD346" i="7"/>
  <c r="AC346" i="7"/>
  <c r="D346" i="7" s="1"/>
  <c r="B346" i="7"/>
  <c r="CD345" i="7"/>
  <c r="AC345" i="7"/>
  <c r="D345" i="7" s="1"/>
  <c r="B345" i="7"/>
  <c r="AC344" i="7"/>
  <c r="D344" i="7" s="1"/>
  <c r="B344" i="7"/>
  <c r="AC343" i="7"/>
  <c r="D343" i="7" s="1"/>
  <c r="B343" i="7"/>
  <c r="AE342" i="7"/>
  <c r="AD342" i="7"/>
  <c r="AB342" i="7"/>
  <c r="AA342" i="7"/>
  <c r="Z342" i="7"/>
  <c r="Y342" i="7"/>
  <c r="X342" i="7"/>
  <c r="W342" i="7"/>
  <c r="V342" i="7"/>
  <c r="U342" i="7"/>
  <c r="T342" i="7"/>
  <c r="S342" i="7"/>
  <c r="R342" i="7"/>
  <c r="Q342" i="7"/>
  <c r="P342" i="7"/>
  <c r="O342" i="7"/>
  <c r="N342" i="7"/>
  <c r="M342" i="7"/>
  <c r="L342" i="7"/>
  <c r="K342" i="7"/>
  <c r="J342" i="7"/>
  <c r="I342" i="7"/>
  <c r="H342" i="7"/>
  <c r="G342" i="7"/>
  <c r="F342" i="7"/>
  <c r="E342" i="7"/>
  <c r="AC341" i="7"/>
  <c r="D341" i="7" s="1"/>
  <c r="CD339" i="7"/>
  <c r="AC339" i="7"/>
  <c r="D339" i="7" s="1"/>
  <c r="B339" i="7"/>
  <c r="CD338" i="7"/>
  <c r="D338" i="7"/>
  <c r="B338" i="7"/>
  <c r="CD337" i="7"/>
  <c r="D337" i="7"/>
  <c r="B337" i="7"/>
  <c r="CD336" i="7"/>
  <c r="D336" i="7"/>
  <c r="B336" i="7"/>
  <c r="CD335" i="7"/>
  <c r="D335" i="7"/>
  <c r="B335" i="7"/>
  <c r="D334" i="7"/>
  <c r="B334" i="7"/>
  <c r="AC333" i="7"/>
  <c r="D333" i="7" s="1"/>
  <c r="B333" i="7"/>
  <c r="D332" i="7"/>
  <c r="B332" i="7"/>
  <c r="AC331" i="7"/>
  <c r="D331" i="7" s="1"/>
  <c r="B331" i="7"/>
  <c r="D330" i="7"/>
  <c r="B330" i="7"/>
  <c r="AC329" i="7"/>
  <c r="D329" i="7" s="1"/>
  <c r="B329" i="7"/>
  <c r="D328" i="7"/>
  <c r="B328" i="7"/>
  <c r="AC327" i="7"/>
  <c r="D327" i="7" s="1"/>
  <c r="B327" i="7"/>
  <c r="D326" i="7"/>
  <c r="B326" i="7"/>
  <c r="AE325" i="7"/>
  <c r="AD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CD324" i="7"/>
  <c r="AC324" i="7"/>
  <c r="D324" i="7" s="1"/>
  <c r="B324" i="7"/>
  <c r="CD323" i="7"/>
  <c r="D323" i="7"/>
  <c r="B323" i="7"/>
  <c r="CD322" i="7"/>
  <c r="AC322" i="7"/>
  <c r="D322" i="7" s="1"/>
  <c r="B322" i="7"/>
  <c r="D321" i="7"/>
  <c r="B321" i="7"/>
  <c r="D320" i="7"/>
  <c r="B320" i="7"/>
  <c r="D319" i="7"/>
  <c r="B319" i="7"/>
  <c r="CD318" i="7"/>
  <c r="D318" i="7"/>
  <c r="B318" i="7"/>
  <c r="AC317" i="7"/>
  <c r="B317" i="7"/>
  <c r="AC316" i="7"/>
  <c r="D316" i="7" s="1"/>
  <c r="B316" i="7"/>
  <c r="L315" i="7"/>
  <c r="D315" i="7" s="1"/>
  <c r="B315" i="7"/>
  <c r="CD314" i="7"/>
  <c r="D314" i="7"/>
  <c r="B314" i="7"/>
  <c r="CD313" i="7"/>
  <c r="D313" i="7"/>
  <c r="B313" i="7"/>
  <c r="D312" i="7"/>
  <c r="B312" i="7"/>
  <c r="D311" i="7"/>
  <c r="B311" i="7"/>
  <c r="AC310" i="7"/>
  <c r="D310" i="7" s="1"/>
  <c r="B310" i="7"/>
  <c r="AE309" i="7"/>
  <c r="AD309" i="7"/>
  <c r="AB309" i="7"/>
  <c r="AA309" i="7"/>
  <c r="Z309" i="7"/>
  <c r="Y309" i="7"/>
  <c r="X309" i="7"/>
  <c r="W309" i="7"/>
  <c r="V309" i="7"/>
  <c r="U309" i="7"/>
  <c r="T309" i="7"/>
  <c r="S309" i="7"/>
  <c r="R309" i="7"/>
  <c r="Q309" i="7"/>
  <c r="P309" i="7"/>
  <c r="O309" i="7"/>
  <c r="N309" i="7"/>
  <c r="M309" i="7"/>
  <c r="K309" i="7"/>
  <c r="J309" i="7"/>
  <c r="I309" i="7"/>
  <c r="H309" i="7"/>
  <c r="G309" i="7"/>
  <c r="F309" i="7"/>
  <c r="E309" i="7"/>
  <c r="D308" i="7"/>
  <c r="B308" i="7"/>
  <c r="AE307" i="7"/>
  <c r="AD307" i="7"/>
  <c r="AC307" i="7"/>
  <c r="AB307" i="7"/>
  <c r="AA307" i="7"/>
  <c r="Z307" i="7"/>
  <c r="Y307" i="7"/>
  <c r="X307" i="7"/>
  <c r="W307" i="7"/>
  <c r="V307" i="7"/>
  <c r="U307" i="7"/>
  <c r="T307" i="7"/>
  <c r="S307" i="7"/>
  <c r="R307" i="7"/>
  <c r="Q307" i="7"/>
  <c r="P307" i="7"/>
  <c r="O307" i="7"/>
  <c r="N307" i="7"/>
  <c r="M307" i="7"/>
  <c r="L307" i="7"/>
  <c r="K307" i="7"/>
  <c r="J307" i="7"/>
  <c r="I307" i="7"/>
  <c r="H307" i="7"/>
  <c r="G307" i="7"/>
  <c r="F307" i="7"/>
  <c r="E307" i="7"/>
  <c r="D306" i="7"/>
  <c r="B306" i="7"/>
  <c r="B305" i="7"/>
  <c r="D304" i="7"/>
  <c r="B304" i="7"/>
  <c r="AC303" i="7"/>
  <c r="D303" i="7" s="1"/>
  <c r="B303" i="7"/>
  <c r="D302" i="7"/>
  <c r="B302" i="7"/>
  <c r="AE301" i="7"/>
  <c r="AD301" i="7"/>
  <c r="AB301" i="7"/>
  <c r="AA301" i="7"/>
  <c r="Z301" i="7"/>
  <c r="Y301" i="7"/>
  <c r="X301" i="7"/>
  <c r="W301" i="7"/>
  <c r="V301" i="7"/>
  <c r="U301" i="7"/>
  <c r="T301" i="7"/>
  <c r="S301" i="7"/>
  <c r="R301" i="7"/>
  <c r="Q301" i="7"/>
  <c r="P301" i="7"/>
  <c r="O301" i="7"/>
  <c r="N301" i="7"/>
  <c r="M301" i="7"/>
  <c r="L301" i="7"/>
  <c r="K301" i="7"/>
  <c r="J301" i="7"/>
  <c r="H301" i="7"/>
  <c r="G301" i="7"/>
  <c r="F301" i="7"/>
  <c r="E301" i="7"/>
  <c r="AC300" i="7"/>
  <c r="D300" i="7" s="1"/>
  <c r="B300" i="7"/>
  <c r="AC299" i="7"/>
  <c r="B299" i="7"/>
  <c r="D298" i="7"/>
  <c r="B298" i="7"/>
  <c r="D297" i="7"/>
  <c r="B297" i="7"/>
  <c r="D296" i="7"/>
  <c r="B296" i="7"/>
  <c r="AE295" i="7"/>
  <c r="AD295" i="7"/>
  <c r="AB295" i="7"/>
  <c r="AA295" i="7"/>
  <c r="Z295" i="7"/>
  <c r="Y295" i="7"/>
  <c r="X295" i="7"/>
  <c r="W295" i="7"/>
  <c r="V295" i="7"/>
  <c r="U295" i="7"/>
  <c r="T295" i="7"/>
  <c r="S295" i="7"/>
  <c r="R295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E295" i="7"/>
  <c r="D294" i="7"/>
  <c r="B294" i="7"/>
  <c r="CD293" i="7"/>
  <c r="B293" i="7"/>
  <c r="AE292" i="7"/>
  <c r="AD292" i="7"/>
  <c r="AB292" i="7"/>
  <c r="AA292" i="7"/>
  <c r="Z292" i="7"/>
  <c r="Y292" i="7"/>
  <c r="X292" i="7"/>
  <c r="W292" i="7"/>
  <c r="V292" i="7"/>
  <c r="U292" i="7"/>
  <c r="T292" i="7"/>
  <c r="S292" i="7"/>
  <c r="R292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1" i="7"/>
  <c r="D290" i="7" s="1"/>
  <c r="B291" i="7"/>
  <c r="AE290" i="7"/>
  <c r="AD290" i="7"/>
  <c r="AC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CD289" i="7"/>
  <c r="D289" i="7"/>
  <c r="B289" i="7"/>
  <c r="CD288" i="7"/>
  <c r="D288" i="7"/>
  <c r="B288" i="7"/>
  <c r="D287" i="7"/>
  <c r="B287" i="7"/>
  <c r="D286" i="7"/>
  <c r="B286" i="7"/>
  <c r="AE285" i="7"/>
  <c r="AD285" i="7"/>
  <c r="AC285" i="7"/>
  <c r="AB285" i="7"/>
  <c r="AA285" i="7"/>
  <c r="Z285" i="7"/>
  <c r="Y285" i="7"/>
  <c r="X285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4" i="7"/>
  <c r="B284" i="7"/>
  <c r="CD283" i="7"/>
  <c r="D283" i="7"/>
  <c r="B283" i="7"/>
  <c r="D282" i="7"/>
  <c r="B282" i="7"/>
  <c r="D281" i="7"/>
  <c r="B281" i="7"/>
  <c r="D280" i="7"/>
  <c r="B280" i="7"/>
  <c r="D279" i="7"/>
  <c r="B279" i="7"/>
  <c r="AE278" i="7"/>
  <c r="AD278" i="7"/>
  <c r="AC278" i="7"/>
  <c r="AB278" i="7"/>
  <c r="AA278" i="7"/>
  <c r="Z278" i="7"/>
  <c r="Y278" i="7"/>
  <c r="X278" i="7"/>
  <c r="W278" i="7"/>
  <c r="V278" i="7"/>
  <c r="U278" i="7"/>
  <c r="T278" i="7"/>
  <c r="S278" i="7"/>
  <c r="R278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CD277" i="7"/>
  <c r="D277" i="7"/>
  <c r="B277" i="7"/>
  <c r="CD276" i="7"/>
  <c r="D276" i="7"/>
  <c r="B276" i="7"/>
  <c r="CD275" i="7"/>
  <c r="D275" i="7"/>
  <c r="B275" i="7"/>
  <c r="D274" i="7"/>
  <c r="B274" i="7"/>
  <c r="D273" i="7"/>
  <c r="B273" i="7"/>
  <c r="AE272" i="7"/>
  <c r="AD272" i="7"/>
  <c r="AC272" i="7"/>
  <c r="AB272" i="7"/>
  <c r="AA272" i="7"/>
  <c r="Z272" i="7"/>
  <c r="Y272" i="7"/>
  <c r="X272" i="7"/>
  <c r="W272" i="7"/>
  <c r="V272" i="7"/>
  <c r="U272" i="7"/>
  <c r="T272" i="7"/>
  <c r="S272" i="7"/>
  <c r="R272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1" i="7"/>
  <c r="B271" i="7"/>
  <c r="AC270" i="7"/>
  <c r="D270" i="7" s="1"/>
  <c r="B270" i="7"/>
  <c r="D269" i="7"/>
  <c r="B269" i="7"/>
  <c r="D268" i="7"/>
  <c r="B268" i="7"/>
  <c r="CD267" i="7"/>
  <c r="D267" i="7"/>
  <c r="B267" i="7"/>
  <c r="CD266" i="7"/>
  <c r="D266" i="7"/>
  <c r="B266" i="7"/>
  <c r="D265" i="7"/>
  <c r="B265" i="7"/>
  <c r="CD264" i="7"/>
  <c r="D264" i="7"/>
  <c r="B264" i="7"/>
  <c r="CD263" i="7"/>
  <c r="D263" i="7"/>
  <c r="B263" i="7"/>
  <c r="D262" i="7"/>
  <c r="B262" i="7"/>
  <c r="D261" i="7"/>
  <c r="B261" i="7"/>
  <c r="D260" i="7"/>
  <c r="B260" i="7"/>
  <c r="CD259" i="7"/>
  <c r="D259" i="7"/>
  <c r="B259" i="7"/>
  <c r="CD258" i="7"/>
  <c r="D258" i="7"/>
  <c r="B258" i="7"/>
  <c r="CD257" i="7"/>
  <c r="D257" i="7"/>
  <c r="B257" i="7"/>
  <c r="D256" i="7"/>
  <c r="B256" i="7"/>
  <c r="D255" i="7"/>
  <c r="B255" i="7"/>
  <c r="D254" i="7"/>
  <c r="B254" i="7"/>
  <c r="D253" i="7"/>
  <c r="B253" i="7"/>
  <c r="CD252" i="7"/>
  <c r="D252" i="7"/>
  <c r="B252" i="7"/>
  <c r="CD251" i="7"/>
  <c r="D251" i="7"/>
  <c r="B251" i="7"/>
  <c r="CD250" i="7"/>
  <c r="D250" i="7"/>
  <c r="B250" i="7"/>
  <c r="AT249" i="7"/>
  <c r="D249" i="7"/>
  <c r="B249" i="7"/>
  <c r="AC248" i="7"/>
  <c r="D248" i="7" s="1"/>
  <c r="B248" i="7"/>
  <c r="AC247" i="7"/>
  <c r="D247" i="7" s="1"/>
  <c r="B247" i="7"/>
  <c r="L246" i="7"/>
  <c r="D246" i="7" s="1"/>
  <c r="B246" i="7"/>
  <c r="AE245" i="7"/>
  <c r="AD245" i="7"/>
  <c r="AB245" i="7"/>
  <c r="AA245" i="7"/>
  <c r="Z245" i="7"/>
  <c r="Y245" i="7"/>
  <c r="X245" i="7"/>
  <c r="W245" i="7"/>
  <c r="V245" i="7"/>
  <c r="U245" i="7"/>
  <c r="T245" i="7"/>
  <c r="S245" i="7"/>
  <c r="R245" i="7"/>
  <c r="Q245" i="7"/>
  <c r="P245" i="7"/>
  <c r="O245" i="7"/>
  <c r="N245" i="7"/>
  <c r="M245" i="7"/>
  <c r="K245" i="7"/>
  <c r="J245" i="7"/>
  <c r="I245" i="7"/>
  <c r="H245" i="7"/>
  <c r="G245" i="7"/>
  <c r="F245" i="7"/>
  <c r="E245" i="7"/>
  <c r="D244" i="7"/>
  <c r="B244" i="7"/>
  <c r="D243" i="7"/>
  <c r="B243" i="7"/>
  <c r="AC242" i="7"/>
  <c r="D242" i="7" s="1"/>
  <c r="B242" i="7"/>
  <c r="D241" i="7"/>
  <c r="B241" i="7"/>
  <c r="CD240" i="7"/>
  <c r="D240" i="7"/>
  <c r="B240" i="7"/>
  <c r="AE239" i="7"/>
  <c r="AD239" i="7"/>
  <c r="AB239" i="7"/>
  <c r="AA239" i="7"/>
  <c r="Z239" i="7"/>
  <c r="Y239" i="7"/>
  <c r="X239" i="7"/>
  <c r="W239" i="7"/>
  <c r="V239" i="7"/>
  <c r="U239" i="7"/>
  <c r="T239" i="7"/>
  <c r="S239" i="7"/>
  <c r="R239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AC238" i="7"/>
  <c r="D238" i="7" s="1"/>
  <c r="B238" i="7"/>
  <c r="B237" i="7"/>
  <c r="D236" i="7"/>
  <c r="B236" i="7"/>
  <c r="D235" i="7"/>
  <c r="B235" i="7"/>
  <c r="L234" i="7"/>
  <c r="D234" i="7" s="1"/>
  <c r="B234" i="7"/>
  <c r="L233" i="7"/>
  <c r="D233" i="7" s="1"/>
  <c r="B233" i="7"/>
  <c r="L232" i="7"/>
  <c r="D232" i="7" s="1"/>
  <c r="B232" i="7"/>
  <c r="D231" i="7"/>
  <c r="B231" i="7"/>
  <c r="D230" i="7"/>
  <c r="B230" i="7"/>
  <c r="D229" i="7"/>
  <c r="B229" i="7"/>
  <c r="D228" i="7"/>
  <c r="B228" i="7"/>
  <c r="D227" i="7"/>
  <c r="B227" i="7"/>
  <c r="D226" i="7"/>
  <c r="B226" i="7"/>
  <c r="D225" i="7"/>
  <c r="B225" i="7"/>
  <c r="D224" i="7"/>
  <c r="B224" i="7"/>
  <c r="D223" i="7"/>
  <c r="B223" i="7"/>
  <c r="AC222" i="7"/>
  <c r="D222" i="7" s="1"/>
  <c r="B222" i="7"/>
  <c r="D221" i="7"/>
  <c r="B221" i="7"/>
  <c r="D220" i="7"/>
  <c r="B220" i="7"/>
  <c r="D219" i="7"/>
  <c r="B219" i="7"/>
  <c r="D218" i="7"/>
  <c r="B218" i="7"/>
  <c r="D217" i="7"/>
  <c r="B217" i="7"/>
  <c r="CD216" i="7"/>
  <c r="D216" i="7"/>
  <c r="B216" i="7"/>
  <c r="CD215" i="7"/>
  <c r="D215" i="7"/>
  <c r="B215" i="7"/>
  <c r="D214" i="7"/>
  <c r="B214" i="7"/>
  <c r="D213" i="7"/>
  <c r="B213" i="7"/>
  <c r="AC212" i="7"/>
  <c r="D212" i="7" s="1"/>
  <c r="B212" i="7"/>
  <c r="CD211" i="7"/>
  <c r="AC211" i="7"/>
  <c r="D211" i="7" s="1"/>
  <c r="B211" i="7"/>
  <c r="D210" i="7"/>
  <c r="B210" i="7"/>
  <c r="L209" i="7"/>
  <c r="D209" i="7" s="1"/>
  <c r="B209" i="7"/>
  <c r="L208" i="7"/>
  <c r="D208" i="7" s="1"/>
  <c r="B208" i="7"/>
  <c r="D207" i="7"/>
  <c r="B207" i="7"/>
  <c r="L206" i="7"/>
  <c r="D206" i="7" s="1"/>
  <c r="B206" i="7"/>
  <c r="AC205" i="7"/>
  <c r="D205" i="7" s="1"/>
  <c r="B205" i="7"/>
  <c r="D204" i="7"/>
  <c r="B204" i="7"/>
  <c r="AC203" i="7"/>
  <c r="D203" i="7" s="1"/>
  <c r="B203" i="7"/>
  <c r="AE202" i="7"/>
  <c r="AD202" i="7"/>
  <c r="AB202" i="7"/>
  <c r="AA202" i="7"/>
  <c r="Z202" i="7"/>
  <c r="Y202" i="7"/>
  <c r="X202" i="7"/>
  <c r="W202" i="7"/>
  <c r="V202" i="7"/>
  <c r="U202" i="7"/>
  <c r="T202" i="7"/>
  <c r="S202" i="7"/>
  <c r="R202" i="7"/>
  <c r="Q202" i="7"/>
  <c r="P202" i="7"/>
  <c r="O202" i="7"/>
  <c r="N202" i="7"/>
  <c r="M202" i="7"/>
  <c r="K202" i="7"/>
  <c r="J202" i="7"/>
  <c r="I202" i="7"/>
  <c r="H202" i="7"/>
  <c r="G202" i="7"/>
  <c r="F202" i="7"/>
  <c r="E202" i="7"/>
  <c r="AC201" i="7"/>
  <c r="D201" i="7" s="1"/>
  <c r="B201" i="7"/>
  <c r="AC200" i="7"/>
  <c r="D200" i="7" s="1"/>
  <c r="B200" i="7"/>
  <c r="AC199" i="7"/>
  <c r="D199" i="7" s="1"/>
  <c r="B199" i="7"/>
  <c r="AC198" i="7"/>
  <c r="D198" i="7" s="1"/>
  <c r="B198" i="7"/>
  <c r="AC197" i="7"/>
  <c r="D197" i="7" s="1"/>
  <c r="B197" i="7"/>
  <c r="AC196" i="7"/>
  <c r="D196" i="7" s="1"/>
  <c r="B196" i="7"/>
  <c r="AC195" i="7"/>
  <c r="D195" i="7" s="1"/>
  <c r="B195" i="7"/>
  <c r="AT194" i="7"/>
  <c r="D194" i="7"/>
  <c r="B194" i="7"/>
  <c r="D193" i="7"/>
  <c r="B193" i="7"/>
  <c r="D192" i="7"/>
  <c r="B192" i="7"/>
  <c r="D191" i="7"/>
  <c r="B191" i="7"/>
  <c r="CD190" i="7"/>
  <c r="D190" i="7"/>
  <c r="B190" i="7"/>
  <c r="D189" i="7"/>
  <c r="B189" i="7"/>
  <c r="D188" i="7"/>
  <c r="B188" i="7"/>
  <c r="D187" i="7"/>
  <c r="B187" i="7"/>
  <c r="D186" i="7"/>
  <c r="B186" i="7"/>
  <c r="AC185" i="7"/>
  <c r="B185" i="7"/>
  <c r="D184" i="7"/>
  <c r="B184" i="7"/>
  <c r="D183" i="7"/>
  <c r="B183" i="7"/>
  <c r="D182" i="7"/>
  <c r="B182" i="7"/>
  <c r="D181" i="7"/>
  <c r="B181" i="7"/>
  <c r="D180" i="7"/>
  <c r="B180" i="7"/>
  <c r="D179" i="7"/>
  <c r="B179" i="7"/>
  <c r="D178" i="7"/>
  <c r="B178" i="7"/>
  <c r="D177" i="7"/>
  <c r="B177" i="7"/>
  <c r="D176" i="7"/>
  <c r="B176" i="7"/>
  <c r="D175" i="7"/>
  <c r="B175" i="7"/>
  <c r="CD174" i="7"/>
  <c r="D174" i="7"/>
  <c r="B174" i="7"/>
  <c r="D173" i="7"/>
  <c r="B173" i="7"/>
  <c r="D172" i="7"/>
  <c r="B172" i="7"/>
  <c r="CD171" i="7"/>
  <c r="D171" i="7"/>
  <c r="B171" i="7"/>
  <c r="D170" i="7"/>
  <c r="B170" i="7"/>
  <c r="D169" i="7"/>
  <c r="B169" i="7"/>
  <c r="CD168" i="7"/>
  <c r="D168" i="7"/>
  <c r="B168" i="7"/>
  <c r="CD167" i="7"/>
  <c r="D167" i="7"/>
  <c r="B167" i="7"/>
  <c r="D166" i="7"/>
  <c r="B166" i="7"/>
  <c r="D165" i="7"/>
  <c r="B165" i="7"/>
  <c r="D164" i="7"/>
  <c r="B164" i="7"/>
  <c r="CD163" i="7"/>
  <c r="D163" i="7"/>
  <c r="B163" i="7"/>
  <c r="AT162" i="7"/>
  <c r="D162" i="7"/>
  <c r="B162" i="7"/>
  <c r="D161" i="7"/>
  <c r="B161" i="7"/>
  <c r="D160" i="7"/>
  <c r="B160" i="7"/>
  <c r="CD159" i="7"/>
  <c r="D159" i="7"/>
  <c r="B159" i="7"/>
  <c r="D158" i="7"/>
  <c r="B158" i="7"/>
  <c r="CD157" i="7"/>
  <c r="D157" i="7"/>
  <c r="B157" i="7"/>
  <c r="AE156" i="7"/>
  <c r="AD156" i="7"/>
  <c r="AB156" i="7"/>
  <c r="AA156" i="7"/>
  <c r="Z156" i="7"/>
  <c r="Y156" i="7"/>
  <c r="X156" i="7"/>
  <c r="W156" i="7"/>
  <c r="V156" i="7"/>
  <c r="U156" i="7"/>
  <c r="T156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AC155" i="7"/>
  <c r="D155" i="7" s="1"/>
  <c r="B155" i="7"/>
  <c r="AC154" i="7"/>
  <c r="D154" i="7" s="1"/>
  <c r="B154" i="7"/>
  <c r="CD153" i="7"/>
  <c r="D153" i="7"/>
  <c r="B153" i="7"/>
  <c r="CD152" i="7"/>
  <c r="D152" i="7"/>
  <c r="B152" i="7"/>
  <c r="D151" i="7"/>
  <c r="B151" i="7"/>
  <c r="D150" i="7"/>
  <c r="B150" i="7"/>
  <c r="D149" i="7"/>
  <c r="B149" i="7"/>
  <c r="D148" i="7"/>
  <c r="B148" i="7"/>
  <c r="D147" i="7"/>
  <c r="B147" i="7"/>
  <c r="D146" i="7"/>
  <c r="B146" i="7"/>
  <c r="D145" i="7"/>
  <c r="B145" i="7"/>
  <c r="D144" i="7"/>
  <c r="B144" i="7"/>
  <c r="D143" i="7"/>
  <c r="B143" i="7"/>
  <c r="D142" i="7"/>
  <c r="B142" i="7"/>
  <c r="D141" i="7"/>
  <c r="B141" i="7"/>
  <c r="D140" i="7"/>
  <c r="B140" i="7"/>
  <c r="AC139" i="7"/>
  <c r="D139" i="7" s="1"/>
  <c r="B139" i="7"/>
  <c r="CD138" i="7"/>
  <c r="AC138" i="7"/>
  <c r="D138" i="7" s="1"/>
  <c r="B138" i="7"/>
  <c r="D137" i="7"/>
  <c r="B137" i="7"/>
  <c r="CD136" i="7"/>
  <c r="D136" i="7"/>
  <c r="B136" i="7"/>
  <c r="CD135" i="7"/>
  <c r="D135" i="7"/>
  <c r="B135" i="7"/>
  <c r="CD134" i="7"/>
  <c r="D134" i="7"/>
  <c r="B134" i="7"/>
  <c r="CD133" i="7"/>
  <c r="D133" i="7"/>
  <c r="B133" i="7"/>
  <c r="CD132" i="7"/>
  <c r="D132" i="7"/>
  <c r="B132" i="7"/>
  <c r="CD131" i="7"/>
  <c r="D131" i="7"/>
  <c r="B131" i="7"/>
  <c r="AC130" i="7"/>
  <c r="D130" i="7" s="1"/>
  <c r="B130" i="7"/>
  <c r="D129" i="7"/>
  <c r="B129" i="7"/>
  <c r="D128" i="7"/>
  <c r="B128" i="7"/>
  <c r="CD127" i="7"/>
  <c r="D127" i="7"/>
  <c r="B127" i="7"/>
  <c r="AE126" i="7"/>
  <c r="AD126" i="7"/>
  <c r="AB126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CD125" i="7"/>
  <c r="D125" i="7"/>
  <c r="B125" i="7"/>
  <c r="D124" i="7"/>
  <c r="B124" i="7"/>
  <c r="D123" i="7"/>
  <c r="B123" i="7"/>
  <c r="D122" i="7"/>
  <c r="B122" i="7"/>
  <c r="D121" i="7"/>
  <c r="B121" i="7"/>
  <c r="D120" i="7"/>
  <c r="B120" i="7"/>
  <c r="D119" i="7"/>
  <c r="B119" i="7"/>
  <c r="D118" i="7"/>
  <c r="B118" i="7"/>
  <c r="D117" i="7"/>
  <c r="B117" i="7"/>
  <c r="CD116" i="7"/>
  <c r="D116" i="7"/>
  <c r="B116" i="7"/>
  <c r="D115" i="7"/>
  <c r="B115" i="7"/>
  <c r="L114" i="7"/>
  <c r="D114" i="7" s="1"/>
  <c r="B114" i="7"/>
  <c r="D113" i="7"/>
  <c r="B113" i="7"/>
  <c r="L112" i="7"/>
  <c r="D112" i="7" s="1"/>
  <c r="B112" i="7"/>
  <c r="D111" i="7"/>
  <c r="B111" i="7"/>
  <c r="D110" i="7"/>
  <c r="B110" i="7"/>
  <c r="AC109" i="7"/>
  <c r="R109" i="7"/>
  <c r="R21" i="7" s="1"/>
  <c r="B109" i="7"/>
  <c r="D108" i="7"/>
  <c r="B108" i="7"/>
  <c r="D107" i="7"/>
  <c r="B107" i="7"/>
  <c r="D106" i="7"/>
  <c r="B106" i="7"/>
  <c r="D105" i="7"/>
  <c r="B105" i="7"/>
  <c r="D104" i="7"/>
  <c r="B104" i="7"/>
  <c r="D103" i="7"/>
  <c r="B103" i="7"/>
  <c r="CD102" i="7"/>
  <c r="D102" i="7"/>
  <c r="B102" i="7"/>
  <c r="D101" i="7"/>
  <c r="B101" i="7"/>
  <c r="CD100" i="7"/>
  <c r="D100" i="7"/>
  <c r="B100" i="7"/>
  <c r="CD99" i="7"/>
  <c r="D99" i="7"/>
  <c r="B99" i="7"/>
  <c r="CD98" i="7"/>
  <c r="D98" i="7"/>
  <c r="B98" i="7"/>
  <c r="CD97" i="7"/>
  <c r="D97" i="7"/>
  <c r="B97" i="7"/>
  <c r="CD96" i="7"/>
  <c r="D96" i="7"/>
  <c r="B96" i="7"/>
  <c r="CD95" i="7"/>
  <c r="D95" i="7"/>
  <c r="B95" i="7"/>
  <c r="D94" i="7"/>
  <c r="B94" i="7"/>
  <c r="D93" i="7"/>
  <c r="B93" i="7"/>
  <c r="D92" i="7"/>
  <c r="B92" i="7"/>
  <c r="D91" i="7"/>
  <c r="B91" i="7"/>
  <c r="CD90" i="7"/>
  <c r="D90" i="7"/>
  <c r="B90" i="7"/>
  <c r="D89" i="7"/>
  <c r="B89" i="7"/>
  <c r="D88" i="7"/>
  <c r="B88" i="7"/>
  <c r="D87" i="7"/>
  <c r="B87" i="7"/>
  <c r="D86" i="7"/>
  <c r="B86" i="7"/>
  <c r="CD85" i="7"/>
  <c r="D85" i="7"/>
  <c r="B85" i="7"/>
  <c r="D84" i="7"/>
  <c r="B84" i="7"/>
  <c r="D83" i="7"/>
  <c r="B83" i="7"/>
  <c r="D82" i="7"/>
  <c r="B82" i="7"/>
  <c r="CD81" i="7"/>
  <c r="D81" i="7"/>
  <c r="B81" i="7"/>
  <c r="CD80" i="7"/>
  <c r="D80" i="7"/>
  <c r="B80" i="7"/>
  <c r="CD79" i="7"/>
  <c r="D79" i="7"/>
  <c r="B79" i="7"/>
  <c r="CD78" i="7"/>
  <c r="M78" i="7"/>
  <c r="M21" i="7" s="1"/>
  <c r="D78" i="7"/>
  <c r="B78" i="7"/>
  <c r="D77" i="7"/>
  <c r="B77" i="7"/>
  <c r="CD76" i="7"/>
  <c r="D76" i="7"/>
  <c r="B76" i="7"/>
  <c r="D75" i="7"/>
  <c r="B75" i="7"/>
  <c r="CD74" i="7"/>
  <c r="D74" i="7"/>
  <c r="B74" i="7"/>
  <c r="CD73" i="7"/>
  <c r="D73" i="7"/>
  <c r="B73" i="7"/>
  <c r="D72" i="7"/>
  <c r="B72" i="7"/>
  <c r="D71" i="7"/>
  <c r="B71" i="7"/>
  <c r="CD70" i="7"/>
  <c r="D70" i="7"/>
  <c r="B70" i="7"/>
  <c r="CD69" i="7"/>
  <c r="N69" i="7"/>
  <c r="D69" i="7" s="1"/>
  <c r="B69" i="7"/>
  <c r="D68" i="7"/>
  <c r="B68" i="7"/>
  <c r="D67" i="7"/>
  <c r="B67" i="7"/>
  <c r="D66" i="7"/>
  <c r="B66" i="7"/>
  <c r="CD65" i="7"/>
  <c r="D65" i="7"/>
  <c r="B65" i="7"/>
  <c r="CD64" i="7"/>
  <c r="D64" i="7"/>
  <c r="B64" i="7"/>
  <c r="D63" i="7"/>
  <c r="B63" i="7"/>
  <c r="CD62" i="7"/>
  <c r="D62" i="7"/>
  <c r="B62" i="7"/>
  <c r="D61" i="7"/>
  <c r="B61" i="7"/>
  <c r="CD60" i="7"/>
  <c r="D60" i="7"/>
  <c r="B60" i="7"/>
  <c r="D59" i="7"/>
  <c r="B59" i="7"/>
  <c r="CD58" i="7"/>
  <c r="D58" i="7"/>
  <c r="B58" i="7"/>
  <c r="CD57" i="7"/>
  <c r="D57" i="7"/>
  <c r="B57" i="7"/>
  <c r="D56" i="7"/>
  <c r="B56" i="7"/>
  <c r="CD55" i="7"/>
  <c r="D55" i="7"/>
  <c r="B55" i="7"/>
  <c r="D54" i="7"/>
  <c r="B54" i="7"/>
  <c r="D53" i="7"/>
  <c r="B53" i="7"/>
  <c r="D52" i="7"/>
  <c r="B52" i="7"/>
  <c r="CD51" i="7"/>
  <c r="D51" i="7"/>
  <c r="B51" i="7"/>
  <c r="D50" i="7"/>
  <c r="B50" i="7"/>
  <c r="D49" i="7"/>
  <c r="B49" i="7"/>
  <c r="D48" i="7"/>
  <c r="B48" i="7"/>
  <c r="CD47" i="7"/>
  <c r="D47" i="7"/>
  <c r="B47" i="7"/>
  <c r="L46" i="7"/>
  <c r="D46" i="7" s="1"/>
  <c r="B46" i="7"/>
  <c r="D45" i="7"/>
  <c r="B45" i="7"/>
  <c r="L44" i="7"/>
  <c r="D44" i="7" s="1"/>
  <c r="B44" i="7"/>
  <c r="L43" i="7"/>
  <c r="D43" i="7" s="1"/>
  <c r="B43" i="7"/>
  <c r="D42" i="7"/>
  <c r="B42" i="7"/>
  <c r="D41" i="7"/>
  <c r="B41" i="7"/>
  <c r="CB40" i="7"/>
  <c r="AR40" i="7"/>
  <c r="D40" i="7"/>
  <c r="B40" i="7"/>
  <c r="D39" i="7"/>
  <c r="B39" i="7"/>
  <c r="D38" i="7"/>
  <c r="B38" i="7"/>
  <c r="D37" i="7"/>
  <c r="B37" i="7"/>
  <c r="D36" i="7"/>
  <c r="B36" i="7"/>
  <c r="AT35" i="7"/>
  <c r="L35" i="7"/>
  <c r="D35" i="7" s="1"/>
  <c r="B35" i="7"/>
  <c r="CD34" i="7"/>
  <c r="D34" i="7"/>
  <c r="B34" i="7"/>
  <c r="CD33" i="7"/>
  <c r="D33" i="7"/>
  <c r="B33" i="7"/>
  <c r="B32" i="7"/>
  <c r="CD31" i="7"/>
  <c r="D31" i="7"/>
  <c r="B31" i="7"/>
  <c r="D30" i="7"/>
  <c r="B30" i="7"/>
  <c r="AC29" i="7"/>
  <c r="D29" i="7" s="1"/>
  <c r="B29" i="7"/>
  <c r="D28" i="7"/>
  <c r="B28" i="7"/>
  <c r="CD27" i="7"/>
  <c r="D27" i="7"/>
  <c r="B27" i="7"/>
  <c r="D26" i="7"/>
  <c r="B26" i="7"/>
  <c r="D25" i="7"/>
  <c r="B25" i="7"/>
  <c r="D24" i="7"/>
  <c r="B24" i="7"/>
  <c r="D23" i="7"/>
  <c r="B23" i="7"/>
  <c r="D22" i="7"/>
  <c r="B22" i="7"/>
  <c r="AE21" i="7"/>
  <c r="AD21" i="7"/>
  <c r="AB21" i="7"/>
  <c r="AA21" i="7"/>
  <c r="Z21" i="7"/>
  <c r="Y21" i="7"/>
  <c r="X21" i="7"/>
  <c r="W21" i="7"/>
  <c r="V21" i="7"/>
  <c r="U21" i="7"/>
  <c r="T21" i="7"/>
  <c r="S21" i="7"/>
  <c r="Q21" i="7"/>
  <c r="P21" i="7"/>
  <c r="O21" i="7"/>
  <c r="K21" i="7"/>
  <c r="J21" i="7"/>
  <c r="I21" i="7"/>
  <c r="H21" i="7"/>
  <c r="G21" i="7"/>
  <c r="F21" i="7"/>
  <c r="E21" i="7"/>
  <c r="G1401" i="7" l="1"/>
  <c r="G1391" i="7" s="1"/>
  <c r="K1401" i="7"/>
  <c r="K1391" i="7" s="1"/>
  <c r="O1401" i="7"/>
  <c r="O1391" i="7" s="1"/>
  <c r="S1401" i="7"/>
  <c r="S1391" i="7" s="1"/>
  <c r="W1401" i="7"/>
  <c r="W1391" i="7" s="1"/>
  <c r="AA1401" i="7"/>
  <c r="AA1391" i="7" s="1"/>
  <c r="F1401" i="7"/>
  <c r="F1391" i="7" s="1"/>
  <c r="J1401" i="7"/>
  <c r="J1391" i="7" s="1"/>
  <c r="N1401" i="7"/>
  <c r="N1391" i="7" s="1"/>
  <c r="R1401" i="7"/>
  <c r="R1391" i="7" s="1"/>
  <c r="V1401" i="7"/>
  <c r="V1391" i="7" s="1"/>
  <c r="Z1401" i="7"/>
  <c r="Z1391" i="7" s="1"/>
  <c r="AE1401" i="7"/>
  <c r="AE1391" i="7" s="1"/>
  <c r="H1401" i="7"/>
  <c r="H1391" i="7" s="1"/>
  <c r="L1401" i="7"/>
  <c r="L1391" i="7" s="1"/>
  <c r="P1401" i="7"/>
  <c r="P1391" i="7" s="1"/>
  <c r="T1401" i="7"/>
  <c r="T1391" i="7" s="1"/>
  <c r="X1401" i="7"/>
  <c r="X1391" i="7" s="1"/>
  <c r="AB1401" i="7"/>
  <c r="AB1391" i="7" s="1"/>
  <c r="E1401" i="7"/>
  <c r="E1391" i="7" s="1"/>
  <c r="I1401" i="7"/>
  <c r="I1391" i="7" s="1"/>
  <c r="M1401" i="7"/>
  <c r="M1391" i="7" s="1"/>
  <c r="Q1401" i="7"/>
  <c r="Q1391" i="7" s="1"/>
  <c r="U1401" i="7"/>
  <c r="U1391" i="7" s="1"/>
  <c r="Y1401" i="7"/>
  <c r="Y1391" i="7" s="1"/>
  <c r="AD1401" i="7"/>
  <c r="AD1391" i="7" s="1"/>
  <c r="E9" i="10"/>
  <c r="D1312" i="7"/>
  <c r="AC1311" i="7"/>
  <c r="AC756" i="7"/>
  <c r="AC741" i="7" s="1"/>
  <c r="E15" i="11"/>
  <c r="E13" i="11"/>
  <c r="E12" i="11" s="1"/>
  <c r="E11" i="11" s="1"/>
  <c r="AC1042" i="7"/>
  <c r="AC1037" i="7" s="1"/>
  <c r="P556" i="7"/>
  <c r="X556" i="7"/>
  <c r="H556" i="7"/>
  <c r="AB556" i="7"/>
  <c r="Q556" i="7"/>
  <c r="M556" i="7"/>
  <c r="F556" i="7"/>
  <c r="J556" i="7"/>
  <c r="V556" i="7"/>
  <c r="Z556" i="7"/>
  <c r="I556" i="7"/>
  <c r="Y556" i="7"/>
  <c r="K556" i="7"/>
  <c r="O556" i="7"/>
  <c r="S556" i="7"/>
  <c r="W556" i="7"/>
  <c r="AA556" i="7"/>
  <c r="AE556" i="7"/>
  <c r="P1376" i="7"/>
  <c r="P1375" i="7" s="1"/>
  <c r="C209" i="5"/>
  <c r="C208" i="5" s="1"/>
  <c r="N681" i="7"/>
  <c r="X1376" i="7"/>
  <c r="X1375" i="7" s="1"/>
  <c r="K29" i="13"/>
  <c r="K14" i="13"/>
  <c r="I11" i="13"/>
  <c r="P11" i="13" s="1"/>
  <c r="I63" i="13"/>
  <c r="P63" i="13" s="1"/>
  <c r="J11" i="13"/>
  <c r="L11" i="13"/>
  <c r="K35" i="13"/>
  <c r="F18" i="8"/>
  <c r="F22" i="8"/>
  <c r="F37" i="8"/>
  <c r="F39" i="8"/>
  <c r="F52" i="8"/>
  <c r="F67" i="8"/>
  <c r="F72" i="8"/>
  <c r="F91" i="8"/>
  <c r="F119" i="8"/>
  <c r="F123" i="8"/>
  <c r="F132" i="8"/>
  <c r="F134" i="8"/>
  <c r="F138" i="8"/>
  <c r="F140" i="8"/>
  <c r="F142" i="8"/>
  <c r="F144" i="8"/>
  <c r="F148" i="8"/>
  <c r="F150" i="8"/>
  <c r="F152" i="8"/>
  <c r="F154" i="8"/>
  <c r="F158" i="8"/>
  <c r="F177" i="8"/>
  <c r="F179" i="8"/>
  <c r="F181" i="8"/>
  <c r="F199" i="8"/>
  <c r="F217" i="8"/>
  <c r="F219" i="8"/>
  <c r="F226" i="8"/>
  <c r="F241" i="8"/>
  <c r="F26" i="8"/>
  <c r="F32" i="8"/>
  <c r="F48" i="8"/>
  <c r="F62" i="8"/>
  <c r="F74" i="8"/>
  <c r="F76" i="8"/>
  <c r="F95" i="8"/>
  <c r="F106" i="8"/>
  <c r="F114" i="8"/>
  <c r="F116" i="8"/>
  <c r="F174" i="8"/>
  <c r="F193" i="8"/>
  <c r="F195" i="8"/>
  <c r="F203" i="8"/>
  <c r="AE205" i="8"/>
  <c r="F205" i="8" s="1"/>
  <c r="F207" i="8"/>
  <c r="F213" i="8"/>
  <c r="F228" i="8"/>
  <c r="F17" i="8"/>
  <c r="F21" i="8"/>
  <c r="F23" i="8"/>
  <c r="F29" i="8"/>
  <c r="F38" i="8"/>
  <c r="F51" i="8"/>
  <c r="F66" i="8"/>
  <c r="F68" i="8"/>
  <c r="F90" i="8"/>
  <c r="F92" i="8"/>
  <c r="F97" i="8"/>
  <c r="F99" i="8"/>
  <c r="F124" i="8"/>
  <c r="F131" i="8"/>
  <c r="F133" i="8"/>
  <c r="F135" i="8"/>
  <c r="F141" i="8"/>
  <c r="F143" i="8"/>
  <c r="F145" i="8"/>
  <c r="F147" i="8"/>
  <c r="F149" i="8"/>
  <c r="F151" i="8"/>
  <c r="F153" i="8"/>
  <c r="F157" i="8"/>
  <c r="F176" i="8"/>
  <c r="F180" i="8"/>
  <c r="F200" i="8"/>
  <c r="F216" i="8"/>
  <c r="F218" i="8"/>
  <c r="F221" i="8"/>
  <c r="F230" i="8"/>
  <c r="F237" i="8"/>
  <c r="F25" i="8"/>
  <c r="F31" i="8"/>
  <c r="F56" i="8"/>
  <c r="F54" i="8" s="1"/>
  <c r="F58" i="8"/>
  <c r="F70" i="8"/>
  <c r="F75" i="8"/>
  <c r="F107" i="8"/>
  <c r="F113" i="8"/>
  <c r="F128" i="8"/>
  <c r="F125" i="8" s="1"/>
  <c r="F171" i="8"/>
  <c r="F173" i="8"/>
  <c r="F192" i="8"/>
  <c r="F194" i="8"/>
  <c r="F196" i="8"/>
  <c r="F202" i="8"/>
  <c r="F206" i="8"/>
  <c r="F224" i="8"/>
  <c r="F239" i="8"/>
  <c r="F215" i="8"/>
  <c r="AE214" i="8"/>
  <c r="P204" i="8"/>
  <c r="P86" i="8" s="1"/>
  <c r="N12" i="8"/>
  <c r="W12" i="8"/>
  <c r="AF12" i="8"/>
  <c r="J12" i="8"/>
  <c r="S12" i="8"/>
  <c r="AA12" i="8"/>
  <c r="K12" i="8"/>
  <c r="X12" i="8"/>
  <c r="AE225" i="8"/>
  <c r="AE229" i="8"/>
  <c r="G12" i="8"/>
  <c r="T12" i="8"/>
  <c r="AB12" i="8"/>
  <c r="H12" i="8"/>
  <c r="L12" i="8"/>
  <c r="Q12" i="8"/>
  <c r="U12" i="8"/>
  <c r="Y12" i="8"/>
  <c r="AC12" i="8"/>
  <c r="S86" i="8"/>
  <c r="AE24" i="8"/>
  <c r="O12" i="8"/>
  <c r="AG12" i="8"/>
  <c r="I12" i="8"/>
  <c r="M12" i="8"/>
  <c r="R12" i="8"/>
  <c r="V12" i="8"/>
  <c r="Z12" i="8"/>
  <c r="AD12" i="8"/>
  <c r="C15" i="4"/>
  <c r="J63" i="13"/>
  <c r="I85" i="13"/>
  <c r="P85" i="13" s="1"/>
  <c r="L85" i="13"/>
  <c r="J85" i="13"/>
  <c r="K43" i="13"/>
  <c r="K72" i="13"/>
  <c r="K63" i="13" s="1"/>
  <c r="K85" i="13"/>
  <c r="AE71" i="8"/>
  <c r="F182" i="8"/>
  <c r="Q64" i="8"/>
  <c r="AE94" i="8"/>
  <c r="C14" i="4"/>
  <c r="C31" i="4" s="1"/>
  <c r="C32" i="4" s="1"/>
  <c r="E10" i="5"/>
  <c r="R908" i="7"/>
  <c r="AC910" i="7"/>
  <c r="D910" i="7" s="1"/>
  <c r="T1376" i="7"/>
  <c r="T1375" i="7" s="1"/>
  <c r="R905" i="7"/>
  <c r="L63" i="13"/>
  <c r="R362" i="7"/>
  <c r="G863" i="7"/>
  <c r="G64" i="8"/>
  <c r="K64" i="8"/>
  <c r="O64" i="8"/>
  <c r="S64" i="8"/>
  <c r="W64" i="8"/>
  <c r="AA64" i="8"/>
  <c r="Y64" i="8"/>
  <c r="AE227" i="8"/>
  <c r="AG64" i="8"/>
  <c r="AE73" i="8"/>
  <c r="E12" i="8"/>
  <c r="AE69" i="8"/>
  <c r="I64" i="8"/>
  <c r="J86" i="8"/>
  <c r="AE96" i="8"/>
  <c r="AF86" i="8"/>
  <c r="AE159" i="8"/>
  <c r="AE223" i="8"/>
  <c r="H64" i="8"/>
  <c r="P64" i="8"/>
  <c r="X64" i="8"/>
  <c r="AA86" i="8"/>
  <c r="E11" i="8"/>
  <c r="P54" i="8"/>
  <c r="P12" i="8" s="1"/>
  <c r="E64" i="8"/>
  <c r="M64" i="8"/>
  <c r="U64" i="8"/>
  <c r="AC64" i="8"/>
  <c r="N86" i="8"/>
  <c r="L64" i="8"/>
  <c r="T64" i="8"/>
  <c r="AB64" i="8"/>
  <c r="AF64" i="8"/>
  <c r="AE50" i="8"/>
  <c r="J64" i="8"/>
  <c r="N64" i="8"/>
  <c r="R64" i="8"/>
  <c r="V64" i="8"/>
  <c r="Z64" i="8"/>
  <c r="AD64" i="8"/>
  <c r="I86" i="8"/>
  <c r="M86" i="8"/>
  <c r="Q86" i="8"/>
  <c r="U86" i="8"/>
  <c r="Y86" i="8"/>
  <c r="AC86" i="8"/>
  <c r="R86" i="8"/>
  <c r="V86" i="8"/>
  <c r="Z86" i="8"/>
  <c r="AD86" i="8"/>
  <c r="W86" i="8"/>
  <c r="AE130" i="8"/>
  <c r="AE201" i="8"/>
  <c r="F211" i="8"/>
  <c r="AE210" i="8"/>
  <c r="F43" i="8"/>
  <c r="AE42" i="8"/>
  <c r="F84" i="8"/>
  <c r="AE83" i="8"/>
  <c r="G86" i="8"/>
  <c r="K86" i="8"/>
  <c r="O86" i="8"/>
  <c r="AE87" i="8"/>
  <c r="F178" i="8"/>
  <c r="AE175" i="8"/>
  <c r="F187" i="8"/>
  <c r="AE185" i="8"/>
  <c r="F235" i="8"/>
  <c r="AE234" i="8"/>
  <c r="F14" i="8"/>
  <c r="AE13" i="8"/>
  <c r="AE30" i="8"/>
  <c r="AE65" i="8"/>
  <c r="F78" i="8"/>
  <c r="AE77" i="8"/>
  <c r="H86" i="8"/>
  <c r="L86" i="8"/>
  <c r="AG86" i="8"/>
  <c r="F189" i="8"/>
  <c r="AE188" i="8"/>
  <c r="F82" i="8"/>
  <c r="AE81" i="8"/>
  <c r="F233" i="8"/>
  <c r="AE231" i="8"/>
  <c r="AE15" i="8"/>
  <c r="AE28" i="8"/>
  <c r="F34" i="8"/>
  <c r="AE33" i="8"/>
  <c r="AE36" i="8"/>
  <c r="F41" i="8"/>
  <c r="AE40" i="8"/>
  <c r="F47" i="8"/>
  <c r="AE44" i="8"/>
  <c r="F80" i="8"/>
  <c r="AE79" i="8"/>
  <c r="T86" i="8"/>
  <c r="X86" i="8"/>
  <c r="AB86" i="8"/>
  <c r="AE117" i="8"/>
  <c r="F191" i="8"/>
  <c r="AE190" i="8"/>
  <c r="F209" i="8"/>
  <c r="AE208" i="8"/>
  <c r="AE125" i="8"/>
  <c r="AE198" i="8"/>
  <c r="AE236" i="8"/>
  <c r="AE238" i="8"/>
  <c r="AE240" i="8"/>
  <c r="H1376" i="7"/>
  <c r="H1375" i="7" s="1"/>
  <c r="AE100" i="8"/>
  <c r="D987" i="7"/>
  <c r="N467" i="7"/>
  <c r="N1365" i="7"/>
  <c r="N856" i="7"/>
  <c r="R877" i="7"/>
  <c r="N1070" i="7"/>
  <c r="AC353" i="7"/>
  <c r="AC1010" i="7"/>
  <c r="D1010" i="7" s="1"/>
  <c r="AC1025" i="7"/>
  <c r="D1025" i="7" s="1"/>
  <c r="AC1273" i="7"/>
  <c r="D1273" i="7" s="1"/>
  <c r="N21" i="7"/>
  <c r="N970" i="7"/>
  <c r="N1043" i="7"/>
  <c r="D109" i="7"/>
  <c r="L803" i="7"/>
  <c r="G1178" i="7"/>
  <c r="G1091" i="7" s="1"/>
  <c r="L245" i="7"/>
  <c r="G741" i="7"/>
  <c r="AC1308" i="7"/>
  <c r="D1308" i="7" s="1"/>
  <c r="D1307" i="7" s="1"/>
  <c r="R530" i="7"/>
  <c r="E649" i="7"/>
  <c r="E556" i="7" s="1"/>
  <c r="N649" i="7"/>
  <c r="R649" i="7"/>
  <c r="G649" i="7"/>
  <c r="L741" i="7"/>
  <c r="N989" i="7"/>
  <c r="AC1032" i="7"/>
  <c r="D1032" i="7" s="1"/>
  <c r="D1031" i="7" s="1"/>
  <c r="N1087" i="7"/>
  <c r="U1276" i="7"/>
  <c r="U1091" i="7" s="1"/>
  <c r="G357" i="7"/>
  <c r="G20" i="7" s="1"/>
  <c r="H380" i="7"/>
  <c r="H20" i="7" s="1"/>
  <c r="N1029" i="7"/>
  <c r="AC1053" i="7"/>
  <c r="D1053" i="7" s="1"/>
  <c r="N1074" i="7"/>
  <c r="G803" i="7"/>
  <c r="AD821" i="7"/>
  <c r="AD556" i="7" s="1"/>
  <c r="AC993" i="7"/>
  <c r="D993" i="7" s="1"/>
  <c r="AC1035" i="7"/>
  <c r="D1035" i="7" s="1"/>
  <c r="N1050" i="7"/>
  <c r="AC1061" i="7"/>
  <c r="D1061" i="7" s="1"/>
  <c r="AC1076" i="7"/>
  <c r="D1076" i="7" s="1"/>
  <c r="L21" i="7"/>
  <c r="N925" i="7"/>
  <c r="N961" i="7"/>
  <c r="N976" i="7"/>
  <c r="D665" i="7"/>
  <c r="N877" i="7"/>
  <c r="N1276" i="7"/>
  <c r="C28" i="4"/>
  <c r="C27" i="4"/>
  <c r="C7" i="4"/>
  <c r="C8" i="4"/>
  <c r="AC667" i="7"/>
  <c r="D667" i="7" s="1"/>
  <c r="AC839" i="7"/>
  <c r="D839" i="7" s="1"/>
  <c r="AC842" i="7"/>
  <c r="D842" i="7" s="1"/>
  <c r="AC876" i="7"/>
  <c r="D876" i="7" s="1"/>
  <c r="T877" i="7"/>
  <c r="T556" i="7" s="1"/>
  <c r="AC881" i="7"/>
  <c r="D881" i="7" s="1"/>
  <c r="D947" i="7"/>
  <c r="N997" i="7"/>
  <c r="AC1055" i="7"/>
  <c r="D1055" i="7" s="1"/>
  <c r="D1054" i="7" s="1"/>
  <c r="AC1083" i="7"/>
  <c r="D1083" i="7" s="1"/>
  <c r="AC1277" i="7"/>
  <c r="D1277" i="7" s="1"/>
  <c r="L202" i="7"/>
  <c r="AC841" i="7"/>
  <c r="D841" i="7" s="1"/>
  <c r="D895" i="7"/>
  <c r="AC926" i="7"/>
  <c r="D926" i="7" s="1"/>
  <c r="U945" i="7"/>
  <c r="U556" i="7" s="1"/>
  <c r="AC962" i="7"/>
  <c r="AC961" i="7" s="1"/>
  <c r="AC977" i="7"/>
  <c r="AC976" i="7" s="1"/>
  <c r="G997" i="7"/>
  <c r="D1023" i="7"/>
  <c r="AC1028" i="7"/>
  <c r="D1028" i="7" s="1"/>
  <c r="N1033" i="7"/>
  <c r="AC1047" i="7"/>
  <c r="D1047" i="7" s="1"/>
  <c r="AC1057" i="7"/>
  <c r="D1057" i="7" s="1"/>
  <c r="D1056" i="7" s="1"/>
  <c r="G1074" i="7"/>
  <c r="AC1220" i="7"/>
  <c r="D1220" i="7" s="1"/>
  <c r="I301" i="7"/>
  <c r="I20" i="7" s="1"/>
  <c r="L309" i="7"/>
  <c r="D1293" i="7"/>
  <c r="AC868" i="7"/>
  <c r="AC985" i="7"/>
  <c r="AC1309" i="7"/>
  <c r="AC983" i="7"/>
  <c r="AC387" i="7"/>
  <c r="AC441" i="7"/>
  <c r="AC545" i="7"/>
  <c r="AC1238" i="7"/>
  <c r="AC1245" i="7"/>
  <c r="AC465" i="7"/>
  <c r="AC1226" i="7"/>
  <c r="D1007" i="7"/>
  <c r="D412" i="7"/>
  <c r="D1405" i="7"/>
  <c r="D1261" i="7"/>
  <c r="D1260" i="7" s="1"/>
  <c r="C21" i="4"/>
  <c r="C22" i="4"/>
  <c r="AC915" i="7"/>
  <c r="AC435" i="7"/>
  <c r="D852" i="7"/>
  <c r="D1227" i="7"/>
  <c r="D1226" i="7" s="1"/>
  <c r="AC1258" i="7"/>
  <c r="AB20" i="7"/>
  <c r="D307" i="7"/>
  <c r="AC1330" i="7"/>
  <c r="AC1365" i="7"/>
  <c r="AC923" i="7"/>
  <c r="AC202" i="7"/>
  <c r="D418" i="7"/>
  <c r="D464" i="7"/>
  <c r="D528" i="7"/>
  <c r="CB528" i="7" s="1"/>
  <c r="AC1267" i="7"/>
  <c r="M20" i="7"/>
  <c r="Y20" i="7"/>
  <c r="AC295" i="7"/>
  <c r="D347" i="7"/>
  <c r="CB347" i="7" s="1"/>
  <c r="D390" i="7"/>
  <c r="D931" i="7"/>
  <c r="AC930" i="7"/>
  <c r="N1203" i="7"/>
  <c r="AC1210" i="7"/>
  <c r="AC1203" i="7" s="1"/>
  <c r="AC1408" i="7"/>
  <c r="AC1401" i="7" s="1"/>
  <c r="U20" i="7"/>
  <c r="D414" i="7"/>
  <c r="D1263" i="7"/>
  <c r="AC1262" i="7"/>
  <c r="E20" i="7"/>
  <c r="Q20" i="7"/>
  <c r="AC844" i="7"/>
  <c r="D844" i="7" s="1"/>
  <c r="D913" i="7"/>
  <c r="AC1236" i="7"/>
  <c r="D1237" i="7"/>
  <c r="P20" i="7"/>
  <c r="T20" i="7"/>
  <c r="X20" i="7"/>
  <c r="D383" i="7"/>
  <c r="D396" i="7"/>
  <c r="D1059" i="7"/>
  <c r="D1058" i="7" s="1"/>
  <c r="AC1058" i="7"/>
  <c r="O1376" i="7"/>
  <c r="O1375" i="7" s="1"/>
  <c r="D497" i="7"/>
  <c r="D496" i="7" s="1"/>
  <c r="D918" i="7"/>
  <c r="AC1254" i="7"/>
  <c r="AC1029" i="7"/>
  <c r="AC1087" i="7"/>
  <c r="AC1290" i="7"/>
  <c r="F1376" i="7"/>
  <c r="F1375" i="7" s="1"/>
  <c r="J1376" i="7"/>
  <c r="J1375" i="7" s="1"/>
  <c r="N1376" i="7"/>
  <c r="N1375" i="7" s="1"/>
  <c r="R1376" i="7"/>
  <c r="R1375" i="7" s="1"/>
  <c r="V1376" i="7"/>
  <c r="V1375" i="7" s="1"/>
  <c r="Z1376" i="7"/>
  <c r="Z1375" i="7" s="1"/>
  <c r="AD1376" i="7"/>
  <c r="AD1375" i="7" s="1"/>
  <c r="D353" i="7"/>
  <c r="D1319" i="7"/>
  <c r="D1318" i="7" s="1"/>
  <c r="AC1318" i="7"/>
  <c r="D1323" i="7"/>
  <c r="AC1322" i="7"/>
  <c r="AC1326" i="7"/>
  <c r="D1327" i="7"/>
  <c r="AC1350" i="7"/>
  <c r="D1351" i="7"/>
  <c r="AD20" i="7"/>
  <c r="AC239" i="7"/>
  <c r="D245" i="7"/>
  <c r="D278" i="7"/>
  <c r="AC309" i="7"/>
  <c r="D361" i="7"/>
  <c r="AC503" i="7"/>
  <c r="D521" i="7"/>
  <c r="AC519" i="7"/>
  <c r="D909" i="7"/>
  <c r="D1089" i="7"/>
  <c r="N821" i="7"/>
  <c r="AC845" i="7"/>
  <c r="D845" i="7" s="1"/>
  <c r="D1012" i="7"/>
  <c r="F20" i="7"/>
  <c r="J20" i="7"/>
  <c r="V20" i="7"/>
  <c r="Z20" i="7"/>
  <c r="AE20" i="7"/>
  <c r="D422" i="7"/>
  <c r="D465" i="7"/>
  <c r="D516" i="7"/>
  <c r="AC514" i="7"/>
  <c r="D456" i="7"/>
  <c r="AC455" i="7"/>
  <c r="AC522" i="7"/>
  <c r="D524" i="7"/>
  <c r="D1372" i="7"/>
  <c r="AC1371" i="7"/>
  <c r="K20" i="7"/>
  <c r="O20" i="7"/>
  <c r="S20" i="7"/>
  <c r="W20" i="7"/>
  <c r="AA20" i="7"/>
  <c r="AC126" i="7"/>
  <c r="AC342" i="7"/>
  <c r="D441" i="7"/>
  <c r="D517" i="7"/>
  <c r="AC958" i="7"/>
  <c r="D960" i="7"/>
  <c r="D533" i="7"/>
  <c r="AC535" i="7"/>
  <c r="D550" i="7"/>
  <c r="AC870" i="7"/>
  <c r="AC913" i="7"/>
  <c r="D975" i="7"/>
  <c r="D974" i="7" s="1"/>
  <c r="AC974" i="7"/>
  <c r="D1073" i="7"/>
  <c r="AC1072" i="7"/>
  <c r="D1214" i="7"/>
  <c r="D1238" i="7"/>
  <c r="D1335" i="7"/>
  <c r="D1340" i="7"/>
  <c r="D1339" i="7" s="1"/>
  <c r="AC1339" i="7"/>
  <c r="L1376" i="7"/>
  <c r="L1375" i="7" s="1"/>
  <c r="AB1376" i="7"/>
  <c r="AB1375" i="7" s="1"/>
  <c r="D498" i="7"/>
  <c r="D555" i="7"/>
  <c r="N848" i="7"/>
  <c r="D912" i="7"/>
  <c r="F1091" i="7"/>
  <c r="J1091" i="7"/>
  <c r="AC1286" i="7"/>
  <c r="D1302" i="7"/>
  <c r="AC1301" i="7"/>
  <c r="D1344" i="7"/>
  <c r="AC1343" i="7"/>
  <c r="AC485" i="7"/>
  <c r="D1258" i="7"/>
  <c r="D1275" i="7"/>
  <c r="AC1274" i="7"/>
  <c r="D1284" i="7"/>
  <c r="AC1283" i="7"/>
  <c r="D1309" i="7"/>
  <c r="D1408" i="7"/>
  <c r="AC987" i="7"/>
  <c r="AC1007" i="7"/>
  <c r="AC1070" i="7"/>
  <c r="AC1214" i="7"/>
  <c r="D1255" i="7"/>
  <c r="R1091" i="7"/>
  <c r="V1091" i="7"/>
  <c r="K1091" i="7"/>
  <c r="W1091" i="7"/>
  <c r="AA1091" i="7"/>
  <c r="AC1293" i="7"/>
  <c r="D1306" i="7"/>
  <c r="D1321" i="7"/>
  <c r="AC1354" i="7"/>
  <c r="D1363" i="7"/>
  <c r="AC1018" i="7"/>
  <c r="D1029" i="7"/>
  <c r="D1087" i="7"/>
  <c r="H1091" i="7"/>
  <c r="L1091" i="7"/>
  <c r="P1091" i="7"/>
  <c r="T1091" i="7"/>
  <c r="X1091" i="7"/>
  <c r="AB1091" i="7"/>
  <c r="D1291" i="7"/>
  <c r="AC1347" i="7"/>
  <c r="AC1363" i="7"/>
  <c r="D1379" i="7"/>
  <c r="D202" i="7"/>
  <c r="AC245" i="7"/>
  <c r="D305" i="7"/>
  <c r="AC301" i="7"/>
  <c r="D342" i="7"/>
  <c r="D363" i="7"/>
  <c r="AC362" i="7"/>
  <c r="D392" i="7"/>
  <c r="D426" i="7"/>
  <c r="AC424" i="7"/>
  <c r="D430" i="7"/>
  <c r="AC428" i="7"/>
  <c r="D447" i="7"/>
  <c r="AC444" i="7"/>
  <c r="D509" i="7"/>
  <c r="D513" i="7"/>
  <c r="AC511" i="7"/>
  <c r="D530" i="7"/>
  <c r="D870" i="7"/>
  <c r="D874" i="7"/>
  <c r="AC873" i="7"/>
  <c r="D956" i="7"/>
  <c r="AC955" i="7"/>
  <c r="AC970" i="7"/>
  <c r="D971" i="7"/>
  <c r="D325" i="7"/>
  <c r="D475" i="7"/>
  <c r="AC473" i="7"/>
  <c r="D851" i="7"/>
  <c r="AC848" i="7"/>
  <c r="D923" i="7"/>
  <c r="D272" i="7"/>
  <c r="AC21" i="7"/>
  <c r="D185" i="7"/>
  <c r="AC156" i="7"/>
  <c r="D239" i="7"/>
  <c r="D285" i="7"/>
  <c r="D293" i="7"/>
  <c r="AC292" i="7"/>
  <c r="D299" i="7"/>
  <c r="AC325" i="7"/>
  <c r="D385" i="7"/>
  <c r="D401" i="7"/>
  <c r="AC397" i="7"/>
  <c r="AC414" i="7"/>
  <c r="D435" i="7"/>
  <c r="D462" i="7"/>
  <c r="D489" i="7"/>
  <c r="D935" i="7"/>
  <c r="AC932" i="7"/>
  <c r="D1044" i="7"/>
  <c r="D317" i="7"/>
  <c r="D350" i="7"/>
  <c r="D357" i="7"/>
  <c r="D382" i="7"/>
  <c r="AC380" i="7"/>
  <c r="D407" i="7"/>
  <c r="AC404" i="7"/>
  <c r="D459" i="7"/>
  <c r="D503" i="7"/>
  <c r="D537" i="7"/>
  <c r="D557" i="7"/>
  <c r="AC948" i="7"/>
  <c r="D949" i="7"/>
  <c r="D990" i="7"/>
  <c r="D1018" i="7"/>
  <c r="D983" i="7"/>
  <c r="D1051" i="7"/>
  <c r="D1062" i="7"/>
  <c r="D1190" i="7"/>
  <c r="AC1178" i="7"/>
  <c r="D468" i="7"/>
  <c r="AC467" i="7"/>
  <c r="D545" i="7"/>
  <c r="D859" i="7"/>
  <c r="AC856" i="7"/>
  <c r="D866" i="7"/>
  <c r="AC863" i="7"/>
  <c r="CB921" i="7"/>
  <c r="D746" i="7"/>
  <c r="D806" i="7"/>
  <c r="AC803" i="7"/>
  <c r="D953" i="7"/>
  <c r="AC952" i="7"/>
  <c r="D1070" i="7"/>
  <c r="D1267" i="7"/>
  <c r="D682" i="7"/>
  <c r="AC681" i="7"/>
  <c r="D985" i="7"/>
  <c r="D995" i="7"/>
  <c r="AC994" i="7"/>
  <c r="D998" i="7"/>
  <c r="AC997" i="7"/>
  <c r="AE1091" i="7"/>
  <c r="D1245" i="7"/>
  <c r="D1317" i="7"/>
  <c r="AC1316" i="7"/>
  <c r="D1354" i="7"/>
  <c r="D748" i="7"/>
  <c r="N741" i="7"/>
  <c r="D868" i="7"/>
  <c r="D907" i="7"/>
  <c r="AC905" i="7"/>
  <c r="D1034" i="7"/>
  <c r="E1091" i="7"/>
  <c r="I1091" i="7"/>
  <c r="M1091" i="7"/>
  <c r="Q1091" i="7"/>
  <c r="Y1091" i="7"/>
  <c r="D1347" i="7"/>
  <c r="AC921" i="7"/>
  <c r="D1005" i="7"/>
  <c r="AC1003" i="7"/>
  <c r="D1026" i="7"/>
  <c r="AD1091" i="7"/>
  <c r="D1219" i="7"/>
  <c r="AC1229" i="7"/>
  <c r="AC1233" i="7"/>
  <c r="D1234" i="7"/>
  <c r="AC1247" i="7"/>
  <c r="D1248" i="7"/>
  <c r="D1271" i="7"/>
  <c r="AC1270" i="7"/>
  <c r="D1286" i="7"/>
  <c r="D1360" i="7"/>
  <c r="AC1357" i="7"/>
  <c r="D1370" i="7"/>
  <c r="AC1367" i="7"/>
  <c r="AC1062" i="7"/>
  <c r="Z1091" i="7"/>
  <c r="O1091" i="7"/>
  <c r="S1091" i="7"/>
  <c r="D1204" i="7"/>
  <c r="D1265" i="7"/>
  <c r="AC1264" i="7"/>
  <c r="D1330" i="7"/>
  <c r="D1353" i="7"/>
  <c r="AC1352" i="7"/>
  <c r="AE1376" i="7"/>
  <c r="AE1375" i="7" s="1"/>
  <c r="D1241" i="7"/>
  <c r="AC1240" i="7"/>
  <c r="D1296" i="7"/>
  <c r="AC1295" i="7"/>
  <c r="AC1332" i="7"/>
  <c r="D1333" i="7"/>
  <c r="G1376" i="7"/>
  <c r="G1375" i="7" s="1"/>
  <c r="K1376" i="7"/>
  <c r="K1375" i="7" s="1"/>
  <c r="S1376" i="7"/>
  <c r="S1375" i="7" s="1"/>
  <c r="W1376" i="7"/>
  <c r="W1375" i="7" s="1"/>
  <c r="AA1376" i="7"/>
  <c r="AA1375" i="7" s="1"/>
  <c r="AC1089" i="7"/>
  <c r="D1166" i="7"/>
  <c r="AC1163" i="7"/>
  <c r="D1244" i="7"/>
  <c r="AC1243" i="7"/>
  <c r="D1329" i="7"/>
  <c r="AC1328" i="7"/>
  <c r="D1362" i="7"/>
  <c r="AC1361" i="7"/>
  <c r="D1300" i="7"/>
  <c r="AC1299" i="7"/>
  <c r="AC1303" i="7"/>
  <c r="D1304" i="7"/>
  <c r="D1313" i="7"/>
  <c r="AC1335" i="7"/>
  <c r="D1381" i="7"/>
  <c r="D1377" i="7"/>
  <c r="E1376" i="7"/>
  <c r="E1375" i="7" s="1"/>
  <c r="I1376" i="7"/>
  <c r="I1375" i="7" s="1"/>
  <c r="M1376" i="7"/>
  <c r="M1375" i="7" s="1"/>
  <c r="Q1376" i="7"/>
  <c r="Q1375" i="7" s="1"/>
  <c r="U1376" i="7"/>
  <c r="U1375" i="7" s="1"/>
  <c r="Y1376" i="7"/>
  <c r="Y1375" i="7" s="1"/>
  <c r="AC1376" i="7"/>
  <c r="AC1375" i="7" s="1"/>
  <c r="D1092" i="7"/>
  <c r="AC1391" i="7" l="1"/>
  <c r="D756" i="7"/>
  <c r="D1311" i="7"/>
  <c r="D1042" i="7"/>
  <c r="R556" i="7"/>
  <c r="N556" i="7"/>
  <c r="L556" i="7"/>
  <c r="G556" i="7"/>
  <c r="G19" i="7" s="1"/>
  <c r="F65" i="8"/>
  <c r="F214" i="8"/>
  <c r="F201" i="8"/>
  <c r="F36" i="8"/>
  <c r="S11" i="8"/>
  <c r="F159" i="8"/>
  <c r="F73" i="8"/>
  <c r="F30" i="8"/>
  <c r="F204" i="8"/>
  <c r="F100" i="8"/>
  <c r="F198" i="8"/>
  <c r="F117" i="8"/>
  <c r="F15" i="8"/>
  <c r="F87" i="8"/>
  <c r="F130" i="8"/>
  <c r="AE204" i="8"/>
  <c r="AE86" i="8" s="1"/>
  <c r="F96" i="8"/>
  <c r="K11" i="13"/>
  <c r="K10" i="13" s="1"/>
  <c r="J10" i="13"/>
  <c r="F208" i="8"/>
  <c r="F33" i="8"/>
  <c r="F231" i="8"/>
  <c r="F188" i="8"/>
  <c r="F13" i="8"/>
  <c r="F185" i="8"/>
  <c r="F223" i="8"/>
  <c r="F69" i="8"/>
  <c r="F50" i="8"/>
  <c r="F79" i="8"/>
  <c r="F40" i="8"/>
  <c r="F83" i="8"/>
  <c r="F24" i="8"/>
  <c r="F229" i="8"/>
  <c r="F28" i="8"/>
  <c r="F240" i="8"/>
  <c r="F225" i="8"/>
  <c r="F190" i="8"/>
  <c r="F81" i="8"/>
  <c r="F77" i="8"/>
  <c r="F234" i="8"/>
  <c r="F175" i="8"/>
  <c r="F210" i="8"/>
  <c r="F227" i="8"/>
  <c r="F71" i="8"/>
  <c r="F44" i="8"/>
  <c r="F42" i="8"/>
  <c r="F238" i="8"/>
  <c r="F236" i="8"/>
  <c r="F94" i="8"/>
  <c r="AC11" i="8"/>
  <c r="K11" i="8"/>
  <c r="AA11" i="8"/>
  <c r="R11" i="8"/>
  <c r="O11" i="8"/>
  <c r="W11" i="8"/>
  <c r="I11" i="8"/>
  <c r="T11" i="8"/>
  <c r="Z11" i="8"/>
  <c r="Y11" i="8"/>
  <c r="Q11" i="8"/>
  <c r="AE12" i="8"/>
  <c r="G11" i="8"/>
  <c r="V11" i="8"/>
  <c r="H11" i="8"/>
  <c r="AB11" i="8"/>
  <c r="AG11" i="8"/>
  <c r="P11" i="8"/>
  <c r="AC1024" i="7"/>
  <c r="I10" i="13"/>
  <c r="P10" i="13" s="1"/>
  <c r="L10" i="13"/>
  <c r="AC1009" i="7"/>
  <c r="R20" i="7"/>
  <c r="J11" i="8"/>
  <c r="U11" i="8"/>
  <c r="AF11" i="8"/>
  <c r="L11" i="8"/>
  <c r="M11" i="8"/>
  <c r="X11" i="8"/>
  <c r="N11" i="8"/>
  <c r="AD11" i="8"/>
  <c r="AE64" i="8"/>
  <c r="N20" i="7"/>
  <c r="D1272" i="7"/>
  <c r="AC1050" i="7"/>
  <c r="D21" i="7"/>
  <c r="AC1272" i="7"/>
  <c r="AC1307" i="7"/>
  <c r="AC1031" i="7"/>
  <c r="D126" i="7"/>
  <c r="AC989" i="7"/>
  <c r="AC1082" i="7"/>
  <c r="AC894" i="7"/>
  <c r="AC1074" i="7"/>
  <c r="D977" i="7"/>
  <c r="D1402" i="7"/>
  <c r="D1401" i="7" s="1"/>
  <c r="CB245" i="7"/>
  <c r="AC908" i="7"/>
  <c r="AC1060" i="7"/>
  <c r="D1060" i="7"/>
  <c r="AC1217" i="7"/>
  <c r="D1074" i="7"/>
  <c r="AC1056" i="7"/>
  <c r="D649" i="7"/>
  <c r="CB353" i="7"/>
  <c r="AC1022" i="7"/>
  <c r="D917" i="7"/>
  <c r="N1091" i="7"/>
  <c r="D1022" i="7"/>
  <c r="AC1033" i="7"/>
  <c r="C9" i="4"/>
  <c r="C16" i="4"/>
  <c r="C23" i="4"/>
  <c r="L20" i="7"/>
  <c r="D1027" i="7"/>
  <c r="D962" i="7"/>
  <c r="D961" i="7" s="1"/>
  <c r="AC877" i="7"/>
  <c r="AC649" i="7"/>
  <c r="AC1054" i="7"/>
  <c r="D877" i="7"/>
  <c r="AC1027" i="7"/>
  <c r="D519" i="7"/>
  <c r="CB519" i="7" s="1"/>
  <c r="AC945" i="7"/>
  <c r="AC1043" i="7"/>
  <c r="AC925" i="7"/>
  <c r="AC1276" i="7"/>
  <c r="D1283" i="7"/>
  <c r="D875" i="7"/>
  <c r="D945" i="7"/>
  <c r="AC875" i="7"/>
  <c r="I19" i="7"/>
  <c r="D1262" i="7"/>
  <c r="D908" i="7"/>
  <c r="D1322" i="7"/>
  <c r="AD19" i="7"/>
  <c r="D1290" i="7"/>
  <c r="AE19" i="7"/>
  <c r="D1301" i="7"/>
  <c r="D395" i="7"/>
  <c r="F19" i="7"/>
  <c r="D1217" i="7"/>
  <c r="Z19" i="7"/>
  <c r="Y19" i="7"/>
  <c r="D485" i="7"/>
  <c r="D930" i="7"/>
  <c r="P19" i="7"/>
  <c r="E19" i="7"/>
  <c r="D1210" i="7"/>
  <c r="Q19" i="7"/>
  <c r="D463" i="7"/>
  <c r="D514" i="7"/>
  <c r="CB514" i="7" s="1"/>
  <c r="U19" i="7"/>
  <c r="D522" i="7"/>
  <c r="CB522" i="7" s="1"/>
  <c r="D1236" i="7"/>
  <c r="D1343" i="7"/>
  <c r="D1367" i="7"/>
  <c r="T19" i="7"/>
  <c r="D387" i="7"/>
  <c r="AC821" i="7"/>
  <c r="D1009" i="7"/>
  <c r="CB533" i="7"/>
  <c r="V19" i="7"/>
  <c r="D360" i="7"/>
  <c r="D1229" i="7"/>
  <c r="D1178" i="7"/>
  <c r="D848" i="7"/>
  <c r="K19" i="7"/>
  <c r="D1326" i="7"/>
  <c r="D1320" i="7"/>
  <c r="D1254" i="7"/>
  <c r="D1274" i="7"/>
  <c r="D911" i="7"/>
  <c r="D1072" i="7"/>
  <c r="AA19" i="7"/>
  <c r="O19" i="7"/>
  <c r="D958" i="7"/>
  <c r="D821" i="7"/>
  <c r="AB19" i="7"/>
  <c r="D553" i="7"/>
  <c r="D1305" i="7"/>
  <c r="W19" i="7"/>
  <c r="D1350" i="7"/>
  <c r="M19" i="7"/>
  <c r="CB550" i="7"/>
  <c r="D1371" i="7"/>
  <c r="D455" i="7"/>
  <c r="S19" i="7"/>
  <c r="D1357" i="7"/>
  <c r="D863" i="7"/>
  <c r="X19" i="7"/>
  <c r="H19" i="7"/>
  <c r="D424" i="7"/>
  <c r="CB517" i="7"/>
  <c r="J19" i="7"/>
  <c r="D1303" i="7"/>
  <c r="D1163" i="7"/>
  <c r="D905" i="7"/>
  <c r="D997" i="7"/>
  <c r="D1024" i="7"/>
  <c r="CB357" i="7"/>
  <c r="D461" i="7"/>
  <c r="CB530" i="7"/>
  <c r="CB509" i="7"/>
  <c r="D1243" i="7"/>
  <c r="D932" i="7"/>
  <c r="D1316" i="7"/>
  <c r="D1276" i="7"/>
  <c r="D952" i="7"/>
  <c r="D467" i="7"/>
  <c r="D1050" i="7"/>
  <c r="D989" i="7"/>
  <c r="CB435" i="7"/>
  <c r="D156" i="7"/>
  <c r="CB325" i="7"/>
  <c r="CB202" i="7"/>
  <c r="D1376" i="7"/>
  <c r="D1375" i="7" s="1"/>
  <c r="D1328" i="7"/>
  <c r="D1332" i="7"/>
  <c r="D1247" i="7"/>
  <c r="D309" i="7"/>
  <c r="D397" i="7"/>
  <c r="D473" i="7"/>
  <c r="D925" i="7"/>
  <c r="D873" i="7"/>
  <c r="CB342" i="7"/>
  <c r="D1361" i="7"/>
  <c r="D1233" i="7"/>
  <c r="D1003" i="7"/>
  <c r="D1033" i="7"/>
  <c r="D894" i="7"/>
  <c r="D994" i="7"/>
  <c r="D803" i="7"/>
  <c r="CE503" i="7"/>
  <c r="CB503" i="7"/>
  <c r="CB350" i="7"/>
  <c r="D1043" i="7"/>
  <c r="CB239" i="7"/>
  <c r="D955" i="7"/>
  <c r="D444" i="7"/>
  <c r="D362" i="7"/>
  <c r="D428" i="7"/>
  <c r="D1299" i="7"/>
  <c r="D1295" i="7"/>
  <c r="D1240" i="7"/>
  <c r="D1352" i="7"/>
  <c r="D1264" i="7"/>
  <c r="D1270" i="7"/>
  <c r="D1082" i="7"/>
  <c r="D681" i="7"/>
  <c r="D856" i="7"/>
  <c r="D948" i="7"/>
  <c r="D535" i="7"/>
  <c r="D380" i="7"/>
  <c r="D292" i="7"/>
  <c r="AC20" i="7"/>
  <c r="CB923" i="7"/>
  <c r="D295" i="7"/>
  <c r="D970" i="7"/>
  <c r="D511" i="7"/>
  <c r="D301" i="7"/>
  <c r="D404" i="7"/>
  <c r="D741" i="7" l="1"/>
  <c r="D1391" i="7"/>
  <c r="C49" i="4"/>
  <c r="C53" i="4" s="1"/>
  <c r="CD815" i="7"/>
  <c r="CD819" i="7"/>
  <c r="CD818" i="7"/>
  <c r="CD816" i="7"/>
  <c r="CD817" i="7"/>
  <c r="CD735" i="7"/>
  <c r="CD739" i="7"/>
  <c r="CD738" i="7"/>
  <c r="CD737" i="7"/>
  <c r="CD736" i="7"/>
  <c r="CD801" i="7"/>
  <c r="CD785" i="7"/>
  <c r="CD781" i="7"/>
  <c r="CD777" i="7"/>
  <c r="CD773" i="7"/>
  <c r="CD770" i="7"/>
  <c r="CD784" i="7"/>
  <c r="CD780" i="7"/>
  <c r="CD776" i="7"/>
  <c r="CD772" i="7"/>
  <c r="CD778" i="7"/>
  <c r="CD783" i="7"/>
  <c r="CD779" i="7"/>
  <c r="CD775" i="7"/>
  <c r="CD771" i="7"/>
  <c r="CD782" i="7"/>
  <c r="CD774" i="7"/>
  <c r="CD793" i="7"/>
  <c r="CD789" i="7"/>
  <c r="CD792" i="7"/>
  <c r="CD788" i="7"/>
  <c r="CD790" i="7"/>
  <c r="CD791" i="7"/>
  <c r="CD787" i="7"/>
  <c r="CD786" i="7"/>
  <c r="CD797" i="7"/>
  <c r="CD796" i="7"/>
  <c r="CD795" i="7"/>
  <c r="CD794" i="7"/>
  <c r="CD799" i="7"/>
  <c r="CD798" i="7"/>
  <c r="CD769" i="7"/>
  <c r="CD800" i="7"/>
  <c r="D1037" i="7"/>
  <c r="CD734" i="7"/>
  <c r="CD733" i="7"/>
  <c r="CD1154" i="7"/>
  <c r="CD1153" i="7"/>
  <c r="CD1152" i="7"/>
  <c r="CD1158" i="7"/>
  <c r="CD1157" i="7"/>
  <c r="CD1155" i="7"/>
  <c r="CD1156" i="7"/>
  <c r="CD1161" i="7"/>
  <c r="CD1160" i="7"/>
  <c r="CD1159" i="7"/>
  <c r="CD1150" i="7"/>
  <c r="CD1151" i="7"/>
  <c r="CD732" i="7"/>
  <c r="CD726" i="7"/>
  <c r="CD728" i="7"/>
  <c r="CD731" i="7"/>
  <c r="CD725" i="7"/>
  <c r="CD729" i="7"/>
  <c r="CD730" i="7"/>
  <c r="CD740" i="7"/>
  <c r="CD727" i="7"/>
  <c r="CD724" i="7"/>
  <c r="AC556" i="7"/>
  <c r="CD920" i="7"/>
  <c r="CD919" i="7"/>
  <c r="CD1253" i="7"/>
  <c r="CD1252" i="7"/>
  <c r="CD340" i="7"/>
  <c r="F86" i="8"/>
  <c r="F12" i="8"/>
  <c r="F64" i="8"/>
  <c r="CD722" i="7"/>
  <c r="CD811" i="7"/>
  <c r="CD723" i="7"/>
  <c r="CD820" i="7"/>
  <c r="CD812" i="7"/>
  <c r="CD814" i="7"/>
  <c r="CD813" i="7"/>
  <c r="CD765" i="7"/>
  <c r="CD764" i="7"/>
  <c r="CD763" i="7"/>
  <c r="CD767" i="7"/>
  <c r="CD766" i="7"/>
  <c r="CD768" i="7"/>
  <c r="CD762" i="7"/>
  <c r="CD892" i="7"/>
  <c r="CD982" i="7"/>
  <c r="CD981" i="7"/>
  <c r="CD893" i="7"/>
  <c r="CD944" i="7"/>
  <c r="CD943" i="7"/>
  <c r="CD846" i="7"/>
  <c r="CD980" i="7"/>
  <c r="CD1048" i="7"/>
  <c r="CD847" i="7"/>
  <c r="CD1080" i="7"/>
  <c r="CD1049" i="7"/>
  <c r="CD679" i="7"/>
  <c r="CD1081" i="7"/>
  <c r="CD810" i="7"/>
  <c r="CD680" i="7"/>
  <c r="CD379" i="7"/>
  <c r="CD377" i="7"/>
  <c r="CD378" i="7"/>
  <c r="R19" i="7"/>
  <c r="CD720" i="7"/>
  <c r="CD367" i="7"/>
  <c r="AE11" i="8"/>
  <c r="CD721" i="7"/>
  <c r="CD862" i="7"/>
  <c r="CD1231" i="7"/>
  <c r="L19" i="7"/>
  <c r="CD760" i="7"/>
  <c r="CD759" i="7"/>
  <c r="CB126" i="7"/>
  <c r="D976" i="7"/>
  <c r="AC1091" i="7"/>
  <c r="N19" i="7"/>
  <c r="CB649" i="7"/>
  <c r="CB917" i="7"/>
  <c r="CD1069" i="7"/>
  <c r="CD1068" i="7"/>
  <c r="D1203" i="7"/>
  <c r="CB553" i="7"/>
  <c r="CB821" i="7"/>
  <c r="CB930" i="7"/>
  <c r="CB380" i="7"/>
  <c r="CB362" i="7"/>
  <c r="AW362" i="7"/>
  <c r="AT1314" i="7" s="1"/>
  <c r="CB467" i="7"/>
  <c r="CB1163" i="7"/>
  <c r="CB1276" i="7"/>
  <c r="CB511" i="7"/>
  <c r="CB292" i="7"/>
  <c r="CB535" i="7"/>
  <c r="D20" i="7"/>
  <c r="CD1183" i="7"/>
  <c r="CD1232" i="7"/>
  <c r="CD1162" i="7"/>
  <c r="CD1146" i="7"/>
  <c r="CD1145" i="7"/>
  <c r="CD1144" i="7"/>
  <c r="CD1143" i="7"/>
  <c r="CD1137" i="7"/>
  <c r="CD1129" i="7"/>
  <c r="CD1090" i="7"/>
  <c r="CD1345" i="7"/>
  <c r="CD1149" i="7"/>
  <c r="CD1139" i="7"/>
  <c r="CD1082" i="7"/>
  <c r="CD1079" i="7"/>
  <c r="CD1075" i="7"/>
  <c r="CD1072" i="7"/>
  <c r="CD1062" i="7"/>
  <c r="CD1055" i="7"/>
  <c r="CD1051" i="7"/>
  <c r="CD1038" i="7"/>
  <c r="CD1028" i="7"/>
  <c r="CD1023" i="7"/>
  <c r="CD1010" i="7"/>
  <c r="CD1007" i="7"/>
  <c r="CD1002" i="7"/>
  <c r="CD1000" i="7"/>
  <c r="CD991" i="7"/>
  <c r="CD989" i="7"/>
  <c r="CD986" i="7"/>
  <c r="CD976" i="7"/>
  <c r="CD973" i="7"/>
  <c r="CD970" i="7"/>
  <c r="CD964" i="7"/>
  <c r="CD961" i="7"/>
  <c r="CD958" i="7"/>
  <c r="CD953" i="7"/>
  <c r="CD949" i="7"/>
  <c r="CD941" i="7"/>
  <c r="CD939" i="7"/>
  <c r="CD937" i="7"/>
  <c r="CD930" i="7"/>
  <c r="CD929" i="7"/>
  <c r="CD1256" i="7"/>
  <c r="CD1089" i="7"/>
  <c r="CD1087" i="7"/>
  <c r="CD1083" i="7"/>
  <c r="CD1078" i="7"/>
  <c r="CD1076" i="7"/>
  <c r="CD1067" i="7"/>
  <c r="CD1065" i="7"/>
  <c r="CD1059" i="7"/>
  <c r="CD1056" i="7"/>
  <c r="CD1052" i="7"/>
  <c r="CD1044" i="7"/>
  <c r="CD1034" i="7"/>
  <c r="CD1029" i="7"/>
  <c r="CD1024" i="7"/>
  <c r="CD1021" i="7"/>
  <c r="CD1019" i="7"/>
  <c r="CD1013" i="7"/>
  <c r="CD1011" i="7"/>
  <c r="CD1005" i="7"/>
  <c r="CD1003" i="7"/>
  <c r="CD998" i="7"/>
  <c r="CD995" i="7"/>
  <c r="CD992" i="7"/>
  <c r="CD990" i="7"/>
  <c r="CD987" i="7"/>
  <c r="CD984" i="7"/>
  <c r="CD977" i="7"/>
  <c r="CD974" i="7"/>
  <c r="CD971" i="7"/>
  <c r="CD966" i="7"/>
  <c r="CD962" i="7"/>
  <c r="CD956" i="7"/>
  <c r="CD951" i="7"/>
  <c r="CD1147" i="7"/>
  <c r="CD1142" i="7"/>
  <c r="CD1141" i="7"/>
  <c r="CD1132" i="7"/>
  <c r="CD1130" i="7"/>
  <c r="CD1088" i="7"/>
  <c r="CD1074" i="7"/>
  <c r="CD1073" i="7"/>
  <c r="CD1070" i="7"/>
  <c r="CD1063" i="7"/>
  <c r="CD1045" i="7"/>
  <c r="CD1036" i="7"/>
  <c r="CD1031" i="7"/>
  <c r="CD1030" i="7"/>
  <c r="CD1027" i="7"/>
  <c r="CD1020" i="7"/>
  <c r="CD1018" i="7"/>
  <c r="CD983" i="7"/>
  <c r="CD963" i="7"/>
  <c r="CD959" i="7"/>
  <c r="CD946" i="7"/>
  <c r="CD942" i="7"/>
  <c r="CD935" i="7"/>
  <c r="CD931" i="7"/>
  <c r="CD926" i="7"/>
  <c r="CD925" i="7"/>
  <c r="CD924" i="7"/>
  <c r="CD921" i="7"/>
  <c r="CD918" i="7"/>
  <c r="CD915" i="7"/>
  <c r="CD912" i="7"/>
  <c r="CD906" i="7"/>
  <c r="CD904" i="7"/>
  <c r="CD894" i="7"/>
  <c r="CD879" i="7"/>
  <c r="CD877" i="7"/>
  <c r="CD871" i="7"/>
  <c r="CD866" i="7"/>
  <c r="CD861" i="7"/>
  <c r="CD856" i="7"/>
  <c r="CD844" i="7"/>
  <c r="CD840" i="7"/>
  <c r="CD835" i="7"/>
  <c r="CD830" i="7"/>
  <c r="CD828" i="7"/>
  <c r="CD826" i="7"/>
  <c r="CD824" i="7"/>
  <c r="CD822" i="7"/>
  <c r="CD809" i="7"/>
  <c r="CD755" i="7"/>
  <c r="CD751" i="7"/>
  <c r="CD746" i="7"/>
  <c r="CD716" i="7"/>
  <c r="CD709" i="7"/>
  <c r="CD675" i="7"/>
  <c r="CD674" i="7"/>
  <c r="CD672" i="7"/>
  <c r="CD667" i="7"/>
  <c r="CD665" i="7"/>
  <c r="CD662" i="7"/>
  <c r="CD656" i="7"/>
  <c r="CD654" i="7"/>
  <c r="CD652" i="7"/>
  <c r="CD650" i="7"/>
  <c r="CD642" i="7"/>
  <c r="CD636" i="7"/>
  <c r="CD635" i="7"/>
  <c r="CD634" i="7"/>
  <c r="CD627" i="7"/>
  <c r="CD626" i="7"/>
  <c r="CD610" i="7"/>
  <c r="CD606" i="7"/>
  <c r="CD605" i="7"/>
  <c r="CD604" i="7"/>
  <c r="CD603" i="7"/>
  <c r="CD602" i="7"/>
  <c r="CD599" i="7"/>
  <c r="CD598" i="7"/>
  <c r="CD597" i="7"/>
  <c r="CD596" i="7"/>
  <c r="CD595" i="7"/>
  <c r="CD1138" i="7"/>
  <c r="CD1136" i="7"/>
  <c r="CD1135" i="7"/>
  <c r="CD1134" i="7"/>
  <c r="CD1133" i="7"/>
  <c r="CD1077" i="7"/>
  <c r="CD1066" i="7"/>
  <c r="CD1061" i="7"/>
  <c r="CD1043" i="7"/>
  <c r="CD1042" i="7"/>
  <c r="CD1033" i="7"/>
  <c r="CD1001" i="7"/>
  <c r="CD997" i="7"/>
  <c r="CD994" i="7"/>
  <c r="CD993" i="7"/>
  <c r="CD988" i="7"/>
  <c r="CD975" i="7"/>
  <c r="CD957" i="7"/>
  <c r="CD955" i="7"/>
  <c r="CD954" i="7"/>
  <c r="CD948" i="7"/>
  <c r="CD945" i="7"/>
  <c r="CD940" i="7"/>
  <c r="CD936" i="7"/>
  <c r="CD934" i="7"/>
  <c r="CD928" i="7"/>
  <c r="CD913" i="7"/>
  <c r="CD910" i="7"/>
  <c r="CD909" i="7"/>
  <c r="CD905" i="7"/>
  <c r="CD903" i="7"/>
  <c r="CD900" i="7"/>
  <c r="CD898" i="7"/>
  <c r="CD895" i="7"/>
  <c r="CD886" i="7"/>
  <c r="CD882" i="7"/>
  <c r="CD874" i="7"/>
  <c r="CD869" i="7"/>
  <c r="CD864" i="7"/>
  <c r="CD859" i="7"/>
  <c r="CD849" i="7"/>
  <c r="CD845" i="7"/>
  <c r="CD841" i="7"/>
  <c r="CD839" i="7"/>
  <c r="CD838" i="7"/>
  <c r="CD834" i="7"/>
  <c r="CD832" i="7"/>
  <c r="CD808" i="7"/>
  <c r="CD806" i="7"/>
  <c r="CD804" i="7"/>
  <c r="CD757" i="7"/>
  <c r="CD754" i="7"/>
  <c r="CD748" i="7"/>
  <c r="CD743" i="7"/>
  <c r="CD741" i="7"/>
  <c r="CD719" i="7"/>
  <c r="CD715" i="7"/>
  <c r="CD712" i="7"/>
  <c r="CD708" i="7"/>
  <c r="CD706" i="7"/>
  <c r="CD704" i="7"/>
  <c r="CD702" i="7"/>
  <c r="CD700" i="7"/>
  <c r="CD698" i="7"/>
  <c r="CD696" i="7"/>
  <c r="CD694" i="7"/>
  <c r="CD692" i="7"/>
  <c r="CD690" i="7"/>
  <c r="CD688" i="7"/>
  <c r="CD686" i="7"/>
  <c r="CD684" i="7"/>
  <c r="CD682" i="7"/>
  <c r="CD677" i="7"/>
  <c r="CD669" i="7"/>
  <c r="CD661" i="7"/>
  <c r="CD659" i="7"/>
  <c r="CD657" i="7"/>
  <c r="CD633" i="7"/>
  <c r="CD632" i="7"/>
  <c r="CD631" i="7"/>
  <c r="CD630" i="7"/>
  <c r="CD625" i="7"/>
  <c r="CD623" i="7"/>
  <c r="CD621" i="7"/>
  <c r="CD609" i="7"/>
  <c r="CD589" i="7"/>
  <c r="CD585" i="7"/>
  <c r="CD584" i="7"/>
  <c r="CD579" i="7"/>
  <c r="CD575" i="7"/>
  <c r="CD570" i="7"/>
  <c r="CD1148" i="7"/>
  <c r="CD1140" i="7"/>
  <c r="CD1071" i="7"/>
  <c r="CD1039" i="7"/>
  <c r="CD1022" i="7"/>
  <c r="CD1012" i="7"/>
  <c r="CD1009" i="7"/>
  <c r="CD1008" i="7"/>
  <c r="CD969" i="7"/>
  <c r="CD967" i="7"/>
  <c r="CD938" i="7"/>
  <c r="CD933" i="7"/>
  <c r="CD932" i="7"/>
  <c r="CD922" i="7"/>
  <c r="CD908" i="7"/>
  <c r="CD902" i="7"/>
  <c r="CD875" i="7"/>
  <c r="CD858" i="7"/>
  <c r="CD850" i="7"/>
  <c r="CD848" i="7"/>
  <c r="CD805" i="7"/>
  <c r="CD803" i="7"/>
  <c r="CD761" i="7"/>
  <c r="CD742" i="7"/>
  <c r="CD718" i="7"/>
  <c r="CD663" i="7"/>
  <c r="CD660" i="7"/>
  <c r="CD658" i="7"/>
  <c r="CD649" i="7"/>
  <c r="CD620" i="7"/>
  <c r="CD607" i="7"/>
  <c r="CD594" i="7"/>
  <c r="CD593" i="7"/>
  <c r="CD592" i="7"/>
  <c r="CD591" i="7"/>
  <c r="CD590" i="7"/>
  <c r="CD588" i="7"/>
  <c r="CD587" i="7"/>
  <c r="CD583" i="7"/>
  <c r="CD582" i="7"/>
  <c r="CD567" i="7"/>
  <c r="CD566" i="7"/>
  <c r="CD562" i="7"/>
  <c r="CD557" i="7"/>
  <c r="CD535" i="7"/>
  <c r="CD528" i="7"/>
  <c r="CD527" i="7"/>
  <c r="CD524" i="7"/>
  <c r="CD522" i="7"/>
  <c r="CD521" i="7"/>
  <c r="CD515" i="7"/>
  <c r="CD511" i="7"/>
  <c r="CD499" i="7"/>
  <c r="CD497" i="7"/>
  <c r="CD473" i="7"/>
  <c r="CD472" i="7"/>
  <c r="CD464" i="7"/>
  <c r="CD454" i="7"/>
  <c r="CD448" i="7"/>
  <c r="CD444" i="7"/>
  <c r="CD436" i="7"/>
  <c r="CD431" i="7"/>
  <c r="CD427" i="7"/>
  <c r="CD423" i="7"/>
  <c r="CD413" i="7"/>
  <c r="CD405" i="7"/>
  <c r="CD403" i="7"/>
  <c r="CD402" i="7"/>
  <c r="CD389" i="7"/>
  <c r="CD380" i="7"/>
  <c r="CD368" i="7"/>
  <c r="CD364" i="7"/>
  <c r="CD361" i="7"/>
  <c r="CD347" i="7"/>
  <c r="CD343" i="7"/>
  <c r="CD331" i="7"/>
  <c r="CD321" i="7"/>
  <c r="CD320" i="7"/>
  <c r="CD319" i="7"/>
  <c r="CD317" i="7"/>
  <c r="CD315" i="7"/>
  <c r="CD312" i="7"/>
  <c r="CD309" i="7"/>
  <c r="CD308" i="7"/>
  <c r="CD306" i="7"/>
  <c r="CD302" i="7"/>
  <c r="CD300" i="7"/>
  <c r="CD295" i="7"/>
  <c r="CD279" i="7"/>
  <c r="CD274" i="7"/>
  <c r="CD256" i="7"/>
  <c r="CD255" i="7"/>
  <c r="CD241" i="7"/>
  <c r="CD236" i="7"/>
  <c r="CD208" i="7"/>
  <c r="CD203" i="7"/>
  <c r="CD193" i="7"/>
  <c r="CD192" i="7"/>
  <c r="CD191" i="7"/>
  <c r="CD189" i="7"/>
  <c r="CD149" i="7"/>
  <c r="CD141" i="7"/>
  <c r="CD130" i="7"/>
  <c r="CD113" i="7"/>
  <c r="CD109" i="7"/>
  <c r="CD93" i="7"/>
  <c r="CD92" i="7"/>
  <c r="CD67" i="7"/>
  <c r="CD66" i="7"/>
  <c r="CD63" i="7"/>
  <c r="CD56" i="7"/>
  <c r="CD49" i="7"/>
  <c r="CD43" i="7"/>
  <c r="CD36" i="7"/>
  <c r="CD35" i="7"/>
  <c r="CD32" i="7"/>
  <c r="CD25" i="7"/>
  <c r="CD1131" i="7"/>
  <c r="CD1054" i="7"/>
  <c r="CD1053" i="7"/>
  <c r="CD1050" i="7"/>
  <c r="CD1014" i="7"/>
  <c r="CD972" i="7"/>
  <c r="CD952" i="7"/>
  <c r="CD950" i="7"/>
  <c r="CD947" i="7"/>
  <c r="CD917" i="7"/>
  <c r="CD911" i="7"/>
  <c r="CD890" i="7"/>
  <c r="CD887" i="7"/>
  <c r="CD885" i="7"/>
  <c r="CD883" i="7"/>
  <c r="CD881" i="7"/>
  <c r="CD873" i="7"/>
  <c r="CD872" i="7"/>
  <c r="CD870" i="7"/>
  <c r="CD857" i="7"/>
  <c r="CD851" i="7"/>
  <c r="CD829" i="7"/>
  <c r="CD802" i="7"/>
  <c r="CD756" i="7"/>
  <c r="CD753" i="7"/>
  <c r="CD664" i="7"/>
  <c r="CD655" i="7"/>
  <c r="CD629" i="7"/>
  <c r="CD619" i="7"/>
  <c r="CD618" i="7"/>
  <c r="CD617" i="7"/>
  <c r="CD616" i="7"/>
  <c r="CD615" i="7"/>
  <c r="CD614" i="7"/>
  <c r="CD613" i="7"/>
  <c r="CD612" i="7"/>
  <c r="CD611" i="7"/>
  <c r="CD586" i="7"/>
  <c r="CD581" i="7"/>
  <c r="CD580" i="7"/>
  <c r="CD578" i="7"/>
  <c r="CD577" i="7"/>
  <c r="CD565" i="7"/>
  <c r="CD561" i="7"/>
  <c r="CD544" i="7"/>
  <c r="CD542" i="7"/>
  <c r="CD539" i="7"/>
  <c r="CD538" i="7"/>
  <c r="CD537" i="7"/>
  <c r="CD533" i="7"/>
  <c r="CD532" i="7"/>
  <c r="CD514" i="7"/>
  <c r="CD513" i="7"/>
  <c r="CD509" i="7"/>
  <c r="CD507" i="7"/>
  <c r="CD503" i="7"/>
  <c r="CD502" i="7"/>
  <c r="CD498" i="7"/>
  <c r="CD496" i="7"/>
  <c r="CD493" i="7"/>
  <c r="CD492" i="7"/>
  <c r="CD485" i="7"/>
  <c r="CD483" i="7"/>
  <c r="CD479" i="7"/>
  <c r="CD475" i="7"/>
  <c r="CD468" i="7"/>
  <c r="CD465" i="7"/>
  <c r="CD462" i="7"/>
  <c r="CD459" i="7"/>
  <c r="CD457" i="7"/>
  <c r="CD455" i="7"/>
  <c r="CD447" i="7"/>
  <c r="CD441" i="7"/>
  <c r="CD439" i="7"/>
  <c r="CD435" i="7"/>
  <c r="CD434" i="7"/>
  <c r="CD430" i="7"/>
  <c r="CD428" i="7"/>
  <c r="CD424" i="7"/>
  <c r="CD422" i="7"/>
  <c r="CD417" i="7"/>
  <c r="CD415" i="7"/>
  <c r="CD412" i="7"/>
  <c r="CD407" i="7"/>
  <c r="CD404" i="7"/>
  <c r="CD397" i="7"/>
  <c r="CD394" i="7"/>
  <c r="CD393" i="7"/>
  <c r="CD391" i="7"/>
  <c r="CD386" i="7"/>
  <c r="CD382" i="7"/>
  <c r="CD373" i="7"/>
  <c r="CD363" i="7"/>
  <c r="CD359" i="7"/>
  <c r="CD353" i="7"/>
  <c r="CD352" i="7"/>
  <c r="CD328" i="7"/>
  <c r="CD326" i="7"/>
  <c r="CD311" i="7"/>
  <c r="CD307" i="7"/>
  <c r="CD305" i="7"/>
  <c r="CD301" i="7"/>
  <c r="CD299" i="7"/>
  <c r="CD287" i="7"/>
  <c r="CD278" i="7"/>
  <c r="CD273" i="7"/>
  <c r="CD271" i="7"/>
  <c r="CD254" i="7"/>
  <c r="CD247" i="7"/>
  <c r="CD245" i="7"/>
  <c r="CD244" i="7"/>
  <c r="CD233" i="7"/>
  <c r="CD231" i="7"/>
  <c r="CD230" i="7"/>
  <c r="CD229" i="7"/>
  <c r="CD228" i="7"/>
  <c r="CD227" i="7"/>
  <c r="CD226" i="7"/>
  <c r="CD225" i="7"/>
  <c r="CD224" i="7"/>
  <c r="CD223" i="7"/>
  <c r="CD222" i="7"/>
  <c r="CD205" i="7"/>
  <c r="CD188" i="7"/>
  <c r="CD187" i="7"/>
  <c r="CD170" i="7"/>
  <c r="CD166" i="7"/>
  <c r="CD162" i="7"/>
  <c r="CD158" i="7"/>
  <c r="CD1006" i="7"/>
  <c r="CD1004" i="7"/>
  <c r="CD999" i="7"/>
  <c r="CD916" i="7"/>
  <c r="CD914" i="7"/>
  <c r="CD897" i="7"/>
  <c r="CD868" i="7"/>
  <c r="CD867" i="7"/>
  <c r="CD865" i="7"/>
  <c r="CD863" i="7"/>
  <c r="CD843" i="7"/>
  <c r="CD836" i="7"/>
  <c r="CD833" i="7"/>
  <c r="CD831" i="7"/>
  <c r="CD823" i="7"/>
  <c r="CD750" i="7"/>
  <c r="CD717" i="7"/>
  <c r="CD714" i="7"/>
  <c r="CD711" i="7"/>
  <c r="CD697" i="7"/>
  <c r="CD689" i="7"/>
  <c r="CD681" i="7"/>
  <c r="CD676" i="7"/>
  <c r="CD673" i="7"/>
  <c r="CD671" i="7"/>
  <c r="CD668" i="7"/>
  <c r="CD653" i="7"/>
  <c r="CD643" i="7"/>
  <c r="CD965" i="7"/>
  <c r="CD923" i="7"/>
  <c r="CD907" i="7"/>
  <c r="CD899" i="7"/>
  <c r="CD880" i="7"/>
  <c r="CD837" i="7"/>
  <c r="CD825" i="7"/>
  <c r="CD699" i="7"/>
  <c r="CD691" i="7"/>
  <c r="CD683" i="7"/>
  <c r="CD651" i="7"/>
  <c r="CD608" i="7"/>
  <c r="CD576" i="7"/>
  <c r="CD563" i="7"/>
  <c r="CD543" i="7"/>
  <c r="CD541" i="7"/>
  <c r="CD519" i="7"/>
  <c r="CD518" i="7"/>
  <c r="CD512" i="7"/>
  <c r="CD500" i="7"/>
  <c r="CD494" i="7"/>
  <c r="CD463" i="7"/>
  <c r="CD453" i="7"/>
  <c r="CD1060" i="7"/>
  <c r="CD1037" i="7"/>
  <c r="CD1025" i="7"/>
  <c r="CD1015" i="7"/>
  <c r="CD985" i="7"/>
  <c r="CD901" i="7"/>
  <c r="CD878" i="7"/>
  <c r="CD876" i="7"/>
  <c r="CD860" i="7"/>
  <c r="CD827" i="7"/>
  <c r="CD807" i="7"/>
  <c r="CD701" i="7"/>
  <c r="CD693" i="7"/>
  <c r="CD685" i="7"/>
  <c r="CD628" i="7"/>
  <c r="CD559" i="7"/>
  <c r="CD553" i="7"/>
  <c r="CD552" i="7"/>
  <c r="CD551" i="7"/>
  <c r="CD550" i="7"/>
  <c r="CD548" i="7"/>
  <c r="CD531" i="7"/>
  <c r="CD520" i="7"/>
  <c r="CD517" i="7"/>
  <c r="CD505" i="7"/>
  <c r="CD488" i="7"/>
  <c r="CD477" i="7"/>
  <c r="CD461" i="7"/>
  <c r="CD446" i="7"/>
  <c r="CD1058" i="7"/>
  <c r="CD1057" i="7"/>
  <c r="CD889" i="7"/>
  <c r="CD703" i="7"/>
  <c r="CD572" i="7"/>
  <c r="CD571" i="7"/>
  <c r="CD569" i="7"/>
  <c r="CD530" i="7"/>
  <c r="CD506" i="7"/>
  <c r="CD478" i="7"/>
  <c r="CD432" i="7"/>
  <c r="CD429" i="7"/>
  <c r="CD425" i="7"/>
  <c r="CD416" i="7"/>
  <c r="CD414" i="7"/>
  <c r="CD401" i="7"/>
  <c r="CD385" i="7"/>
  <c r="CD362" i="7"/>
  <c r="CD356" i="7"/>
  <c r="CD355" i="7"/>
  <c r="CD354" i="7"/>
  <c r="CD349" i="7"/>
  <c r="CD348" i="7"/>
  <c r="CD342" i="7"/>
  <c r="CD341" i="7"/>
  <c r="CD332" i="7"/>
  <c r="CD330" i="7"/>
  <c r="CD285" i="7"/>
  <c r="CD284" i="7"/>
  <c r="CD249" i="7"/>
  <c r="CD238" i="7"/>
  <c r="CD234" i="7"/>
  <c r="CD220" i="7"/>
  <c r="CD206" i="7"/>
  <c r="CD204" i="7"/>
  <c r="CD185" i="7"/>
  <c r="CD140" i="7"/>
  <c r="CD139" i="7"/>
  <c r="CD122" i="7"/>
  <c r="CD118" i="7"/>
  <c r="CD110" i="7"/>
  <c r="CD108" i="7"/>
  <c r="CD104" i="7"/>
  <c r="CD68" i="7"/>
  <c r="CD53" i="7"/>
  <c r="CD45" i="7"/>
  <c r="CD44" i="7"/>
  <c r="CD39" i="7"/>
  <c r="CD38" i="7"/>
  <c r="CD37" i="7"/>
  <c r="CD30" i="7"/>
  <c r="CD23" i="7"/>
  <c r="CD50" i="7"/>
  <c r="CD28" i="7"/>
  <c r="CD418" i="7"/>
  <c r="CD400" i="7"/>
  <c r="CD398" i="7"/>
  <c r="CD387" i="7"/>
  <c r="CD357" i="7"/>
  <c r="CD350" i="7"/>
  <c r="CD298" i="7"/>
  <c r="CD291" i="7"/>
  <c r="CD243" i="7"/>
  <c r="CD235" i="7"/>
  <c r="CD210" i="7"/>
  <c r="CD202" i="7"/>
  <c r="CD184" i="7"/>
  <c r="CD182" i="7"/>
  <c r="CD180" i="7"/>
  <c r="CD178" i="7"/>
  <c r="CD175" i="7"/>
  <c r="CD173" i="7"/>
  <c r="CD160" i="7"/>
  <c r="CD126" i="7"/>
  <c r="CD117" i="7"/>
  <c r="CD111" i="7"/>
  <c r="CD107" i="7"/>
  <c r="CD88" i="7"/>
  <c r="CD86" i="7"/>
  <c r="CD83" i="7"/>
  <c r="CD46" i="7"/>
  <c r="CD41" i="7"/>
  <c r="CD26" i="7"/>
  <c r="CD1064" i="7"/>
  <c r="CD842" i="7"/>
  <c r="CD752" i="7"/>
  <c r="CD707" i="7"/>
  <c r="CD695" i="7"/>
  <c r="CD556" i="7"/>
  <c r="CD516" i="7"/>
  <c r="CD482" i="7"/>
  <c r="CD466" i="7"/>
  <c r="CD433" i="7"/>
  <c r="CD426" i="7"/>
  <c r="CD395" i="7"/>
  <c r="CD392" i="7"/>
  <c r="CD369" i="7"/>
  <c r="CD360" i="7"/>
  <c r="CD333" i="7"/>
  <c r="CD329" i="7"/>
  <c r="CD327" i="7"/>
  <c r="CD325" i="7"/>
  <c r="CD304" i="7"/>
  <c r="CD296" i="7"/>
  <c r="CD281" i="7"/>
  <c r="CD272" i="7"/>
  <c r="CD269" i="7"/>
  <c r="CD268" i="7"/>
  <c r="CD265" i="7"/>
  <c r="CD262" i="7"/>
  <c r="CD261" i="7"/>
  <c r="CD260" i="7"/>
  <c r="CD248" i="7"/>
  <c r="CD246" i="7"/>
  <c r="CD221" i="7"/>
  <c r="CD217" i="7"/>
  <c r="CD194" i="7"/>
  <c r="CD186" i="7"/>
  <c r="CD129" i="7"/>
  <c r="CD123" i="7"/>
  <c r="CD119" i="7"/>
  <c r="CD115" i="7"/>
  <c r="CD105" i="7"/>
  <c r="CD75" i="7"/>
  <c r="CD71" i="7"/>
  <c r="CD52" i="7"/>
  <c r="CD29" i="7"/>
  <c r="CD22" i="7"/>
  <c r="CD270" i="7"/>
  <c r="CD232" i="7"/>
  <c r="CD214" i="7"/>
  <c r="CD212" i="7"/>
  <c r="CD195" i="7"/>
  <c r="CD165" i="7"/>
  <c r="CD155" i="7"/>
  <c r="CD151" i="7"/>
  <c r="CD150" i="7"/>
  <c r="CD137" i="7"/>
  <c r="CD128" i="7"/>
  <c r="CD124" i="7"/>
  <c r="CD120" i="7"/>
  <c r="CD106" i="7"/>
  <c r="CD72" i="7"/>
  <c r="CD59" i="7"/>
  <c r="CD48" i="7"/>
  <c r="CD42" i="7"/>
  <c r="CD821" i="7"/>
  <c r="CD747" i="7"/>
  <c r="CD745" i="7"/>
  <c r="CD713" i="7"/>
  <c r="CD670" i="7"/>
  <c r="CD574" i="7"/>
  <c r="CD573" i="7"/>
  <c r="CD568" i="7"/>
  <c r="CD564" i="7"/>
  <c r="CD560" i="7"/>
  <c r="CD547" i="7"/>
  <c r="CD545" i="7"/>
  <c r="CD504" i="7"/>
  <c r="CD501" i="7"/>
  <c r="CD487" i="7"/>
  <c r="CD399" i="7"/>
  <c r="CD344" i="7"/>
  <c r="CD292" i="7"/>
  <c r="CD290" i="7"/>
  <c r="CD286" i="7"/>
  <c r="CD253" i="7"/>
  <c r="CD239" i="7"/>
  <c r="CD237" i="7"/>
  <c r="CD219" i="7"/>
  <c r="CD207" i="7"/>
  <c r="CD183" i="7"/>
  <c r="CD181" i="7"/>
  <c r="CD179" i="7"/>
  <c r="CD177" i="7"/>
  <c r="CD176" i="7"/>
  <c r="CD172" i="7"/>
  <c r="CD164" i="7"/>
  <c r="CD156" i="7"/>
  <c r="CD148" i="7"/>
  <c r="CD147" i="7"/>
  <c r="CD146" i="7"/>
  <c r="CD145" i="7"/>
  <c r="CD144" i="7"/>
  <c r="CD143" i="7"/>
  <c r="CD142" i="7"/>
  <c r="CD121" i="7"/>
  <c r="CD112" i="7"/>
  <c r="CD103" i="7"/>
  <c r="CD101" i="7"/>
  <c r="CD94" i="7"/>
  <c r="CD91" i="7"/>
  <c r="CD89" i="7"/>
  <c r="CD87" i="7"/>
  <c r="CD84" i="7"/>
  <c r="CD82" i="7"/>
  <c r="CD77" i="7"/>
  <c r="CD61" i="7"/>
  <c r="CD54" i="7"/>
  <c r="CD24" i="7"/>
  <c r="CD896" i="7"/>
  <c r="CD710" i="7"/>
  <c r="CD687" i="7"/>
  <c r="CD558" i="7"/>
  <c r="CD540" i="7"/>
  <c r="CD470" i="7"/>
  <c r="CD467" i="7"/>
  <c r="CD443" i="7"/>
  <c r="CD406" i="7"/>
  <c r="CD390" i="7"/>
  <c r="CD383" i="7"/>
  <c r="CD365" i="7"/>
  <c r="CD358" i="7"/>
  <c r="CD334" i="7"/>
  <c r="CD316" i="7"/>
  <c r="CD310" i="7"/>
  <c r="CD303" i="7"/>
  <c r="CD297" i="7"/>
  <c r="CD294" i="7"/>
  <c r="CD282" i="7"/>
  <c r="CD280" i="7"/>
  <c r="CD242" i="7"/>
  <c r="CD218" i="7"/>
  <c r="CD213" i="7"/>
  <c r="CD209" i="7"/>
  <c r="CD169" i="7"/>
  <c r="CD161" i="7"/>
  <c r="CD154" i="7"/>
  <c r="CD114" i="7"/>
  <c r="CB894" i="7"/>
  <c r="CB925" i="7"/>
  <c r="CB681" i="7"/>
  <c r="CB803" i="7"/>
  <c r="CB473" i="7"/>
  <c r="CB309" i="7"/>
  <c r="CB156" i="7"/>
  <c r="D556" i="7" l="1"/>
  <c r="CB1037" i="7"/>
  <c r="AT1154" i="7"/>
  <c r="AT1153" i="7"/>
  <c r="AT1155" i="7"/>
  <c r="AT1158" i="7"/>
  <c r="AT1157" i="7"/>
  <c r="AT1156" i="7"/>
  <c r="AT1160" i="7"/>
  <c r="AT1159" i="7"/>
  <c r="AT1150" i="7"/>
  <c r="AT1161" i="7"/>
  <c r="AT645" i="7"/>
  <c r="AT644" i="7"/>
  <c r="AT919" i="7"/>
  <c r="AT920" i="7"/>
  <c r="AT1253" i="7"/>
  <c r="AT1252" i="7"/>
  <c r="AT811" i="7"/>
  <c r="F11" i="8"/>
  <c r="AT892" i="7"/>
  <c r="AT982" i="7"/>
  <c r="AT981" i="7"/>
  <c r="AT891" i="7"/>
  <c r="AT943" i="7"/>
  <c r="AT893" i="7"/>
  <c r="AT980" i="7"/>
  <c r="AT944" i="7"/>
  <c r="AT1048" i="7"/>
  <c r="AT847" i="7"/>
  <c r="AT1081" i="7"/>
  <c r="AT1049" i="7"/>
  <c r="AT810" i="7"/>
  <c r="AT680" i="7"/>
  <c r="AT377" i="7"/>
  <c r="AT378" i="7"/>
  <c r="AT744" i="7"/>
  <c r="AT678" i="7"/>
  <c r="C47" i="4"/>
  <c r="AT862" i="7"/>
  <c r="AT1231" i="7"/>
  <c r="AC19" i="7"/>
  <c r="AT1069" i="7"/>
  <c r="AT1068" i="7"/>
  <c r="D1091" i="7"/>
  <c r="AT1367" i="7"/>
  <c r="AT1365" i="7"/>
  <c r="AT1357" i="7"/>
  <c r="AT1354" i="7"/>
  <c r="AT1349" i="7"/>
  <c r="AT1339" i="7"/>
  <c r="AT1336" i="7"/>
  <c r="AT1333" i="7"/>
  <c r="AT1330" i="7"/>
  <c r="AT1324" i="7"/>
  <c r="AT1321" i="7"/>
  <c r="AT1318" i="7"/>
  <c r="AT1311" i="7"/>
  <c r="AT1304" i="7"/>
  <c r="AT1301" i="7"/>
  <c r="AT1370" i="7"/>
  <c r="AT1369" i="7"/>
  <c r="AT1368" i="7"/>
  <c r="AT1362" i="7"/>
  <c r="AT1353" i="7"/>
  <c r="AT1352" i="7"/>
  <c r="AT1338" i="7"/>
  <c r="AT1337" i="7"/>
  <c r="AT1331" i="7"/>
  <c r="AT1323" i="7"/>
  <c r="AT1322" i="7"/>
  <c r="AT1317" i="7"/>
  <c r="AT1316" i="7"/>
  <c r="AT1307" i="7"/>
  <c r="AT1302" i="7"/>
  <c r="AT1292" i="7"/>
  <c r="AT1289" i="7"/>
  <c r="AT1280" i="7"/>
  <c r="AT1278" i="7"/>
  <c r="AT1276" i="7"/>
  <c r="AT1269" i="7"/>
  <c r="AT1266" i="7"/>
  <c r="AT1261" i="7"/>
  <c r="AT1258" i="7"/>
  <c r="AT1255" i="7"/>
  <c r="AT1248" i="7"/>
  <c r="AT1245" i="7"/>
  <c r="AT1237" i="7"/>
  <c r="AT1234" i="7"/>
  <c r="AT1232" i="7"/>
  <c r="AT1229" i="7"/>
  <c r="AT1226" i="7"/>
  <c r="AT1223" i="7"/>
  <c r="AT1220" i="7"/>
  <c r="AT1217" i="7"/>
  <c r="AT1214" i="7"/>
  <c r="AT1208" i="7"/>
  <c r="AT1206" i="7"/>
  <c r="AT1199" i="7"/>
  <c r="AT1195" i="7"/>
  <c r="AT1191" i="7"/>
  <c r="AT1187" i="7"/>
  <c r="AT1180" i="7"/>
  <c r="AT1174" i="7"/>
  <c r="AT1366" i="7"/>
  <c r="AT1358" i="7"/>
  <c r="AT1351" i="7"/>
  <c r="AT1350" i="7"/>
  <c r="AT1348" i="7"/>
  <c r="AT1347" i="7"/>
  <c r="AT1344" i="7"/>
  <c r="AT1343" i="7"/>
  <c r="AT1326" i="7"/>
  <c r="AT1320" i="7"/>
  <c r="AT1315" i="7"/>
  <c r="AT1313" i="7"/>
  <c r="AT1312" i="7"/>
  <c r="AT1306" i="7"/>
  <c r="AT1305" i="7"/>
  <c r="AT1303" i="7"/>
  <c r="AT1300" i="7"/>
  <c r="AT1299" i="7"/>
  <c r="AT1298" i="7"/>
  <c r="AT1285" i="7"/>
  <c r="AT1284" i="7"/>
  <c r="AT1283" i="7"/>
  <c r="AT1273" i="7"/>
  <c r="AT1268" i="7"/>
  <c r="AT1267" i="7"/>
  <c r="AT1254" i="7"/>
  <c r="AT1246" i="7"/>
  <c r="AT1225" i="7"/>
  <c r="AT1224" i="7"/>
  <c r="AT1194" i="7"/>
  <c r="AT1193" i="7"/>
  <c r="AT1192" i="7"/>
  <c r="AT1179" i="7"/>
  <c r="AT1178" i="7"/>
  <c r="AT1172" i="7"/>
  <c r="AT1168" i="7"/>
  <c r="AT1164" i="7"/>
  <c r="AT1147" i="7"/>
  <c r="AT1139" i="7"/>
  <c r="AT1138" i="7"/>
  <c r="AT1130" i="7"/>
  <c r="AT1108" i="7"/>
  <c r="AT1107" i="7"/>
  <c r="AT1106" i="7"/>
  <c r="AT1105" i="7"/>
  <c r="AT1104" i="7"/>
  <c r="AT1103" i="7"/>
  <c r="AT1089" i="7"/>
  <c r="AT1364" i="7"/>
  <c r="AT1363" i="7"/>
  <c r="AT1359" i="7"/>
  <c r="AT1356" i="7"/>
  <c r="AT1355" i="7"/>
  <c r="AT1342" i="7"/>
  <c r="AT1341" i="7"/>
  <c r="AT1340" i="7"/>
  <c r="AT1335" i="7"/>
  <c r="AT1334" i="7"/>
  <c r="AT1332" i="7"/>
  <c r="AT1329" i="7"/>
  <c r="AT1328" i="7"/>
  <c r="AT1325" i="7"/>
  <c r="AT1319" i="7"/>
  <c r="AT1291" i="7"/>
  <c r="AT1290" i="7"/>
  <c r="AT1281" i="7"/>
  <c r="AT1277" i="7"/>
  <c r="AT1272" i="7"/>
  <c r="AT1260" i="7"/>
  <c r="AT1244" i="7"/>
  <c r="AT1243" i="7"/>
  <c r="AT1236" i="7"/>
  <c r="AT1222" i="7"/>
  <c r="AT1221" i="7"/>
  <c r="AT1210" i="7"/>
  <c r="AT1205" i="7"/>
  <c r="AT1204" i="7"/>
  <c r="AT1203" i="7"/>
  <c r="AT1190" i="7"/>
  <c r="AT1189" i="7"/>
  <c r="AT1188" i="7"/>
  <c r="AT1176" i="7"/>
  <c r="AT1175" i="7"/>
  <c r="AT1171" i="7"/>
  <c r="AT1167" i="7"/>
  <c r="AT1162" i="7"/>
  <c r="AT1143" i="7"/>
  <c r="AT1345" i="7"/>
  <c r="AT1309" i="7"/>
  <c r="AT1296" i="7"/>
  <c r="AT1288" i="7"/>
  <c r="AT1287" i="7"/>
  <c r="AT1286" i="7"/>
  <c r="AT1279" i="7"/>
  <c r="AT1270" i="7"/>
  <c r="AT1259" i="7"/>
  <c r="AT1247" i="7"/>
  <c r="AT1241" i="7"/>
  <c r="AT1200" i="7"/>
  <c r="AT1184" i="7"/>
  <c r="AT1173" i="7"/>
  <c r="AT1170" i="7"/>
  <c r="AT1141" i="7"/>
  <c r="AT1140" i="7"/>
  <c r="AT1133" i="7"/>
  <c r="AT1119" i="7"/>
  <c r="AT1117" i="7"/>
  <c r="AT1113" i="7"/>
  <c r="AT1090" i="7"/>
  <c r="AT1074" i="7"/>
  <c r="AT1071" i="7"/>
  <c r="AT1064" i="7"/>
  <c r="AT1061" i="7"/>
  <c r="AT1058" i="7"/>
  <c r="AT1054" i="7"/>
  <c r="AT1043" i="7"/>
  <c r="AT1037" i="7"/>
  <c r="AT1033" i="7"/>
  <c r="AT1031" i="7"/>
  <c r="AT1027" i="7"/>
  <c r="AT1020" i="7"/>
  <c r="AT1018" i="7"/>
  <c r="AT1014" i="7"/>
  <c r="AT1012" i="7"/>
  <c r="AT1009" i="7"/>
  <c r="AT1004" i="7"/>
  <c r="AT997" i="7"/>
  <c r="AT994" i="7"/>
  <c r="AT988" i="7"/>
  <c r="AT983" i="7"/>
  <c r="AT975" i="7"/>
  <c r="AT969" i="7"/>
  <c r="AT967" i="7"/>
  <c r="AT960" i="7"/>
  <c r="AT957" i="7"/>
  <c r="AT955" i="7"/>
  <c r="AT946" i="7"/>
  <c r="AT934" i="7"/>
  <c r="AT932" i="7"/>
  <c r="AT1371" i="7"/>
  <c r="AT1310" i="7"/>
  <c r="AT1308" i="7"/>
  <c r="AT1297" i="7"/>
  <c r="AT1275" i="7"/>
  <c r="AT1274" i="7"/>
  <c r="AT1271" i="7"/>
  <c r="AT1264" i="7"/>
  <c r="AT1263" i="7"/>
  <c r="AT1262" i="7"/>
  <c r="AT1257" i="7"/>
  <c r="AT1249" i="7"/>
  <c r="AT1242" i="7"/>
  <c r="AT1233" i="7"/>
  <c r="AT1230" i="7"/>
  <c r="AT1228" i="7"/>
  <c r="AT1227" i="7"/>
  <c r="AT1218" i="7"/>
  <c r="AT1216" i="7"/>
  <c r="AT1215" i="7"/>
  <c r="AT1212" i="7"/>
  <c r="AT1211" i="7"/>
  <c r="AT1201" i="7"/>
  <c r="AT1185" i="7"/>
  <c r="AT1183" i="7"/>
  <c r="AT1182" i="7"/>
  <c r="AT1181" i="7"/>
  <c r="AT1120" i="7"/>
  <c r="AT1114" i="7"/>
  <c r="AT1098" i="7"/>
  <c r="AT1082" i="7"/>
  <c r="AT1075" i="7"/>
  <c r="AT1072" i="7"/>
  <c r="AT1062" i="7"/>
  <c r="AT1055" i="7"/>
  <c r="AT1051" i="7"/>
  <c r="AT1046" i="7"/>
  <c r="AT1038" i="7"/>
  <c r="AT1028" i="7"/>
  <c r="AT1010" i="7"/>
  <c r="AT1007" i="7"/>
  <c r="AT989" i="7"/>
  <c r="AT986" i="7"/>
  <c r="AT976" i="7"/>
  <c r="AT973" i="7"/>
  <c r="AT970" i="7"/>
  <c r="AT964" i="7"/>
  <c r="AT961" i="7"/>
  <c r="AT958" i="7"/>
  <c r="AT953" i="7"/>
  <c r="AT1360" i="7"/>
  <c r="AT1235" i="7"/>
  <c r="AT1219" i="7"/>
  <c r="AT1202" i="7"/>
  <c r="AT1169" i="7"/>
  <c r="AT1166" i="7"/>
  <c r="AT1163" i="7"/>
  <c r="AT1149" i="7"/>
  <c r="AT1148" i="7"/>
  <c r="AT1131" i="7"/>
  <c r="AT1129" i="7"/>
  <c r="AT1128" i="7"/>
  <c r="AT1127" i="7"/>
  <c r="AT1126" i="7"/>
  <c r="AT1125" i="7"/>
  <c r="AT1111" i="7"/>
  <c r="AT1076" i="7"/>
  <c r="AT1065" i="7"/>
  <c r="AT1057" i="7"/>
  <c r="AT1025" i="7"/>
  <c r="AT1022" i="7"/>
  <c r="AT1008" i="7"/>
  <c r="AT1005" i="7"/>
  <c r="AT1003" i="7"/>
  <c r="AT999" i="7"/>
  <c r="AT992" i="7"/>
  <c r="AT985" i="7"/>
  <c r="AT972" i="7"/>
  <c r="AT965" i="7"/>
  <c r="AT950" i="7"/>
  <c r="AT938" i="7"/>
  <c r="AT923" i="7"/>
  <c r="AT917" i="7"/>
  <c r="AT914" i="7"/>
  <c r="AT901" i="7"/>
  <c r="AT899" i="7"/>
  <c r="AT896" i="7"/>
  <c r="AT890" i="7"/>
  <c r="AT887" i="7"/>
  <c r="AT885" i="7"/>
  <c r="AT883" i="7"/>
  <c r="AT881" i="7"/>
  <c r="AT876" i="7"/>
  <c r="AT873" i="7"/>
  <c r="AT868" i="7"/>
  <c r="AT865" i="7"/>
  <c r="AT863" i="7"/>
  <c r="AT858" i="7"/>
  <c r="AT852" i="7"/>
  <c r="AT850" i="7"/>
  <c r="AT848" i="7"/>
  <c r="AT833" i="7"/>
  <c r="AT831" i="7"/>
  <c r="AT821" i="7"/>
  <c r="AT805" i="7"/>
  <c r="AT803" i="7"/>
  <c r="AT753" i="7"/>
  <c r="AT749" i="7"/>
  <c r="AT745" i="7"/>
  <c r="AT742" i="7"/>
  <c r="AT707" i="7"/>
  <c r="AT703" i="7"/>
  <c r="AT701" i="7"/>
  <c r="AT699" i="7"/>
  <c r="AT697" i="7"/>
  <c r="AT695" i="7"/>
  <c r="AT693" i="7"/>
  <c r="AT691" i="7"/>
  <c r="AT689" i="7"/>
  <c r="AT687" i="7"/>
  <c r="AT685" i="7"/>
  <c r="AT683" i="7"/>
  <c r="AT660" i="7"/>
  <c r="AT658" i="7"/>
  <c r="AT649" i="7"/>
  <c r="AT643" i="7"/>
  <c r="AT641" i="7"/>
  <c r="AT640" i="7"/>
  <c r="AT639" i="7"/>
  <c r="AT638" i="7"/>
  <c r="AT637" i="7"/>
  <c r="AT628" i="7"/>
  <c r="AT611" i="7"/>
  <c r="AT607" i="7"/>
  <c r="AT1361" i="7"/>
  <c r="AT1240" i="7"/>
  <c r="AT1239" i="7"/>
  <c r="AT1238" i="7"/>
  <c r="AT1137" i="7"/>
  <c r="AT1118" i="7"/>
  <c r="AT1112" i="7"/>
  <c r="AT1088" i="7"/>
  <c r="AT1083" i="7"/>
  <c r="AT1073" i="7"/>
  <c r="AT1070" i="7"/>
  <c r="AT1063" i="7"/>
  <c r="AT1030" i="7"/>
  <c r="AT1021" i="7"/>
  <c r="AT1019" i="7"/>
  <c r="AT990" i="7"/>
  <c r="AT984" i="7"/>
  <c r="AT977" i="7"/>
  <c r="AT963" i="7"/>
  <c r="AT959" i="7"/>
  <c r="AT949" i="7"/>
  <c r="AT941" i="7"/>
  <c r="AT937" i="7"/>
  <c r="AT935" i="7"/>
  <c r="AT931" i="7"/>
  <c r="AT926" i="7"/>
  <c r="AT924" i="7"/>
  <c r="AT918" i="7"/>
  <c r="AT915" i="7"/>
  <c r="AT912" i="7"/>
  <c r="AT879" i="7"/>
  <c r="AT877" i="7"/>
  <c r="AT871" i="7"/>
  <c r="AT866" i="7"/>
  <c r="AT861" i="7"/>
  <c r="AT856" i="7"/>
  <c r="AT830" i="7"/>
  <c r="AT828" i="7"/>
  <c r="AT826" i="7"/>
  <c r="AT824" i="7"/>
  <c r="AT822" i="7"/>
  <c r="AT751" i="7"/>
  <c r="AT746" i="7"/>
  <c r="AT681" i="7"/>
  <c r="AT672" i="7"/>
  <c r="AT656" i="7"/>
  <c r="AT654" i="7"/>
  <c r="AT652" i="7"/>
  <c r="AT650" i="7"/>
  <c r="AT634" i="7"/>
  <c r="AT626" i="7"/>
  <c r="AT624" i="7"/>
  <c r="AT610" i="7"/>
  <c r="AT590" i="7"/>
  <c r="AT586" i="7"/>
  <c r="AT580" i="7"/>
  <c r="AT576" i="7"/>
  <c r="AT571" i="7"/>
  <c r="AT567" i="7"/>
  <c r="AT1209" i="7"/>
  <c r="AT1186" i="7"/>
  <c r="AT1122" i="7"/>
  <c r="AT1056" i="7"/>
  <c r="AT1024" i="7"/>
  <c r="AT1011" i="7"/>
  <c r="AT998" i="7"/>
  <c r="AT995" i="7"/>
  <c r="AT913" i="7"/>
  <c r="AT905" i="7"/>
  <c r="AT900" i="7"/>
  <c r="AT894" i="7"/>
  <c r="AT841" i="7"/>
  <c r="AT808" i="7"/>
  <c r="AT758" i="7"/>
  <c r="AT704" i="7"/>
  <c r="AT702" i="7"/>
  <c r="AT700" i="7"/>
  <c r="AT698" i="7"/>
  <c r="AT696" i="7"/>
  <c r="AT694" i="7"/>
  <c r="AT692" i="7"/>
  <c r="AT690" i="7"/>
  <c r="AT688" i="7"/>
  <c r="AT686" i="7"/>
  <c r="AT684" i="7"/>
  <c r="AT682" i="7"/>
  <c r="AT666" i="7"/>
  <c r="AT651" i="7"/>
  <c r="AT609" i="7"/>
  <c r="AT608" i="7"/>
  <c r="AT589" i="7"/>
  <c r="AT584" i="7"/>
  <c r="AT569" i="7"/>
  <c r="AT568" i="7"/>
  <c r="AT563" i="7"/>
  <c r="AT558" i="7"/>
  <c r="AT556" i="7"/>
  <c r="AT547" i="7"/>
  <c r="AT543" i="7"/>
  <c r="AT540" i="7"/>
  <c r="AT529" i="7"/>
  <c r="AT512" i="7"/>
  <c r="AT504" i="7"/>
  <c r="AT500" i="7"/>
  <c r="AT487" i="7"/>
  <c r="AT474" i="7"/>
  <c r="AT466" i="7"/>
  <c r="AT446" i="7"/>
  <c r="AT437" i="7"/>
  <c r="AT429" i="7"/>
  <c r="AT425" i="7"/>
  <c r="AT416" i="7"/>
  <c r="AT406" i="7"/>
  <c r="AT398" i="7"/>
  <c r="AT381" i="7"/>
  <c r="AT365" i="7"/>
  <c r="AT354" i="7"/>
  <c r="AT348" i="7"/>
  <c r="AT342" i="7"/>
  <c r="AT329" i="7"/>
  <c r="AT327" i="7"/>
  <c r="AT325" i="7"/>
  <c r="AT313" i="7"/>
  <c r="AT304" i="7"/>
  <c r="AT294" i="7"/>
  <c r="AT285" i="7"/>
  <c r="AT280" i="7"/>
  <c r="AT252" i="7"/>
  <c r="AT248" i="7"/>
  <c r="AT246" i="7"/>
  <c r="AT239" i="7"/>
  <c r="AT234" i="7"/>
  <c r="AT232" i="7"/>
  <c r="AT212" i="7"/>
  <c r="AT210" i="7"/>
  <c r="AT206" i="7"/>
  <c r="AT204" i="7"/>
  <c r="AT202" i="7"/>
  <c r="AT172" i="7"/>
  <c r="AT168" i="7"/>
  <c r="AT164" i="7"/>
  <c r="AT160" i="7"/>
  <c r="AT138" i="7"/>
  <c r="AT135" i="7"/>
  <c r="AT131" i="7"/>
  <c r="AT128" i="7"/>
  <c r="AT110" i="7"/>
  <c r="AT57" i="7"/>
  <c r="AT53" i="7"/>
  <c r="AT50" i="7"/>
  <c r="AT46" i="7"/>
  <c r="AT41" i="7"/>
  <c r="AT37" i="7"/>
  <c r="AT33" i="7"/>
  <c r="AT29" i="7"/>
  <c r="AT26" i="7"/>
  <c r="AT1250" i="7"/>
  <c r="AT1115" i="7"/>
  <c r="AT1013" i="7"/>
  <c r="AT993" i="7"/>
  <c r="AT974" i="7"/>
  <c r="AT956" i="7"/>
  <c r="AT948" i="7"/>
  <c r="AT940" i="7"/>
  <c r="AT939" i="7"/>
  <c r="AT933" i="7"/>
  <c r="AT930" i="7"/>
  <c r="AT922" i="7"/>
  <c r="AT921" i="7"/>
  <c r="AT908" i="7"/>
  <c r="AT875" i="7"/>
  <c r="AT859" i="7"/>
  <c r="AT849" i="7"/>
  <c r="AT839" i="7"/>
  <c r="AT806" i="7"/>
  <c r="AT804" i="7"/>
  <c r="AT741" i="7"/>
  <c r="AT661" i="7"/>
  <c r="AT659" i="7"/>
  <c r="AT657" i="7"/>
  <c r="AT621" i="7"/>
  <c r="AT620" i="7"/>
  <c r="AT588" i="7"/>
  <c r="AT587" i="7"/>
  <c r="AT583" i="7"/>
  <c r="AT582" i="7"/>
  <c r="AT579" i="7"/>
  <c r="AT566" i="7"/>
  <c r="AT562" i="7"/>
  <c r="AT557" i="7"/>
  <c r="AT553" i="7"/>
  <c r="AT550" i="7"/>
  <c r="AT534" i="7"/>
  <c r="AT530" i="7"/>
  <c r="AT524" i="7"/>
  <c r="AT521" i="7"/>
  <c r="AT517" i="7"/>
  <c r="AT515" i="7"/>
  <c r="AT510" i="7"/>
  <c r="AT499" i="7"/>
  <c r="AT486" i="7"/>
  <c r="AT484" i="7"/>
  <c r="AT476" i="7"/>
  <c r="AT469" i="7"/>
  <c r="AT467" i="7"/>
  <c r="AT464" i="7"/>
  <c r="AT460" i="7"/>
  <c r="AT458" i="7"/>
  <c r="AT454" i="7"/>
  <c r="AT448" i="7"/>
  <c r="AT444" i="7"/>
  <c r="AT442" i="7"/>
  <c r="AT436" i="7"/>
  <c r="AT427" i="7"/>
  <c r="AT423" i="7"/>
  <c r="AT420" i="7"/>
  <c r="AT413" i="7"/>
  <c r="AT405" i="7"/>
  <c r="AT396" i="7"/>
  <c r="AT389" i="7"/>
  <c r="AT368" i="7"/>
  <c r="AT364" i="7"/>
  <c r="AT361" i="7"/>
  <c r="AT357" i="7"/>
  <c r="AT350" i="7"/>
  <c r="AT343" i="7"/>
  <c r="AT331" i="7"/>
  <c r="AT317" i="7"/>
  <c r="AT315" i="7"/>
  <c r="AT312" i="7"/>
  <c r="AT308" i="7"/>
  <c r="AT302" i="7"/>
  <c r="AT295" i="7"/>
  <c r="AT292" i="7"/>
  <c r="AT279" i="7"/>
  <c r="AT274" i="7"/>
  <c r="AT255" i="7"/>
  <c r="AT251" i="7"/>
  <c r="AT241" i="7"/>
  <c r="AT236" i="7"/>
  <c r="AT208" i="7"/>
  <c r="AT203" i="7"/>
  <c r="AT171" i="7"/>
  <c r="AT167" i="7"/>
  <c r="AT163" i="7"/>
  <c r="AT159" i="7"/>
  <c r="AT156" i="7"/>
  <c r="AT1265" i="7"/>
  <c r="AT1116" i="7"/>
  <c r="AT1102" i="7"/>
  <c r="AT1101" i="7"/>
  <c r="AT1100" i="7"/>
  <c r="AT1050" i="7"/>
  <c r="AT945" i="7"/>
  <c r="AT911" i="7"/>
  <c r="AT910" i="7"/>
  <c r="AT889" i="7"/>
  <c r="AT754" i="7"/>
  <c r="AT752" i="7"/>
  <c r="AT743" i="7"/>
  <c r="AT708" i="7"/>
  <c r="AT706" i="7"/>
  <c r="AT575" i="7"/>
  <c r="AT1295" i="7"/>
  <c r="AT1294" i="7"/>
  <c r="AT1293" i="7"/>
  <c r="AT1165" i="7"/>
  <c r="AT1121" i="7"/>
  <c r="AT1077" i="7"/>
  <c r="AT1029" i="7"/>
  <c r="AT962" i="7"/>
  <c r="AT916" i="7"/>
  <c r="AT886" i="7"/>
  <c r="AT870" i="7"/>
  <c r="AT869" i="7"/>
  <c r="AT867" i="7"/>
  <c r="AT864" i="7"/>
  <c r="AT832" i="7"/>
  <c r="AT823" i="7"/>
  <c r="AT655" i="7"/>
  <c r="AT653" i="7"/>
  <c r="AT577" i="7"/>
  <c r="AT565" i="7"/>
  <c r="AT564" i="7"/>
  <c r="AT546" i="7"/>
  <c r="AT545" i="7"/>
  <c r="AT523" i="7"/>
  <c r="AT514" i="7"/>
  <c r="AT511" i="7"/>
  <c r="AT502" i="7"/>
  <c r="AT501" i="7"/>
  <c r="AT492" i="7"/>
  <c r="AT457" i="7"/>
  <c r="AT1198" i="7"/>
  <c r="AT1197" i="7"/>
  <c r="AT1196" i="7"/>
  <c r="AT1087" i="7"/>
  <c r="AT1052" i="7"/>
  <c r="AT1044" i="7"/>
  <c r="AT1034" i="7"/>
  <c r="AT971" i="7"/>
  <c r="AT952" i="7"/>
  <c r="AT925" i="7"/>
  <c r="AT882" i="7"/>
  <c r="AT880" i="7"/>
  <c r="AT874" i="7"/>
  <c r="AT629" i="7"/>
  <c r="AT578" i="7"/>
  <c r="AT554" i="7"/>
  <c r="AT544" i="7"/>
  <c r="AT533" i="7"/>
  <c r="AT522" i="7"/>
  <c r="AT518" i="7"/>
  <c r="AT513" i="7"/>
  <c r="AT473" i="7"/>
  <c r="AT463" i="7"/>
  <c r="AT453" i="7"/>
  <c r="AT441" i="7"/>
  <c r="AT1096" i="7"/>
  <c r="AT1095" i="7"/>
  <c r="AT1094" i="7"/>
  <c r="AT1093" i="7"/>
  <c r="AT1092" i="7"/>
  <c r="AT1091" i="7"/>
  <c r="AT1060" i="7"/>
  <c r="AT987" i="7"/>
  <c r="AT705" i="7"/>
  <c r="AT574" i="7"/>
  <c r="AT573" i="7"/>
  <c r="AT570" i="7"/>
  <c r="AT561" i="7"/>
  <c r="AT535" i="7"/>
  <c r="AT531" i="7"/>
  <c r="AT503" i="7"/>
  <c r="AT498" i="7"/>
  <c r="AT459" i="7"/>
  <c r="AT419" i="7"/>
  <c r="AT418" i="7"/>
  <c r="AT412" i="7"/>
  <c r="AT397" i="7"/>
  <c r="AT388" i="7"/>
  <c r="AT387" i="7"/>
  <c r="AT347" i="7"/>
  <c r="AT344" i="7"/>
  <c r="AT314" i="7"/>
  <c r="AT309" i="7"/>
  <c r="AT307" i="7"/>
  <c r="AT293" i="7"/>
  <c r="AT287" i="7"/>
  <c r="AT286" i="7"/>
  <c r="AT254" i="7"/>
  <c r="AT253" i="7"/>
  <c r="AT244" i="7"/>
  <c r="AT240" i="7"/>
  <c r="AT235" i="7"/>
  <c r="AT211" i="7"/>
  <c r="AT207" i="7"/>
  <c r="AT134" i="7"/>
  <c r="AT111" i="7"/>
  <c r="AT62" i="7"/>
  <c r="AT61" i="7"/>
  <c r="AT55" i="7"/>
  <c r="AT54" i="7"/>
  <c r="AT34" i="7"/>
  <c r="AT32" i="7"/>
  <c r="AT24" i="7"/>
  <c r="AT60" i="7"/>
  <c r="AT52" i="7"/>
  <c r="AT51" i="7"/>
  <c r="AT383" i="7"/>
  <c r="AT380" i="7"/>
  <c r="AT351" i="7"/>
  <c r="AT311" i="7"/>
  <c r="AT303" i="7"/>
  <c r="AT271" i="7"/>
  <c r="AT170" i="7"/>
  <c r="AT161" i="7"/>
  <c r="AT125" i="7"/>
  <c r="AT59" i="7"/>
  <c r="AT58" i="7"/>
  <c r="AT56" i="7"/>
  <c r="AT47" i="7"/>
  <c r="AT28" i="7"/>
  <c r="AT1066" i="7"/>
  <c r="AT1042" i="7"/>
  <c r="AT1001" i="7"/>
  <c r="AT630" i="7"/>
  <c r="AT528" i="7"/>
  <c r="AT447" i="7"/>
  <c r="AT438" i="7"/>
  <c r="AT435" i="7"/>
  <c r="AT430" i="7"/>
  <c r="AT428" i="7"/>
  <c r="AT424" i="7"/>
  <c r="AT422" i="7"/>
  <c r="AT417" i="7"/>
  <c r="AT404" i="7"/>
  <c r="AT386" i="7"/>
  <c r="AT385" i="7"/>
  <c r="AT363" i="7"/>
  <c r="AT362" i="7"/>
  <c r="AT330" i="7"/>
  <c r="AT278" i="7"/>
  <c r="AT250" i="7"/>
  <c r="AT233" i="7"/>
  <c r="AT205" i="7"/>
  <c r="AT139" i="7"/>
  <c r="AT133" i="7"/>
  <c r="AT132" i="7"/>
  <c r="AT130" i="7"/>
  <c r="AT126" i="7"/>
  <c r="AT45" i="7"/>
  <c r="AT44" i="7"/>
  <c r="AT39" i="7"/>
  <c r="AT31" i="7"/>
  <c r="AT30" i="7"/>
  <c r="AT23" i="7"/>
  <c r="AT281" i="7"/>
  <c r="AT273" i="7"/>
  <c r="AT129" i="7"/>
  <c r="AT115" i="7"/>
  <c r="AT49" i="7"/>
  <c r="AT43" i="7"/>
  <c r="AT22" i="7"/>
  <c r="AT860" i="7"/>
  <c r="AT857" i="7"/>
  <c r="AT829" i="7"/>
  <c r="AT548" i="7"/>
  <c r="AT536" i="7"/>
  <c r="AT505" i="7"/>
  <c r="AT468" i="7"/>
  <c r="AT455" i="7"/>
  <c r="AT407" i="7"/>
  <c r="AT390" i="7"/>
  <c r="AT384" i="7"/>
  <c r="AT358" i="7"/>
  <c r="AT352" i="7"/>
  <c r="AT316" i="7"/>
  <c r="AT310" i="7"/>
  <c r="AT301" i="7"/>
  <c r="AT245" i="7"/>
  <c r="AT242" i="7"/>
  <c r="AT209" i="7"/>
  <c r="AT169" i="7"/>
  <c r="AT166" i="7"/>
  <c r="AT165" i="7"/>
  <c r="AT158" i="7"/>
  <c r="AT157" i="7"/>
  <c r="AT137" i="7"/>
  <c r="AT136" i="7"/>
  <c r="AT127" i="7"/>
  <c r="AT113" i="7"/>
  <c r="AT63" i="7"/>
  <c r="AT42" i="7"/>
  <c r="AT27" i="7"/>
  <c r="AT25" i="7"/>
  <c r="AT954" i="7"/>
  <c r="AT872" i="7"/>
  <c r="AT559" i="7"/>
  <c r="AT509" i="7"/>
  <c r="AT485" i="7"/>
  <c r="AT483" i="7"/>
  <c r="AT475" i="7"/>
  <c r="AT465" i="7"/>
  <c r="AT395" i="7"/>
  <c r="AT393" i="7"/>
  <c r="AT392" i="7"/>
  <c r="AT367" i="7"/>
  <c r="AT366" i="7"/>
  <c r="AT360" i="7"/>
  <c r="AT353" i="7"/>
  <c r="AT328" i="7"/>
  <c r="AT326" i="7"/>
  <c r="AT296" i="7"/>
  <c r="AT272" i="7"/>
  <c r="AT247" i="7"/>
  <c r="D19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/>
    <author>RePack by Diakov</author>
  </authors>
  <commentList>
    <comment ref="L4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R109" authorId="1" shapeId="0" xr:uid="{00000000-0006-0000-0000-000002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4" authorId="0" shapeId="0" xr:uid="{00000000-0006-0000-0000-000003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79" authorId="1" shapeId="0" xr:uid="{00000000-0006-0000-0000-000004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69" authorId="1" shapeId="0" xr:uid="{00000000-0006-0000-0000-000005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 shapeId="0" xr:uid="{00000000-0006-0000-0000-000006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 shapeId="0" xr:uid="{00000000-0006-0000-0000-000007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 shapeId="0" xr:uid="{00000000-0006-0000-0000-000008000000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 shapeId="0" xr:uid="{00000000-0006-0000-0000-000009000000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 shapeId="0" xr:uid="{00000000-0006-0000-0000-00000A0000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 shapeId="0" xr:uid="{00000000-0006-0000-0000-00000D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AC53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2</t>
        </r>
        <r>
          <rPr>
            <sz val="36"/>
            <color indexed="81"/>
            <rFont val="Times New Roman"/>
            <family val="1"/>
            <charset val="204"/>
          </rPr>
          <t xml:space="preserve"> этап</t>
        </r>
      </text>
    </comment>
    <comment ref="G928" authorId="0" shapeId="0" xr:uid="{00000000-0006-0000-0000-00000F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929" authorId="0" shapeId="0" xr:uid="{00000000-0006-0000-0000-000010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Екатерина Александровна Бутылина</author>
  </authors>
  <commentList>
    <comment ref="AE47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37" authorId="1" shapeId="0" xr:uid="{00000000-0006-0000-0600-000002000000}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<sst xmlns="http://schemas.openxmlformats.org/spreadsheetml/2006/main" count="15838" uniqueCount="2718">
  <si>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</si>
  <si>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</si>
  <si>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</si>
  <si>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</si>
  <si>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</si>
  <si>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</si>
  <si>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</si>
  <si>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</si>
  <si>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</si>
  <si>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</si>
  <si>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</si>
  <si>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</si>
  <si>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</si>
  <si>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</si>
  <si>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</si>
  <si>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</si>
  <si>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</si>
  <si>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</si>
  <si>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</si>
  <si>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</si>
  <si>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</si>
  <si>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</si>
  <si>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</si>
  <si>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</si>
  <si>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</si>
  <si>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</si>
  <si>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</si>
  <si>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</si>
  <si>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</si>
  <si>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</si>
  <si>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</si>
  <si>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</si>
  <si>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</si>
  <si>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</si>
  <si>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</si>
  <si>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</si>
  <si>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</si>
  <si>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</si>
  <si>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</si>
  <si>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</si>
  <si>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</si>
  <si>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</si>
  <si>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</si>
  <si>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</si>
  <si>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</si>
  <si>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</si>
  <si>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</si>
  <si>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</si>
  <si>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</si>
  <si>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</si>
  <si>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</si>
  <si>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</si>
  <si>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</si>
  <si>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</si>
  <si>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</si>
  <si>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</si>
  <si>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</si>
  <si>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</si>
  <si>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</si>
  <si>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</si>
  <si>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</si>
  <si>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</si>
  <si>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</si>
  <si>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</si>
  <si>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</si>
  <si>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</si>
  <si>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</si>
  <si>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</si>
  <si>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</si>
  <si>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</si>
  <si>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</si>
  <si>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</si>
  <si>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</si>
  <si>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</si>
  <si>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</si>
  <si>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</si>
  <si>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</si>
  <si>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</si>
  <si>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</si>
  <si>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</si>
  <si>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</si>
  <si>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</si>
  <si>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</si>
  <si>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</si>
  <si>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</si>
  <si>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</si>
  <si>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</si>
  <si>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</si>
  <si>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</si>
  <si>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</si>
  <si>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</si>
  <si>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</si>
  <si>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</si>
  <si>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</si>
  <si>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</si>
  <si>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</si>
  <si>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</si>
  <si>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</si>
  <si>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</si>
  <si>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</si>
  <si>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</si>
  <si>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</si>
  <si>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</si>
  <si>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</si>
  <si>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</si>
  <si>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</si>
  <si>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</si>
  <si>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</si>
  <si>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</si>
  <si>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</si>
  <si>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</si>
  <si>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</si>
  <si>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</si>
  <si>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</si>
  <si>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</si>
  <si>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</si>
  <si>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</si>
  <si>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</si>
  <si>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</si>
  <si>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</si>
  <si>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</si>
  <si>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</si>
  <si>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</si>
  <si>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</si>
  <si>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</si>
  <si>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</si>
  <si>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</si>
  <si>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</si>
  <si>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</si>
  <si>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</si>
  <si>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</si>
  <si>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</si>
  <si>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</si>
  <si>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</si>
  <si>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</si>
  <si>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</si>
  <si>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</si>
  <si>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</si>
  <si>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</si>
  <si>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</si>
  <si>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</si>
  <si>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</si>
  <si>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</si>
  <si>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</si>
  <si>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</si>
  <si>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</si>
  <si>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</si>
  <si>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</si>
  <si>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</si>
  <si>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</si>
  <si>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</si>
  <si>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</si>
  <si>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</si>
  <si>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</si>
  <si>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</si>
  <si>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</si>
  <si>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</si>
  <si>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</si>
  <si>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</si>
  <si>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</si>
  <si>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</si>
  <si>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</si>
  <si>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</si>
  <si>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</si>
  <si>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</si>
  <si>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</si>
  <si>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</si>
  <si>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</si>
  <si>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</si>
  <si>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</si>
  <si>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</si>
  <si>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</si>
  <si>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</si>
  <si>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</si>
  <si>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</si>
  <si>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</si>
  <si>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</si>
  <si>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</si>
  <si>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</si>
  <si>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</si>
  <si>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</si>
  <si>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</si>
  <si>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</si>
  <si>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</si>
  <si>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</si>
  <si>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</si>
  <si>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</si>
  <si>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</si>
  <si>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</si>
  <si>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</si>
  <si>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</si>
  <si>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</si>
  <si>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</si>
  <si>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</si>
  <si>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</si>
  <si>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</si>
  <si>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</si>
  <si>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</si>
  <si>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</si>
  <si>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</si>
  <si>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</si>
  <si>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</si>
  <si>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</si>
  <si>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</si>
  <si>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</si>
  <si>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</si>
  <si>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</si>
  <si>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</si>
  <si>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</si>
  <si>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</si>
  <si>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</si>
  <si>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</si>
  <si>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</si>
  <si>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</si>
  <si>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</si>
  <si>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</si>
  <si>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</si>
  <si>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</si>
  <si>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</si>
  <si>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</si>
  <si>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</si>
  <si>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</si>
  <si>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</si>
  <si>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</si>
  <si>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</si>
  <si>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</si>
  <si>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</si>
  <si>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</si>
  <si>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</si>
  <si>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</si>
  <si>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</si>
  <si>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</si>
  <si>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</si>
  <si>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</si>
  <si>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</si>
  <si>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</si>
  <si>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</si>
  <si>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</si>
  <si>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</si>
  <si>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</si>
  <si>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</si>
  <si>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</si>
  <si>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</si>
  <si>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</si>
  <si>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</si>
  <si>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</si>
  <si>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</si>
  <si>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</si>
  <si>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</si>
  <si>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</si>
  <si>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</si>
  <si>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</si>
  <si>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</si>
  <si>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</si>
  <si>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</si>
  <si>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</si>
  <si>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</si>
  <si>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</si>
  <si>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</si>
  <si>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</si>
  <si>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</si>
  <si>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</si>
  <si>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</si>
  <si>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</si>
  <si>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</si>
  <si>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</si>
  <si>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</si>
  <si>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</si>
  <si>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</si>
  <si>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</si>
  <si>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</si>
  <si>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</si>
  <si>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</si>
  <si>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</si>
  <si>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</si>
  <si>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</si>
  <si>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</si>
  <si>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</si>
  <si>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</si>
  <si>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</si>
  <si>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</si>
  <si>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</si>
  <si>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</si>
  <si>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</si>
  <si>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</si>
  <si>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</si>
  <si>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</si>
  <si>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</si>
  <si>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</si>
  <si>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</si>
  <si>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</si>
  <si>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</si>
  <si>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</si>
  <si>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</si>
  <si>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</si>
  <si>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</si>
  <si>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</si>
  <si>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</si>
  <si>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</si>
  <si>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</si>
  <si>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</si>
  <si>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</si>
  <si>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</si>
  <si>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</si>
  <si>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</si>
  <si>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</si>
  <si>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</si>
  <si>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</si>
  <si>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</si>
  <si>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</si>
  <si>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</si>
  <si>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</si>
  <si>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</si>
  <si>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</si>
  <si>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</si>
  <si>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</si>
  <si>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</si>
  <si>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</si>
  <si>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</si>
  <si>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</si>
  <si>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</si>
  <si>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</si>
  <si>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</si>
  <si>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</si>
  <si>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</si>
  <si>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</si>
  <si>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</si>
  <si>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</si>
  <si>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</si>
  <si>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</si>
  <si>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</si>
  <si>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</si>
  <si>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</si>
  <si>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</si>
  <si>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</si>
  <si>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</si>
  <si>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</si>
  <si>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</si>
  <si>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</si>
  <si>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</si>
  <si>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</si>
  <si>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</si>
  <si>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</si>
  <si>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</si>
  <si>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</si>
  <si>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</si>
  <si>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</si>
  <si>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</si>
  <si>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</si>
  <si>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</si>
  <si>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</si>
  <si>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</si>
  <si>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</si>
  <si>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</si>
  <si>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</si>
  <si>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</si>
  <si>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</si>
  <si>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</si>
  <si>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</si>
  <si>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</si>
  <si>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</si>
  <si>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</si>
  <si>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</si>
  <si>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</si>
  <si>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</si>
  <si>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</si>
  <si>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</si>
  <si>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</si>
  <si>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1985</t>
  </si>
  <si>
    <t>1974</t>
  </si>
  <si>
    <t>6</t>
  </si>
  <si>
    <t>1956</t>
  </si>
  <si>
    <t>1983</t>
  </si>
  <si>
    <t>1966</t>
  </si>
  <si>
    <t>1994</t>
  </si>
  <si>
    <t>1973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</si>
  <si>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</si>
  <si>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</si>
  <si>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</si>
  <si>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</si>
  <si>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</si>
  <si>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</si>
  <si>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</si>
  <si>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</si>
  <si>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</si>
  <si>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</si>
  <si>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</si>
  <si>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</si>
  <si>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</si>
  <si>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</si>
  <si>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</si>
  <si>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</si>
  <si>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</si>
  <si>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</si>
  <si>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</si>
  <si>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</si>
  <si>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</si>
  <si>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</si>
  <si>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</si>
  <si>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</si>
  <si>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</si>
  <si>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</si>
  <si>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</si>
  <si>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</si>
  <si>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</si>
  <si>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</si>
  <si>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</si>
  <si>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</si>
  <si>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</si>
  <si>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</si>
  <si>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</si>
  <si>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</si>
  <si>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</si>
  <si>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</si>
  <si>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</si>
  <si>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</si>
  <si>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</si>
  <si>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</si>
  <si>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</si>
  <si>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</si>
  <si>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</si>
  <si>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</si>
  <si>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</si>
  <si>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</si>
  <si>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</si>
  <si>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</si>
  <si>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</si>
  <si>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</si>
  <si>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</si>
  <si>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</si>
  <si>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</si>
  <si>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</si>
  <si>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</si>
  <si>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</si>
  <si>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</si>
  <si>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</si>
  <si>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</si>
  <si>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</si>
  <si>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</si>
  <si>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</si>
  <si>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</si>
  <si>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</si>
  <si>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</si>
  <si>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</si>
  <si>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</si>
  <si>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</si>
  <si>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</si>
  <si>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</si>
  <si>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</si>
  <si>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</si>
  <si>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</si>
  <si>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</si>
  <si>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</si>
  <si>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</si>
  <si>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</si>
  <si>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</si>
  <si>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</si>
  <si>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</si>
  <si>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</si>
  <si>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</si>
  <si>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</si>
  <si>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</si>
  <si>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</si>
  <si>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</si>
  <si>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</si>
  <si>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</si>
  <si>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</si>
  <si>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</si>
  <si>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</si>
  <si>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</si>
  <si>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</si>
  <si>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</si>
  <si>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</si>
  <si>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</si>
  <si>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</si>
  <si>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</si>
  <si>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</si>
  <si>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</si>
  <si>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</si>
  <si>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</si>
  <si>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</si>
  <si>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</si>
  <si>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</si>
  <si>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</si>
  <si>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</si>
  <si>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</si>
  <si>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</si>
  <si>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</si>
  <si>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</si>
  <si>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</si>
  <si>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</si>
  <si>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</si>
  <si>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</si>
  <si>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</si>
  <si>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</si>
  <si>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</si>
  <si>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</si>
  <si>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</si>
  <si>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</si>
  <si>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</si>
  <si>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</si>
  <si>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</si>
  <si>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</si>
  <si>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</si>
  <si>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</si>
  <si>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</si>
  <si>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</si>
  <si>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</si>
  <si>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</si>
  <si>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</si>
  <si>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</si>
  <si>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</si>
  <si>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</si>
  <si>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</si>
  <si>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</si>
  <si>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</si>
  <si>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</si>
  <si>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</si>
  <si>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</si>
  <si>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</si>
  <si>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</si>
  <si>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</si>
  <si>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</si>
  <si>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</si>
  <si>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</si>
  <si>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</si>
  <si>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</si>
  <si>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</si>
  <si>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</si>
  <si>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</si>
  <si>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</si>
  <si>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</si>
  <si>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</si>
  <si>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</si>
  <si>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</si>
  <si>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</si>
  <si>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</si>
  <si>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</si>
  <si>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</si>
  <si>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</si>
  <si>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</si>
  <si>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</si>
  <si>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</si>
  <si>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</si>
  <si>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</si>
  <si>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</si>
  <si>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</si>
  <si>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</si>
  <si>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</si>
  <si>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</si>
  <si>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</si>
  <si>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</si>
  <si>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</si>
  <si>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</si>
  <si>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</si>
  <si>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</si>
  <si>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</si>
  <si>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</si>
  <si>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</si>
  <si>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</si>
  <si>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</si>
  <si>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</si>
  <si>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</si>
  <si>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</si>
  <si>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</si>
  <si>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</si>
  <si>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</si>
  <si>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</si>
  <si>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Балакирева ул, 37г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</si>
  <si>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</si>
  <si>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</si>
  <si>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</si>
  <si>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</si>
  <si>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</si>
  <si>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</si>
  <si>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</si>
  <si>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</si>
  <si>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</si>
  <si>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</si>
  <si>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</si>
  <si>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</si>
  <si>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</si>
  <si>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</si>
  <si>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</si>
  <si>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</si>
  <si>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</si>
  <si>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</si>
  <si>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</si>
  <si>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</si>
  <si>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</si>
  <si>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</si>
  <si>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25</t>
  </si>
  <si>
    <t>Владимир г, Строителей пр-кт, 42А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</si>
  <si>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</si>
  <si>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</si>
  <si>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</si>
  <si>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</si>
  <si>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</si>
  <si>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</si>
  <si>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</si>
  <si>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</si>
  <si>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</si>
  <si>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</si>
  <si>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</si>
  <si>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</si>
  <si>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</si>
  <si>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</si>
  <si>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</si>
  <si>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</si>
  <si>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</si>
  <si>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</si>
  <si>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</si>
  <si>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</si>
  <si>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</si>
  <si>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</si>
  <si>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</si>
  <si>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</si>
  <si>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</si>
  <si>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</si>
  <si>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</si>
  <si>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</si>
  <si>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</si>
  <si>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</si>
  <si>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</si>
  <si>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</si>
  <si>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</si>
  <si>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</si>
  <si>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</si>
  <si>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</si>
  <si>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</si>
  <si>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</si>
  <si>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</si>
  <si>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</si>
  <si>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</si>
  <si>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</si>
  <si>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</si>
  <si>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</si>
  <si>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</si>
  <si>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</si>
  <si>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</si>
  <si>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</si>
  <si>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</si>
  <si>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</si>
  <si>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</si>
  <si>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</si>
  <si>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</si>
  <si>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</si>
  <si>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</si>
  <si>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</si>
  <si>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</si>
  <si>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</si>
  <si>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</si>
  <si>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</si>
  <si>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</si>
  <si>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</si>
  <si>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</si>
  <si>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</si>
  <si>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</si>
  <si>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</si>
  <si>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</si>
  <si>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</si>
  <si>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</si>
  <si>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</si>
  <si>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</si>
  <si>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</si>
  <si>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</si>
  <si>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</si>
  <si>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</si>
  <si>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</si>
  <si>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</si>
  <si>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</si>
  <si>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</si>
  <si>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</si>
  <si>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</si>
  <si>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</si>
  <si>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</si>
  <si>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</si>
  <si>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</si>
  <si>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</si>
  <si>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</si>
  <si>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</si>
  <si>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</si>
  <si>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</si>
  <si>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</si>
  <si>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</si>
  <si>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</si>
  <si>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</si>
  <si>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</si>
  <si>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</si>
  <si>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</si>
  <si>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</si>
  <si>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</si>
  <si>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</si>
  <si>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</si>
  <si>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</si>
  <si>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</si>
  <si>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</si>
  <si>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</si>
  <si>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</si>
  <si>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</si>
  <si>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</si>
  <si>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</si>
  <si>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</si>
  <si>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</si>
  <si>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</si>
  <si>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</si>
  <si>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</si>
  <si>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</si>
  <si>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</si>
  <si>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</si>
  <si>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</si>
  <si>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</si>
  <si>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</si>
  <si>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</si>
  <si>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</si>
  <si>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</si>
  <si>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</si>
  <si>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</si>
  <si>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</si>
  <si>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</si>
  <si>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</si>
  <si>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</si>
  <si>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</si>
  <si>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</si>
  <si>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</si>
  <si>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</si>
  <si>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</si>
  <si>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</si>
  <si>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</si>
  <si>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</si>
  <si>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</si>
  <si>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</si>
  <si>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</si>
  <si>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</si>
  <si>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</si>
  <si>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</si>
  <si>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</si>
  <si>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</si>
  <si>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</si>
  <si>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</si>
  <si>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</si>
  <si>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</si>
  <si>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</si>
  <si>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</si>
  <si>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</si>
  <si>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</si>
  <si>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</si>
  <si>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</si>
  <si>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</si>
  <si>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</si>
  <si>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</si>
  <si>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</si>
  <si>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</si>
  <si>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</si>
  <si>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</si>
  <si>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</si>
  <si>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</si>
  <si>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</si>
  <si>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</si>
  <si>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</si>
  <si>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</si>
  <si>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</si>
  <si>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</si>
  <si>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</si>
  <si>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</si>
  <si>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</si>
  <si>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</si>
  <si>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</si>
  <si>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</si>
  <si>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</si>
  <si>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</si>
  <si>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</si>
  <si>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</si>
  <si>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</si>
  <si>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</si>
  <si>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</si>
  <si>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</si>
  <si>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</si>
  <si>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</si>
  <si>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</si>
  <si>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</si>
  <si>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</si>
  <si>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</si>
  <si>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</si>
  <si>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</si>
  <si>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</si>
  <si>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</si>
  <si>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</si>
  <si>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</si>
  <si>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</si>
  <si>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</si>
  <si>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</si>
  <si>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</si>
  <si>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</si>
  <si>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</si>
  <si>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</si>
  <si>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</si>
  <si>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</si>
  <si>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</si>
  <si>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</si>
  <si>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</si>
  <si>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</si>
  <si>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</si>
  <si>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</si>
  <si>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</si>
  <si>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</si>
  <si>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</si>
  <si>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</si>
  <si>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</si>
  <si>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</si>
  <si>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</si>
  <si>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</si>
  <si>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</si>
  <si>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</si>
  <si>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</si>
  <si>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</si>
  <si>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</si>
  <si>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</si>
  <si>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</si>
  <si>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</si>
  <si>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</si>
  <si>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</si>
  <si>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</si>
  <si>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</si>
  <si>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</si>
  <si>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</si>
  <si>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</si>
  <si>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</si>
  <si>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</si>
  <si>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</si>
  <si>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</si>
  <si>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</si>
  <si>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</si>
  <si>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</si>
  <si>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</si>
  <si>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</si>
  <si>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</si>
  <si>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</si>
  <si>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</si>
  <si>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</si>
  <si>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</si>
  <si>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</si>
  <si>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</si>
  <si>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</si>
  <si>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</si>
  <si>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</si>
  <si>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</si>
  <si>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</si>
  <si>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</si>
  <si>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</si>
  <si>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</si>
  <si>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</si>
  <si>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</si>
  <si>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</si>
  <si>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</si>
  <si>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</si>
  <si>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</si>
  <si>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</si>
  <si>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</si>
  <si>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</si>
  <si>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</si>
  <si>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</si>
  <si>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</si>
  <si>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</si>
  <si>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</si>
  <si>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</si>
  <si>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</si>
  <si>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</si>
  <si>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</si>
  <si>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</si>
  <si>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</si>
  <si>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</si>
  <si>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</si>
  <si>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</si>
  <si>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</si>
  <si>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</si>
  <si>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</si>
  <si>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</si>
  <si>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</si>
  <si>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</si>
  <si>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</si>
  <si>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</si>
  <si>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</si>
  <si>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</si>
  <si>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</si>
  <si>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</si>
  <si>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</si>
  <si>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</si>
  <si>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</si>
  <si>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</si>
  <si>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</si>
  <si>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</si>
  <si>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</si>
  <si>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</si>
  <si>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</si>
  <si>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</si>
  <si>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</si>
  <si>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</si>
  <si>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</si>
  <si>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</si>
  <si>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</si>
  <si>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</si>
  <si>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</si>
  <si>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</si>
  <si>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</si>
  <si>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</si>
  <si>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</si>
  <si>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</si>
  <si>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</si>
  <si>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</si>
  <si>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</si>
  <si>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</si>
  <si>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</si>
  <si>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</si>
  <si>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</si>
  <si>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</si>
  <si>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</si>
  <si>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</si>
  <si>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</si>
  <si>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</si>
  <si>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</si>
  <si>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</si>
  <si>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</si>
  <si>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</si>
  <si>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</si>
  <si>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</si>
  <si>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</si>
  <si>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</si>
  <si>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</si>
  <si>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</si>
  <si>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</si>
  <si>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</si>
  <si>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</si>
  <si>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</si>
  <si>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</si>
  <si>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</si>
  <si>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</si>
  <si>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</si>
  <si>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</si>
  <si>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</si>
  <si>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</si>
  <si>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</si>
  <si>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</si>
  <si>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</si>
  <si>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</si>
  <si>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</si>
  <si>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</si>
  <si>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</si>
  <si>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</si>
  <si>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</si>
  <si>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</si>
  <si>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</si>
  <si>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</si>
  <si>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</si>
  <si>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</si>
  <si>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</si>
  <si>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</si>
  <si>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</si>
  <si>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</si>
  <si>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</si>
  <si>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</si>
  <si>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</si>
  <si>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</si>
  <si>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</si>
  <si>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</si>
  <si>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</si>
  <si>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</si>
  <si>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</si>
  <si>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</si>
  <si>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</si>
  <si>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</si>
  <si>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</si>
  <si>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</si>
  <si>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</si>
  <si>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</si>
  <si>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</si>
  <si>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</si>
  <si>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</si>
  <si>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</si>
  <si>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</si>
  <si>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</si>
  <si>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</si>
  <si>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</si>
  <si>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</si>
  <si>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</si>
  <si>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</si>
  <si>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</si>
  <si>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</si>
  <si>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</si>
  <si>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</si>
  <si>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</si>
  <si>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</si>
  <si>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</si>
  <si>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</si>
  <si>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</si>
  <si>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</si>
  <si>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</si>
  <si>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</si>
  <si>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</si>
  <si>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</si>
  <si>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</si>
  <si>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</si>
  <si>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</si>
  <si>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</si>
  <si>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</si>
  <si>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</si>
  <si>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</si>
  <si>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</si>
  <si>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</si>
  <si>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</si>
  <si>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</si>
  <si>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</si>
  <si>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</si>
  <si>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</si>
  <si>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</si>
  <si>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</si>
  <si>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</si>
  <si>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</si>
  <si>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</si>
  <si>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</si>
  <si>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</si>
  <si>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</si>
  <si>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</si>
  <si>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</si>
  <si>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</si>
  <si>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</si>
  <si>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</si>
  <si>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</si>
  <si>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</si>
  <si>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</si>
  <si>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</si>
  <si>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</si>
  <si>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</si>
  <si>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</si>
  <si>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</si>
  <si>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</si>
  <si>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</si>
  <si>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</si>
  <si>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</si>
  <si>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</si>
  <si>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</si>
  <si>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</si>
  <si>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</si>
  <si>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</si>
  <si>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</si>
  <si>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</si>
  <si>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</si>
  <si>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</si>
  <si>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</si>
  <si>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</si>
  <si>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</si>
  <si>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</si>
  <si>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</si>
  <si>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</si>
  <si>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</si>
  <si>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</si>
  <si>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</si>
  <si>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</si>
  <si>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</si>
  <si>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</si>
  <si>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</si>
  <si>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</si>
  <si>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</si>
  <si>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</si>
  <si>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</si>
  <si>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</si>
  <si>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</si>
  <si>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</si>
  <si>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</si>
  <si>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</si>
  <si>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</si>
  <si>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</si>
  <si>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</si>
  <si>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</si>
  <si>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</si>
  <si>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</si>
  <si>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</si>
  <si>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</si>
  <si>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</si>
  <si>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</si>
  <si>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</si>
  <si>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</si>
  <si>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</si>
  <si>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</si>
  <si>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</si>
  <si>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</si>
  <si>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</si>
  <si>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</si>
  <si>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</si>
  <si>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</si>
  <si>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</si>
  <si>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</si>
  <si>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</si>
  <si>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</si>
  <si>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</si>
  <si>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</si>
  <si>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</si>
  <si>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</si>
  <si>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</si>
  <si>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</si>
  <si>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</si>
  <si>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</si>
  <si>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</si>
  <si>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</si>
  <si>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</si>
  <si>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</si>
  <si>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</si>
  <si>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</si>
  <si>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</si>
  <si>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</si>
  <si>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</si>
  <si>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</si>
  <si>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</si>
  <si>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</si>
  <si>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</si>
  <si>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</si>
  <si>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</si>
  <si>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</si>
  <si>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</si>
  <si>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</si>
  <si>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</si>
  <si>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</si>
  <si>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</si>
  <si>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</si>
  <si>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</si>
  <si>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</si>
  <si>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</si>
  <si>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</si>
  <si>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</si>
  <si>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</si>
  <si>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</si>
  <si>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</si>
  <si>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</si>
  <si>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</si>
  <si>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</si>
  <si>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</si>
  <si>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</si>
  <si>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</si>
  <si>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</si>
  <si>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</si>
  <si>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</si>
  <si>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</si>
  <si>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</si>
  <si>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</si>
  <si>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</si>
  <si>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</si>
  <si>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</si>
  <si>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</si>
  <si>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</si>
  <si>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</si>
  <si>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</si>
  <si>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</si>
  <si>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</si>
  <si>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</si>
  <si>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</si>
  <si>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</si>
  <si>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</si>
  <si>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</si>
  <si>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</si>
  <si>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</si>
  <si>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</si>
  <si>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</si>
  <si>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</si>
  <si>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</si>
  <si>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</si>
  <si>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</si>
  <si>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</si>
  <si>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</si>
  <si>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</si>
  <si>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</si>
  <si>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</si>
  <si>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</si>
  <si>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</si>
  <si>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</si>
  <si>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</si>
  <si>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</si>
  <si>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</si>
  <si>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</si>
  <si>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</si>
  <si>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</si>
  <si>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</si>
  <si>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</si>
  <si>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</si>
  <si>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</si>
  <si>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</si>
  <si>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</si>
  <si>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</si>
  <si>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</si>
  <si>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</si>
  <si>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</si>
  <si>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</si>
  <si>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</si>
  <si>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</si>
  <si>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</si>
  <si>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</si>
  <si>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</si>
  <si>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</si>
  <si>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</si>
  <si>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</si>
  <si>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</si>
  <si>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</si>
  <si>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</si>
  <si>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</si>
  <si>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</si>
  <si>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</si>
  <si>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</si>
  <si>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</si>
  <si>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</si>
  <si>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</si>
  <si>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</si>
  <si>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</si>
  <si>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</si>
  <si>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</si>
  <si>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</si>
  <si>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</si>
  <si>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</si>
  <si>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</si>
  <si>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</si>
  <si>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</si>
  <si>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</si>
  <si>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</si>
  <si>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</si>
  <si>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</si>
  <si>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</si>
  <si>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</si>
  <si>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</si>
  <si>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</si>
  <si>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</si>
  <si>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</si>
  <si>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</si>
  <si>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</si>
  <si>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</si>
  <si>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</si>
  <si>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</si>
  <si>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</si>
  <si>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</si>
  <si>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</si>
  <si>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</si>
  <si>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</si>
  <si>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</si>
  <si>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</si>
  <si>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</si>
  <si>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</si>
  <si>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</si>
  <si>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</si>
  <si>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</si>
  <si>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</si>
  <si>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</si>
  <si>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</si>
  <si>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</si>
  <si>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</si>
  <si>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</si>
  <si>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</si>
  <si>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</si>
  <si>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</si>
  <si>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</si>
  <si>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</si>
  <si>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</si>
  <si>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</si>
  <si>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</si>
  <si>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</si>
  <si>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</si>
  <si>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</si>
  <si>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</si>
  <si>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</si>
  <si>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</si>
  <si>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</si>
  <si>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</si>
  <si>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</si>
  <si>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</si>
  <si>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</si>
  <si>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</si>
  <si>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</si>
  <si>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</si>
  <si>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</si>
  <si>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</si>
  <si>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</si>
  <si>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</si>
  <si>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</si>
  <si>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</si>
  <si>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</si>
  <si>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</si>
  <si>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</si>
  <si>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</si>
  <si>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</si>
  <si>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</si>
  <si>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</si>
  <si>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</si>
  <si>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</si>
  <si>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</si>
  <si>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</si>
  <si>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</si>
  <si>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</si>
  <si>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</si>
  <si>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</si>
  <si>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</si>
  <si>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</si>
  <si>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</si>
  <si>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</si>
  <si>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</si>
  <si>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</si>
  <si>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</si>
  <si>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</si>
  <si>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</si>
  <si>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</si>
  <si>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</si>
  <si>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</si>
  <si>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</si>
  <si>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</si>
  <si>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</si>
  <si>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</si>
  <si>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</si>
  <si>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</si>
  <si>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</si>
  <si>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</si>
  <si>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</si>
  <si>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</si>
  <si>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</si>
  <si>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</si>
  <si>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</si>
  <si>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</si>
  <si>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</si>
  <si>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</si>
  <si>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</si>
  <si>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</si>
  <si>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</si>
  <si>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</si>
  <si>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</si>
  <si>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</si>
  <si>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</si>
  <si>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</si>
  <si>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</si>
  <si>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</si>
  <si>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</si>
  <si>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</si>
  <si>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</si>
  <si>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</si>
  <si>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</si>
  <si>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</si>
  <si>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</si>
  <si>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</si>
  <si>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</si>
  <si>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</si>
  <si>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</si>
  <si>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</si>
  <si>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</si>
  <si>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</si>
  <si>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</si>
  <si>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</si>
  <si>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</si>
  <si>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</si>
  <si>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</si>
  <si>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</si>
  <si>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</si>
  <si>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</si>
  <si>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</si>
  <si>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</si>
  <si>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</si>
  <si>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</si>
  <si>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</si>
  <si>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</si>
  <si>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</si>
  <si>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</si>
  <si>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</si>
  <si>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</si>
  <si>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</si>
  <si>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</si>
  <si>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</si>
  <si>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</si>
  <si>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</si>
  <si>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</si>
  <si>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</si>
  <si>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</si>
  <si>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</si>
  <si>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</si>
  <si>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</si>
  <si>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</si>
  <si>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</si>
  <si>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</si>
  <si>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</si>
  <si>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</si>
  <si>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</si>
  <si>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</si>
  <si>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</si>
  <si>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</si>
  <si>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</si>
  <si>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</si>
  <si>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</si>
  <si>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</si>
  <si>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</si>
  <si>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</si>
  <si>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</si>
  <si>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</si>
  <si>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</si>
  <si>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</si>
  <si>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</si>
  <si>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</si>
  <si>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</si>
  <si>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</si>
  <si>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</si>
  <si>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</si>
  <si>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</si>
  <si>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</si>
  <si>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</si>
  <si>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</si>
  <si>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</si>
  <si>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</si>
  <si>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</si>
  <si>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</si>
  <si>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</si>
  <si>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</si>
  <si>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</si>
  <si>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</si>
  <si>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</si>
  <si>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</si>
  <si>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</si>
  <si>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</si>
  <si>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</si>
  <si>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</si>
  <si>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</si>
  <si>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</si>
  <si>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</si>
  <si>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</si>
  <si>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</si>
  <si>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</si>
  <si>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</si>
  <si>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</si>
  <si>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</si>
  <si>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</si>
  <si>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</si>
  <si>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</si>
  <si>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</si>
  <si>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</si>
  <si>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</si>
  <si>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</si>
  <si>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</si>
  <si>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</si>
  <si>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</si>
  <si>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</si>
  <si>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</si>
  <si>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</si>
  <si>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</si>
  <si>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</si>
  <si>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</si>
  <si>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</si>
  <si>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</si>
  <si>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</si>
  <si>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</si>
  <si>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</si>
  <si>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</si>
  <si>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</si>
  <si>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</si>
  <si>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</si>
  <si>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</si>
  <si>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</si>
  <si>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</si>
  <si>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</si>
  <si>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</si>
  <si>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</si>
  <si>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</si>
  <si>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</si>
  <si>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</si>
  <si>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</si>
  <si>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</si>
  <si>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</si>
  <si>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</si>
  <si>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</si>
  <si>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</si>
  <si>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</si>
  <si>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</si>
  <si>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</si>
  <si>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</si>
  <si>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</si>
  <si>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</si>
  <si>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</si>
  <si>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</si>
  <si>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</si>
  <si>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</si>
  <si>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</si>
  <si>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</si>
  <si>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</si>
  <si>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</si>
  <si>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</si>
  <si>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</si>
  <si>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</si>
  <si>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</si>
  <si>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</si>
  <si>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</si>
  <si>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</si>
  <si>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</si>
  <si>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</si>
  <si>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</si>
  <si>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</si>
  <si>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</si>
  <si>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</si>
  <si>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</si>
  <si>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</si>
  <si>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</si>
  <si>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</si>
  <si>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</si>
  <si>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</si>
  <si>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</si>
  <si>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</si>
  <si>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</si>
  <si>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</si>
  <si>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</si>
  <si>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</si>
  <si>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</si>
  <si>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</si>
  <si>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</si>
  <si>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</si>
  <si>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</si>
  <si>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</si>
  <si>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</si>
  <si>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</si>
  <si>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</si>
  <si>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</si>
  <si>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</si>
  <si>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</si>
  <si>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</si>
  <si>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</si>
  <si>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</si>
  <si>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</si>
  <si>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</si>
  <si>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</si>
  <si>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</si>
  <si>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</si>
  <si>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</si>
  <si>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</si>
  <si>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</si>
  <si>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</si>
  <si>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</si>
  <si>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</si>
  <si>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</si>
  <si>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</si>
  <si>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</si>
  <si>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</si>
  <si>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</si>
  <si>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</si>
  <si>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</si>
  <si>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</si>
  <si>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</si>
  <si>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</si>
  <si>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</si>
  <si>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</si>
  <si>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</si>
  <si>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</si>
  <si>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</si>
  <si>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</si>
  <si>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</si>
  <si>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</si>
  <si>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</si>
  <si>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</si>
  <si>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</si>
  <si>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</si>
  <si>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</si>
  <si>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</si>
  <si>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</si>
  <si>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</si>
  <si>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</si>
  <si>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</si>
  <si>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</si>
  <si>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</si>
  <si>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</si>
  <si>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</si>
  <si>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</si>
  <si>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</si>
  <si>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</si>
  <si>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</si>
  <si>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</si>
  <si>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</si>
  <si>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</si>
  <si>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</si>
  <si>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</si>
  <si>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</si>
  <si>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</si>
  <si>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</si>
  <si>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</si>
  <si>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</si>
  <si>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</si>
  <si>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</si>
  <si>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</si>
  <si>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</si>
  <si>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</si>
  <si>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</si>
  <si>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</si>
  <si>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</si>
  <si>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</si>
  <si>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</si>
  <si>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</si>
  <si>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</si>
  <si>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</si>
  <si>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</si>
  <si>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</si>
  <si>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</si>
  <si>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</si>
  <si>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</si>
  <si>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</si>
  <si>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</si>
  <si>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</si>
  <si>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</si>
  <si>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</si>
  <si>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</si>
  <si>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</si>
  <si>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</si>
  <si>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</si>
  <si>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</si>
  <si>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</si>
  <si>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</si>
  <si>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</si>
  <si>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</si>
  <si>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</si>
  <si>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</si>
  <si>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</si>
  <si>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</si>
  <si>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</si>
  <si>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</si>
  <si>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</si>
  <si>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</si>
  <si>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Ленина пр-кт, 64</t>
  </si>
  <si>
    <t>Владимир г, Ленина пр-кт, 68</t>
  </si>
  <si>
    <t>Владимир г, Ставровская ул, 2Б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</si>
  <si>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</si>
  <si>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</si>
  <si>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</si>
  <si>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</si>
  <si>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</si>
  <si>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</si>
  <si>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</si>
  <si>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</si>
  <si>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</si>
  <si>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</si>
  <si>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</si>
  <si>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</si>
  <si>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</si>
  <si>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</si>
  <si>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</si>
  <si>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</si>
  <si>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</si>
  <si>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</si>
  <si>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</si>
  <si>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</si>
  <si>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</si>
  <si>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</si>
  <si>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</si>
  <si>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</si>
  <si>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</si>
  <si>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</si>
  <si>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</si>
  <si>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</si>
  <si>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</si>
  <si>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</si>
  <si>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</si>
  <si>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</si>
  <si>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</si>
  <si>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</si>
  <si>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</si>
  <si>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</si>
  <si>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</si>
  <si>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</si>
  <si>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</si>
  <si>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</si>
  <si>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</si>
  <si>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</si>
  <si>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</si>
  <si>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</si>
  <si>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</si>
  <si>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</si>
  <si>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</si>
  <si>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</si>
  <si>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</si>
  <si>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</si>
  <si>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</si>
  <si>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</si>
  <si>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</si>
  <si>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</si>
  <si>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</si>
  <si>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</si>
  <si>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</si>
  <si>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</si>
  <si>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</si>
  <si>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</si>
  <si>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</si>
  <si>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Владимир г, Перекопский военный городок, 8</t>
  </si>
  <si>
    <t>Владимир г, Перекопский военный городок, 14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</si>
  <si>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</si>
  <si>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</si>
  <si>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</si>
  <si>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</si>
  <si>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</si>
  <si>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</si>
  <si>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</si>
  <si>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</si>
  <si>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</si>
  <si>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</si>
  <si>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</si>
  <si>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</si>
  <si>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</si>
  <si>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</si>
  <si>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</si>
  <si>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</si>
  <si>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</si>
  <si>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</si>
  <si>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</si>
  <si>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</si>
  <si>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</si>
  <si>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</si>
  <si>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</si>
  <si>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замена плоской кровли на              стропильную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</si>
  <si>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</si>
  <si>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</si>
  <si>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</si>
  <si>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</si>
  <si>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</si>
  <si>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</si>
  <si>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</si>
  <si>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</si>
  <si>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</si>
  <si>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</si>
  <si>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</si>
  <si>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</si>
  <si>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</si>
  <si>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</si>
  <si>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</si>
  <si>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</si>
  <si>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</si>
  <si>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</si>
  <si>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</si>
  <si>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</si>
  <si>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</si>
  <si>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</si>
  <si>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</si>
  <si>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</si>
  <si>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</si>
  <si>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</si>
  <si>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</si>
  <si>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</si>
  <si>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</si>
  <si>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</si>
  <si>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</si>
  <si>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</si>
  <si>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</si>
  <si>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</si>
  <si>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</si>
  <si>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</si>
  <si>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</si>
  <si>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</si>
  <si>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</si>
  <si>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</si>
  <si>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</si>
  <si>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</si>
  <si>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</si>
  <si>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</si>
  <si>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</si>
  <si>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</si>
  <si>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</si>
  <si>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</si>
  <si>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</si>
  <si>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</si>
  <si>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</si>
  <si>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</si>
  <si>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</si>
  <si>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</si>
  <si>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</si>
  <si>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</si>
  <si>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</si>
  <si>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</si>
  <si>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</si>
  <si>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</si>
  <si>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</si>
  <si>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</si>
  <si>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</si>
  <si>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</si>
  <si>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</si>
  <si>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</si>
  <si>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</si>
  <si>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</si>
  <si>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</si>
  <si>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</si>
  <si>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</si>
  <si>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</si>
  <si>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</si>
  <si>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</si>
  <si>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</si>
  <si>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</si>
  <si>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</si>
  <si>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</si>
  <si>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</si>
  <si>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</si>
  <si>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</si>
  <si>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</si>
  <si>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</si>
  <si>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</si>
  <si>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</si>
  <si>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</si>
  <si>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</si>
  <si>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</si>
  <si>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</si>
  <si>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</si>
  <si>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</si>
  <si>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</si>
  <si>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</si>
  <si>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</si>
  <si>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</si>
  <si>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</si>
  <si>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</si>
  <si>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</si>
  <si>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</si>
  <si>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</si>
  <si>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</si>
  <si>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</si>
  <si>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</si>
  <si>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</si>
  <si>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</si>
  <si>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</si>
  <si>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</si>
  <si>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</si>
  <si>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</si>
  <si>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</si>
  <si>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</si>
  <si>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</si>
  <si>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</si>
  <si>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</si>
  <si>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</si>
  <si>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</si>
  <si>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</si>
  <si>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</si>
  <si>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</si>
  <si>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</si>
  <si>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</si>
  <si>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</si>
  <si>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</si>
  <si>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</si>
  <si>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</si>
  <si>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</si>
  <si>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</si>
  <si>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</si>
  <si>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</si>
  <si>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</si>
  <si>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</si>
  <si>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</si>
  <si>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</si>
  <si>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</si>
  <si>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</si>
  <si>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</si>
  <si>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</si>
  <si>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</si>
  <si>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</si>
  <si>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</si>
  <si>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</si>
  <si>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</si>
  <si>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</si>
  <si>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</si>
  <si>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</si>
  <si>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</si>
  <si>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</si>
  <si>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</si>
  <si>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</si>
  <si>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</si>
  <si>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</si>
  <si>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</si>
  <si>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</si>
  <si>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</si>
  <si>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</si>
  <si>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</si>
  <si>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</si>
  <si>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</si>
  <si>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</si>
  <si>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</si>
  <si>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</si>
  <si>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</si>
  <si>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</si>
  <si>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</si>
  <si>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</si>
  <si>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</si>
  <si>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</si>
  <si>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</si>
  <si>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</si>
  <si>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</si>
  <si>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</si>
  <si>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</si>
  <si>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</si>
  <si>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</si>
  <si>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</si>
  <si>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</si>
  <si>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</si>
  <si>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</si>
  <si>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</si>
  <si>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</si>
  <si>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</si>
  <si>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Александровский р-н, Балакирево пгт, Заводская ул, 3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</si>
  <si>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</si>
  <si>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</si>
  <si>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</si>
  <si>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</si>
  <si>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</si>
  <si>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</si>
  <si>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ХВС</t>
  </si>
  <si>
    <t>ГВС</t>
  </si>
  <si>
    <t>ТЕПЛО</t>
  </si>
  <si>
    <t>ВО</t>
  </si>
  <si>
    <t>ЭЛ</t>
  </si>
  <si>
    <t>ЛИФТ</t>
  </si>
  <si>
    <t>Крыша</t>
  </si>
  <si>
    <t>Подвал</t>
  </si>
  <si>
    <t>Фасад</t>
  </si>
  <si>
    <t>Фундамент</t>
  </si>
  <si>
    <t>Реконструкция</t>
  </si>
  <si>
    <t>вентканалы</t>
  </si>
  <si>
    <t xml:space="preserve">Получатель бюджетных средств - Некоммерческая организация (проведение капитального ремонта общего имущества в связи с возникновением аварии, иных чрезвычайных ситуаций природного или техногенного характера) 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</si>
  <si>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</si>
  <si>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</si>
  <si>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</si>
  <si>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</si>
  <si>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</si>
  <si>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</si>
  <si>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</si>
  <si>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</si>
  <si>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</si>
  <si>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</si>
  <si>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</si>
  <si>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</si>
  <si>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</si>
  <si>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Балакирево пгт, Юго-Западный кв-л, 19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</si>
  <si>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</si>
  <si>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</si>
  <si>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</si>
  <si>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</si>
  <si>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</si>
  <si>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 * **</t>
  </si>
  <si>
    <t>Собинский р-н, Лакинск г, Карла Маркса ул, 21</t>
  </si>
  <si>
    <t>Радужный г, 1-й кв-л, 6</t>
  </si>
  <si>
    <t>Вязники г, Новая ул, 13</t>
  </si>
  <si>
    <t>Вязники г, Киселева ул, 71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</si>
  <si>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</si>
  <si>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</si>
  <si>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</si>
  <si>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</si>
  <si>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</si>
  <si>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</si>
  <si>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</si>
  <si>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</si>
  <si>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Александровский р-н, Карабаново г, Кооперативная ул, 24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</si>
  <si>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</si>
  <si>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</si>
  <si>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</si>
  <si>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</si>
  <si>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</si>
  <si>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</si>
  <si>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</si>
  <si>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</si>
  <si>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</si>
  <si>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</si>
  <si>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</si>
  <si>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</si>
  <si>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</si>
  <si>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</si>
  <si>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</si>
  <si>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</si>
  <si>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</si>
  <si>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</si>
  <si>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</si>
  <si>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</si>
  <si>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</si>
  <si>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</si>
  <si>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</si>
  <si>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</si>
  <si>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</si>
  <si>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</si>
  <si>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</si>
  <si>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</si>
  <si>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</si>
  <si>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</si>
  <si>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</si>
  <si>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</si>
  <si>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</si>
  <si>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</si>
  <si>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</si>
  <si>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</si>
  <si>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</si>
  <si>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</si>
  <si>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</si>
  <si>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</si>
  <si>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</si>
  <si>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</si>
  <si>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</si>
  <si>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</si>
  <si>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</si>
  <si>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</si>
  <si>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</si>
  <si>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</si>
  <si>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</si>
  <si>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</si>
  <si>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</si>
  <si>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</si>
  <si>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</si>
  <si>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</si>
  <si>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</si>
  <si>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</si>
  <si>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</si>
  <si>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</si>
  <si>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</si>
  <si>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</si>
  <si>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</si>
  <si>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</si>
  <si>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</si>
  <si>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</si>
  <si>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</si>
  <si>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</si>
  <si>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</si>
  <si>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</si>
  <si>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</si>
  <si>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</si>
  <si>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</si>
  <si>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</si>
  <si>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</si>
  <si>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</si>
  <si>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</si>
  <si>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</si>
  <si>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</si>
  <si>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</si>
  <si>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</si>
  <si>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</si>
  <si>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</si>
  <si>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</si>
  <si>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</si>
  <si>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</si>
  <si>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</si>
  <si>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</si>
  <si>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</si>
  <si>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</si>
  <si>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</si>
  <si>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</si>
  <si>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</si>
  <si>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</si>
  <si>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</si>
  <si>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</si>
  <si>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</si>
  <si>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</si>
  <si>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</si>
  <si>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</si>
  <si>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</si>
  <si>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</si>
  <si>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</si>
  <si>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</si>
  <si>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</si>
  <si>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</si>
  <si>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</si>
  <si>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</si>
  <si>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</si>
  <si>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</si>
  <si>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</si>
  <si>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</si>
  <si>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</si>
  <si>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</si>
  <si>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</si>
  <si>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</si>
  <si>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</si>
  <si>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</si>
  <si>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</si>
  <si>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</si>
  <si>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</si>
  <si>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</si>
  <si>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</si>
  <si>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</si>
  <si>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</si>
  <si>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</si>
  <si>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</si>
  <si>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</si>
  <si>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</si>
  <si>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</si>
  <si>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</si>
  <si>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</si>
  <si>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</si>
  <si>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</si>
  <si>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</si>
  <si>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</si>
  <si>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</si>
  <si>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</si>
  <si>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</si>
  <si>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</si>
  <si>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</si>
  <si>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</si>
  <si>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</si>
  <si>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</si>
  <si>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</si>
  <si>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</si>
  <si>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</si>
  <si>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</si>
  <si>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</si>
  <si>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</si>
  <si>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</si>
  <si>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</si>
  <si>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</si>
  <si>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</si>
  <si>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</si>
  <si>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</si>
  <si>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</si>
  <si>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</si>
  <si>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</si>
  <si>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</si>
  <si>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</si>
  <si>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</si>
  <si>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</si>
  <si>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</si>
  <si>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</si>
  <si>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</si>
  <si>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</si>
  <si>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</si>
  <si>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</si>
  <si>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</si>
  <si>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</si>
  <si>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</si>
  <si>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</si>
  <si>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</si>
  <si>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</si>
  <si>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</si>
  <si>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</si>
  <si>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</si>
  <si>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</si>
  <si>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</si>
  <si>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</si>
  <si>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</si>
  <si>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</si>
  <si>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</si>
  <si>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</si>
  <si>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</si>
  <si>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</si>
  <si>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</si>
  <si>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</si>
  <si>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</si>
  <si>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</si>
  <si>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</si>
  <si>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</si>
  <si>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</si>
  <si>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</si>
  <si>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</si>
  <si>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</si>
  <si>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</si>
  <si>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</si>
  <si>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</si>
  <si>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</si>
  <si>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</si>
  <si>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</si>
  <si>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</si>
  <si>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</si>
  <si>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</si>
  <si>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</si>
  <si>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</si>
  <si>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</si>
  <si>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</si>
  <si>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</si>
  <si>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</si>
  <si>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</si>
  <si>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</si>
  <si>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</si>
  <si>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</si>
  <si>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</si>
  <si>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</si>
  <si>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</si>
  <si>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</si>
  <si>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</si>
  <si>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</si>
  <si>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</si>
  <si>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</si>
  <si>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</si>
  <si>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</si>
  <si>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</si>
  <si>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</si>
  <si>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</si>
  <si>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</si>
  <si>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</si>
  <si>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</si>
  <si>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</si>
  <si>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</si>
  <si>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</si>
  <si>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</si>
  <si>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</si>
  <si>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</si>
  <si>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</si>
  <si>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</si>
  <si>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</si>
  <si>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</si>
  <si>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</si>
  <si>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</si>
  <si>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</si>
  <si>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</si>
  <si>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</si>
  <si>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</si>
  <si>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</si>
  <si>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</si>
  <si>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</si>
  <si>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</si>
  <si>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</si>
  <si>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</si>
  <si>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</si>
  <si>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</si>
  <si>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</si>
  <si>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</si>
  <si>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</si>
  <si>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</si>
  <si>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</si>
  <si>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</si>
  <si>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</si>
  <si>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</si>
  <si>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</si>
  <si>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</si>
  <si>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</si>
  <si>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</si>
  <si>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</si>
  <si>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</si>
  <si>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</si>
  <si>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</si>
  <si>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</si>
  <si>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</si>
  <si>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</si>
  <si>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</si>
  <si>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</si>
  <si>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</si>
  <si>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</si>
  <si>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</si>
  <si>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</si>
  <si>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</si>
  <si>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</si>
  <si>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</si>
  <si>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</si>
  <si>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</si>
  <si>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</si>
  <si>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</si>
  <si>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</si>
  <si>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</si>
  <si>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</si>
  <si>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</si>
  <si>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</si>
  <si>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</si>
  <si>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</si>
  <si>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</si>
  <si>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</si>
  <si>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</si>
  <si>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</si>
  <si>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</si>
  <si>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</si>
  <si>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</si>
  <si>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</si>
  <si>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</si>
  <si>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</si>
  <si>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</si>
  <si>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</si>
  <si>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</si>
  <si>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</si>
  <si>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</si>
  <si>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</si>
  <si>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</si>
  <si>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</si>
  <si>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</si>
  <si>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</si>
  <si>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</si>
  <si>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</si>
  <si>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</si>
  <si>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</si>
  <si>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</si>
  <si>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</si>
  <si>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</si>
  <si>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 xml:space="preserve">к постановлению Департамента жилищно-коммунального хозяйства Владимирской области </t>
  </si>
  <si>
    <t>Объем финансирования в 2023 г., руб.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</si>
  <si>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</si>
  <si>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</si>
  <si>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</si>
  <si>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</si>
  <si>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</si>
  <si>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</si>
  <si>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Гусь-Хрустальный р-н, Анопино п, Чехова ул, 2</t>
  </si>
  <si>
    <t>Суздальский р-н, Красногвардейский п, Октябрьская ул, 15</t>
  </si>
  <si>
    <t>Владимир г, Семашко ул, 4</t>
  </si>
  <si>
    <t>Владимир г, Бобкова ул, 1а</t>
  </si>
  <si>
    <t>Владимир г, Диктора Левитана ул, 31</t>
  </si>
  <si>
    <t>Владимир г, Каманина ул, 18</t>
  </si>
  <si>
    <t>Владимир г, Каманина ул, 28</t>
  </si>
  <si>
    <t>Владимир г, Краснознаменная ул, 10</t>
  </si>
  <si>
    <t>Владимир г, МОПРа ул, 13</t>
  </si>
  <si>
    <t>Владимир г, Октябрьский пр-кт, 42</t>
  </si>
  <si>
    <t>Владимир г, Стасова ул, 44/11</t>
  </si>
  <si>
    <t>Владимир г, Юбилейная ул, 4</t>
  </si>
  <si>
    <t>Собинка г, Молодежная ул, 26</t>
  </si>
  <si>
    <t>Суздальский р-н, Новое с, Молодежная ул, 3</t>
  </si>
  <si>
    <t>Ковров г, Ранжева ул, 5</t>
  </si>
  <si>
    <t>Ковров г, Туманова ул, 12</t>
  </si>
  <si>
    <t>Александровский р-н, Карабаново г, Лермонтова пл, 13</t>
  </si>
  <si>
    <t>Петушки г, Советская пл, 11</t>
  </si>
  <si>
    <t>Муром г, Войкова ул, 2а</t>
  </si>
  <si>
    <t>Муром г, Кооперативная ул, 2</t>
  </si>
  <si>
    <t>Гусь-Хрустальный г, Мира ул, 18</t>
  </si>
  <si>
    <t>Александров г, Ново-Стрелецкий проезд ул, 14</t>
  </si>
  <si>
    <t>Вязники г, Владимирская ул, 2</t>
  </si>
  <si>
    <t>Киржач г, Ленинградская ул, 98</t>
  </si>
  <si>
    <t>Собинка г, Ленина ул, 31</t>
  </si>
  <si>
    <t>Итого по Бутылицкое</t>
  </si>
  <si>
    <t>Меленковский р-н, Архангел с, Совхозная ул, 182</t>
  </si>
  <si>
    <t>Бутылицкое</t>
  </si>
  <si>
    <t>Меленки г, Муромская ул, 39</t>
  </si>
  <si>
    <t>Радужный г, 3-й кв-л, 34</t>
  </si>
  <si>
    <t>Ковров г, Брюсова ул, 52</t>
  </si>
  <si>
    <t>Ковров г, Лизы Чайкиной ул, 104</t>
  </si>
  <si>
    <t>Ковров г, Лизы Чайкиной ул, 108</t>
  </si>
  <si>
    <t>Ковров г, Маяковского ул, 83</t>
  </si>
  <si>
    <t>Ковров г, Маяковского ул, 85</t>
  </si>
  <si>
    <t>Ковров г, Маяковского ул, 87</t>
  </si>
  <si>
    <t>Радужный г, 3-й кв-л, 25</t>
  </si>
  <si>
    <t>Муром г, Дзержинского ул, 2Б</t>
  </si>
  <si>
    <t>Муром г, Кленовая ул, 34</t>
  </si>
  <si>
    <t>Владимир г, Завадского ул, 13Б</t>
  </si>
  <si>
    <t>Владимир г, Нижняя Дуброва ул, 37</t>
  </si>
  <si>
    <t>Владимир г, Нижняя Дуброва ул, 44</t>
  </si>
  <si>
    <t>Владимир г, Соколова-Соколенка ул, 11</t>
  </si>
  <si>
    <t>Владимир г, Суворова ул, 2</t>
  </si>
  <si>
    <t>Владимир г, Фатьянова ул, 21</t>
  </si>
  <si>
    <t>Владимир г, Энергетик мкр, Энергетиков ул, 1А</t>
  </si>
  <si>
    <t>Владимир г, Юбилейная ул, 46</t>
  </si>
  <si>
    <t>Владимир г, Балакирева ул, 55</t>
  </si>
  <si>
    <t>Владимир г, Белоконской ул, 25</t>
  </si>
  <si>
    <t>Владимир г, Верхняя Дуброва ул, 18А</t>
  </si>
  <si>
    <t>Владимир г, Верхняя Дуброва ул, 38Д</t>
  </si>
  <si>
    <t>Владимир г, Горная ул, 5</t>
  </si>
  <si>
    <t>Владимир г, Горького ул, 44</t>
  </si>
  <si>
    <t>Владимир г, Добросельская ул, 165</t>
  </si>
  <si>
    <t>Владимир г, Завадского ул, 15А</t>
  </si>
  <si>
    <t>Владимир г, Куйбышева ул, 42</t>
  </si>
  <si>
    <t>Владимир г, Лакина ул, 143А</t>
  </si>
  <si>
    <t>Владимир г, Ленина пр-кт, 42</t>
  </si>
  <si>
    <t>Владимир г, Ленина пр-кт, 51</t>
  </si>
  <si>
    <t>Владимир г, Ленина пр-кт, 67А</t>
  </si>
  <si>
    <t>Владимир г, Лесной мкр, Лесная ул, 8</t>
  </si>
  <si>
    <t>Владимир г, Нижняя Дуброва ул, 1</t>
  </si>
  <si>
    <t>Владимир г, Нижняя Дуброва ул, 27</t>
  </si>
  <si>
    <t>Владимир г, Оргтруд мкр, Октябрьская ул, 10</t>
  </si>
  <si>
    <t>Владимир г, Оргтруд мкр, Октябрьская ул, 16</t>
  </si>
  <si>
    <t>Владимир г, Оргтруд мкр, Октябрьская ул, 25</t>
  </si>
  <si>
    <t>Владимир г, Оргтруд мкр, Строителей ул, 5</t>
  </si>
  <si>
    <t>Владимир г, Пичугина ул, 12</t>
  </si>
  <si>
    <t>Владимир г, Растопчина ул, 1</t>
  </si>
  <si>
    <t>Владимир г, Растопчина ул, 49а</t>
  </si>
  <si>
    <t>Владимир г, Растопчина ул, 55а</t>
  </si>
  <si>
    <t>Владимир г, Садовая ул, 17</t>
  </si>
  <si>
    <t>Владимир г, Соколова-Соколенка ул, 21</t>
  </si>
  <si>
    <t>Владимир г, Соколова-Соколенка ул, 5а</t>
  </si>
  <si>
    <t>Владимир г, Строителей пр-кт, 12</t>
  </si>
  <si>
    <t>Владимир г, Строителей пр-кт, 22</t>
  </si>
  <si>
    <t>Владимир г, Строителей пр-кт, 44А</t>
  </si>
  <si>
    <t>Владимир г, Чайковского ул, 44Б</t>
  </si>
  <si>
    <t>Владимир г, Энергетик мкр, Садовая ул, 15</t>
  </si>
  <si>
    <t>Владимир г, Энергетик мкр, Энергетиков ул, 23</t>
  </si>
  <si>
    <t>Владимир г, Юрьевец мкр, Институтский городок, 26</t>
  </si>
  <si>
    <t>Владимир г, Юрьевец мкр, Михалькова ул, 12</t>
  </si>
  <si>
    <t>Владимир г, Юрьевец мкр, Школьный проезд, 1А</t>
  </si>
  <si>
    <t>Гусь-Хрустальный г, Транспортная ул, 12</t>
  </si>
  <si>
    <t>Гусь-Хрустальный г, Курловская ул, 30</t>
  </si>
  <si>
    <t>Ковров г, Абельмана ул, 128</t>
  </si>
  <si>
    <t>Ковров г, Абельмана ул, 139/1</t>
  </si>
  <si>
    <t>Ковров г, Волго-Донская ул, 26</t>
  </si>
  <si>
    <t>Ковров г, Димитрова ул, 2</t>
  </si>
  <si>
    <t>Ковров г, Еловая ул, 86/8</t>
  </si>
  <si>
    <t>Ковров г, Кирова ул, 75</t>
  </si>
  <si>
    <t>Ковров г, Комсомольская ул, 32</t>
  </si>
  <si>
    <t>Ковров г, Ленина пр-кт, 12А</t>
  </si>
  <si>
    <t>Ковров г, Молодогвардейская ул, 7</t>
  </si>
  <si>
    <t>Ковров г, Тимофея Павловского ул, 8</t>
  </si>
  <si>
    <t>Ковров г, Комсомольская ул, 34/3</t>
  </si>
  <si>
    <t>Кольчугино г, Белая Речка мкр, Школьная ул, 11а</t>
  </si>
  <si>
    <t>Кольчугино г, Веденеева ул, 3</t>
  </si>
  <si>
    <t>Кольчугино г, Дружбы ул, 22</t>
  </si>
  <si>
    <t>Кольчугино г, Дружбы ул, 7</t>
  </si>
  <si>
    <t>Кольчугино г, Коллективная ул, 47</t>
  </si>
  <si>
    <t>Кольчугино г, Ленина ул, 11а</t>
  </si>
  <si>
    <t>Кольчугино г, Ленина ул, 2</t>
  </si>
  <si>
    <t>Кольчугино г, Лермонтова ул, 3</t>
  </si>
  <si>
    <t>Кольчугино г, Луговая ул, 10</t>
  </si>
  <si>
    <t>Кольчугино г, Чапаева ул, 2а</t>
  </si>
  <si>
    <t>Кольчугино г, Шмелева ул, 17</t>
  </si>
  <si>
    <t>Кольчугино г, 50 лет Октября ул, 14</t>
  </si>
  <si>
    <t>Кольчугино г, 50 лет СССР ул, 6</t>
  </si>
  <si>
    <t>Кольчугино г, Чапаева ул, 1г</t>
  </si>
  <si>
    <t>Муром г, Заводская ул, 19</t>
  </si>
  <si>
    <t>Муром г, Карачаровское ш, 26б</t>
  </si>
  <si>
    <t>Муром г, Карачаровское ш, 30а</t>
  </si>
  <si>
    <t>Муром г, Кленовая ул, 3 корп. 2</t>
  </si>
  <si>
    <t>Муром г, Льва Толстого ул, 54</t>
  </si>
  <si>
    <t>Муром г, Машинистов ул, 5</t>
  </si>
  <si>
    <t>Муром г, Октябрьская ул, 29</t>
  </si>
  <si>
    <t>Муром г, Октябрьская ул, 9а</t>
  </si>
  <si>
    <t>Муром г, Энгельса ул, 21</t>
  </si>
  <si>
    <t>Муром г, Карачаровское ш, 26а</t>
  </si>
  <si>
    <t>Муром г, Кленовая ул, 3 корп. 1</t>
  </si>
  <si>
    <t>Муром г, Ковровская ул, 10</t>
  </si>
  <si>
    <t>Муром г, Льва Толстого ул, 96</t>
  </si>
  <si>
    <t>Муром г, Муромская ул, 23 корп. 2</t>
  </si>
  <si>
    <t>Муром г, Первомайская ул, 93</t>
  </si>
  <si>
    <t>Муром г, Филатова ул, 6</t>
  </si>
  <si>
    <t>Муром г, Энгельса ул, 25</t>
  </si>
  <si>
    <t>Камешково г, 3 Интернационала ул, 3</t>
  </si>
  <si>
    <t>Камешково г, Володарского ул, 2</t>
  </si>
  <si>
    <t>Камешково г, Молодежная ул, 9</t>
  </si>
  <si>
    <t>Камешково г, Крупской ул, 8А</t>
  </si>
  <si>
    <t>Юрьев-Польский г, Школьная ул, 40</t>
  </si>
  <si>
    <t>Вязники г, Куйбышева ул, 4</t>
  </si>
  <si>
    <t>Суздальский р-н, Сокол п, 9</t>
  </si>
  <si>
    <t>Суздальский р-н, Кутуково с, Школьная ул, 5</t>
  </si>
  <si>
    <t>Суздальский р-н, Павловское с, Центральная ул, 29</t>
  </si>
  <si>
    <t>Селивановский р-н, Красная Горбатка п, 2-я Заводская ул, 5</t>
  </si>
  <si>
    <t>Селивановский р-н, Красная Горбатка п, Северная ул, 75</t>
  </si>
  <si>
    <t>Селивановский р-н, Красная Горбатка п, Строителей ул, 5</t>
  </si>
  <si>
    <t>Селивановский р-н, Красная Горбатка п, Школьная ул, 29</t>
  </si>
  <si>
    <t>Селивановский р-н, Красная Горбатка п, Школьная ул, 22</t>
  </si>
  <si>
    <t>Судогодский р-н, Бараки д, Молодежная ул, 1</t>
  </si>
  <si>
    <t>Итого по Владимирской области в 2021 году:</t>
  </si>
  <si>
    <t>Петушинский р-н, Нагорный п, Горячкина ул, 3</t>
  </si>
  <si>
    <t>ООО УК "Управдом"</t>
  </si>
  <si>
    <t>ООО «НАШЕ ЖКО»</t>
  </si>
  <si>
    <t>11</t>
  </si>
  <si>
    <t>ТСЖ Дечинский 14</t>
  </si>
  <si>
    <t>ООО "Ком-сервис"</t>
  </si>
  <si>
    <t>Ковров г, Лизы Чайкиной ул, 106</t>
  </si>
  <si>
    <t>Ковров г, Матвеева ул, 3</t>
  </si>
  <si>
    <t>ООО "УК "ЖКО РОСКО"</t>
  </si>
  <si>
    <t xml:space="preserve">Итого по Владимирской области по 2021 году: </t>
  </si>
  <si>
    <t>Вязники г, Дечинский мкр, 6</t>
  </si>
  <si>
    <t>Камешковский р-н, Мирный п, Центральная ул, 82</t>
  </si>
  <si>
    <t>Итого по Владимирской области на 2021 год</t>
  </si>
  <si>
    <t>Всего по Владимирской области на 2020-2022 годы</t>
  </si>
  <si>
    <t>Всего по Владимирской области на 2020-2022 годы:</t>
  </si>
  <si>
    <t xml:space="preserve">Всего по Владимирской области на 2020-2022 годы: </t>
  </si>
  <si>
    <t>Селивановский р-н, Красная Горбатка п, Комсомольская ул, 74</t>
  </si>
  <si>
    <t>Камешково г, Крупской ул, 17В</t>
  </si>
  <si>
    <t>ООО"УЮТ"</t>
  </si>
  <si>
    <t>Юрьев-Польский г, Луговая ул, 51</t>
  </si>
  <si>
    <t>Ковров г, Набережная ул, 17</t>
  </si>
  <si>
    <t>Ковров г, Социалистическая ул, 17</t>
  </si>
  <si>
    <t>Итого по поселок Золотково</t>
  </si>
  <si>
    <t>Гусь-Хрустальный р-н, Золотково п, Ломоносова ул, 7</t>
  </si>
  <si>
    <t>поселок Золотково</t>
  </si>
  <si>
    <t>Муром г, Мечникова ул, 56</t>
  </si>
  <si>
    <t>Владимир г, Асаткина ул, 2А</t>
  </si>
  <si>
    <t>Владимир г, Верхняя Дуброва ул, 20А</t>
  </si>
  <si>
    <t>Владимир г, Горького ул, 55</t>
  </si>
  <si>
    <t>Владимир г, Добросельская ул, 195а</t>
  </si>
  <si>
    <t>Владимир г, Егорова ул, 3</t>
  </si>
  <si>
    <t>Владимир г, Лермонтова ул, 44</t>
  </si>
  <si>
    <t>Владимир г, Ново-Ямская ул, 9</t>
  </si>
  <si>
    <t>Владимир г, Полины Осипенко ул, 3</t>
  </si>
  <si>
    <t>Владимир г, Растопчина ул, 45а</t>
  </si>
  <si>
    <t>Владимир г, 9 Января ул, 3</t>
  </si>
  <si>
    <t>2020, 2021</t>
  </si>
  <si>
    <t>Муром г, Дзержинского ул, 5а</t>
  </si>
  <si>
    <t>Муром г, Комсомольская ул, 50</t>
  </si>
  <si>
    <t>Муром г, Московская ул, 64</t>
  </si>
  <si>
    <t>Муром г, Орловская ул, 5</t>
  </si>
  <si>
    <t>Муром г, Экземплярского ул, 70</t>
  </si>
  <si>
    <t>Владимир г, Суворова ул, 3а</t>
  </si>
  <si>
    <t>Итого по Владимирской области за период 2020-2021 годы</t>
  </si>
  <si>
    <t>Владимир г, Батурина ул, 33</t>
  </si>
  <si>
    <t>Владимир г, Безыменского ул, 13а</t>
  </si>
  <si>
    <t>Владимир г, Белоконской ул, 13А</t>
  </si>
  <si>
    <t>Владимир г, Верхняя Дуброва ул, 33</t>
  </si>
  <si>
    <t>Владимир г, Воровского ул, 8а</t>
  </si>
  <si>
    <t>Владимир г, Горького ул, 84</t>
  </si>
  <si>
    <t>Владимир г, Ленина пр-кт, 44</t>
  </si>
  <si>
    <t>Владимир г, Ленина пр-кт, 47А</t>
  </si>
  <si>
    <t>Владимир г, Мира ул, 4А</t>
  </si>
  <si>
    <t>Владимир г, Строителей пр-кт, 42Г</t>
  </si>
  <si>
    <t>Владимир г, Добросельская ул, 193Г</t>
  </si>
  <si>
    <t>Владимир г, Энергетик мкр, Энергетиков ул, 6Б</t>
  </si>
  <si>
    <t>Владимир г, Диктора Левитана ул, 4Г</t>
  </si>
  <si>
    <t>Владимир г, Чайковского ул, 36</t>
  </si>
  <si>
    <t>Владимир г, Василисина ул, 9</t>
  </si>
  <si>
    <t>Владимир г, Василисина ул, 4</t>
  </si>
  <si>
    <t>Владимир г, Верхняя Дуброва ул, 10</t>
  </si>
  <si>
    <t>Владимир г, Строителей пр-кт, 2Г</t>
  </si>
  <si>
    <t>Владимир г, Фатьянова ул, 2А</t>
  </si>
  <si>
    <t>Владимир г, Верхняя Дуброва ул, 38А</t>
  </si>
  <si>
    <t>Владимир г, Перекопский военный городок, 25</t>
  </si>
  <si>
    <t>Владимир г, Почаевская ул, 22А</t>
  </si>
  <si>
    <t>Владимир г, Пугачева ул, 62</t>
  </si>
  <si>
    <t>Владимир г, Разина ул, 26</t>
  </si>
  <si>
    <t>Владимир г, Диктора Левитана ул, 55</t>
  </si>
  <si>
    <t>Владимир г, Юбилейная ул, 42</t>
  </si>
  <si>
    <t>Владимир г, Безыменского ул, 4а</t>
  </si>
  <si>
    <t>Владимир г, Верхняя Дуброва ул, 2</t>
  </si>
  <si>
    <t>Владимир г, Ново-Ямская ул, 2</t>
  </si>
  <si>
    <t>Владимир г, Московское ш, 1б</t>
  </si>
  <si>
    <t>Владимир г, Комиссарова ул, 23а</t>
  </si>
  <si>
    <t>Владимир г, Ломоносова ул, 1</t>
  </si>
  <si>
    <t>Владимир г, Мира ул, 17</t>
  </si>
  <si>
    <t>Владимир г, Октябрьский военный городок, 25</t>
  </si>
  <si>
    <t>Владимир г, Полины Осипенко ул, 27</t>
  </si>
  <si>
    <t>Владимир г, Соколова-Соколенка ул, 6в</t>
  </si>
  <si>
    <t>Владимир г, Строителей пр-кт, 34Б</t>
  </si>
  <si>
    <t>Владимир г, Тракторная ул, 1Г</t>
  </si>
  <si>
    <t>Владимир г, Юбилейная ул, 5</t>
  </si>
  <si>
    <t>Владимир г, Белоконской ул, 14</t>
  </si>
  <si>
    <t>Владимир г, Горького ул, 115</t>
  </si>
  <si>
    <t>Владимир г, Юбилейная ул, 38А</t>
  </si>
  <si>
    <t>Александров г, Революции ул, 38</t>
  </si>
  <si>
    <t>Александров г, Революции ул, 72</t>
  </si>
  <si>
    <t>Александров г, Институтская ул, 6 корп. 2</t>
  </si>
  <si>
    <t>Александров г, Королева ул, 16</t>
  </si>
  <si>
    <t>Александров г, Королева ул, 18</t>
  </si>
  <si>
    <t>Александров г, Королева ул, 20</t>
  </si>
  <si>
    <t>Александров г, Маяковского ул, 36А</t>
  </si>
  <si>
    <t>Александров г, Ческа-Липа ул, 10</t>
  </si>
  <si>
    <t>Александров г, Геологов ул, 8</t>
  </si>
  <si>
    <t>Гусь-Хрустальный г, Маяковского ул, 3а</t>
  </si>
  <si>
    <t>Гусь-Хрустальный г, Менделеева ул, 19а</t>
  </si>
  <si>
    <t>Гусь-Хрустальный г, Менделеева ул, 25</t>
  </si>
  <si>
    <t>Гусь-Хрустальный г, Пролетарская ул, 18</t>
  </si>
  <si>
    <t>Гусь-Хрустальный г, Рязанская ул, 2</t>
  </si>
  <si>
    <t>Гусь-Хрустальный г, Теплицкий пр-кт, 12</t>
  </si>
  <si>
    <t>Гусь-Хрустальный г, Транспортная ул, 16</t>
  </si>
  <si>
    <t>Ковров г, 5 Декабря ул, 22/2</t>
  </si>
  <si>
    <t>Ковров г, Комсомольская ул, 104</t>
  </si>
  <si>
    <t>Ковров г, МОПРа ул, 26</t>
  </si>
  <si>
    <t>Ковров г, Строителей ул, 2</t>
  </si>
  <si>
    <t>Ковров г, Строителей ул, 22</t>
  </si>
  <si>
    <t>Ковров г, Строителей ул, 22/2</t>
  </si>
  <si>
    <t>Ковров г, Волго-Донская ул, 27</t>
  </si>
  <si>
    <t>Ковров г, Брюсова ул, 54/1</t>
  </si>
  <si>
    <t>Ковров г, Грибоедова ул, 125</t>
  </si>
  <si>
    <t>Ковров г, Зои Космодемьянской ул, 7/3</t>
  </si>
  <si>
    <t>Ковров г, Зои Космодемьянской ул, 9</t>
  </si>
  <si>
    <t>Ковров г, Зои Космодемьянской ул, 26/2</t>
  </si>
  <si>
    <t>Ковров г, Комсомольская ул, 36/3</t>
  </si>
  <si>
    <t>Ковров г, Летняя ул, 19</t>
  </si>
  <si>
    <t>Ковров г, Летняя ул, 86</t>
  </si>
  <si>
    <t>Ковров г, Лопатина ул, 44</t>
  </si>
  <si>
    <t>Ковров г, Машиностроителей ул, 7</t>
  </si>
  <si>
    <t>Ковров г, Маяковского ул, 2</t>
  </si>
  <si>
    <t>Ковров г, Моховая ул, 2 корп. 10</t>
  </si>
  <si>
    <t>Ковров г, Моховая ул, 2/6</t>
  </si>
  <si>
    <t>Ковров г, Ногина ул, 20</t>
  </si>
  <si>
    <t>Ковров г, Северный проезд, 10а</t>
  </si>
  <si>
    <t>Ковров г, Сосновая ул, 39</t>
  </si>
  <si>
    <t>Ковров г, Строителей ул, 16</t>
  </si>
  <si>
    <t>Ковров г, Строителей ул, 18</t>
  </si>
  <si>
    <t>Ковров г, Фабричный проезд, 6</t>
  </si>
  <si>
    <t>Ковров г, Фурманова ул, 35</t>
  </si>
  <si>
    <t>Ковров г, Клязьменская ул, 6</t>
  </si>
  <si>
    <t>Ковров г, Лопатина ул, 68</t>
  </si>
  <si>
    <t>Ковров г, Сосновая ул, 15/3</t>
  </si>
  <si>
    <t>Ковров г, Строителей ул, 15</t>
  </si>
  <si>
    <t>Кольчугино г, Белая Речка мкр, Новая ул, 5</t>
  </si>
  <si>
    <t>Кольчугино г, Ульяновская ул, 35</t>
  </si>
  <si>
    <t>Кольчугино г, Дружбы ул, 6</t>
  </si>
  <si>
    <t>Кольчугино г, Максимова ул, 25</t>
  </si>
  <si>
    <t>Кольчугино г, Московская ул, 66</t>
  </si>
  <si>
    <t>Кольчугино г, 3 Интернационала ул, 63</t>
  </si>
  <si>
    <t>Кольчугино г, Инициативная ул, 13</t>
  </si>
  <si>
    <t>Кольчугино г, 50 лет Октября ул, 22</t>
  </si>
  <si>
    <t>Кольчугино г, Добровольского ул, 9</t>
  </si>
  <si>
    <t>Кольчугино г, Шмелева ул, 2</t>
  </si>
  <si>
    <t>Муром г, 30 лет Победы ул, 9 корп. 1</t>
  </si>
  <si>
    <t>Муром г, Ленинградская ул, 31</t>
  </si>
  <si>
    <t>Муром г, Ленинградская ул, 42</t>
  </si>
  <si>
    <t>Муром г, Советская ул, 44</t>
  </si>
  <si>
    <t>Муром г, Пролетарская ул, 21</t>
  </si>
  <si>
    <t>Муром г, Кленовая ул, 7А</t>
  </si>
  <si>
    <t>Муром г, Кооперативная ул, 5</t>
  </si>
  <si>
    <t>Муром г, Кооперативная ул, 7</t>
  </si>
  <si>
    <t>Муром г, Лесная ул, 1</t>
  </si>
  <si>
    <t>Муром г, Меленковская ул, 3 корп. 2</t>
  </si>
  <si>
    <t>Муром г, Муромская ул, 9 корп. 2</t>
  </si>
  <si>
    <t>Муром г, Муромская ул, 12</t>
  </si>
  <si>
    <t>Муром г, Чкалова ул, 10Б</t>
  </si>
  <si>
    <t>Муром г, Орловская ул, 21</t>
  </si>
  <si>
    <t>Муром г, Лаврентьева ул, 43</t>
  </si>
  <si>
    <t>Муром г, Свердлова ул, 65</t>
  </si>
  <si>
    <t>Муром г, Красногвардейская ул, 32</t>
  </si>
  <si>
    <t>Камешково г, Дорофеичева ул, 7а</t>
  </si>
  <si>
    <t>Камешково г, Совхозная ул, 17</t>
  </si>
  <si>
    <t>Юрьев-Польский г, Авангардский пер, 20</t>
  </si>
  <si>
    <t>Юрьев-Польский г, Садовый пер, 4</t>
  </si>
  <si>
    <t>Вязники г, Высоковольтная ул, 61</t>
  </si>
  <si>
    <t>Вязники г, Чехова ул, 19а</t>
  </si>
  <si>
    <t>Вязники г, Нововязники мкр, Механизаторов ул, 113</t>
  </si>
  <si>
    <t>Радужный г, 3-й кв-л, 13</t>
  </si>
  <si>
    <t>Радужный г, 3-й кв-л, 2</t>
  </si>
  <si>
    <t>Меленки г, Комсомольская ул, 98</t>
  </si>
  <si>
    <t>Петушинский р-н, Покров г, Герасимова ул, 30</t>
  </si>
  <si>
    <t>Собинка г, Гагарина ул, 2</t>
  </si>
  <si>
    <t>Собинка г, Гагарина ул, 4</t>
  </si>
  <si>
    <t>Собинка г, Молодежная ул, 1</t>
  </si>
  <si>
    <t>Собинка г, Молодежная ул, 2</t>
  </si>
  <si>
    <t>Собинка г, Чайковского ул, 4</t>
  </si>
  <si>
    <t>Собинский р-н, Лакинск г, 21 Партсъезда ул, 17</t>
  </si>
  <si>
    <t>Собинский р-н, Лакинск г, 21 Партсъезда ул, 19</t>
  </si>
  <si>
    <t>Собинский р-н, Лакинск г, 21 Партсъезда ул, 21</t>
  </si>
  <si>
    <t>Собинский р-н, Лакинск г, Горького ул, 12</t>
  </si>
  <si>
    <t>Собинский р-н, Ставрово п, Октябрьская ул, 140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</si>
  <si>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</si>
  <si>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</si>
  <si>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6</t>
  </si>
  <si>
    <t>Собинский р-н, Ставрово п, Юбилейная ул, 8</t>
  </si>
  <si>
    <t>Суздальский р-н, Сокол п, 10</t>
  </si>
  <si>
    <t>Суздальский р-н, Сокол п, 11</t>
  </si>
  <si>
    <t>Суздальский р-н, Сокол п, 15</t>
  </si>
  <si>
    <t>Суздальский р-н, Новоалександрово с, Рабочая ул, 2</t>
  </si>
  <si>
    <t>Кольчугинский р-н, Бавлены п, Мира ул, 9</t>
  </si>
  <si>
    <t>Владимир г, Верхняя Дуброва ул, 22</t>
  </si>
  <si>
    <t>Владимир г, Горького ул, 99</t>
  </si>
  <si>
    <t>Владимир г, Лакина ул, 153А</t>
  </si>
  <si>
    <t>Владимир г, Горького ул, 103</t>
  </si>
  <si>
    <t>Владимир г, Лесной мкр, Лесная ул, 15</t>
  </si>
  <si>
    <t>Владимир г, Нижняя Дуброва ул, 3а</t>
  </si>
  <si>
    <t>Кольчугино г, Белая Речка мкр, Молодежная ул, 2</t>
  </si>
  <si>
    <t>Кольчугино г, Чапаева ул, 1а</t>
  </si>
  <si>
    <t>Кольчугино г, Ломако ул, 32</t>
  </si>
  <si>
    <t>Кольчугино г, Щорса ул, 11</t>
  </si>
  <si>
    <t>Муром г, Ковровская ул, 20</t>
  </si>
  <si>
    <t>Петушинский р-н, Покров г, 3 Интернационала ул, 83</t>
  </si>
  <si>
    <t>Ковров г, Волго-Донская ул, 25</t>
  </si>
  <si>
    <t>Ковров г, Грибоедова ул, 13/2</t>
  </si>
  <si>
    <t>Ковров г, Грибоедова ул, 13/3</t>
  </si>
  <si>
    <t>Ковров г, Грибоедова ул, 7/3</t>
  </si>
  <si>
    <t>Ковров г, Еловая ул, 94</t>
  </si>
  <si>
    <t>Ковров г, Еловая ул, 96/1</t>
  </si>
  <si>
    <t>Ковров г, Зои Космодемьянской ул, 1/11</t>
  </si>
  <si>
    <t>Ковров г, Зои Космодемьянской ул, 1/12</t>
  </si>
  <si>
    <t>Ковров г, Зои Космодемьянской ул, 1/8</t>
  </si>
  <si>
    <t>Ковров г, Зои Космодемьянской ул, 1/9</t>
  </si>
  <si>
    <t>Ковров г, Зои Космодемьянской ул, 28</t>
  </si>
  <si>
    <t>Ковров г, Кирова ул, 79</t>
  </si>
  <si>
    <t>Ковров г, Комсомольская ул, 99</t>
  </si>
  <si>
    <t>Ковров г, Комсомольская ул, 99/1</t>
  </si>
  <si>
    <t>Ковров г, Ленина пр-кт, 1Б</t>
  </si>
  <si>
    <t>Ковров г, Лизы Чайкиной ул, 102</t>
  </si>
  <si>
    <t>Ковров г, Маяковского ул, 81</t>
  </si>
  <si>
    <t>Ковров г, Маяковского ул, 89</t>
  </si>
  <si>
    <t>Ковров г, Пролетарская ул, 14/1</t>
  </si>
  <si>
    <t>Ковров г, Рабочая ул, 35</t>
  </si>
  <si>
    <t>Ковров г, Сосновая ул, 41</t>
  </si>
  <si>
    <t>Ковров г, Строителей ул, 3</t>
  </si>
  <si>
    <t>Ковров г, Строителей ул, 39</t>
  </si>
  <si>
    <t>Ковров г, Строителей ул, 41</t>
  </si>
  <si>
    <t>Ковров г, Строителей ул, 43</t>
  </si>
  <si>
    <t>Муром г, Нижегородская ул, 1</t>
  </si>
  <si>
    <t>Муром г, Фрунзе ул, 2</t>
  </si>
  <si>
    <t>Муром г, Чкалова ул, 20</t>
  </si>
  <si>
    <t>Радужный г, 1-й кв-л, 35</t>
  </si>
  <si>
    <t>Радужный г, 3-й кв-л, 17А</t>
  </si>
  <si>
    <t>Радужный г, 3-й кв-л, 21</t>
  </si>
  <si>
    <t>Радужный г, 3-й кв-л, 23</t>
  </si>
  <si>
    <t>Радужный г, 3-й кв-л, 9</t>
  </si>
  <si>
    <t>Владимир г, Растопчина ул, 51</t>
  </si>
  <si>
    <t>Владимир г, Соколова-Соколенка ул, 17б</t>
  </si>
  <si>
    <t>400</t>
  </si>
  <si>
    <t>266</t>
  </si>
  <si>
    <t>472</t>
  </si>
  <si>
    <t>367</t>
  </si>
  <si>
    <t>289</t>
  </si>
  <si>
    <t>Кирпич</t>
  </si>
  <si>
    <t>321</t>
  </si>
  <si>
    <t>220</t>
  </si>
  <si>
    <t>151</t>
  </si>
  <si>
    <t>160</t>
  </si>
  <si>
    <t>977</t>
  </si>
  <si>
    <t>ООО "УМД КОНТИНЕНТ"</t>
  </si>
  <si>
    <t>256</t>
  </si>
  <si>
    <t>237</t>
  </si>
  <si>
    <t>330</t>
  </si>
  <si>
    <t>ООО "ЖЭЦ-УПРАВЛЕНИЕ"</t>
  </si>
  <si>
    <t>326</t>
  </si>
  <si>
    <t>ООО "НАШЕ ЖКО"</t>
  </si>
  <si>
    <t>163</t>
  </si>
  <si>
    <t>179</t>
  </si>
  <si>
    <t>304</t>
  </si>
  <si>
    <t>331</t>
  </si>
  <si>
    <t>359</t>
  </si>
  <si>
    <t>415</t>
  </si>
  <si>
    <t>318</t>
  </si>
  <si>
    <t>249</t>
  </si>
  <si>
    <t>ООО УК "ВИКА"</t>
  </si>
  <si>
    <t>146</t>
  </si>
  <si>
    <t>161</t>
  </si>
  <si>
    <t>302</t>
  </si>
  <si>
    <t>ТСЖ "ДОМ-5"</t>
  </si>
  <si>
    <t>365</t>
  </si>
  <si>
    <t>ТСЖ "МАШИНОСТРОИТЕЛЕЙ 7"</t>
  </si>
  <si>
    <t>562</t>
  </si>
  <si>
    <t>ЖСК № 59</t>
  </si>
  <si>
    <t>138</t>
  </si>
  <si>
    <t>2008</t>
  </si>
  <si>
    <t>315</t>
  </si>
  <si>
    <t>ООО УК "УПРАВДОМ"</t>
  </si>
  <si>
    <t>240</t>
  </si>
  <si>
    <t>230</t>
  </si>
  <si>
    <t>141</t>
  </si>
  <si>
    <t>495</t>
  </si>
  <si>
    <t>247</t>
  </si>
  <si>
    <t>411</t>
  </si>
  <si>
    <t>197</t>
  </si>
  <si>
    <t>ООО "УК ЛЮКС"</t>
  </si>
  <si>
    <t>ТСН "Пушкина 16"</t>
  </si>
  <si>
    <t>Владимир г, Безыменского ул, 16</t>
  </si>
  <si>
    <t>Владимир г, Безыменского ул, 16а</t>
  </si>
  <si>
    <t>Владимир г, Добросельская ул, 185</t>
  </si>
  <si>
    <t>Владимир г, Соколова-Соколенка ул, 17</t>
  </si>
  <si>
    <t>Владимир г, Соколова-Соколенка ул, 19</t>
  </si>
  <si>
    <t>Владимир г, Соколова-Соколенка ул, 7</t>
  </si>
  <si>
    <t>Владимир г, Комиссарова ул, 3Б</t>
  </si>
  <si>
    <t>Владимир г, Василисина ул, 6</t>
  </si>
  <si>
    <t>Владимир г, Василисина ул, 8а</t>
  </si>
  <si>
    <t>Владимир г, Ново-Ямская ул, 25</t>
  </si>
  <si>
    <t>Владимир г, Чапаева ул, 3</t>
  </si>
  <si>
    <t>Владимир г, Белоконской ул, 18</t>
  </si>
  <si>
    <t>Гороховец г, Братьев Бесединых ул, 8</t>
  </si>
  <si>
    <t>Гороховец г, Сиреневая ул, 1</t>
  </si>
  <si>
    <t>Гороховецкий р-н, Арефино д, Совхозная ул, 10</t>
  </si>
  <si>
    <t>Гороховец г, Гагарина ул, 52</t>
  </si>
  <si>
    <t>Муром г, Совхозная ул, 3</t>
  </si>
  <si>
    <t>Итого по Владимирской области в 2021 году</t>
  </si>
  <si>
    <t>ООО "Дом-сервис"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</si>
</sst>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7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48"/>
      <color rgb="FF000000"/>
      <name val="Tahoma"/>
      <family val="2"/>
      <charset val="204"/>
    </font>
    <font>
      <b/>
      <sz val="22"/>
      <color theme="1"/>
      <name val="Times New Roman"/>
      <family val="1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  <font>
      <sz val="36"/>
      <color indexed="81"/>
      <name val="Times New Roman"/>
      <family val="1"/>
      <charset val="204"/>
    </font>
    <font>
      <sz val="48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67">
    <xf numFmtId="0" fontId="0" fillId="0" borderId="0" xfId="0"/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15" fillId="0" borderId="1" xfId="0" applyNumberFormat="1" applyFont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4" fontId="28" fillId="0" borderId="1" xfId="0" applyNumberFormat="1" applyFont="1" applyFill="1" applyBorder="1" applyAlignment="1">
      <alignment horizontal="right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3" fontId="0" fillId="0" borderId="0" xfId="31" applyFont="1" applyFill="1"/>
    <xf numFmtId="0" fontId="25" fillId="0" borderId="1" xfId="0" applyFont="1" applyFill="1" applyBorder="1" applyAlignment="1">
      <alignment horizontal="left" vertical="center"/>
    </xf>
    <xf numFmtId="4" fontId="23" fillId="0" borderId="1" xfId="0" applyNumberFormat="1" applyFont="1" applyFill="1" applyBorder="1"/>
    <xf numFmtId="4" fontId="23" fillId="0" borderId="1" xfId="8" applyNumberFormat="1" applyFont="1" applyFill="1" applyBorder="1" applyAlignment="1">
      <alignment horizontal="right"/>
    </xf>
    <xf numFmtId="0" fontId="45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" fontId="23" fillId="0" borderId="0" xfId="0" applyNumberFormat="1" applyFont="1" applyFill="1" applyAlignment="1">
      <alignment horizontal="center" vertical="center" wrapText="1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4" fillId="0" borderId="0" xfId="24"/>
    <xf numFmtId="0" fontId="58" fillId="0" borderId="0" xfId="24" applyFont="1"/>
    <xf numFmtId="0" fontId="8" fillId="0" borderId="0" xfId="24" applyFont="1" applyAlignment="1">
      <alignment horizontal="right"/>
    </xf>
    <xf numFmtId="0" fontId="19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7" fillId="0" borderId="0" xfId="24" applyFont="1"/>
    <xf numFmtId="0" fontId="43" fillId="0" borderId="1" xfId="8" applyFont="1" applyBorder="1" applyAlignment="1">
      <alignment horizontal="center" vertical="center" textRotation="90" wrapText="1"/>
    </xf>
    <xf numFmtId="4" fontId="43" fillId="0" borderId="1" xfId="24" applyNumberFormat="1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wrapText="1"/>
    </xf>
    <xf numFmtId="0" fontId="37" fillId="0" borderId="1" xfId="24" applyFont="1" applyBorder="1" applyAlignment="1">
      <alignment horizontal="center" wrapText="1"/>
    </xf>
    <xf numFmtId="0" fontId="43" fillId="0" borderId="1" xfId="24" applyFont="1" applyBorder="1" applyAlignment="1">
      <alignment horizontal="center" wrapText="1"/>
    </xf>
    <xf numFmtId="0" fontId="37" fillId="0" borderId="6" xfId="24" applyFont="1" applyBorder="1" applyAlignment="1">
      <alignment horizontal="left"/>
    </xf>
    <xf numFmtId="4" fontId="37" fillId="0" borderId="1" xfId="24" applyNumberFormat="1" applyFont="1" applyBorder="1" applyAlignment="1">
      <alignment horizontal="right" wrapText="1"/>
    </xf>
    <xf numFmtId="0" fontId="37" fillId="0" borderId="1" xfId="24" applyFont="1" applyBorder="1" applyAlignment="1">
      <alignment horizontal="right" wrapText="1"/>
    </xf>
    <xf numFmtId="0" fontId="37" fillId="0" borderId="1" xfId="24" applyFont="1" applyBorder="1" applyAlignment="1">
      <alignment horizontal="left"/>
    </xf>
    <xf numFmtId="0" fontId="37" fillId="0" borderId="1" xfId="24" applyFont="1" applyBorder="1" applyAlignment="1">
      <alignment horizontal="center"/>
    </xf>
    <xf numFmtId="0" fontId="37" fillId="0" borderId="1" xfId="24" applyFont="1" applyBorder="1"/>
    <xf numFmtId="4" fontId="37" fillId="0" borderId="1" xfId="24" applyNumberFormat="1" applyFont="1" applyBorder="1"/>
    <xf numFmtId="0" fontId="4" fillId="0" borderId="0" xfId="23" applyFill="1"/>
    <xf numFmtId="0" fontId="40" fillId="0" borderId="0" xfId="0" applyFont="1" applyFill="1"/>
    <xf numFmtId="0" fontId="43" fillId="0" borderId="1" xfId="8" applyFont="1" applyFill="1" applyBorder="1" applyAlignment="1">
      <alignment horizontal="center" vertical="center" textRotation="90" wrapText="1"/>
    </xf>
    <xf numFmtId="0" fontId="40" fillId="0" borderId="0" xfId="0" applyFont="1" applyFill="1" applyAlignment="1">
      <alignment vertic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5" fillId="0" borderId="0" xfId="8" applyFill="1"/>
    <xf numFmtId="4" fontId="25" fillId="0" borderId="1" xfId="0" applyNumberFormat="1" applyFont="1" applyFill="1" applyBorder="1" applyAlignment="1">
      <alignment horizontal="right" wrapText="1"/>
    </xf>
    <xf numFmtId="0" fontId="37" fillId="0" borderId="0" xfId="0" applyFont="1" applyFill="1" applyAlignment="1">
      <alignment horizontal="right"/>
    </xf>
    <xf numFmtId="0" fontId="37" fillId="0" borderId="0" xfId="0" applyFont="1" applyFill="1" applyAlignment="1">
      <alignment horizontal="right" vertical="center" wrapText="1"/>
    </xf>
    <xf numFmtId="0" fontId="61" fillId="0" borderId="0" xfId="0" applyFont="1" applyFill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 textRotation="90" wrapText="1"/>
    </xf>
    <xf numFmtId="4" fontId="37" fillId="0" borderId="0" xfId="9" applyNumberFormat="1" applyFont="1" applyFill="1" applyBorder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/>
    </xf>
    <xf numFmtId="0" fontId="37" fillId="0" borderId="0" xfId="9" applyFont="1" applyFill="1" applyBorder="1" applyAlignment="1">
      <alignment horizontal="center" vertical="center"/>
    </xf>
    <xf numFmtId="0" fontId="37" fillId="0" borderId="0" xfId="0" applyFont="1" applyFill="1"/>
    <xf numFmtId="4" fontId="37" fillId="0" borderId="0" xfId="0" applyNumberFormat="1" applyFont="1" applyFill="1"/>
    <xf numFmtId="0" fontId="2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right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0" borderId="5" xfId="0" applyNumberFormat="1" applyFont="1" applyFill="1" applyBorder="1" applyAlignment="1">
      <alignment horizontal="center" vertical="center"/>
    </xf>
    <xf numFmtId="4" fontId="23" fillId="0" borderId="0" xfId="0" applyNumberFormat="1" applyFont="1" applyFill="1" applyAlignment="1">
      <alignment vertical="center"/>
    </xf>
    <xf numFmtId="0" fontId="63" fillId="0" borderId="1" xfId="28" applyFont="1" applyFill="1" applyBorder="1" applyAlignment="1">
      <alignment horizontal="left"/>
    </xf>
    <xf numFmtId="0" fontId="33" fillId="0" borderId="1" xfId="0" applyFont="1" applyBorder="1" applyAlignment="1">
      <alignment horizontal="right"/>
    </xf>
    <xf numFmtId="0" fontId="33" fillId="0" borderId="1" xfId="0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center"/>
    </xf>
    <xf numFmtId="1" fontId="33" fillId="0" borderId="1" xfId="0" applyNumberFormat="1" applyFont="1" applyBorder="1" applyAlignment="1">
      <alignment horizontal="center" wrapText="1"/>
    </xf>
    <xf numFmtId="4" fontId="33" fillId="0" borderId="1" xfId="0" applyNumberFormat="1" applyFont="1" applyBorder="1" applyAlignment="1">
      <alignment horizontal="center"/>
    </xf>
    <xf numFmtId="167" fontId="33" fillId="0" borderId="1" xfId="0" applyNumberFormat="1" applyFont="1" applyBorder="1" applyAlignment="1">
      <alignment horizontal="center" wrapText="1"/>
    </xf>
    <xf numFmtId="3" fontId="33" fillId="0" borderId="1" xfId="0" applyNumberFormat="1" applyFont="1" applyBorder="1" applyAlignment="1">
      <alignment horizontal="center" wrapText="1"/>
    </xf>
    <xf numFmtId="0" fontId="64" fillId="0" borderId="0" xfId="0" applyFont="1" applyFill="1"/>
    <xf numFmtId="4" fontId="28" fillId="0" borderId="1" xfId="10" applyNumberFormat="1" applyFont="1" applyFill="1" applyBorder="1" applyAlignment="1">
      <alignment horizontal="right" wrapText="1"/>
    </xf>
    <xf numFmtId="0" fontId="28" fillId="0" borderId="1" xfId="0" applyNumberFormat="1" applyFont="1" applyFill="1" applyBorder="1" applyAlignment="1">
      <alignment horizontal="right"/>
    </xf>
    <xf numFmtId="1" fontId="28" fillId="0" borderId="1" xfId="0" applyNumberFormat="1" applyFont="1" applyFill="1" applyBorder="1" applyAlignment="1">
      <alignment horizontal="center"/>
    </xf>
    <xf numFmtId="1" fontId="28" fillId="0" borderId="5" xfId="0" applyNumberFormat="1" applyFont="1" applyFill="1" applyBorder="1" applyAlignment="1">
      <alignment horizontal="center"/>
    </xf>
    <xf numFmtId="4" fontId="28" fillId="0" borderId="0" xfId="0" applyNumberFormat="1" applyFont="1" applyFill="1"/>
    <xf numFmtId="3" fontId="1" fillId="0" borderId="3" xfId="0" applyNumberFormat="1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right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vertical="center"/>
    </xf>
    <xf numFmtId="0" fontId="35" fillId="0" borderId="1" xfId="28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4" fontId="37" fillId="0" borderId="1" xfId="0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left" vertical="center"/>
    </xf>
    <xf numFmtId="0" fontId="67" fillId="0" borderId="1" xfId="0" applyFont="1" applyFill="1" applyBorder="1" applyAlignment="1">
      <alignment horizontal="center" vertical="center"/>
    </xf>
    <xf numFmtId="4" fontId="67" fillId="0" borderId="1" xfId="0" applyNumberFormat="1" applyFont="1" applyFill="1" applyBorder="1" applyAlignment="1">
      <alignment horizontal="right" vertical="center"/>
    </xf>
    <xf numFmtId="0" fontId="67" fillId="0" borderId="1" xfId="0" applyFont="1" applyFill="1" applyBorder="1" applyAlignment="1">
      <alignment horizontal="center" vertical="center" wrapText="1"/>
    </xf>
    <xf numFmtId="4" fontId="67" fillId="0" borderId="1" xfId="0" applyNumberFormat="1" applyFont="1" applyFill="1" applyBorder="1" applyAlignment="1">
      <alignment vertical="center"/>
    </xf>
    <xf numFmtId="0" fontId="66" fillId="0" borderId="0" xfId="0" applyFont="1" applyFill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3" fontId="43" fillId="0" borderId="1" xfId="0" applyNumberFormat="1" applyFont="1" applyFill="1" applyBorder="1" applyAlignment="1">
      <alignment horizontal="center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" fontId="37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vertical="center"/>
    </xf>
    <xf numFmtId="4" fontId="67" fillId="0" borderId="0" xfId="0" applyNumberFormat="1" applyFont="1" applyFill="1" applyAlignment="1">
      <alignment vertical="center"/>
    </xf>
    <xf numFmtId="0" fontId="67" fillId="0" borderId="0" xfId="0" applyFont="1" applyFill="1" applyAlignment="1">
      <alignment vertical="center"/>
    </xf>
    <xf numFmtId="1" fontId="37" fillId="0" borderId="1" xfId="0" applyNumberFormat="1" applyFont="1" applyFill="1" applyBorder="1" applyAlignment="1">
      <alignment horizontal="right" vertical="center"/>
    </xf>
    <xf numFmtId="1" fontId="67" fillId="0" borderId="1" xfId="0" applyNumberFormat="1" applyFont="1" applyFill="1" applyBorder="1" applyAlignment="1">
      <alignment horizontal="right" vertical="center"/>
    </xf>
    <xf numFmtId="1" fontId="37" fillId="0" borderId="1" xfId="0" applyNumberFormat="1" applyFont="1" applyFill="1" applyBorder="1" applyAlignment="1">
      <alignment vertical="center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2" xfId="9" applyFont="1" applyFill="1" applyBorder="1" applyAlignment="1">
      <alignment horizontal="center" vertical="center" wrapText="1"/>
    </xf>
    <xf numFmtId="0" fontId="30" fillId="0" borderId="3" xfId="9" applyFont="1" applyFill="1" applyBorder="1" applyAlignment="1">
      <alignment horizontal="center" vertical="center" wrapText="1"/>
    </xf>
    <xf numFmtId="0" fontId="30" fillId="0" borderId="4" xfId="9" applyFont="1" applyFill="1" applyBorder="1" applyAlignment="1">
      <alignment horizontal="center" vertical="center" wrapText="1"/>
    </xf>
    <xf numFmtId="0" fontId="30" fillId="0" borderId="6" xfId="9" applyFont="1" applyFill="1" applyBorder="1" applyAlignment="1">
      <alignment horizontal="center" vertical="center" wrapText="1"/>
    </xf>
    <xf numFmtId="0" fontId="30" fillId="0" borderId="5" xfId="9" applyFont="1" applyFill="1" applyBorder="1" applyAlignment="1">
      <alignment horizontal="center" vertical="center" wrapText="1"/>
    </xf>
    <xf numFmtId="0" fontId="30" fillId="0" borderId="2" xfId="9" applyFont="1" applyFill="1" applyBorder="1" applyAlignment="1">
      <alignment horizontal="center" vertical="center" textRotation="90" wrapText="1"/>
    </xf>
    <xf numFmtId="0" fontId="30" fillId="0" borderId="3" xfId="9" applyFont="1" applyFill="1" applyBorder="1" applyAlignment="1">
      <alignment horizontal="center" vertical="center" textRotation="90" wrapText="1"/>
    </xf>
    <xf numFmtId="0" fontId="30" fillId="0" borderId="4" xfId="9" applyFont="1" applyFill="1" applyBorder="1" applyAlignment="1">
      <alignment horizontal="center" vertical="center" textRotation="90" wrapText="1"/>
    </xf>
    <xf numFmtId="4" fontId="30" fillId="0" borderId="2" xfId="9" applyNumberFormat="1" applyFont="1" applyFill="1" applyBorder="1" applyAlignment="1">
      <alignment horizontal="center" vertical="center" textRotation="90" wrapText="1"/>
    </xf>
    <xf numFmtId="4" fontId="30" fillId="0" borderId="4" xfId="9" applyNumberFormat="1" applyFont="1" applyFill="1" applyBorder="1" applyAlignment="1">
      <alignment horizontal="center" vertical="center" textRotation="90" wrapText="1"/>
    </xf>
    <xf numFmtId="4" fontId="30" fillId="0" borderId="6" xfId="9" applyNumberFormat="1" applyFont="1" applyFill="1" applyBorder="1" applyAlignment="1">
      <alignment horizontal="center" vertical="center" wrapText="1"/>
    </xf>
    <xf numFmtId="4" fontId="30" fillId="0" borderId="7" xfId="9" applyNumberFormat="1" applyFont="1" applyFill="1" applyBorder="1" applyAlignment="1">
      <alignment horizontal="center" vertical="center" wrapText="1"/>
    </xf>
    <xf numFmtId="4" fontId="30" fillId="0" borderId="5" xfId="9" applyNumberFormat="1" applyFont="1" applyFill="1" applyBorder="1" applyAlignment="1">
      <alignment horizontal="center" vertical="center" wrapText="1"/>
    </xf>
    <xf numFmtId="4" fontId="30" fillId="0" borderId="3" xfId="9" applyNumberFormat="1" applyFont="1" applyFill="1" applyBorder="1" applyAlignment="1">
      <alignment horizontal="center" vertical="center" textRotation="90" wrapText="1"/>
    </xf>
    <xf numFmtId="0" fontId="30" fillId="0" borderId="2" xfId="9" applyNumberFormat="1" applyFont="1" applyFill="1" applyBorder="1" applyAlignment="1">
      <alignment horizontal="center" vertical="center" textRotation="90" wrapText="1"/>
    </xf>
    <xf numFmtId="0" fontId="30" fillId="0" borderId="3" xfId="9" applyNumberFormat="1" applyFont="1" applyFill="1" applyBorder="1" applyAlignment="1">
      <alignment horizontal="center" vertical="center" textRotation="90" wrapText="1"/>
    </xf>
    <xf numFmtId="0" fontId="30" fillId="0" borderId="4" xfId="9" applyNumberFormat="1" applyFont="1" applyFill="1" applyBorder="1" applyAlignment="1">
      <alignment horizontal="center" vertical="center" textRotation="90" wrapText="1"/>
    </xf>
    <xf numFmtId="0" fontId="30" fillId="0" borderId="2" xfId="9" applyFont="1" applyFill="1" applyBorder="1" applyAlignment="1">
      <alignment horizontal="center" textRotation="90" wrapText="1"/>
    </xf>
    <xf numFmtId="0" fontId="30" fillId="0" borderId="3" xfId="9" applyFont="1" applyFill="1" applyBorder="1" applyAlignment="1">
      <alignment horizontal="center" textRotation="90" wrapText="1"/>
    </xf>
    <xf numFmtId="0" fontId="30" fillId="0" borderId="4" xfId="9" applyFont="1" applyFill="1" applyBorder="1" applyAlignment="1">
      <alignment horizontal="center" textRotation="90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43" fillId="0" borderId="1" xfId="0" applyNumberFormat="1" applyFont="1" applyFill="1" applyBorder="1" applyAlignment="1">
      <alignment horizontal="center" vertical="center" textRotation="90" wrapText="1"/>
    </xf>
    <xf numFmtId="0" fontId="24" fillId="0" borderId="8" xfId="23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center" vertical="center" textRotation="90" wrapText="1"/>
    </xf>
    <xf numFmtId="4" fontId="43" fillId="0" borderId="3" xfId="0" applyNumberFormat="1" applyFont="1" applyFill="1" applyBorder="1" applyAlignment="1">
      <alignment horizontal="center" vertical="center" textRotation="90" wrapText="1"/>
    </xf>
    <xf numFmtId="4" fontId="43" fillId="0" borderId="4" xfId="0" applyNumberFormat="1" applyFont="1" applyFill="1" applyBorder="1" applyAlignment="1">
      <alignment horizontal="center" vertical="center" textRotation="90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15" fillId="0" borderId="1" xfId="33" applyFont="1" applyFill="1" applyBorder="1" applyAlignment="1">
      <alignment horizontal="center" vertical="center" textRotation="90" wrapText="1"/>
    </xf>
    <xf numFmtId="0" fontId="43" fillId="0" borderId="1" xfId="0" applyFont="1" applyFill="1" applyBorder="1" applyAlignment="1">
      <alignment horizontal="center" vertical="center" textRotation="90" wrapText="1"/>
    </xf>
    <xf numFmtId="0" fontId="43" fillId="0" borderId="1" xfId="32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textRotation="90" wrapText="1"/>
    </xf>
    <xf numFmtId="2" fontId="43" fillId="0" borderId="2" xfId="24" applyNumberFormat="1" applyFont="1" applyBorder="1" applyAlignment="1">
      <alignment horizontal="center" vertical="center" textRotation="90" wrapText="1"/>
    </xf>
    <xf numFmtId="2" fontId="43" fillId="0" borderId="4" xfId="24" applyNumberFormat="1" applyFont="1" applyBorder="1" applyAlignment="1">
      <alignment horizontal="center" vertical="center" textRotation="90" wrapText="1"/>
    </xf>
    <xf numFmtId="0" fontId="58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4" fillId="0" borderId="8" xfId="24" applyFont="1" applyBorder="1" applyAlignment="1">
      <alignment horizontal="center" vertical="center" wrapText="1"/>
    </xf>
    <xf numFmtId="0" fontId="30" fillId="0" borderId="1" xfId="24" applyFont="1" applyBorder="1" applyAlignment="1">
      <alignment horizontal="center" vertical="center" wrapText="1"/>
    </xf>
    <xf numFmtId="4" fontId="43" fillId="0" borderId="2" xfId="24" applyNumberFormat="1" applyFont="1" applyBorder="1" applyAlignment="1">
      <alignment horizontal="center" vertical="center" textRotation="90" wrapText="1"/>
    </xf>
    <xf numFmtId="4" fontId="43" fillId="0" borderId="3" xfId="24" applyNumberFormat="1" applyFont="1" applyBorder="1" applyAlignment="1">
      <alignment horizontal="center" vertical="center" textRotation="90" wrapText="1"/>
    </xf>
    <xf numFmtId="4" fontId="43" fillId="0" borderId="4" xfId="24" applyNumberFormat="1" applyFont="1" applyBorder="1" applyAlignment="1">
      <alignment horizontal="center" vertical="center" textRotation="90" wrapText="1"/>
    </xf>
    <xf numFmtId="2" fontId="43" fillId="0" borderId="9" xfId="24" applyNumberFormat="1" applyFont="1" applyBorder="1" applyAlignment="1">
      <alignment horizontal="center" vertical="center" wrapText="1"/>
    </xf>
    <xf numFmtId="2" fontId="43" fillId="0" borderId="13" xfId="24" applyNumberFormat="1" applyFont="1" applyBorder="1" applyAlignment="1">
      <alignment horizontal="center" vertical="center" wrapText="1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0" xfId="19" applyFont="1" applyFill="1"/>
    <xf numFmtId="0" fontId="30" fillId="0" borderId="1" xfId="19" applyFont="1" applyFill="1" applyBorder="1"/>
    <xf numFmtId="4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/>
    <xf numFmtId="1" fontId="15" fillId="0" borderId="1" xfId="19" applyNumberFormat="1" applyFont="1" applyFill="1" applyBorder="1"/>
    <xf numFmtId="0" fontId="15" fillId="0" borderId="1" xfId="19" applyFont="1" applyFill="1" applyBorder="1" applyAlignment="1">
      <alignment horizontal="center"/>
    </xf>
    <xf numFmtId="0" fontId="23" fillId="0" borderId="1" xfId="0" applyFont="1" applyFill="1" applyBorder="1"/>
    <xf numFmtId="4" fontId="24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 wrapText="1"/>
    </xf>
    <xf numFmtId="4" fontId="24" fillId="0" borderId="1" xfId="0" applyNumberFormat="1" applyFont="1" applyFill="1" applyBorder="1" applyAlignment="1"/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right"/>
    </xf>
    <xf numFmtId="4" fontId="25" fillId="0" borderId="1" xfId="8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right"/>
    </xf>
    <xf numFmtId="43" fontId="25" fillId="0" borderId="1" xfId="31" applyFont="1" applyFill="1" applyBorder="1" applyAlignment="1" applyProtection="1">
      <alignment horizontal="right"/>
    </xf>
    <xf numFmtId="0" fontId="24" fillId="0" borderId="1" xfId="0" applyFont="1" applyFill="1" applyBorder="1" applyAlignment="1">
      <alignment horizontal="left"/>
    </xf>
    <xf numFmtId="4" fontId="24" fillId="0" borderId="1" xfId="0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vertical="center" wrapText="1"/>
    </xf>
    <xf numFmtId="0" fontId="48" fillId="0" borderId="1" xfId="0" applyFont="1" applyFill="1" applyBorder="1" applyAlignment="1">
      <alignment horizontal="right"/>
    </xf>
    <xf numFmtId="169" fontId="25" fillId="0" borderId="1" xfId="1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/>
    </xf>
    <xf numFmtId="4" fontId="28" fillId="0" borderId="1" xfId="0" applyNumberFormat="1" applyFont="1" applyFill="1" applyBorder="1"/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47" fillId="0" borderId="1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0" fontId="3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3" fontId="37" fillId="0" borderId="1" xfId="0" applyNumberFormat="1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right" vertical="center"/>
    </xf>
    <xf numFmtId="4" fontId="37" fillId="0" borderId="5" xfId="0" applyNumberFormat="1" applyFont="1" applyFill="1" applyBorder="1" applyAlignment="1">
      <alignment horizontal="right" vertical="center"/>
    </xf>
    <xf numFmtId="0" fontId="1" fillId="0" borderId="0" xfId="23" applyFont="1" applyFill="1" applyAlignment="1">
      <alignment wrapText="1"/>
    </xf>
    <xf numFmtId="0" fontId="1" fillId="0" borderId="0" xfId="23" applyFont="1" applyFill="1" applyAlignment="1">
      <alignment horizontal="right"/>
    </xf>
    <xf numFmtId="0" fontId="9" fillId="0" borderId="0" xfId="23" applyFont="1" applyFill="1" applyAlignment="1">
      <alignment horizontal="center" vertical="center" wrapText="1"/>
    </xf>
    <xf numFmtId="0" fontId="1" fillId="0" borderId="6" xfId="23" applyFont="1" applyFill="1" applyBorder="1" applyAlignment="1">
      <alignment horizontal="center" vertical="center" wrapText="1"/>
    </xf>
    <xf numFmtId="0" fontId="1" fillId="0" borderId="7" xfId="23" applyFont="1" applyFill="1" applyBorder="1" applyAlignment="1">
      <alignment horizontal="center" vertical="center" wrapText="1"/>
    </xf>
    <xf numFmtId="0" fontId="1" fillId="0" borderId="5" xfId="23" applyFont="1" applyFill="1" applyBorder="1" applyAlignment="1">
      <alignment horizontal="center" vertical="center" wrapText="1"/>
    </xf>
    <xf numFmtId="0" fontId="1" fillId="0" borderId="1" xfId="23" applyFont="1" applyFill="1" applyBorder="1" applyAlignment="1">
      <alignment horizontal="center" vertical="center" wrapText="1"/>
    </xf>
    <xf numFmtId="0" fontId="1" fillId="0" borderId="6" xfId="23" applyFont="1" applyFill="1" applyBorder="1" applyAlignment="1">
      <alignment wrapText="1"/>
    </xf>
    <xf numFmtId="0" fontId="1" fillId="0" borderId="5" xfId="23" applyFont="1" applyFill="1" applyBorder="1" applyAlignment="1">
      <alignment wrapText="1"/>
    </xf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left" vertical="center"/>
    </xf>
    <xf numFmtId="4" fontId="9" fillId="0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0" fillId="0" borderId="6" xfId="19" applyFont="1" applyFill="1" applyBorder="1" applyAlignment="1">
      <alignment horizontal="left"/>
    </xf>
    <xf numFmtId="0" fontId="30" fillId="0" borderId="5" xfId="19" applyFont="1" applyFill="1" applyBorder="1" applyAlignment="1">
      <alignment wrapText="1"/>
    </xf>
    <xf numFmtId="4" fontId="15" fillId="0" borderId="1" xfId="19" applyNumberFormat="1" applyFont="1" applyFill="1" applyBorder="1" applyAlignment="1">
      <alignment horizontal="center" wrapText="1"/>
    </xf>
    <xf numFmtId="4" fontId="32" fillId="0" borderId="0" xfId="19" applyNumberFormat="1" applyFont="1" applyFill="1"/>
    <xf numFmtId="0" fontId="30" fillId="0" borderId="1" xfId="19" applyFont="1" applyFill="1" applyBorder="1" applyAlignment="1">
      <alignment horizontal="left"/>
    </xf>
    <xf numFmtId="1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 applyAlignment="1">
      <alignment horizontal="right"/>
    </xf>
    <xf numFmtId="1" fontId="15" fillId="0" borderId="1" xfId="19" applyNumberFormat="1" applyFont="1" applyFill="1" applyBorder="1" applyAlignment="1">
      <alignment horizontal="right"/>
    </xf>
    <xf numFmtId="0" fontId="30" fillId="0" borderId="1" xfId="0" applyFont="1" applyFill="1" applyBorder="1"/>
    <xf numFmtId="3" fontId="15" fillId="0" borderId="1" xfId="19" applyNumberFormat="1" applyFont="1" applyFill="1" applyBorder="1"/>
    <xf numFmtId="3" fontId="15" fillId="0" borderId="1" xfId="19" applyNumberFormat="1" applyFont="1" applyFill="1" applyBorder="1" applyAlignment="1">
      <alignment horizontal="right" wrapText="1"/>
    </xf>
    <xf numFmtId="0" fontId="28" fillId="0" borderId="1" xfId="28" applyFont="1" applyFill="1" applyBorder="1" applyAlignment="1">
      <alignment horizontal="left"/>
    </xf>
    <xf numFmtId="4" fontId="25" fillId="0" borderId="1" xfId="34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/>
    <xf numFmtId="4" fontId="23" fillId="0" borderId="1" xfId="34" applyNumberFormat="1" applyFont="1" applyFill="1" applyBorder="1" applyAlignment="1">
      <alignment horizontal="right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3" fillId="0" borderId="5" xfId="0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 vertic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wrapText="1"/>
    </xf>
    <xf numFmtId="0" fontId="69" fillId="0" borderId="0" xfId="0" applyFont="1" applyFill="1"/>
    <xf numFmtId="0" fontId="30" fillId="0" borderId="0" xfId="19" applyFont="1" applyFill="1" applyAlignment="1">
      <alignment vertical="center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3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horizontal="center" textRotation="90" wrapText="1"/>
    </xf>
    <xf numFmtId="1" fontId="30" fillId="0" borderId="1" xfId="29" applyNumberFormat="1" applyFont="1" applyFill="1" applyBorder="1" applyAlignment="1">
      <alignment horizontal="center"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/>
    <xf numFmtId="3" fontId="37" fillId="0" borderId="1" xfId="0" applyNumberFormat="1" applyFont="1" applyFill="1" applyBorder="1"/>
    <xf numFmtId="4" fontId="37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center"/>
    </xf>
    <xf numFmtId="0" fontId="35" fillId="0" borderId="1" xfId="28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4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right"/>
    </xf>
    <xf numFmtId="0" fontId="70" fillId="0" borderId="0" xfId="0" applyFont="1" applyFill="1"/>
    <xf numFmtId="1" fontId="35" fillId="0" borderId="1" xfId="28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</cellXfs>
  <cellStyles count="35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6" xfId="33" xr:uid="{00000000-0005-0000-0000-000010000000}"/>
    <cellStyle name="Обычный 2 8" xfId="29" xr:uid="{00000000-0005-0000-0000-000011000000}"/>
    <cellStyle name="Обычный 2 9" xfId="32" xr:uid="{00000000-0005-0000-0000-000012000000}"/>
    <cellStyle name="Обычный 21" xfId="7" xr:uid="{00000000-0005-0000-0000-000013000000}"/>
    <cellStyle name="Обычный 3" xfId="2" xr:uid="{00000000-0005-0000-0000-000014000000}"/>
    <cellStyle name="Обычный 3 16" xfId="8" xr:uid="{00000000-0005-0000-0000-000015000000}"/>
    <cellStyle name="Обычный 3 2" xfId="27" xr:uid="{00000000-0005-0000-0000-000016000000}"/>
    <cellStyle name="Обычный 3 3" xfId="15" xr:uid="{00000000-0005-0000-0000-000017000000}"/>
    <cellStyle name="Обычный 4" xfId="3" xr:uid="{00000000-0005-0000-0000-000018000000}"/>
    <cellStyle name="Обычный 4 2" xfId="13" xr:uid="{00000000-0005-0000-0000-000019000000}"/>
    <cellStyle name="Обычный 4 2 2 2" xfId="23" xr:uid="{00000000-0005-0000-0000-00001A000000}"/>
    <cellStyle name="Обычный 5" xfId="20" xr:uid="{00000000-0005-0000-0000-00001B000000}"/>
    <cellStyle name="Обычный 6" xfId="18" xr:uid="{00000000-0005-0000-0000-00001C000000}"/>
    <cellStyle name="Обычный 7" xfId="34" xr:uid="{00000000-0005-0000-0000-00001D000000}"/>
    <cellStyle name="Обычный 8" xfId="30" xr:uid="{00000000-0005-0000-0000-00001E000000}"/>
    <cellStyle name="Обычный 9" xfId="21" xr:uid="{00000000-0005-0000-0000-00001F000000}"/>
    <cellStyle name="Обычный_Лист1" xfId="28" xr:uid="{00000000-0005-0000-0000-000020000000}"/>
    <cellStyle name="Финансовый" xfId="31" builtinId="3"/>
    <cellStyle name="Финансовый 2" xfId="25" xr:uid="{00000000-0005-0000-0000-000022000000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CCCC00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HP1409"/>
  <sheetViews>
    <sheetView tabSelected="1" view="pageBreakPreview" topLeftCell="B6" zoomScale="20" zoomScaleNormal="20" zoomScaleSheetLayoutView="20" workbookViewId="0">
      <pane xSplit="2" ySplit="13" topLeftCell="D19" activePane="bottomRight" state="frozen"/>
      <selection activeCell="B6" sqref="B6"/>
      <selection pane="topRight" activeCell="D6" sqref="D6"/>
      <selection pane="bottomLeft" activeCell="B19" sqref="B19"/>
      <selection pane="bottomRight" activeCell="B6" sqref="A1:XFD1048576"/>
    </sheetView>
  </sheetViews>
  <sheetFormatPr defaultColWidth="9.140625" defaultRowHeight="15" x14ac:dyDescent="0.25"/>
  <cols>
    <col min="1" max="1" width="7.28515625" style="18" hidden="1" customWidth="1"/>
    <col min="2" max="2" width="17" style="19" bestFit="1" customWidth="1"/>
    <col min="3" max="3" width="255.7109375" style="20" bestFit="1" customWidth="1"/>
    <col min="4" max="4" width="75.85546875" style="18" customWidth="1"/>
    <col min="5" max="5" width="56.5703125" style="18" customWidth="1"/>
    <col min="6" max="6" width="53" style="18" customWidth="1"/>
    <col min="7" max="8" width="58.7109375" style="18" customWidth="1"/>
    <col min="9" max="9" width="58" style="18" customWidth="1"/>
    <col min="10" max="10" width="49.42578125" style="18" customWidth="1"/>
    <col min="11" max="11" width="32.28515625" style="73" customWidth="1"/>
    <col min="12" max="12" width="64.42578125" style="18" customWidth="1"/>
    <col min="13" max="13" width="50.140625" style="18" customWidth="1"/>
    <col min="14" max="14" width="70.28515625" style="18" customWidth="1"/>
    <col min="15" max="15" width="43" style="18" customWidth="1"/>
    <col min="16" max="16" width="61.85546875" style="18" customWidth="1"/>
    <col min="17" max="17" width="48.7109375" style="18" customWidth="1"/>
    <col min="18" max="18" width="63" style="18" customWidth="1"/>
    <col min="19" max="19" width="34.42578125" style="18" customWidth="1"/>
    <col min="20" max="20" width="58.28515625" style="18" customWidth="1"/>
    <col min="21" max="21" width="55.140625" style="18" customWidth="1"/>
    <col min="22" max="22" width="54.42578125" style="18" customWidth="1"/>
    <col min="23" max="23" width="75.85546875" style="18" customWidth="1"/>
    <col min="24" max="24" width="46.5703125" style="18" customWidth="1"/>
    <col min="25" max="25" width="33.7109375" style="18" customWidth="1"/>
    <col min="26" max="26" width="54.42578125" style="18" customWidth="1"/>
    <col min="27" max="27" width="85.85546875" style="18" customWidth="1"/>
    <col min="28" max="28" width="58.7109375" style="18" customWidth="1"/>
    <col min="29" max="29" width="55.140625" style="18" customWidth="1"/>
    <col min="30" max="30" width="53.7109375" style="18" customWidth="1"/>
    <col min="31" max="31" width="53" style="18" customWidth="1"/>
    <col min="32" max="34" width="38.85546875" style="19" customWidth="1"/>
    <col min="35" max="48" width="9.140625" style="18" hidden="1" customWidth="1"/>
    <col min="49" max="49" width="68.42578125" style="18" hidden="1" customWidth="1"/>
    <col min="50" max="75" width="9.140625" style="18" hidden="1" customWidth="1"/>
    <col min="76" max="76" width="9.140625" style="18"/>
    <col min="77" max="77" width="17.7109375" style="18" customWidth="1"/>
    <col min="78" max="78" width="66.28515625" style="18" hidden="1" customWidth="1"/>
    <col min="79" max="79" width="0" style="18" hidden="1" customWidth="1"/>
    <col min="80" max="80" width="66.5703125" style="18" hidden="1" customWidth="1"/>
    <col min="81" max="81" width="74.140625" style="18" hidden="1" customWidth="1"/>
    <col min="82" max="82" width="55.5703125" style="18" hidden="1" customWidth="1"/>
    <col min="83" max="83" width="45.140625" style="18" hidden="1" customWidth="1"/>
    <col min="84" max="84" width="22.28515625" style="18" hidden="1" customWidth="1"/>
    <col min="85" max="86" width="0" style="18" hidden="1" customWidth="1"/>
    <col min="87" max="16384" width="9.140625" style="18"/>
  </cols>
  <sheetData>
    <row r="1" spans="2:34" ht="91.5" x14ac:dyDescent="1.25">
      <c r="B1" s="15"/>
      <c r="C1" s="16"/>
      <c r="D1" s="17"/>
      <c r="E1" s="17"/>
      <c r="F1" s="17"/>
      <c r="G1" s="17"/>
      <c r="H1" s="17"/>
      <c r="I1" s="17"/>
      <c r="J1" s="17"/>
      <c r="K1" s="70"/>
      <c r="L1" s="17"/>
      <c r="M1" s="17"/>
      <c r="N1" s="17"/>
      <c r="O1" s="17"/>
      <c r="P1" s="17"/>
      <c r="Q1" s="17"/>
      <c r="R1" s="17"/>
      <c r="S1" s="17"/>
      <c r="T1" s="17"/>
      <c r="U1" s="17"/>
      <c r="V1" s="192"/>
      <c r="W1" s="223" t="s">
        <v>968</v>
      </c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</row>
    <row r="2" spans="2:34" ht="143.25" customHeight="1" x14ac:dyDescent="0.45">
      <c r="B2" s="15"/>
      <c r="C2" s="16"/>
      <c r="D2" s="17"/>
      <c r="E2" s="17"/>
      <c r="F2" s="17"/>
      <c r="G2" s="17"/>
      <c r="H2" s="17"/>
      <c r="I2" s="17"/>
      <c r="J2" s="17"/>
      <c r="K2" s="70"/>
      <c r="L2" s="17"/>
      <c r="M2" s="17"/>
      <c r="N2" s="17"/>
      <c r="O2" s="17"/>
      <c r="P2" s="17"/>
      <c r="Q2" s="17"/>
      <c r="R2" s="17"/>
      <c r="S2" s="17"/>
      <c r="T2" s="17"/>
      <c r="U2" s="17"/>
      <c r="V2" s="224" t="s">
        <v>2263</v>
      </c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</row>
    <row r="3" spans="2:34" ht="154.5" customHeight="1" x14ac:dyDescent="1.25">
      <c r="B3" s="25"/>
      <c r="C3" s="26"/>
      <c r="D3" s="192"/>
      <c r="E3" s="192"/>
      <c r="F3" s="192"/>
      <c r="G3" s="192"/>
      <c r="H3" s="192"/>
      <c r="I3" s="192"/>
      <c r="J3" s="192"/>
      <c r="K3" s="71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224" t="s">
        <v>969</v>
      </c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</row>
    <row r="4" spans="2:34" ht="90" x14ac:dyDescent="1.1499999999999999">
      <c r="B4" s="225" t="s">
        <v>970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</row>
    <row r="5" spans="2:34" ht="90" x14ac:dyDescent="0.25">
      <c r="B5" s="226" t="s">
        <v>971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</row>
    <row r="6" spans="2:34" ht="90" x14ac:dyDescent="0.25">
      <c r="B6" s="226" t="s">
        <v>975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</row>
    <row r="7" spans="2:34" x14ac:dyDescent="0.25">
      <c r="B7" s="222" t="s">
        <v>972</v>
      </c>
      <c r="C7" s="220" t="s">
        <v>997</v>
      </c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</row>
    <row r="8" spans="2:34" ht="117.75" customHeight="1" x14ac:dyDescent="0.25">
      <c r="B8" s="222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</row>
    <row r="9" spans="2:34" ht="117.75" customHeight="1" x14ac:dyDescent="0.25">
      <c r="B9" s="191" t="s">
        <v>973</v>
      </c>
      <c r="C9" s="220" t="s">
        <v>974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</row>
    <row r="10" spans="2:34" hidden="1" x14ac:dyDescent="0.25"/>
    <row r="11" spans="2:34" ht="90.75" hidden="1" customHeight="1" x14ac:dyDescent="0.25">
      <c r="B11" s="215" t="s">
        <v>6</v>
      </c>
      <c r="C11" s="215" t="s">
        <v>7</v>
      </c>
      <c r="D11" s="214" t="s">
        <v>8</v>
      </c>
      <c r="E11" s="215" t="s">
        <v>976</v>
      </c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21" t="s">
        <v>9</v>
      </c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17" t="s">
        <v>10</v>
      </c>
      <c r="AG11" s="217" t="s">
        <v>11</v>
      </c>
      <c r="AH11" s="217" t="s">
        <v>12</v>
      </c>
    </row>
    <row r="12" spans="2:34" ht="90.75" customHeight="1" x14ac:dyDescent="0.25">
      <c r="B12" s="215"/>
      <c r="C12" s="215"/>
      <c r="D12" s="214"/>
      <c r="E12" s="215" t="s">
        <v>13</v>
      </c>
      <c r="F12" s="215"/>
      <c r="G12" s="215"/>
      <c r="H12" s="215"/>
      <c r="I12" s="215"/>
      <c r="J12" s="215"/>
      <c r="K12" s="215" t="s">
        <v>14</v>
      </c>
      <c r="L12" s="215"/>
      <c r="M12" s="215" t="s">
        <v>15</v>
      </c>
      <c r="N12" s="215"/>
      <c r="O12" s="215" t="s">
        <v>16</v>
      </c>
      <c r="P12" s="215"/>
      <c r="Q12" s="215" t="s">
        <v>17</v>
      </c>
      <c r="R12" s="215"/>
      <c r="S12" s="215" t="s">
        <v>18</v>
      </c>
      <c r="T12" s="215"/>
      <c r="U12" s="219" t="s">
        <v>19</v>
      </c>
      <c r="V12" s="219" t="s">
        <v>20</v>
      </c>
      <c r="W12" s="219" t="s">
        <v>21</v>
      </c>
      <c r="X12" s="219" t="s">
        <v>22</v>
      </c>
      <c r="Y12" s="219" t="s">
        <v>23</v>
      </c>
      <c r="Z12" s="219" t="s">
        <v>24</v>
      </c>
      <c r="AA12" s="219" t="s">
        <v>25</v>
      </c>
      <c r="AB12" s="219" t="s">
        <v>26</v>
      </c>
      <c r="AC12" s="219" t="s">
        <v>27</v>
      </c>
      <c r="AD12" s="218" t="s">
        <v>28</v>
      </c>
      <c r="AE12" s="219" t="s">
        <v>29</v>
      </c>
      <c r="AF12" s="217"/>
      <c r="AG12" s="217"/>
      <c r="AH12" s="217"/>
    </row>
    <row r="13" spans="2:34" ht="18.75" customHeight="1" x14ac:dyDescent="0.25">
      <c r="B13" s="215"/>
      <c r="C13" s="215"/>
      <c r="D13" s="214"/>
      <c r="E13" s="217" t="s">
        <v>30</v>
      </c>
      <c r="F13" s="217" t="s">
        <v>31</v>
      </c>
      <c r="G13" s="217" t="s">
        <v>32</v>
      </c>
      <c r="H13" s="217" t="s">
        <v>33</v>
      </c>
      <c r="I13" s="217" t="s">
        <v>34</v>
      </c>
      <c r="J13" s="217" t="s">
        <v>35</v>
      </c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9"/>
      <c r="V13" s="219"/>
      <c r="W13" s="219"/>
      <c r="X13" s="219"/>
      <c r="Y13" s="219"/>
      <c r="Z13" s="219"/>
      <c r="AA13" s="219"/>
      <c r="AB13" s="219"/>
      <c r="AC13" s="219"/>
      <c r="AD13" s="218"/>
      <c r="AE13" s="219"/>
      <c r="AF13" s="217"/>
      <c r="AG13" s="217"/>
      <c r="AH13" s="217"/>
    </row>
    <row r="14" spans="2:34" ht="18.75" customHeight="1" x14ac:dyDescent="0.25">
      <c r="B14" s="215"/>
      <c r="C14" s="215"/>
      <c r="D14" s="214"/>
      <c r="E14" s="217"/>
      <c r="F14" s="217"/>
      <c r="G14" s="217"/>
      <c r="H14" s="217"/>
      <c r="I14" s="217"/>
      <c r="J14" s="217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9"/>
      <c r="V14" s="219"/>
      <c r="W14" s="219"/>
      <c r="X14" s="219"/>
      <c r="Y14" s="219"/>
      <c r="Z14" s="219"/>
      <c r="AA14" s="219"/>
      <c r="AB14" s="219"/>
      <c r="AC14" s="219"/>
      <c r="AD14" s="218"/>
      <c r="AE14" s="219"/>
      <c r="AF14" s="217"/>
      <c r="AG14" s="217"/>
      <c r="AH14" s="217"/>
    </row>
    <row r="15" spans="2:34" ht="18.75" customHeight="1" x14ac:dyDescent="0.25">
      <c r="B15" s="215"/>
      <c r="C15" s="215"/>
      <c r="D15" s="214"/>
      <c r="E15" s="217"/>
      <c r="F15" s="217"/>
      <c r="G15" s="217"/>
      <c r="H15" s="217"/>
      <c r="I15" s="217"/>
      <c r="J15" s="217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9"/>
      <c r="V15" s="219"/>
      <c r="W15" s="219"/>
      <c r="X15" s="219"/>
      <c r="Y15" s="219"/>
      <c r="Z15" s="219"/>
      <c r="AA15" s="219"/>
      <c r="AB15" s="219"/>
      <c r="AC15" s="219"/>
      <c r="AD15" s="218"/>
      <c r="AE15" s="219"/>
      <c r="AF15" s="217"/>
      <c r="AG15" s="217"/>
      <c r="AH15" s="217"/>
    </row>
    <row r="16" spans="2:34" ht="409.5" customHeight="1" x14ac:dyDescent="0.25">
      <c r="B16" s="215"/>
      <c r="C16" s="215"/>
      <c r="D16" s="214"/>
      <c r="E16" s="217"/>
      <c r="F16" s="217"/>
      <c r="G16" s="217"/>
      <c r="H16" s="217"/>
      <c r="I16" s="217"/>
      <c r="J16" s="217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9"/>
      <c r="V16" s="219"/>
      <c r="W16" s="219"/>
      <c r="X16" s="219"/>
      <c r="Y16" s="219"/>
      <c r="Z16" s="219"/>
      <c r="AA16" s="219"/>
      <c r="AB16" s="219"/>
      <c r="AC16" s="219"/>
      <c r="AD16" s="218"/>
      <c r="AE16" s="219"/>
      <c r="AF16" s="217"/>
      <c r="AG16" s="217"/>
      <c r="AH16" s="217"/>
    </row>
    <row r="17" spans="1:84" ht="80.25" customHeight="1" x14ac:dyDescent="0.25">
      <c r="B17" s="216"/>
      <c r="C17" s="216"/>
      <c r="D17" s="194" t="s">
        <v>36</v>
      </c>
      <c r="E17" s="194" t="s">
        <v>36</v>
      </c>
      <c r="F17" s="194" t="s">
        <v>36</v>
      </c>
      <c r="G17" s="194" t="s">
        <v>36</v>
      </c>
      <c r="H17" s="194" t="s">
        <v>36</v>
      </c>
      <c r="I17" s="194" t="s">
        <v>36</v>
      </c>
      <c r="J17" s="194" t="s">
        <v>36</v>
      </c>
      <c r="K17" s="72" t="s">
        <v>37</v>
      </c>
      <c r="L17" s="195" t="s">
        <v>36</v>
      </c>
      <c r="M17" s="195" t="s">
        <v>38</v>
      </c>
      <c r="N17" s="195" t="s">
        <v>36</v>
      </c>
      <c r="O17" s="195" t="s">
        <v>38</v>
      </c>
      <c r="P17" s="195" t="s">
        <v>36</v>
      </c>
      <c r="Q17" s="195" t="s">
        <v>38</v>
      </c>
      <c r="R17" s="195" t="s">
        <v>36</v>
      </c>
      <c r="S17" s="195" t="s">
        <v>39</v>
      </c>
      <c r="T17" s="195" t="s">
        <v>36</v>
      </c>
      <c r="U17" s="195" t="s">
        <v>36</v>
      </c>
      <c r="V17" s="193" t="s">
        <v>36</v>
      </c>
      <c r="W17" s="195" t="s">
        <v>36</v>
      </c>
      <c r="X17" s="195" t="s">
        <v>36</v>
      </c>
      <c r="Y17" s="194" t="s">
        <v>36</v>
      </c>
      <c r="Z17" s="195" t="s">
        <v>36</v>
      </c>
      <c r="AA17" s="195" t="s">
        <v>36</v>
      </c>
      <c r="AB17" s="195" t="s">
        <v>36</v>
      </c>
      <c r="AC17" s="195" t="s">
        <v>36</v>
      </c>
      <c r="AD17" s="194" t="s">
        <v>36</v>
      </c>
      <c r="AE17" s="195" t="s">
        <v>36</v>
      </c>
      <c r="AF17" s="217"/>
      <c r="AG17" s="217"/>
      <c r="AH17" s="217"/>
    </row>
    <row r="18" spans="1:84" ht="59.25" customHeight="1" x14ac:dyDescent="0.25">
      <c r="B18" s="195">
        <v>1</v>
      </c>
      <c r="C18" s="195">
        <v>2</v>
      </c>
      <c r="D18" s="195">
        <v>3</v>
      </c>
      <c r="E18" s="195">
        <v>4</v>
      </c>
      <c r="F18" s="195">
        <v>5</v>
      </c>
      <c r="G18" s="195">
        <v>6</v>
      </c>
      <c r="H18" s="195">
        <v>7</v>
      </c>
      <c r="I18" s="195">
        <v>8</v>
      </c>
      <c r="J18" s="195">
        <v>9</v>
      </c>
      <c r="K18" s="72">
        <v>10</v>
      </c>
      <c r="L18" s="195">
        <v>11</v>
      </c>
      <c r="M18" s="195">
        <v>12</v>
      </c>
      <c r="N18" s="195">
        <v>13</v>
      </c>
      <c r="O18" s="195">
        <v>14</v>
      </c>
      <c r="P18" s="195">
        <v>15</v>
      </c>
      <c r="Q18" s="195">
        <v>16</v>
      </c>
      <c r="R18" s="195">
        <v>17</v>
      </c>
      <c r="S18" s="195">
        <v>18</v>
      </c>
      <c r="T18" s="195">
        <v>19</v>
      </c>
      <c r="U18" s="195">
        <v>20</v>
      </c>
      <c r="V18" s="195">
        <v>21</v>
      </c>
      <c r="W18" s="195">
        <v>22</v>
      </c>
      <c r="X18" s="195">
        <v>23</v>
      </c>
      <c r="Y18" s="195">
        <v>24</v>
      </c>
      <c r="Z18" s="195">
        <v>25</v>
      </c>
      <c r="AA18" s="195">
        <v>26</v>
      </c>
      <c r="AB18" s="195">
        <v>27</v>
      </c>
      <c r="AC18" s="195">
        <v>28</v>
      </c>
      <c r="AD18" s="195">
        <v>29</v>
      </c>
      <c r="AE18" s="195">
        <v>30</v>
      </c>
      <c r="AF18" s="195">
        <v>31</v>
      </c>
      <c r="AG18" s="195">
        <v>32</v>
      </c>
      <c r="AH18" s="195">
        <v>33</v>
      </c>
    </row>
    <row r="19" spans="1:84" ht="99" customHeight="1" x14ac:dyDescent="0.85">
      <c r="B19" s="22" t="s">
        <v>744</v>
      </c>
      <c r="C19" s="328"/>
      <c r="D19" s="329">
        <f t="shared" ref="D19:AE19" si="0">D20+D556+D1091</f>
        <v>3780785918.5899997</v>
      </c>
      <c r="E19" s="28">
        <f t="shared" si="0"/>
        <v>9394590.2599999998</v>
      </c>
      <c r="F19" s="28">
        <f t="shared" si="0"/>
        <v>12806762.129999999</v>
      </c>
      <c r="G19" s="28">
        <f t="shared" si="0"/>
        <v>127906103.52000001</v>
      </c>
      <c r="H19" s="28">
        <f t="shared" si="0"/>
        <v>17898777.990000002</v>
      </c>
      <c r="I19" s="28">
        <f t="shared" si="0"/>
        <v>39296291.799999997</v>
      </c>
      <c r="J19" s="28">
        <f t="shared" si="0"/>
        <v>0</v>
      </c>
      <c r="K19" s="330">
        <f t="shared" si="0"/>
        <v>371</v>
      </c>
      <c r="L19" s="28">
        <f t="shared" si="0"/>
        <v>734586047.18000007</v>
      </c>
      <c r="M19" s="28">
        <f t="shared" si="0"/>
        <v>518946.55999999994</v>
      </c>
      <c r="N19" s="28">
        <f t="shared" si="0"/>
        <v>2250520784.8400002</v>
      </c>
      <c r="O19" s="28">
        <f t="shared" si="0"/>
        <v>2991.05</v>
      </c>
      <c r="P19" s="28">
        <f t="shared" si="0"/>
        <v>10429877.690000001</v>
      </c>
      <c r="Q19" s="28">
        <f t="shared" si="0"/>
        <v>129210.182</v>
      </c>
      <c r="R19" s="28">
        <f t="shared" si="0"/>
        <v>356849705.43000001</v>
      </c>
      <c r="S19" s="28">
        <f t="shared" si="0"/>
        <v>1121.94</v>
      </c>
      <c r="T19" s="28">
        <f t="shared" si="0"/>
        <v>23640794.300000004</v>
      </c>
      <c r="U19" s="28">
        <f t="shared" si="0"/>
        <v>56914815.230000004</v>
      </c>
      <c r="V19" s="28">
        <f t="shared" si="0"/>
        <v>550198.58000000007</v>
      </c>
      <c r="W19" s="28">
        <f t="shared" si="0"/>
        <v>0</v>
      </c>
      <c r="X19" s="28">
        <f t="shared" si="0"/>
        <v>0</v>
      </c>
      <c r="Y19" s="28">
        <f t="shared" si="0"/>
        <v>0</v>
      </c>
      <c r="Z19" s="28">
        <f t="shared" si="0"/>
        <v>0</v>
      </c>
      <c r="AA19" s="28">
        <f t="shared" si="0"/>
        <v>400000</v>
      </c>
      <c r="AB19" s="28">
        <f t="shared" si="0"/>
        <v>12000000</v>
      </c>
      <c r="AC19" s="28">
        <f t="shared" si="0"/>
        <v>38832465.43</v>
      </c>
      <c r="AD19" s="28">
        <f t="shared" si="0"/>
        <v>85518704.210000008</v>
      </c>
      <c r="AE19" s="28">
        <f t="shared" si="0"/>
        <v>3240000</v>
      </c>
      <c r="AF19" s="62" t="s">
        <v>743</v>
      </c>
      <c r="AG19" s="62" t="s">
        <v>743</v>
      </c>
      <c r="AH19" s="77" t="s">
        <v>743</v>
      </c>
      <c r="BZ19" s="61">
        <v>3277602434.1900005</v>
      </c>
    </row>
    <row r="20" spans="1:84" ht="87.75" customHeight="1" x14ac:dyDescent="0.85">
      <c r="B20" s="22" t="s">
        <v>745</v>
      </c>
      <c r="C20" s="328"/>
      <c r="D20" s="331">
        <f t="shared" ref="D20:AE20" si="1">D21+D126+D156+D202+D239+D245+D272+D285+D278+D292+D295+D301+D307+D309+D325+D342+D347+D353+D350+D357+D360+D362+D383+D380+D385+D387+D392+D395+D397+D402+D412+D404+D414+D418+D422+D424+D428+D435+D441+D444+D457+D459+D463+D465+D467+D473+D485+D494+D503+D509+D511+D514+D517+D519+D522+D528+D530+D533+D535+D545+D550+D553+D290+D461+D496+D455+D498</f>
        <v>1064965830.9899999</v>
      </c>
      <c r="E20" s="58">
        <f t="shared" si="1"/>
        <v>3545203.22</v>
      </c>
      <c r="F20" s="58">
        <f t="shared" si="1"/>
        <v>4246777.28</v>
      </c>
      <c r="G20" s="58">
        <f t="shared" si="1"/>
        <v>45240074.510000005</v>
      </c>
      <c r="H20" s="58">
        <f t="shared" si="1"/>
        <v>3904082.5500000003</v>
      </c>
      <c r="I20" s="58">
        <f t="shared" si="1"/>
        <v>10974725.089999998</v>
      </c>
      <c r="J20" s="58">
        <f t="shared" si="1"/>
        <v>0</v>
      </c>
      <c r="K20" s="332">
        <f t="shared" si="1"/>
        <v>146</v>
      </c>
      <c r="L20" s="58">
        <f t="shared" si="1"/>
        <v>237746461.33000001</v>
      </c>
      <c r="M20" s="58">
        <f t="shared" si="1"/>
        <v>165388.32999999999</v>
      </c>
      <c r="N20" s="58">
        <f t="shared" si="1"/>
        <v>601471564.67000008</v>
      </c>
      <c r="O20" s="58">
        <f t="shared" si="1"/>
        <v>1787.05</v>
      </c>
      <c r="P20" s="58">
        <f t="shared" si="1"/>
        <v>5413571.2400000012</v>
      </c>
      <c r="Q20" s="58">
        <f t="shared" si="1"/>
        <v>47689.472000000016</v>
      </c>
      <c r="R20" s="58">
        <f t="shared" si="1"/>
        <v>119841361.07999998</v>
      </c>
      <c r="S20" s="58">
        <f t="shared" si="1"/>
        <v>19.07</v>
      </c>
      <c r="T20" s="58">
        <f t="shared" si="1"/>
        <v>210458.31</v>
      </c>
      <c r="U20" s="58">
        <f t="shared" si="1"/>
        <v>4132272.85</v>
      </c>
      <c r="V20" s="58">
        <f t="shared" si="1"/>
        <v>340198.58</v>
      </c>
      <c r="W20" s="58">
        <f t="shared" si="1"/>
        <v>0</v>
      </c>
      <c r="X20" s="58">
        <f t="shared" si="1"/>
        <v>0</v>
      </c>
      <c r="Y20" s="58">
        <f t="shared" si="1"/>
        <v>0</v>
      </c>
      <c r="Z20" s="58">
        <f t="shared" si="1"/>
        <v>0</v>
      </c>
      <c r="AA20" s="58">
        <f t="shared" si="1"/>
        <v>0</v>
      </c>
      <c r="AB20" s="58">
        <f t="shared" si="1"/>
        <v>0</v>
      </c>
      <c r="AC20" s="58">
        <f t="shared" si="1"/>
        <v>7603863.2400000002</v>
      </c>
      <c r="AD20" s="58">
        <f t="shared" si="1"/>
        <v>19455217.039999995</v>
      </c>
      <c r="AE20" s="58">
        <f t="shared" si="1"/>
        <v>840000</v>
      </c>
      <c r="AF20" s="62" t="s">
        <v>743</v>
      </c>
      <c r="AG20" s="62" t="s">
        <v>743</v>
      </c>
      <c r="AH20" s="77" t="s">
        <v>743</v>
      </c>
      <c r="BZ20" s="61">
        <v>1686794801.2800004</v>
      </c>
    </row>
    <row r="21" spans="1:84" ht="61.5" x14ac:dyDescent="0.85">
      <c r="B21" s="22" t="s">
        <v>1078</v>
      </c>
      <c r="C21" s="333"/>
      <c r="D21" s="331">
        <f t="shared" ref="D21:AE21" si="2">SUM(D22:D125)</f>
        <v>265883729</v>
      </c>
      <c r="E21" s="58">
        <f t="shared" si="2"/>
        <v>87007.41</v>
      </c>
      <c r="F21" s="58">
        <f t="shared" si="2"/>
        <v>0</v>
      </c>
      <c r="G21" s="58">
        <f t="shared" si="2"/>
        <v>0</v>
      </c>
      <c r="H21" s="58">
        <f t="shared" si="2"/>
        <v>126575.53</v>
      </c>
      <c r="I21" s="58">
        <f t="shared" si="2"/>
        <v>0</v>
      </c>
      <c r="J21" s="58">
        <f t="shared" si="2"/>
        <v>0</v>
      </c>
      <c r="K21" s="332">
        <f t="shared" si="2"/>
        <v>44</v>
      </c>
      <c r="L21" s="58">
        <f t="shared" si="2"/>
        <v>75730891.61999999</v>
      </c>
      <c r="M21" s="58">
        <f t="shared" si="2"/>
        <v>40983.39</v>
      </c>
      <c r="N21" s="58">
        <f t="shared" si="2"/>
        <v>132571093.74999997</v>
      </c>
      <c r="O21" s="58">
        <f t="shared" si="2"/>
        <v>0</v>
      </c>
      <c r="P21" s="58">
        <f t="shared" si="2"/>
        <v>0</v>
      </c>
      <c r="Q21" s="58">
        <f t="shared" si="2"/>
        <v>20622.91</v>
      </c>
      <c r="R21" s="58">
        <f t="shared" si="2"/>
        <v>48063150.75</v>
      </c>
      <c r="S21" s="58">
        <f t="shared" si="2"/>
        <v>0</v>
      </c>
      <c r="T21" s="58">
        <f t="shared" si="2"/>
        <v>0</v>
      </c>
      <c r="U21" s="58">
        <f t="shared" si="2"/>
        <v>4132272.85</v>
      </c>
      <c r="V21" s="58">
        <f t="shared" si="2"/>
        <v>0</v>
      </c>
      <c r="W21" s="58">
        <f t="shared" si="2"/>
        <v>0</v>
      </c>
      <c r="X21" s="58">
        <f t="shared" si="2"/>
        <v>0</v>
      </c>
      <c r="Y21" s="58">
        <f t="shared" si="2"/>
        <v>0</v>
      </c>
      <c r="Z21" s="58">
        <f t="shared" si="2"/>
        <v>0</v>
      </c>
      <c r="AA21" s="58">
        <f t="shared" si="2"/>
        <v>0</v>
      </c>
      <c r="AB21" s="58">
        <f t="shared" si="2"/>
        <v>0</v>
      </c>
      <c r="AC21" s="58">
        <f t="shared" si="2"/>
        <v>2367783.1900000004</v>
      </c>
      <c r="AD21" s="58">
        <f t="shared" si="2"/>
        <v>2804953.8999999994</v>
      </c>
      <c r="AE21" s="58">
        <f t="shared" si="2"/>
        <v>0</v>
      </c>
      <c r="AF21" s="62" t="s">
        <v>743</v>
      </c>
      <c r="AG21" s="62" t="s">
        <v>743</v>
      </c>
      <c r="AH21" s="77" t="s">
        <v>743</v>
      </c>
      <c r="BZ21" s="61">
        <v>383462452.64000016</v>
      </c>
    </row>
    <row r="22" spans="1:84" ht="61.5" x14ac:dyDescent="0.85">
      <c r="A22" s="18">
        <v>1</v>
      </c>
      <c r="B22" s="57">
        <f>SUBTOTAL(103,$A$22:A22)</f>
        <v>1</v>
      </c>
      <c r="C22" s="22" t="s">
        <v>477</v>
      </c>
      <c r="D22" s="29">
        <f>E22+F22+G22+H22+I22+J22+L22+N22+P22+R22+T22+U22+V22+W22+X22+Y22+Z22+AA22+AB22+AC22+AD22+AE22</f>
        <v>1821107.48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64">
        <v>0</v>
      </c>
      <c r="L22" s="29">
        <v>0</v>
      </c>
      <c r="M22" s="37">
        <v>390</v>
      </c>
      <c r="N22" s="37">
        <v>1736836.14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8">
        <v>23968.34</v>
      </c>
      <c r="AD22" s="134">
        <v>60303</v>
      </c>
      <c r="AE22" s="29">
        <v>0</v>
      </c>
      <c r="AF22" s="32">
        <v>2020</v>
      </c>
      <c r="AG22" s="32">
        <v>2020</v>
      </c>
      <c r="AH22" s="32">
        <v>2020</v>
      </c>
      <c r="AT22" s="18" t="e">
        <f>VLOOKUP(C22,AW:AX,2,FALSE)</f>
        <v>#N/A</v>
      </c>
      <c r="AW22" s="18" t="s">
        <v>492</v>
      </c>
      <c r="AX22" s="18">
        <v>1</v>
      </c>
      <c r="BZ22" s="61"/>
      <c r="CD22" s="18" t="e">
        <f>VLOOKUP(C22,CE:CF,2,FALSE)</f>
        <v>#N/A</v>
      </c>
      <c r="CE22" s="85" t="s">
        <v>482</v>
      </c>
      <c r="CF22" s="85">
        <v>644</v>
      </c>
    </row>
    <row r="23" spans="1:84" ht="61.5" x14ac:dyDescent="0.85">
      <c r="A23" s="18">
        <v>1</v>
      </c>
      <c r="B23" s="57">
        <f>SUBTOTAL(103,$A$22:A23)</f>
        <v>2</v>
      </c>
      <c r="C23" s="22" t="s">
        <v>1054</v>
      </c>
      <c r="D23" s="29">
        <f t="shared" ref="D23:D76" si="3">E23+F23+G23+H23+I23+J23+L23+N23+P23+R23+T23+U23+V23+W23+X23+Y23+Z23+AA23+AB23+AC23+AD23+AE23</f>
        <v>69778.55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31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37">
        <v>69778.55</v>
      </c>
      <c r="AE23" s="29">
        <v>0</v>
      </c>
      <c r="AF23" s="32">
        <v>2020</v>
      </c>
      <c r="AG23" s="33" t="s">
        <v>268</v>
      </c>
      <c r="AH23" s="33" t="s">
        <v>268</v>
      </c>
      <c r="AT23" s="18" t="e">
        <f>VLOOKUP(C23,AW:AX,2,FALSE)</f>
        <v>#N/A</v>
      </c>
      <c r="AW23" s="18" t="s">
        <v>389</v>
      </c>
      <c r="AX23" s="18">
        <v>1</v>
      </c>
      <c r="BZ23" s="61"/>
      <c r="CD23" s="18" t="e">
        <f>VLOOKUP(C23,CE:CF,2,FALSE)</f>
        <v>#N/A</v>
      </c>
      <c r="CE23" s="85" t="s">
        <v>490</v>
      </c>
      <c r="CF23" s="85">
        <v>761.5</v>
      </c>
    </row>
    <row r="24" spans="1:84" ht="61.5" x14ac:dyDescent="0.85">
      <c r="A24" s="18">
        <v>1</v>
      </c>
      <c r="B24" s="57">
        <f>SUBTOTAL(103,$A$22:A24)</f>
        <v>3</v>
      </c>
      <c r="C24" s="22" t="s">
        <v>478</v>
      </c>
      <c r="D24" s="29">
        <f t="shared" si="3"/>
        <v>1775379.67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334">
        <v>1</v>
      </c>
      <c r="L24" s="37">
        <v>1775379.67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32" t="s">
        <v>268</v>
      </c>
      <c r="AG24" s="32">
        <v>2020</v>
      </c>
      <c r="AH24" s="33" t="s">
        <v>268</v>
      </c>
      <c r="AT24" s="18" t="e">
        <f>VLOOKUP(C24,AW:AX,2,FALSE)</f>
        <v>#N/A</v>
      </c>
      <c r="AW24" s="18" t="s">
        <v>614</v>
      </c>
      <c r="AX24" s="18">
        <v>1</v>
      </c>
      <c r="BZ24" s="61"/>
      <c r="CD24" s="18" t="e">
        <f>VLOOKUP(C24,CE:CF,2,FALSE)</f>
        <v>#N/A</v>
      </c>
      <c r="CE24" s="85" t="s">
        <v>508</v>
      </c>
      <c r="CF24" s="85">
        <v>342</v>
      </c>
    </row>
    <row r="25" spans="1:84" ht="61.5" x14ac:dyDescent="0.85">
      <c r="A25" s="18">
        <v>1</v>
      </c>
      <c r="B25" s="57">
        <f>SUBTOTAL(103,$A$22:A25)</f>
        <v>4</v>
      </c>
      <c r="C25" s="22" t="s">
        <v>480</v>
      </c>
      <c r="D25" s="29">
        <f t="shared" si="3"/>
        <v>2444609.7599999998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31">
        <v>0</v>
      </c>
      <c r="L25" s="29">
        <v>0</v>
      </c>
      <c r="M25" s="37">
        <v>596</v>
      </c>
      <c r="N25" s="37">
        <v>2411333.36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37">
        <v>33276.400000000001</v>
      </c>
      <c r="AD25" s="29">
        <v>0</v>
      </c>
      <c r="AE25" s="29">
        <v>0</v>
      </c>
      <c r="AF25" s="32" t="s">
        <v>268</v>
      </c>
      <c r="AG25" s="32">
        <v>2020</v>
      </c>
      <c r="AH25" s="33">
        <v>2020</v>
      </c>
      <c r="AT25" s="18" t="e">
        <f>VLOOKUP(C25,AW:AX,2,FALSE)</f>
        <v>#N/A</v>
      </c>
      <c r="AW25" s="18" t="s">
        <v>400</v>
      </c>
      <c r="AX25" s="18">
        <v>1</v>
      </c>
      <c r="BZ25" s="61"/>
      <c r="CD25" s="18" t="e">
        <f>VLOOKUP(C25,CE:CF,2,FALSE)</f>
        <v>#N/A</v>
      </c>
      <c r="CE25" s="85" t="s">
        <v>516</v>
      </c>
      <c r="CF25" s="85">
        <v>2070.63</v>
      </c>
    </row>
    <row r="26" spans="1:84" ht="61.5" x14ac:dyDescent="0.85">
      <c r="A26" s="18">
        <v>1</v>
      </c>
      <c r="B26" s="57">
        <f>SUBTOTAL(103,$A$22:A26)</f>
        <v>5</v>
      </c>
      <c r="C26" s="22" t="s">
        <v>481</v>
      </c>
      <c r="D26" s="29">
        <f t="shared" si="3"/>
        <v>1178315.53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31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472</v>
      </c>
      <c r="R26" s="29">
        <v>1162276.1200000001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37">
        <v>16039.41</v>
      </c>
      <c r="AD26" s="29">
        <v>0</v>
      </c>
      <c r="AE26" s="29">
        <v>0</v>
      </c>
      <c r="AF26" s="32" t="s">
        <v>268</v>
      </c>
      <c r="AG26" s="32">
        <v>2020</v>
      </c>
      <c r="AH26" s="33">
        <v>2020</v>
      </c>
      <c r="AT26" s="18" t="e">
        <f>VLOOKUP(C26,AW:AX,2,FALSE)</f>
        <v>#N/A</v>
      </c>
      <c r="AW26" s="18" t="s">
        <v>608</v>
      </c>
      <c r="AX26" s="18">
        <v>1</v>
      </c>
      <c r="BZ26" s="61"/>
      <c r="CD26" s="18" t="e">
        <f>VLOOKUP(C26,CE:CF,2,FALSE)</f>
        <v>#N/A</v>
      </c>
      <c r="CE26" s="85" t="s">
        <v>519</v>
      </c>
      <c r="CF26" s="85">
        <v>600</v>
      </c>
    </row>
    <row r="27" spans="1:84" ht="61.5" x14ac:dyDescent="0.85">
      <c r="A27" s="18">
        <v>1</v>
      </c>
      <c r="B27" s="57">
        <f>SUBTOTAL(103,$A$22:A27)</f>
        <v>6</v>
      </c>
      <c r="C27" s="22" t="s">
        <v>482</v>
      </c>
      <c r="D27" s="29">
        <f t="shared" si="3"/>
        <v>1996366.9600000002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31">
        <v>0</v>
      </c>
      <c r="L27" s="29">
        <v>0</v>
      </c>
      <c r="M27" s="37">
        <v>612</v>
      </c>
      <c r="N27" s="134">
        <v>1969192.11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134">
        <v>27174.85</v>
      </c>
      <c r="AD27" s="29">
        <v>0</v>
      </c>
      <c r="AE27" s="29">
        <v>0</v>
      </c>
      <c r="AF27" s="32" t="s">
        <v>268</v>
      </c>
      <c r="AG27" s="32">
        <v>2020</v>
      </c>
      <c r="AH27" s="33">
        <v>2020</v>
      </c>
      <c r="AT27" s="18" t="e">
        <f>VLOOKUP(C27,AW:AX,2,FALSE)</f>
        <v>#N/A</v>
      </c>
      <c r="AW27" s="18" t="s">
        <v>607</v>
      </c>
      <c r="AX27" s="18">
        <v>1</v>
      </c>
      <c r="BZ27" s="61"/>
      <c r="CD27" s="18">
        <f>VLOOKUP(C27,CE:CF,2,FALSE)</f>
        <v>644</v>
      </c>
      <c r="CE27" s="85" t="s">
        <v>1360</v>
      </c>
      <c r="CF27" s="85">
        <v>334.02</v>
      </c>
    </row>
    <row r="28" spans="1:84" ht="61.5" x14ac:dyDescent="0.85">
      <c r="A28" s="18">
        <v>1</v>
      </c>
      <c r="B28" s="57">
        <f>SUBTOTAL(103,$A$22:A28)</f>
        <v>7</v>
      </c>
      <c r="C28" s="22" t="s">
        <v>484</v>
      </c>
      <c r="D28" s="29">
        <f t="shared" si="3"/>
        <v>3053881.54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31">
        <v>0</v>
      </c>
      <c r="L28" s="29">
        <v>0</v>
      </c>
      <c r="M28" s="37">
        <v>713.67</v>
      </c>
      <c r="N28" s="37">
        <v>2950406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37">
        <v>40715.599999999999</v>
      </c>
      <c r="AD28" s="37">
        <v>62759.94</v>
      </c>
      <c r="AE28" s="29">
        <v>0</v>
      </c>
      <c r="AF28" s="32">
        <v>2020</v>
      </c>
      <c r="AG28" s="32">
        <v>2020</v>
      </c>
      <c r="AH28" s="33">
        <v>2020</v>
      </c>
      <c r="AT28" s="18" t="e">
        <f>VLOOKUP(C28,AW:AX,2,FALSE)</f>
        <v>#N/A</v>
      </c>
      <c r="AW28" s="18" t="s">
        <v>235</v>
      </c>
      <c r="AX28" s="18">
        <v>1</v>
      </c>
      <c r="BZ28" s="61"/>
      <c r="CD28" s="18" t="e">
        <f>VLOOKUP(C28,CE:CF,2,FALSE)</f>
        <v>#N/A</v>
      </c>
      <c r="CE28" s="85" t="s">
        <v>1111</v>
      </c>
      <c r="CF28" s="85">
        <v>1124.75</v>
      </c>
    </row>
    <row r="29" spans="1:84" ht="61.5" x14ac:dyDescent="0.85">
      <c r="A29" s="18">
        <v>1</v>
      </c>
      <c r="B29" s="57">
        <f>SUBTOTAL(103,$A$22:A29)</f>
        <v>8</v>
      </c>
      <c r="C29" s="22" t="s">
        <v>485</v>
      </c>
      <c r="D29" s="29">
        <f t="shared" si="3"/>
        <v>1639309.32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64">
        <v>0</v>
      </c>
      <c r="L29" s="29">
        <v>0</v>
      </c>
      <c r="M29" s="37">
        <v>635</v>
      </c>
      <c r="N29" s="37">
        <v>1559527.98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8">
        <f>ROUND((E29+F29+G29+H29+I29+J29+N29+P29+R29+T29+U29+V29+W29+X29+Y29+Z29+AA29+AB29)*1.38%,2)</f>
        <v>21521.49</v>
      </c>
      <c r="AD29" s="37">
        <v>58259.85</v>
      </c>
      <c r="AE29" s="29">
        <v>0</v>
      </c>
      <c r="AF29" s="32">
        <v>2020</v>
      </c>
      <c r="AG29" s="32">
        <v>2020</v>
      </c>
      <c r="AH29" s="32">
        <v>2020</v>
      </c>
      <c r="AT29" s="18" t="e">
        <f>VLOOKUP(C29,AW:AX,2,FALSE)</f>
        <v>#N/A</v>
      </c>
      <c r="AW29" s="18" t="s">
        <v>129</v>
      </c>
      <c r="AX29" s="18">
        <v>1</v>
      </c>
      <c r="BZ29" s="61"/>
      <c r="CD29" s="18" t="e">
        <f>VLOOKUP(C29,CE:CF,2,FALSE)</f>
        <v>#N/A</v>
      </c>
      <c r="CE29" s="85" t="s">
        <v>446</v>
      </c>
      <c r="CF29" s="85">
        <v>555.39</v>
      </c>
    </row>
    <row r="30" spans="1:84" ht="61.5" x14ac:dyDescent="0.85">
      <c r="A30" s="18">
        <v>1</v>
      </c>
      <c r="B30" s="57">
        <f>SUBTOTAL(103,$A$22:A30)</f>
        <v>9</v>
      </c>
      <c r="C30" s="22" t="s">
        <v>486</v>
      </c>
      <c r="D30" s="29">
        <f t="shared" si="3"/>
        <v>98784.97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31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37">
        <v>98784.97</v>
      </c>
      <c r="AE30" s="29">
        <v>0</v>
      </c>
      <c r="AF30" s="32">
        <v>2020</v>
      </c>
      <c r="AG30" s="32" t="s">
        <v>268</v>
      </c>
      <c r="AH30" s="32" t="s">
        <v>268</v>
      </c>
      <c r="AT30" s="18" t="e">
        <f>VLOOKUP(C30,AW:AX,2,FALSE)</f>
        <v>#N/A</v>
      </c>
      <c r="AW30" s="18" t="s">
        <v>429</v>
      </c>
      <c r="AX30" s="18">
        <v>1</v>
      </c>
      <c r="BZ30" s="61"/>
      <c r="CD30" s="18" t="e">
        <f>VLOOKUP(C30,CE:CF,2,FALSE)</f>
        <v>#N/A</v>
      </c>
      <c r="CE30" s="85" t="s">
        <v>449</v>
      </c>
      <c r="CF30" s="85">
        <v>865.12</v>
      </c>
    </row>
    <row r="31" spans="1:84" ht="61.5" x14ac:dyDescent="0.85">
      <c r="A31" s="18">
        <v>1</v>
      </c>
      <c r="B31" s="57">
        <f>SUBTOTAL(103,$A$22:A31)</f>
        <v>10</v>
      </c>
      <c r="C31" s="22" t="s">
        <v>487</v>
      </c>
      <c r="D31" s="29">
        <f t="shared" si="3"/>
        <v>3124667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31">
        <v>0</v>
      </c>
      <c r="L31" s="29">
        <v>0</v>
      </c>
      <c r="M31" s="37">
        <v>1045</v>
      </c>
      <c r="N31" s="37">
        <v>3124667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32" t="s">
        <v>268</v>
      </c>
      <c r="AG31" s="32">
        <v>2020</v>
      </c>
      <c r="AH31" s="32" t="s">
        <v>268</v>
      </c>
      <c r="AT31" s="18" t="e">
        <f>VLOOKUP(C31,AW:AX,2,FALSE)</f>
        <v>#N/A</v>
      </c>
      <c r="AW31" s="18" t="s">
        <v>779</v>
      </c>
      <c r="AX31" s="18">
        <v>1</v>
      </c>
      <c r="BZ31" s="61"/>
      <c r="CD31" s="18">
        <f>VLOOKUP(C31,CE:CF,2,FALSE)</f>
        <v>1089.8</v>
      </c>
      <c r="CE31" s="85" t="s">
        <v>451</v>
      </c>
      <c r="CF31" s="85">
        <v>860.91</v>
      </c>
    </row>
    <row r="32" spans="1:84" ht="61.5" x14ac:dyDescent="0.85">
      <c r="A32" s="18">
        <v>1</v>
      </c>
      <c r="B32" s="57">
        <f>SUBTOTAL(103,$A$22:A32)</f>
        <v>11</v>
      </c>
      <c r="C32" s="22" t="s">
        <v>488</v>
      </c>
      <c r="D32" s="29">
        <f>E32+F32+G32+H32+I32+J32+L32+N32+P32+R32+T32+U32+V32+W32+X32+Y32+Z32+AA32+AB32+AC32+AD32+AE32</f>
        <v>89397.8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31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37">
        <v>89397.8</v>
      </c>
      <c r="AE32" s="29">
        <v>0</v>
      </c>
      <c r="AF32" s="32">
        <v>2020</v>
      </c>
      <c r="AG32" s="32" t="s">
        <v>268</v>
      </c>
      <c r="AH32" s="32" t="s">
        <v>268</v>
      </c>
      <c r="AT32" s="18" t="e">
        <f>VLOOKUP(C32,AW:AX,2,FALSE)</f>
        <v>#N/A</v>
      </c>
      <c r="AW32" s="18" t="s">
        <v>778</v>
      </c>
      <c r="AX32" s="18">
        <v>1</v>
      </c>
      <c r="BZ32" s="61"/>
      <c r="CD32" s="18" t="e">
        <f>VLOOKUP(C32,CE:CF,2,FALSE)</f>
        <v>#N/A</v>
      </c>
      <c r="CE32" s="85" t="s">
        <v>762</v>
      </c>
      <c r="CF32" s="85">
        <v>1319.27</v>
      </c>
    </row>
    <row r="33" spans="1:84" ht="61.5" x14ac:dyDescent="0.85">
      <c r="A33" s="18">
        <v>1</v>
      </c>
      <c r="B33" s="57">
        <f>SUBTOTAL(103,$A$22:A33)</f>
        <v>12</v>
      </c>
      <c r="C33" s="22" t="s">
        <v>490</v>
      </c>
      <c r="D33" s="29">
        <f t="shared" si="3"/>
        <v>2353912.86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31">
        <v>0</v>
      </c>
      <c r="L33" s="29">
        <v>0</v>
      </c>
      <c r="M33" s="37">
        <v>740.47</v>
      </c>
      <c r="N33" s="37">
        <v>2321871.04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37">
        <v>32041.82</v>
      </c>
      <c r="AD33" s="29">
        <v>0</v>
      </c>
      <c r="AE33" s="29">
        <v>0</v>
      </c>
      <c r="AF33" s="32" t="s">
        <v>268</v>
      </c>
      <c r="AG33" s="32">
        <v>2020</v>
      </c>
      <c r="AH33" s="33">
        <v>2020</v>
      </c>
      <c r="AT33" s="18" t="e">
        <f>VLOOKUP(C33,AW:AX,2,FALSE)</f>
        <v>#N/A</v>
      </c>
      <c r="AW33" s="18" t="s">
        <v>661</v>
      </c>
      <c r="AX33" s="18">
        <v>1</v>
      </c>
      <c r="BZ33" s="61"/>
      <c r="CD33" s="18">
        <f>VLOOKUP(C33,CE:CF,2,FALSE)</f>
        <v>761.5</v>
      </c>
      <c r="CE33" s="85" t="s">
        <v>656</v>
      </c>
      <c r="CF33" s="85">
        <v>900</v>
      </c>
    </row>
    <row r="34" spans="1:84" ht="61.5" x14ac:dyDescent="0.85">
      <c r="A34" s="18">
        <v>1</v>
      </c>
      <c r="B34" s="57">
        <f>SUBTOTAL(103,$A$22:A34)</f>
        <v>13</v>
      </c>
      <c r="C34" s="22" t="s">
        <v>491</v>
      </c>
      <c r="D34" s="29">
        <f t="shared" si="3"/>
        <v>2593330.65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31">
        <v>0</v>
      </c>
      <c r="L34" s="29">
        <v>0</v>
      </c>
      <c r="M34" s="37">
        <v>940</v>
      </c>
      <c r="N34" s="37">
        <v>2593330.65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32" t="s">
        <v>268</v>
      </c>
      <c r="AG34" s="32">
        <v>2020</v>
      </c>
      <c r="AH34" s="33" t="s">
        <v>268</v>
      </c>
      <c r="AT34" s="18" t="e">
        <f>VLOOKUP(C34,AW:AX,2,FALSE)</f>
        <v>#N/A</v>
      </c>
      <c r="AW34" s="18" t="s">
        <v>221</v>
      </c>
      <c r="AX34" s="18">
        <v>1</v>
      </c>
      <c r="BZ34" s="61"/>
      <c r="CD34" s="18">
        <f>VLOOKUP(C34,CE:CF,2,FALSE)</f>
        <v>1041.5</v>
      </c>
      <c r="CE34" s="85" t="s">
        <v>657</v>
      </c>
      <c r="CF34" s="85">
        <v>900</v>
      </c>
    </row>
    <row r="35" spans="1:84" ht="61.5" x14ac:dyDescent="0.85">
      <c r="A35" s="18">
        <v>1</v>
      </c>
      <c r="B35" s="57">
        <f>SUBTOTAL(103,$A$22:A35)</f>
        <v>14</v>
      </c>
      <c r="C35" s="22" t="s">
        <v>492</v>
      </c>
      <c r="D35" s="29">
        <f t="shared" si="3"/>
        <v>14319460.059999999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334">
        <v>8</v>
      </c>
      <c r="L35" s="37">
        <f>1793893.97+1793893.97+4*1788829.52+1788177.02*2</f>
        <v>14319460.059999999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32" t="s">
        <v>268</v>
      </c>
      <c r="AG35" s="32">
        <v>2020</v>
      </c>
      <c r="AH35" s="33" t="s">
        <v>268</v>
      </c>
      <c r="AT35" s="18">
        <f>VLOOKUP(C35,AW:AX,2,FALSE)</f>
        <v>1</v>
      </c>
      <c r="BZ35" s="61"/>
      <c r="CD35" s="18" t="e">
        <f>VLOOKUP(C35,CE:CF,2,FALSE)</f>
        <v>#N/A</v>
      </c>
      <c r="CE35" s="85" t="s">
        <v>1545</v>
      </c>
      <c r="CF35" s="85">
        <v>870</v>
      </c>
    </row>
    <row r="36" spans="1:84" ht="61.5" x14ac:dyDescent="0.85">
      <c r="A36" s="18">
        <v>1</v>
      </c>
      <c r="B36" s="57">
        <f>SUBTOTAL(103,$A$22:A36)</f>
        <v>15</v>
      </c>
      <c r="C36" s="22" t="s">
        <v>493</v>
      </c>
      <c r="D36" s="29">
        <f t="shared" si="3"/>
        <v>721831.31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31">
        <v>0</v>
      </c>
      <c r="L36" s="29">
        <v>0</v>
      </c>
      <c r="M36" s="37">
        <v>250</v>
      </c>
      <c r="N36" s="134">
        <v>712005.63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9825.68</v>
      </c>
      <c r="AD36" s="29">
        <v>0</v>
      </c>
      <c r="AE36" s="29">
        <v>0</v>
      </c>
      <c r="AF36" s="32" t="s">
        <v>268</v>
      </c>
      <c r="AG36" s="32">
        <v>2020</v>
      </c>
      <c r="AH36" s="33">
        <v>2020</v>
      </c>
      <c r="BZ36" s="61"/>
      <c r="CD36" s="18" t="e">
        <f>VLOOKUP(C36,CE:CF,2,FALSE)</f>
        <v>#N/A</v>
      </c>
      <c r="CE36" s="85" t="s">
        <v>121</v>
      </c>
      <c r="CF36" s="85">
        <v>313.10000000000002</v>
      </c>
    </row>
    <row r="37" spans="1:84" ht="61.5" x14ac:dyDescent="0.85">
      <c r="A37" s="18">
        <v>1</v>
      </c>
      <c r="B37" s="57">
        <f>SUBTOTAL(103,$A$22:A37)</f>
        <v>16</v>
      </c>
      <c r="C37" s="22" t="s">
        <v>498</v>
      </c>
      <c r="D37" s="29">
        <f t="shared" si="3"/>
        <v>3879957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31">
        <v>0</v>
      </c>
      <c r="L37" s="29">
        <v>0</v>
      </c>
      <c r="M37" s="37">
        <v>1020</v>
      </c>
      <c r="N37" s="37">
        <v>3879957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32" t="s">
        <v>268</v>
      </c>
      <c r="AG37" s="32">
        <v>2020</v>
      </c>
      <c r="AH37" s="33" t="s">
        <v>268</v>
      </c>
      <c r="AT37" s="18" t="e">
        <f>VLOOKUP(C37,AW:AX,2,FALSE)</f>
        <v>#N/A</v>
      </c>
      <c r="BZ37" s="61"/>
      <c r="CD37" s="18" t="e">
        <f>VLOOKUP(C37,CE:CF,2,FALSE)</f>
        <v>#N/A</v>
      </c>
      <c r="CE37" s="85" t="s">
        <v>152</v>
      </c>
      <c r="CF37" s="85">
        <v>1035.9000000000001</v>
      </c>
    </row>
    <row r="38" spans="1:84" ht="61.5" x14ac:dyDescent="0.85">
      <c r="A38" s="18">
        <v>1</v>
      </c>
      <c r="B38" s="57">
        <f>SUBTOTAL(103,$A$22:A38)</f>
        <v>17</v>
      </c>
      <c r="C38" s="22" t="s">
        <v>1615</v>
      </c>
      <c r="D38" s="29">
        <f t="shared" si="3"/>
        <v>1297271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31">
        <v>0</v>
      </c>
      <c r="L38" s="29">
        <v>0</v>
      </c>
      <c r="M38" s="37">
        <v>549</v>
      </c>
      <c r="N38" s="37">
        <v>1279612.3500000001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8">
        <v>17658.650000000001</v>
      </c>
      <c r="AD38" s="29">
        <v>0</v>
      </c>
      <c r="AE38" s="29">
        <v>0</v>
      </c>
      <c r="AF38" s="32" t="s">
        <v>268</v>
      </c>
      <c r="AG38" s="32">
        <v>2020</v>
      </c>
      <c r="AH38" s="33">
        <v>2020</v>
      </c>
      <c r="BZ38" s="61"/>
      <c r="CD38" s="18" t="e">
        <f>VLOOKUP(C38,CE:CF,2,FALSE)</f>
        <v>#N/A</v>
      </c>
      <c r="CE38" s="85" t="s">
        <v>487</v>
      </c>
      <c r="CF38" s="85">
        <v>1089.8</v>
      </c>
    </row>
    <row r="39" spans="1:84" ht="61.5" x14ac:dyDescent="0.85">
      <c r="A39" s="18">
        <v>1</v>
      </c>
      <c r="B39" s="57">
        <f>SUBTOTAL(103,$A$22:A39)</f>
        <v>18</v>
      </c>
      <c r="C39" s="22" t="s">
        <v>499</v>
      </c>
      <c r="D39" s="29">
        <f t="shared" si="3"/>
        <v>2988276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31">
        <v>0</v>
      </c>
      <c r="L39" s="29">
        <v>0</v>
      </c>
      <c r="M39" s="37">
        <v>980</v>
      </c>
      <c r="N39" s="37">
        <v>2988276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32" t="s">
        <v>268</v>
      </c>
      <c r="AG39" s="32">
        <v>2020</v>
      </c>
      <c r="AH39" s="33" t="s">
        <v>268</v>
      </c>
      <c r="AT39" s="18" t="e">
        <f>VLOOKUP(C39,AW:AX,2,FALSE)</f>
        <v>#N/A</v>
      </c>
      <c r="BZ39" s="61"/>
      <c r="CD39" s="18" t="e">
        <f>VLOOKUP(C39,CE:CF,2,FALSE)</f>
        <v>#N/A</v>
      </c>
      <c r="CE39" s="85" t="s">
        <v>491</v>
      </c>
      <c r="CF39" s="85">
        <v>1041.5</v>
      </c>
    </row>
    <row r="40" spans="1:84" ht="61.5" x14ac:dyDescent="0.85">
      <c r="A40" s="18">
        <v>1</v>
      </c>
      <c r="B40" s="57">
        <f>SUBTOTAL(103,$A$22:A40)</f>
        <v>19</v>
      </c>
      <c r="C40" s="22" t="s">
        <v>501</v>
      </c>
      <c r="D40" s="29">
        <f t="shared" si="3"/>
        <v>56688.3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64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37">
        <v>56688.3</v>
      </c>
      <c r="AE40" s="29">
        <v>0</v>
      </c>
      <c r="AF40" s="32">
        <v>2020</v>
      </c>
      <c r="AG40" s="32" t="s">
        <v>268</v>
      </c>
      <c r="AH40" s="33" t="s">
        <v>268</v>
      </c>
      <c r="AR40" s="18" t="e">
        <f>VLOOKUP(C40,AU:AV,2,FALSE)</f>
        <v>#N/A</v>
      </c>
      <c r="BX40" s="61"/>
      <c r="CB40" s="18" t="e">
        <f>VLOOKUP(C40,CC:CD,2,FALSE)</f>
        <v>#N/A</v>
      </c>
      <c r="CC40" s="85" t="s">
        <v>517</v>
      </c>
      <c r="CD40" s="85">
        <v>777.1</v>
      </c>
    </row>
    <row r="41" spans="1:84" ht="61.5" x14ac:dyDescent="0.85">
      <c r="A41" s="18">
        <v>1</v>
      </c>
      <c r="B41" s="57">
        <f>SUBTOTAL(103,$A$22:A41)</f>
        <v>20</v>
      </c>
      <c r="C41" s="22" t="s">
        <v>502</v>
      </c>
      <c r="D41" s="29">
        <f t="shared" si="3"/>
        <v>89064.28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31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134">
        <v>89064.28</v>
      </c>
      <c r="AE41" s="29">
        <v>0</v>
      </c>
      <c r="AF41" s="32">
        <v>2020</v>
      </c>
      <c r="AG41" s="32" t="s">
        <v>268</v>
      </c>
      <c r="AH41" s="33" t="s">
        <v>268</v>
      </c>
      <c r="AT41" s="18" t="e">
        <f>VLOOKUP(C41,AW:AX,2,FALSE)</f>
        <v>#N/A</v>
      </c>
      <c r="BZ41" s="61"/>
      <c r="CD41" s="18" t="e">
        <f>VLOOKUP(C41,CE:CF,2,FALSE)</f>
        <v>#N/A</v>
      </c>
      <c r="CE41" s="85" t="s">
        <v>518</v>
      </c>
      <c r="CF41" s="85">
        <v>1000</v>
      </c>
    </row>
    <row r="42" spans="1:84" ht="61.5" x14ac:dyDescent="0.85">
      <c r="A42" s="18">
        <v>1</v>
      </c>
      <c r="B42" s="57">
        <f>SUBTOTAL(103,$A$22:A42)</f>
        <v>21</v>
      </c>
      <c r="C42" s="22" t="s">
        <v>503</v>
      </c>
      <c r="D42" s="29">
        <f t="shared" si="3"/>
        <v>2641217.09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31">
        <v>0</v>
      </c>
      <c r="L42" s="29">
        <v>0</v>
      </c>
      <c r="M42" s="37">
        <v>654</v>
      </c>
      <c r="N42" s="29">
        <v>2522475.65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37">
        <v>34810.160000000003</v>
      </c>
      <c r="AD42" s="134">
        <v>83931.28</v>
      </c>
      <c r="AE42" s="29">
        <v>0</v>
      </c>
      <c r="AF42" s="32">
        <v>2020</v>
      </c>
      <c r="AG42" s="32">
        <v>2020</v>
      </c>
      <c r="AH42" s="33">
        <v>2020</v>
      </c>
      <c r="AT42" s="18" t="e">
        <f>VLOOKUP(C42,AW:AX,2,FALSE)</f>
        <v>#N/A</v>
      </c>
      <c r="BZ42" s="61"/>
      <c r="CD42" s="18" t="e">
        <f>VLOOKUP(C42,CE:CF,2,FALSE)</f>
        <v>#N/A</v>
      </c>
      <c r="CE42" s="85" t="s">
        <v>521</v>
      </c>
      <c r="CF42" s="85">
        <v>800</v>
      </c>
    </row>
    <row r="43" spans="1:84" ht="61.5" x14ac:dyDescent="0.85">
      <c r="A43" s="18">
        <v>1</v>
      </c>
      <c r="B43" s="57">
        <f>SUBTOTAL(103,$A$22:A43)</f>
        <v>22</v>
      </c>
      <c r="C43" s="22" t="s">
        <v>504</v>
      </c>
      <c r="D43" s="29">
        <f t="shared" si="3"/>
        <v>12192587.91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334">
        <v>7</v>
      </c>
      <c r="L43" s="37">
        <f>1793082.78+1793082.78+1688153.47+1670941.04+1670938.04+1788194.9+1788194.9</f>
        <v>12192587.91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32" t="s">
        <v>268</v>
      </c>
      <c r="AG43" s="32">
        <v>2020</v>
      </c>
      <c r="AH43" s="33" t="s">
        <v>268</v>
      </c>
      <c r="AT43" s="18" t="e">
        <f>VLOOKUP(C43,AW:AX,2,FALSE)</f>
        <v>#N/A</v>
      </c>
      <c r="BZ43" s="61"/>
      <c r="CD43" s="18" t="e">
        <f>VLOOKUP(C43,CE:CF,2,FALSE)</f>
        <v>#N/A</v>
      </c>
      <c r="CE43" s="85" t="s">
        <v>524</v>
      </c>
      <c r="CF43" s="85">
        <v>1180.0999999999999</v>
      </c>
    </row>
    <row r="44" spans="1:84" ht="61.5" x14ac:dyDescent="0.85">
      <c r="A44" s="18">
        <v>1</v>
      </c>
      <c r="B44" s="57">
        <f>SUBTOTAL(103,$A$22:A44)</f>
        <v>23</v>
      </c>
      <c r="C44" s="22" t="s">
        <v>505</v>
      </c>
      <c r="D44" s="29">
        <f t="shared" si="3"/>
        <v>3433160.05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334">
        <v>2</v>
      </c>
      <c r="L44" s="37">
        <f>1657599.77+1775560.28</f>
        <v>3433160.05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32" t="s">
        <v>268</v>
      </c>
      <c r="AG44" s="32">
        <v>2020</v>
      </c>
      <c r="AH44" s="33" t="s">
        <v>268</v>
      </c>
      <c r="AT44" s="18" t="e">
        <f>VLOOKUP(C44,AW:AX,2,FALSE)</f>
        <v>#N/A</v>
      </c>
      <c r="BZ44" s="61"/>
      <c r="CD44" s="18" t="e">
        <f>VLOOKUP(C44,CE:CF,2,FALSE)</f>
        <v>#N/A</v>
      </c>
      <c r="CE44" s="85" t="s">
        <v>1362</v>
      </c>
      <c r="CF44" s="85">
        <v>789</v>
      </c>
    </row>
    <row r="45" spans="1:84" ht="61.5" x14ac:dyDescent="0.85">
      <c r="A45" s="18">
        <v>1</v>
      </c>
      <c r="B45" s="57">
        <f>SUBTOTAL(103,$A$22:A45)</f>
        <v>24</v>
      </c>
      <c r="C45" s="22" t="s">
        <v>506</v>
      </c>
      <c r="D45" s="29">
        <f t="shared" si="3"/>
        <v>1772747.75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334">
        <v>1</v>
      </c>
      <c r="L45" s="37">
        <v>1772747.75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32" t="s">
        <v>268</v>
      </c>
      <c r="AG45" s="32">
        <v>2020</v>
      </c>
      <c r="AH45" s="33" t="s">
        <v>268</v>
      </c>
      <c r="AT45" s="18" t="e">
        <f>VLOOKUP(C45,AW:AX,2,FALSE)</f>
        <v>#N/A</v>
      </c>
      <c r="BZ45" s="61"/>
      <c r="CD45" s="18" t="e">
        <f>VLOOKUP(C45,CE:CF,2,FALSE)</f>
        <v>#N/A</v>
      </c>
      <c r="CE45" s="85" t="s">
        <v>1085</v>
      </c>
      <c r="CF45" s="85">
        <v>1147.7</v>
      </c>
    </row>
    <row r="46" spans="1:84" ht="61.5" x14ac:dyDescent="0.85">
      <c r="A46" s="18">
        <v>1</v>
      </c>
      <c r="B46" s="57">
        <f>SUBTOTAL(103,$A$22:A46)</f>
        <v>25</v>
      </c>
      <c r="C46" s="22" t="s">
        <v>507</v>
      </c>
      <c r="D46" s="29">
        <f t="shared" si="3"/>
        <v>3535514.86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334">
        <v>2</v>
      </c>
      <c r="L46" s="37">
        <f>1767757.43+1767757.43</f>
        <v>3535514.86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32" t="s">
        <v>268</v>
      </c>
      <c r="AG46" s="32">
        <v>2020</v>
      </c>
      <c r="AH46" s="33" t="s">
        <v>268</v>
      </c>
      <c r="AT46" s="18" t="e">
        <f>VLOOKUP(C46,AW:AX,2,FALSE)</f>
        <v>#N/A</v>
      </c>
      <c r="BZ46" s="61"/>
      <c r="CD46" s="18" t="e">
        <f>VLOOKUP(C46,CE:CF,2,FALSE)</f>
        <v>#N/A</v>
      </c>
      <c r="CE46" s="85" t="s">
        <v>1086</v>
      </c>
      <c r="CF46" s="85">
        <v>218.8</v>
      </c>
    </row>
    <row r="47" spans="1:84" ht="61.5" x14ac:dyDescent="0.85">
      <c r="A47" s="18">
        <v>1</v>
      </c>
      <c r="B47" s="57">
        <f>SUBTOTAL(103,$A$22:A47)</f>
        <v>26</v>
      </c>
      <c r="C47" s="22" t="s">
        <v>508</v>
      </c>
      <c r="D47" s="29">
        <f t="shared" si="3"/>
        <v>1142069.99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31">
        <v>0</v>
      </c>
      <c r="L47" s="29">
        <v>0</v>
      </c>
      <c r="M47" s="37">
        <v>305.72000000000003</v>
      </c>
      <c r="N47" s="37">
        <v>1126523.96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37">
        <v>15546.03</v>
      </c>
      <c r="AD47" s="29">
        <v>0</v>
      </c>
      <c r="AE47" s="29">
        <v>0</v>
      </c>
      <c r="AF47" s="32" t="s">
        <v>268</v>
      </c>
      <c r="AG47" s="32">
        <v>2020</v>
      </c>
      <c r="AH47" s="33">
        <v>2020</v>
      </c>
      <c r="AT47" s="18" t="e">
        <f>VLOOKUP(C47,AW:AX,2,FALSE)</f>
        <v>#N/A</v>
      </c>
      <c r="BZ47" s="61"/>
      <c r="CD47" s="18">
        <f>VLOOKUP(C47,CE:CF,2,FALSE)</f>
        <v>342</v>
      </c>
      <c r="CE47" s="85" t="s">
        <v>1087</v>
      </c>
      <c r="CF47" s="85">
        <v>912.27</v>
      </c>
    </row>
    <row r="48" spans="1:84" ht="61.5" x14ac:dyDescent="0.85">
      <c r="A48" s="18">
        <v>1</v>
      </c>
      <c r="B48" s="57">
        <f>SUBTOTAL(103,$A$22:A48)</f>
        <v>27</v>
      </c>
      <c r="C48" s="22" t="s">
        <v>509</v>
      </c>
      <c r="D48" s="29">
        <f t="shared" si="3"/>
        <v>715422.73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31">
        <v>0</v>
      </c>
      <c r="L48" s="29">
        <v>0</v>
      </c>
      <c r="M48" s="134">
        <v>151</v>
      </c>
      <c r="N48" s="134">
        <v>705684.29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8">
        <v>9738.44</v>
      </c>
      <c r="AD48" s="29">
        <v>0</v>
      </c>
      <c r="AE48" s="29">
        <v>0</v>
      </c>
      <c r="AF48" s="32" t="s">
        <v>268</v>
      </c>
      <c r="AG48" s="32">
        <v>2020</v>
      </c>
      <c r="AH48" s="33">
        <v>2020</v>
      </c>
      <c r="BZ48" s="61"/>
      <c r="CD48" s="18" t="e">
        <f>VLOOKUP(C48,CE:CF,2,FALSE)</f>
        <v>#N/A</v>
      </c>
      <c r="CE48" s="85" t="s">
        <v>1091</v>
      </c>
      <c r="CF48" s="85">
        <v>979.44</v>
      </c>
    </row>
    <row r="49" spans="1:84" ht="61.5" x14ac:dyDescent="0.85">
      <c r="A49" s="18">
        <v>1</v>
      </c>
      <c r="B49" s="57">
        <f>SUBTOTAL(103,$A$22:A49)</f>
        <v>28</v>
      </c>
      <c r="C49" s="22" t="s">
        <v>510</v>
      </c>
      <c r="D49" s="29">
        <f t="shared" si="3"/>
        <v>1010260.5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31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7">
        <v>424</v>
      </c>
      <c r="R49" s="37">
        <v>958282.99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37">
        <v>13224.31</v>
      </c>
      <c r="AD49" s="134">
        <v>38753.199999999997</v>
      </c>
      <c r="AE49" s="29">
        <v>0</v>
      </c>
      <c r="AF49" s="32">
        <v>2020</v>
      </c>
      <c r="AG49" s="32">
        <v>2020</v>
      </c>
      <c r="AH49" s="33">
        <v>2020</v>
      </c>
      <c r="AT49" s="18" t="e">
        <f>VLOOKUP(C49,AW:AX,2,FALSE)</f>
        <v>#N/A</v>
      </c>
      <c r="BZ49" s="61"/>
      <c r="CD49" s="18" t="e">
        <f>VLOOKUP(C49,CE:CF,2,FALSE)</f>
        <v>#N/A</v>
      </c>
      <c r="CE49" s="85" t="s">
        <v>1092</v>
      </c>
      <c r="CF49" s="85">
        <v>730.17</v>
      </c>
    </row>
    <row r="50" spans="1:84" ht="61.5" x14ac:dyDescent="0.85">
      <c r="A50" s="18">
        <v>1</v>
      </c>
      <c r="B50" s="57">
        <f>SUBTOTAL(103,$A$22:A50)</f>
        <v>29</v>
      </c>
      <c r="C50" s="22" t="s">
        <v>511</v>
      </c>
      <c r="D50" s="29">
        <f t="shared" si="3"/>
        <v>1761427.66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334">
        <v>1</v>
      </c>
      <c r="L50" s="37">
        <v>1761427.66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32" t="s">
        <v>268</v>
      </c>
      <c r="AG50" s="32">
        <v>2020</v>
      </c>
      <c r="AH50" s="33" t="s">
        <v>268</v>
      </c>
      <c r="AT50" s="18" t="e">
        <f>VLOOKUP(C50,AW:AX,2,FALSE)</f>
        <v>#N/A</v>
      </c>
      <c r="BZ50" s="61"/>
      <c r="CD50" s="18" t="e">
        <f>VLOOKUP(C50,CE:CF,2,FALSE)</f>
        <v>#N/A</v>
      </c>
      <c r="CE50" s="85" t="s">
        <v>1095</v>
      </c>
      <c r="CF50" s="85">
        <v>874.18</v>
      </c>
    </row>
    <row r="51" spans="1:84" ht="61.5" x14ac:dyDescent="0.85">
      <c r="A51" s="18">
        <v>1</v>
      </c>
      <c r="B51" s="57">
        <f>SUBTOTAL(103,$A$22:A51)</f>
        <v>30</v>
      </c>
      <c r="C51" s="22" t="s">
        <v>512</v>
      </c>
      <c r="D51" s="29">
        <f t="shared" si="3"/>
        <v>2417044.6000000006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31">
        <v>0</v>
      </c>
      <c r="L51" s="29">
        <v>0</v>
      </c>
      <c r="M51" s="37">
        <v>952</v>
      </c>
      <c r="N51" s="37">
        <v>2302037.7400000002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37">
        <v>31768.12</v>
      </c>
      <c r="AD51" s="37">
        <v>83238.740000000005</v>
      </c>
      <c r="AE51" s="29">
        <v>0</v>
      </c>
      <c r="AF51" s="32">
        <v>2020</v>
      </c>
      <c r="AG51" s="32">
        <v>2020</v>
      </c>
      <c r="AH51" s="33">
        <v>2020</v>
      </c>
      <c r="AT51" s="18" t="e">
        <f>VLOOKUP(C51,AW:AX,2,FALSE)</f>
        <v>#N/A</v>
      </c>
      <c r="BZ51" s="61"/>
      <c r="CD51" s="18">
        <f>VLOOKUP(C51,CE:CF,2,FALSE)</f>
        <v>952</v>
      </c>
      <c r="CE51" s="85" t="s">
        <v>1097</v>
      </c>
      <c r="CF51" s="85">
        <v>1200</v>
      </c>
    </row>
    <row r="52" spans="1:84" ht="61.5" x14ac:dyDescent="0.85">
      <c r="A52" s="18">
        <v>1</v>
      </c>
      <c r="B52" s="57">
        <f>SUBTOTAL(103,$A$22:A52)</f>
        <v>31</v>
      </c>
      <c r="C52" s="22" t="s">
        <v>513</v>
      </c>
      <c r="D52" s="29">
        <f t="shared" si="3"/>
        <v>2398202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31">
        <v>0</v>
      </c>
      <c r="L52" s="29">
        <v>0</v>
      </c>
      <c r="M52" s="37">
        <v>677.7</v>
      </c>
      <c r="N52" s="134">
        <v>2398202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32" t="s">
        <v>268</v>
      </c>
      <c r="AG52" s="32">
        <v>2020</v>
      </c>
      <c r="AH52" s="33" t="s">
        <v>268</v>
      </c>
      <c r="AT52" s="18" t="e">
        <f>VLOOKUP(C52,AW:AX,2,FALSE)</f>
        <v>#N/A</v>
      </c>
      <c r="BZ52" s="61"/>
      <c r="CD52" s="18">
        <f>VLOOKUP(C52,CE:CF,2,FALSE)</f>
        <v>702.2</v>
      </c>
      <c r="CE52" s="85" t="s">
        <v>1107</v>
      </c>
      <c r="CF52" s="85">
        <v>523.98</v>
      </c>
    </row>
    <row r="53" spans="1:84" ht="61.5" x14ac:dyDescent="0.85">
      <c r="A53" s="18">
        <v>1</v>
      </c>
      <c r="B53" s="57">
        <f>SUBTOTAL(103,$A$22:A53)</f>
        <v>32</v>
      </c>
      <c r="C53" s="22" t="s">
        <v>514</v>
      </c>
      <c r="D53" s="29">
        <f t="shared" si="3"/>
        <v>952298.84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31">
        <v>0</v>
      </c>
      <c r="L53" s="29">
        <v>0</v>
      </c>
      <c r="M53" s="37">
        <v>249.72</v>
      </c>
      <c r="N53" s="37">
        <v>939336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8">
        <v>12962.84</v>
      </c>
      <c r="AD53" s="29">
        <v>0</v>
      </c>
      <c r="AE53" s="29">
        <v>0</v>
      </c>
      <c r="AF53" s="32" t="s">
        <v>268</v>
      </c>
      <c r="AG53" s="32">
        <v>2020</v>
      </c>
      <c r="AH53" s="33">
        <v>2020</v>
      </c>
      <c r="AT53" s="18" t="e">
        <f>VLOOKUP(C53,AW:AX,2,FALSE)</f>
        <v>#N/A</v>
      </c>
      <c r="BZ53" s="61"/>
      <c r="CD53" s="18" t="e">
        <f>VLOOKUP(C53,CE:CF,2,FALSE)</f>
        <v>#N/A</v>
      </c>
      <c r="CE53" s="85" t="s">
        <v>1109</v>
      </c>
      <c r="CF53" s="85">
        <v>1093</v>
      </c>
    </row>
    <row r="54" spans="1:84" ht="61.5" x14ac:dyDescent="0.85">
      <c r="A54" s="18">
        <v>1</v>
      </c>
      <c r="B54" s="57">
        <f>SUBTOTAL(103,$A$22:A54)</f>
        <v>33</v>
      </c>
      <c r="C54" s="22" t="s">
        <v>515</v>
      </c>
      <c r="D54" s="29">
        <f t="shared" si="3"/>
        <v>2602788.06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31">
        <v>0</v>
      </c>
      <c r="L54" s="29">
        <v>0</v>
      </c>
      <c r="M54" s="37">
        <v>1512.41</v>
      </c>
      <c r="N54" s="37">
        <v>2567359.87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37">
        <v>35428.19</v>
      </c>
      <c r="AD54" s="29">
        <v>0</v>
      </c>
      <c r="AE54" s="29">
        <v>0</v>
      </c>
      <c r="AF54" s="32" t="s">
        <v>268</v>
      </c>
      <c r="AG54" s="32">
        <v>2020</v>
      </c>
      <c r="AH54" s="33">
        <v>2020</v>
      </c>
      <c r="AT54" s="18" t="e">
        <f>VLOOKUP(C54,AW:AX,2,FALSE)</f>
        <v>#N/A</v>
      </c>
      <c r="BZ54" s="61"/>
      <c r="CD54" s="18">
        <f>VLOOKUP(C54,CE:CF,2,FALSE)</f>
        <v>1603.24</v>
      </c>
      <c r="CE54" s="85" t="s">
        <v>1531</v>
      </c>
      <c r="CF54" s="85">
        <v>1004.3</v>
      </c>
    </row>
    <row r="55" spans="1:84" ht="61.5" x14ac:dyDescent="0.85">
      <c r="A55" s="18">
        <v>1</v>
      </c>
      <c r="B55" s="57">
        <f>SUBTOTAL(103,$A$22:A55)</f>
        <v>34</v>
      </c>
      <c r="C55" s="22" t="s">
        <v>516</v>
      </c>
      <c r="D55" s="29">
        <f t="shared" si="3"/>
        <v>4237431.1099999994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31">
        <v>0</v>
      </c>
      <c r="L55" s="29">
        <v>0</v>
      </c>
      <c r="M55" s="37">
        <v>1812</v>
      </c>
      <c r="N55" s="37">
        <v>4179750.55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37">
        <v>57680.56</v>
      </c>
      <c r="AD55" s="29">
        <v>0</v>
      </c>
      <c r="AE55" s="29">
        <v>0</v>
      </c>
      <c r="AF55" s="32" t="s">
        <v>268</v>
      </c>
      <c r="AG55" s="32">
        <v>2020</v>
      </c>
      <c r="AH55" s="33">
        <v>2020</v>
      </c>
      <c r="AT55" s="18" t="e">
        <f>VLOOKUP(C55,AW:AX,2,FALSE)</f>
        <v>#N/A</v>
      </c>
      <c r="BZ55" s="61"/>
      <c r="CD55" s="18">
        <f>VLOOKUP(C55,CE:CF,2,FALSE)</f>
        <v>2070.63</v>
      </c>
      <c r="CE55" s="85" t="s">
        <v>1517</v>
      </c>
      <c r="CF55" s="85">
        <v>334.8</v>
      </c>
    </row>
    <row r="56" spans="1:84" ht="61.5" x14ac:dyDescent="0.85">
      <c r="A56" s="18">
        <v>1</v>
      </c>
      <c r="B56" s="57">
        <f>SUBTOTAL(103,$A$22:A56)</f>
        <v>35</v>
      </c>
      <c r="C56" s="22" t="s">
        <v>517</v>
      </c>
      <c r="D56" s="29">
        <f t="shared" si="3"/>
        <v>2474623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31">
        <v>0</v>
      </c>
      <c r="L56" s="29">
        <v>0</v>
      </c>
      <c r="M56" s="37">
        <v>767</v>
      </c>
      <c r="N56" s="37">
        <v>2474623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32" t="s">
        <v>268</v>
      </c>
      <c r="AG56" s="32">
        <v>2020</v>
      </c>
      <c r="AH56" s="33" t="s">
        <v>268</v>
      </c>
      <c r="AT56" s="18" t="e">
        <f>VLOOKUP(C56,AW:AX,2,FALSE)</f>
        <v>#N/A</v>
      </c>
      <c r="BZ56" s="61"/>
      <c r="CD56" s="18">
        <f>VLOOKUP(C56,CE:CF,2,FALSE)</f>
        <v>777.1</v>
      </c>
      <c r="CE56" s="85" t="s">
        <v>1529</v>
      </c>
      <c r="CF56" s="85">
        <v>1585</v>
      </c>
    </row>
    <row r="57" spans="1:84" ht="61.5" x14ac:dyDescent="0.85">
      <c r="A57" s="18">
        <v>1</v>
      </c>
      <c r="B57" s="57">
        <f>SUBTOTAL(103,$A$22:A57)</f>
        <v>36</v>
      </c>
      <c r="C57" s="22" t="s">
        <v>518</v>
      </c>
      <c r="D57" s="29">
        <f t="shared" si="3"/>
        <v>3215346.54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31">
        <v>0</v>
      </c>
      <c r="L57" s="29">
        <v>0</v>
      </c>
      <c r="M57" s="37">
        <v>976</v>
      </c>
      <c r="N57" s="37">
        <v>3171578.75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37">
        <v>43767.79</v>
      </c>
      <c r="AD57" s="29">
        <v>0</v>
      </c>
      <c r="AE57" s="29">
        <v>0</v>
      </c>
      <c r="AF57" s="32" t="s">
        <v>268</v>
      </c>
      <c r="AG57" s="32">
        <v>2020</v>
      </c>
      <c r="AH57" s="33">
        <v>2020</v>
      </c>
      <c r="AT57" s="18" t="e">
        <f>VLOOKUP(C57,AW:AX,2,FALSE)</f>
        <v>#N/A</v>
      </c>
      <c r="BZ57" s="61"/>
      <c r="CD57" s="18">
        <f>VLOOKUP(C57,CE:CF,2,FALSE)</f>
        <v>1000</v>
      </c>
      <c r="CE57" s="85" t="s">
        <v>1518</v>
      </c>
      <c r="CF57" s="85">
        <v>543.6</v>
      </c>
    </row>
    <row r="58" spans="1:84" ht="61.5" x14ac:dyDescent="0.85">
      <c r="A58" s="18">
        <v>1</v>
      </c>
      <c r="B58" s="57">
        <f>SUBTOTAL(103,$A$22:A58)</f>
        <v>37</v>
      </c>
      <c r="C58" s="22" t="s">
        <v>519</v>
      </c>
      <c r="D58" s="29">
        <f t="shared" si="3"/>
        <v>2336593.7599999998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31">
        <v>0</v>
      </c>
      <c r="L58" s="29">
        <v>0</v>
      </c>
      <c r="M58" s="37">
        <v>579</v>
      </c>
      <c r="N58" s="37">
        <v>2304787.69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37">
        <v>31806.07</v>
      </c>
      <c r="AD58" s="29">
        <v>0</v>
      </c>
      <c r="AE58" s="29">
        <v>0</v>
      </c>
      <c r="AF58" s="32" t="s">
        <v>268</v>
      </c>
      <c r="AG58" s="32">
        <v>2020</v>
      </c>
      <c r="AH58" s="33">
        <v>2020</v>
      </c>
      <c r="AT58" s="18" t="e">
        <f>VLOOKUP(C58,AW:AX,2,FALSE)</f>
        <v>#N/A</v>
      </c>
      <c r="BZ58" s="61"/>
      <c r="CD58" s="18">
        <f>VLOOKUP(C58,CE:CF,2,FALSE)</f>
        <v>600</v>
      </c>
      <c r="CE58" s="85" t="s">
        <v>444</v>
      </c>
      <c r="CF58" s="85">
        <v>603.71</v>
      </c>
    </row>
    <row r="59" spans="1:84" ht="61.5" x14ac:dyDescent="0.85">
      <c r="A59" s="18">
        <v>1</v>
      </c>
      <c r="B59" s="57">
        <f>SUBTOTAL(103,$A$22:A59)</f>
        <v>38</v>
      </c>
      <c r="C59" s="22" t="s">
        <v>520</v>
      </c>
      <c r="D59" s="29">
        <f t="shared" si="3"/>
        <v>2470286.52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31">
        <v>0</v>
      </c>
      <c r="L59" s="29">
        <v>0</v>
      </c>
      <c r="M59" s="37">
        <v>767</v>
      </c>
      <c r="N59" s="37">
        <v>2351994.85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134">
        <v>32457.53</v>
      </c>
      <c r="AD59" s="134">
        <v>85834.14</v>
      </c>
      <c r="AE59" s="29">
        <v>0</v>
      </c>
      <c r="AF59" s="32">
        <v>2020</v>
      </c>
      <c r="AG59" s="32">
        <v>2020</v>
      </c>
      <c r="AH59" s="33">
        <v>2020</v>
      </c>
      <c r="AT59" s="18" t="e">
        <f>VLOOKUP(C59,AW:AX,2,FALSE)</f>
        <v>#N/A</v>
      </c>
      <c r="BZ59" s="61"/>
      <c r="CD59" s="18" t="e">
        <f>VLOOKUP(C59,CE:CF,2,FALSE)</f>
        <v>#N/A</v>
      </c>
      <c r="CE59" s="85" t="s">
        <v>445</v>
      </c>
      <c r="CF59" s="85">
        <v>588.4</v>
      </c>
    </row>
    <row r="60" spans="1:84" ht="61.5" x14ac:dyDescent="0.85">
      <c r="A60" s="18">
        <v>1</v>
      </c>
      <c r="B60" s="57">
        <f>SUBTOTAL(103,$A$22:A60)</f>
        <v>39</v>
      </c>
      <c r="C60" s="22" t="s">
        <v>521</v>
      </c>
      <c r="D60" s="29">
        <f t="shared" si="3"/>
        <v>2594696.8800000004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31">
        <v>0</v>
      </c>
      <c r="L60" s="29">
        <v>0</v>
      </c>
      <c r="M60" s="37">
        <v>812</v>
      </c>
      <c r="N60" s="37">
        <v>2559377.4700000002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37">
        <v>35319.410000000003</v>
      </c>
      <c r="AD60" s="29">
        <v>0</v>
      </c>
      <c r="AE60" s="29">
        <v>0</v>
      </c>
      <c r="AF60" s="32" t="s">
        <v>268</v>
      </c>
      <c r="AG60" s="32">
        <v>2020</v>
      </c>
      <c r="AH60" s="33">
        <v>2020</v>
      </c>
      <c r="AT60" s="18" t="e">
        <f>VLOOKUP(C60,AW:AX,2,FALSE)</f>
        <v>#N/A</v>
      </c>
      <c r="BZ60" s="61"/>
      <c r="CD60" s="18">
        <f>VLOOKUP(C60,CE:CF,2,FALSE)</f>
        <v>800</v>
      </c>
      <c r="CE60" s="85" t="s">
        <v>447</v>
      </c>
      <c r="CF60" s="85">
        <v>577</v>
      </c>
    </row>
    <row r="61" spans="1:84" ht="61.5" x14ac:dyDescent="0.85">
      <c r="A61" s="18">
        <v>1</v>
      </c>
      <c r="B61" s="57">
        <f>SUBTOTAL(103,$A$22:A61)</f>
        <v>40</v>
      </c>
      <c r="C61" s="22" t="s">
        <v>522</v>
      </c>
      <c r="D61" s="29">
        <f t="shared" si="3"/>
        <v>3746791.29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64">
        <v>0</v>
      </c>
      <c r="L61" s="29">
        <v>0</v>
      </c>
      <c r="M61" s="37">
        <v>899</v>
      </c>
      <c r="N61" s="37">
        <v>3608250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8">
        <v>49793.85</v>
      </c>
      <c r="AD61" s="37">
        <v>88747.44</v>
      </c>
      <c r="AE61" s="29">
        <v>0</v>
      </c>
      <c r="AF61" s="32">
        <v>2020</v>
      </c>
      <c r="AG61" s="32">
        <v>2020</v>
      </c>
      <c r="AH61" s="32">
        <v>2020</v>
      </c>
      <c r="AT61" s="18" t="e">
        <f>VLOOKUP(C61,AW:AX,2,FALSE)</f>
        <v>#N/A</v>
      </c>
      <c r="BZ61" s="61"/>
      <c r="CD61" s="18" t="e">
        <f>VLOOKUP(C61,CE:CF,2,FALSE)</f>
        <v>#N/A</v>
      </c>
      <c r="CE61" s="85" t="s">
        <v>1138</v>
      </c>
      <c r="CF61" s="85">
        <v>633.34</v>
      </c>
    </row>
    <row r="62" spans="1:84" ht="61.5" x14ac:dyDescent="0.85">
      <c r="A62" s="18">
        <v>1</v>
      </c>
      <c r="B62" s="57">
        <f>SUBTOTAL(103,$A$22:A62)</f>
        <v>41</v>
      </c>
      <c r="C62" s="22" t="s">
        <v>524</v>
      </c>
      <c r="D62" s="29">
        <f t="shared" si="3"/>
        <v>2867076.98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31">
        <v>0</v>
      </c>
      <c r="L62" s="29">
        <v>0</v>
      </c>
      <c r="M62" s="37">
        <v>1400</v>
      </c>
      <c r="N62" s="37">
        <v>2828049.89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37">
        <v>39027.089999999997</v>
      </c>
      <c r="AD62" s="29">
        <v>0</v>
      </c>
      <c r="AE62" s="29">
        <v>0</v>
      </c>
      <c r="AF62" s="32" t="s">
        <v>268</v>
      </c>
      <c r="AG62" s="32">
        <v>2020</v>
      </c>
      <c r="AH62" s="33">
        <v>2020</v>
      </c>
      <c r="AT62" s="18" t="e">
        <f>VLOOKUP(C62,AW:AX,2,FALSE)</f>
        <v>#N/A</v>
      </c>
      <c r="BZ62" s="61"/>
      <c r="CD62" s="18">
        <f>VLOOKUP(C62,CE:CF,2,FALSE)</f>
        <v>1180.0999999999999</v>
      </c>
      <c r="CE62" s="85" t="s">
        <v>764</v>
      </c>
      <c r="CF62" s="85">
        <v>1375.9</v>
      </c>
    </row>
    <row r="63" spans="1:84" ht="61.5" x14ac:dyDescent="0.85">
      <c r="A63" s="18">
        <v>1</v>
      </c>
      <c r="B63" s="57">
        <f>SUBTOTAL(103,$A$22:A63)</f>
        <v>42</v>
      </c>
      <c r="C63" s="22" t="s">
        <v>525</v>
      </c>
      <c r="D63" s="29">
        <f t="shared" si="3"/>
        <v>62259.5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31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37">
        <v>62259.5</v>
      </c>
      <c r="AE63" s="29">
        <v>0</v>
      </c>
      <c r="AF63" s="32">
        <v>2020</v>
      </c>
      <c r="AG63" s="32" t="s">
        <v>268</v>
      </c>
      <c r="AH63" s="32" t="s">
        <v>268</v>
      </c>
      <c r="AT63" s="18" t="e">
        <f>VLOOKUP(C63,AW:AX,2,FALSE)</f>
        <v>#N/A</v>
      </c>
      <c r="BZ63" s="61"/>
      <c r="CD63" s="18" t="e">
        <f>VLOOKUP(C63,CE:CF,2,FALSE)</f>
        <v>#N/A</v>
      </c>
      <c r="CE63" s="85" t="s">
        <v>1155</v>
      </c>
      <c r="CF63" s="85">
        <v>1206.22</v>
      </c>
    </row>
    <row r="64" spans="1:84" ht="61.5" x14ac:dyDescent="0.85">
      <c r="A64" s="18">
        <v>1</v>
      </c>
      <c r="B64" s="57">
        <f>SUBTOTAL(103,$A$22:A64)</f>
        <v>43</v>
      </c>
      <c r="C64" s="22" t="s">
        <v>1360</v>
      </c>
      <c r="D64" s="29">
        <f t="shared" si="3"/>
        <v>605681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31">
        <v>0</v>
      </c>
      <c r="L64" s="29">
        <v>0</v>
      </c>
      <c r="M64" s="37">
        <v>305.76</v>
      </c>
      <c r="N64" s="37">
        <v>597436.38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37">
        <v>8244.6200000000008</v>
      </c>
      <c r="AD64" s="29">
        <v>0</v>
      </c>
      <c r="AE64" s="29">
        <v>0</v>
      </c>
      <c r="AF64" s="32" t="s">
        <v>268</v>
      </c>
      <c r="AG64" s="32">
        <v>2020</v>
      </c>
      <c r="AH64" s="33">
        <v>2020</v>
      </c>
      <c r="BZ64" s="61"/>
      <c r="CD64" s="18">
        <f>VLOOKUP(C64,CE:CF,2,FALSE)</f>
        <v>334.02</v>
      </c>
      <c r="CE64" s="85" t="s">
        <v>1158</v>
      </c>
      <c r="CF64" s="85">
        <v>1137.3</v>
      </c>
    </row>
    <row r="65" spans="1:84" ht="61.5" x14ac:dyDescent="0.85">
      <c r="A65" s="18">
        <v>1</v>
      </c>
      <c r="B65" s="57">
        <f>SUBTOTAL(103,$A$22:A65)</f>
        <v>44</v>
      </c>
      <c r="C65" s="22" t="s">
        <v>1362</v>
      </c>
      <c r="D65" s="29">
        <f t="shared" si="3"/>
        <v>3492157.8499999996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31">
        <v>0</v>
      </c>
      <c r="L65" s="29">
        <v>0</v>
      </c>
      <c r="M65" s="37">
        <v>804</v>
      </c>
      <c r="N65" s="37">
        <v>3444622.07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37">
        <v>47535.78</v>
      </c>
      <c r="AD65" s="29">
        <v>0</v>
      </c>
      <c r="AE65" s="29">
        <v>0</v>
      </c>
      <c r="AF65" s="32" t="s">
        <v>268</v>
      </c>
      <c r="AG65" s="32">
        <v>2020</v>
      </c>
      <c r="AH65" s="33">
        <v>2020</v>
      </c>
      <c r="BZ65" s="61"/>
      <c r="CD65" s="18">
        <f>VLOOKUP(C65,CE:CF,2,FALSE)</f>
        <v>789</v>
      </c>
      <c r="CE65" s="85" t="s">
        <v>377</v>
      </c>
      <c r="CF65" s="85">
        <v>386.2</v>
      </c>
    </row>
    <row r="66" spans="1:84" ht="61.5" x14ac:dyDescent="0.85">
      <c r="A66" s="18">
        <v>1</v>
      </c>
      <c r="B66" s="57">
        <f>SUBTOTAL(103,$A$22:A66)</f>
        <v>45</v>
      </c>
      <c r="C66" s="22" t="s">
        <v>1082</v>
      </c>
      <c r="D66" s="29">
        <f t="shared" si="3"/>
        <v>4195168.8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334">
        <v>3</v>
      </c>
      <c r="L66" s="37">
        <v>4195168.8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32" t="s">
        <v>268</v>
      </c>
      <c r="AG66" s="32">
        <v>2020</v>
      </c>
      <c r="AH66" s="33" t="s">
        <v>268</v>
      </c>
      <c r="BZ66" s="61"/>
      <c r="CD66" s="18" t="e">
        <f>VLOOKUP(C66,CE:CF,2,FALSE)</f>
        <v>#N/A</v>
      </c>
      <c r="CE66" s="85" t="s">
        <v>1166</v>
      </c>
      <c r="CF66" s="85">
        <v>540.5</v>
      </c>
    </row>
    <row r="67" spans="1:84" ht="61.5" x14ac:dyDescent="0.85">
      <c r="A67" s="18">
        <v>1</v>
      </c>
      <c r="B67" s="57">
        <f>SUBTOTAL(103,$A$22:A67)</f>
        <v>46</v>
      </c>
      <c r="C67" s="22" t="s">
        <v>1083</v>
      </c>
      <c r="D67" s="29">
        <f t="shared" si="3"/>
        <v>11667617.030000001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31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37">
        <v>6500</v>
      </c>
      <c r="R67" s="37">
        <v>11496038.65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37">
        <v>171578.38</v>
      </c>
      <c r="AD67" s="29">
        <v>0</v>
      </c>
      <c r="AE67" s="29">
        <v>0</v>
      </c>
      <c r="AF67" s="32" t="s">
        <v>268</v>
      </c>
      <c r="AG67" s="32">
        <v>2020</v>
      </c>
      <c r="AH67" s="33">
        <v>2020</v>
      </c>
      <c r="BZ67" s="61"/>
      <c r="CD67" s="18" t="e">
        <f>VLOOKUP(C67,CE:CF,2,FALSE)</f>
        <v>#N/A</v>
      </c>
      <c r="CE67" s="85" t="s">
        <v>1167</v>
      </c>
      <c r="CF67" s="85">
        <v>603.5</v>
      </c>
    </row>
    <row r="68" spans="1:84" ht="61.5" x14ac:dyDescent="0.85">
      <c r="A68" s="18">
        <v>1</v>
      </c>
      <c r="B68" s="57">
        <f>SUBTOTAL(103,$A$22:A68)</f>
        <v>47</v>
      </c>
      <c r="C68" s="22" t="s">
        <v>1084</v>
      </c>
      <c r="D68" s="29">
        <f t="shared" si="3"/>
        <v>7273505.4900000002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31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37">
        <v>3852.16</v>
      </c>
      <c r="R68" s="37">
        <f>2250697.93+3067188.98+1848657.9</f>
        <v>7166544.8100000005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8">
        <v>106960.68</v>
      </c>
      <c r="AD68" s="29">
        <v>0</v>
      </c>
      <c r="AE68" s="29">
        <v>0</v>
      </c>
      <c r="AF68" s="32" t="s">
        <v>268</v>
      </c>
      <c r="AG68" s="32">
        <v>2020</v>
      </c>
      <c r="AH68" s="33">
        <v>2020</v>
      </c>
      <c r="BZ68" s="61"/>
      <c r="CD68" s="18" t="e">
        <f>VLOOKUP(C68,CE:CF,2,FALSE)</f>
        <v>#N/A</v>
      </c>
      <c r="CE68" s="85" t="s">
        <v>1168</v>
      </c>
      <c r="CF68" s="85">
        <v>1650</v>
      </c>
    </row>
    <row r="69" spans="1:84" ht="61.5" x14ac:dyDescent="0.85">
      <c r="A69" s="18">
        <v>1</v>
      </c>
      <c r="B69" s="57">
        <f>SUBTOTAL(103,$A$22:A69)</f>
        <v>48</v>
      </c>
      <c r="C69" s="22" t="s">
        <v>1086</v>
      </c>
      <c r="D69" s="29">
        <f t="shared" si="3"/>
        <v>726648.72000000009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31">
        <v>0</v>
      </c>
      <c r="L69" s="29">
        <v>0</v>
      </c>
      <c r="M69" s="37">
        <v>206.2</v>
      </c>
      <c r="N69" s="37">
        <f>119355.05+607293.67</f>
        <v>726648.72000000009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32" t="s">
        <v>268</v>
      </c>
      <c r="AG69" s="32">
        <v>2020</v>
      </c>
      <c r="AH69" s="32" t="s">
        <v>268</v>
      </c>
      <c r="BZ69" s="61"/>
      <c r="CD69" s="18">
        <f>VLOOKUP(C69,CE:CF,2,FALSE)</f>
        <v>218.8</v>
      </c>
      <c r="CE69" s="85" t="s">
        <v>1175</v>
      </c>
      <c r="CF69" s="85">
        <v>1264.96</v>
      </c>
    </row>
    <row r="70" spans="1:84" ht="61.5" x14ac:dyDescent="0.85">
      <c r="A70" s="18">
        <v>1</v>
      </c>
      <c r="B70" s="57">
        <f>SUBTOTAL(103,$A$22:A70)</f>
        <v>49</v>
      </c>
      <c r="C70" s="22" t="s">
        <v>1087</v>
      </c>
      <c r="D70" s="29">
        <f t="shared" si="3"/>
        <v>3306287.7600000002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31">
        <v>0</v>
      </c>
      <c r="L70" s="29">
        <v>0</v>
      </c>
      <c r="M70" s="37">
        <v>916</v>
      </c>
      <c r="N70" s="37">
        <v>3257667.08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37">
        <v>48620.68</v>
      </c>
      <c r="AD70" s="29">
        <v>0</v>
      </c>
      <c r="AE70" s="29">
        <v>0</v>
      </c>
      <c r="AF70" s="32" t="s">
        <v>268</v>
      </c>
      <c r="AG70" s="32">
        <v>2020</v>
      </c>
      <c r="AH70" s="33">
        <v>2020</v>
      </c>
      <c r="BZ70" s="61"/>
      <c r="CD70" s="18">
        <f>VLOOKUP(C70,CE:CF,2,FALSE)</f>
        <v>912.27</v>
      </c>
      <c r="CE70" s="85" t="s">
        <v>1177</v>
      </c>
      <c r="CF70" s="85">
        <v>781</v>
      </c>
    </row>
    <row r="71" spans="1:84" ht="61.5" x14ac:dyDescent="0.85">
      <c r="A71" s="18">
        <v>1</v>
      </c>
      <c r="B71" s="57">
        <f>SUBTOTAL(103,$A$22:A71)</f>
        <v>50</v>
      </c>
      <c r="C71" s="22" t="s">
        <v>1089</v>
      </c>
      <c r="D71" s="29">
        <f t="shared" si="3"/>
        <v>4193947.02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31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37">
        <v>4132272.85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37">
        <v>61674.17</v>
      </c>
      <c r="AD71" s="29">
        <v>0</v>
      </c>
      <c r="AE71" s="29">
        <v>0</v>
      </c>
      <c r="AF71" s="32" t="s">
        <v>268</v>
      </c>
      <c r="AG71" s="32">
        <v>2020</v>
      </c>
      <c r="AH71" s="33">
        <v>2020</v>
      </c>
      <c r="BZ71" s="61"/>
      <c r="CD71" s="18" t="e">
        <f>VLOOKUP(C71,CE:CF,2,FALSE)</f>
        <v>#N/A</v>
      </c>
      <c r="CE71" s="85" t="s">
        <v>1180</v>
      </c>
      <c r="CF71" s="85">
        <v>1174.18</v>
      </c>
    </row>
    <row r="72" spans="1:84" ht="61.5" x14ac:dyDescent="0.85">
      <c r="A72" s="18">
        <v>1</v>
      </c>
      <c r="B72" s="57">
        <f>SUBTOTAL(103,$A$22:A72)</f>
        <v>51</v>
      </c>
      <c r="C72" s="22" t="s">
        <v>1090</v>
      </c>
      <c r="D72" s="29">
        <f t="shared" si="3"/>
        <v>3323174.92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31">
        <v>0</v>
      </c>
      <c r="L72" s="29">
        <v>0</v>
      </c>
      <c r="M72" s="29">
        <v>945.1</v>
      </c>
      <c r="N72" s="29">
        <v>3195303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37">
        <v>47689.9</v>
      </c>
      <c r="AD72" s="37">
        <v>80182.02</v>
      </c>
      <c r="AE72" s="29">
        <v>0</v>
      </c>
      <c r="AF72" s="32">
        <v>2020</v>
      </c>
      <c r="AG72" s="32">
        <v>2020</v>
      </c>
      <c r="AH72" s="33">
        <v>2020</v>
      </c>
      <c r="BZ72" s="61"/>
      <c r="CD72" s="18" t="e">
        <f>VLOOKUP(C72,CE:CF,2,FALSE)</f>
        <v>#N/A</v>
      </c>
      <c r="CE72" s="85" t="s">
        <v>1181</v>
      </c>
      <c r="CF72" s="85">
        <v>484</v>
      </c>
    </row>
    <row r="73" spans="1:84" ht="61.5" x14ac:dyDescent="0.85">
      <c r="A73" s="18">
        <v>1</v>
      </c>
      <c r="B73" s="57">
        <f>SUBTOTAL(103,$A$22:A73)</f>
        <v>52</v>
      </c>
      <c r="C73" s="22" t="s">
        <v>1091</v>
      </c>
      <c r="D73" s="29">
        <f t="shared" si="3"/>
        <v>4024360.63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31">
        <v>0</v>
      </c>
      <c r="L73" s="29">
        <v>0</v>
      </c>
      <c r="M73" s="37">
        <v>967.44</v>
      </c>
      <c r="N73" s="37">
        <v>3965180.31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37">
        <v>59180.32</v>
      </c>
      <c r="AD73" s="29">
        <v>0</v>
      </c>
      <c r="AE73" s="29">
        <v>0</v>
      </c>
      <c r="AF73" s="32" t="s">
        <v>268</v>
      </c>
      <c r="AG73" s="32">
        <v>2020</v>
      </c>
      <c r="AH73" s="33">
        <v>2020</v>
      </c>
      <c r="BZ73" s="61"/>
      <c r="CD73" s="18">
        <f>VLOOKUP(C73,CE:CF,2,FALSE)</f>
        <v>979.44</v>
      </c>
      <c r="CE73" s="85" t="s">
        <v>1182</v>
      </c>
      <c r="CF73" s="85">
        <v>1161</v>
      </c>
    </row>
    <row r="74" spans="1:84" ht="61.5" x14ac:dyDescent="0.85">
      <c r="A74" s="18">
        <v>1</v>
      </c>
      <c r="B74" s="57">
        <f>SUBTOTAL(103,$A$22:A74)</f>
        <v>53</v>
      </c>
      <c r="C74" s="22" t="s">
        <v>1092</v>
      </c>
      <c r="D74" s="29">
        <f t="shared" si="3"/>
        <v>2994194.1500000004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31">
        <v>0</v>
      </c>
      <c r="L74" s="29">
        <v>0</v>
      </c>
      <c r="M74" s="37">
        <v>717</v>
      </c>
      <c r="N74" s="134">
        <v>2950162.97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134">
        <v>44031.18</v>
      </c>
      <c r="AD74" s="29">
        <v>0</v>
      </c>
      <c r="AE74" s="29">
        <v>0</v>
      </c>
      <c r="AF74" s="32" t="s">
        <v>268</v>
      </c>
      <c r="AG74" s="32">
        <v>2020</v>
      </c>
      <c r="AH74" s="33">
        <v>2020</v>
      </c>
      <c r="BZ74" s="61"/>
      <c r="CD74" s="18">
        <f>VLOOKUP(C74,CE:CF,2,FALSE)</f>
        <v>730.17</v>
      </c>
      <c r="CE74" s="85" t="s">
        <v>1184</v>
      </c>
      <c r="CF74" s="85">
        <v>452.1</v>
      </c>
    </row>
    <row r="75" spans="1:84" ht="61.5" x14ac:dyDescent="0.85">
      <c r="A75" s="18">
        <v>1</v>
      </c>
      <c r="B75" s="57">
        <f>SUBTOTAL(103,$A$22:A75)</f>
        <v>54</v>
      </c>
      <c r="C75" s="22" t="s">
        <v>1094</v>
      </c>
      <c r="D75" s="29">
        <f t="shared" si="3"/>
        <v>4839579.08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31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1085</v>
      </c>
      <c r="R75" s="29">
        <v>4768410.55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37">
        <v>71168.53</v>
      </c>
      <c r="AD75" s="29">
        <v>0</v>
      </c>
      <c r="AE75" s="29">
        <v>0</v>
      </c>
      <c r="AF75" s="32" t="s">
        <v>268</v>
      </c>
      <c r="AG75" s="32">
        <v>2020</v>
      </c>
      <c r="AH75" s="33">
        <v>2020</v>
      </c>
      <c r="BZ75" s="61"/>
      <c r="CD75" s="18" t="e">
        <f>VLOOKUP(C75,CE:CF,2,FALSE)</f>
        <v>#N/A</v>
      </c>
      <c r="CE75" s="85" t="s">
        <v>1185</v>
      </c>
      <c r="CF75" s="85">
        <v>992</v>
      </c>
    </row>
    <row r="76" spans="1:84" ht="61.5" x14ac:dyDescent="0.85">
      <c r="A76" s="18">
        <v>1</v>
      </c>
      <c r="B76" s="57">
        <f>SUBTOTAL(103,$A$22:A76)</f>
        <v>55</v>
      </c>
      <c r="C76" s="22" t="s">
        <v>1095</v>
      </c>
      <c r="D76" s="29">
        <f t="shared" si="3"/>
        <v>1872015.22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31">
        <v>0</v>
      </c>
      <c r="L76" s="29">
        <v>0</v>
      </c>
      <c r="M76" s="37">
        <v>825</v>
      </c>
      <c r="N76" s="134">
        <v>1844486.26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134">
        <v>27528.959999999999</v>
      </c>
      <c r="AD76" s="29">
        <v>0</v>
      </c>
      <c r="AE76" s="29">
        <v>0</v>
      </c>
      <c r="AF76" s="32" t="s">
        <v>268</v>
      </c>
      <c r="AG76" s="32">
        <v>2020</v>
      </c>
      <c r="AH76" s="33">
        <v>2020</v>
      </c>
      <c r="BZ76" s="61"/>
      <c r="CD76" s="18">
        <f>VLOOKUP(C76,CE:CF,2,FALSE)</f>
        <v>874.18</v>
      </c>
      <c r="CE76" s="85" t="s">
        <v>632</v>
      </c>
      <c r="CF76" s="85">
        <v>796.1</v>
      </c>
    </row>
    <row r="77" spans="1:84" ht="61.5" x14ac:dyDescent="0.85">
      <c r="A77" s="18">
        <v>1</v>
      </c>
      <c r="B77" s="57">
        <f>SUBTOTAL(103,$A$22:A77)</f>
        <v>56</v>
      </c>
      <c r="C77" s="22" t="s">
        <v>1096</v>
      </c>
      <c r="D77" s="29">
        <f t="shared" ref="D77:D108" si="4">E77+F77+G77+H77+I77+J77+L77+N77+P77+R77+T77+U77+V77+W77+X77+Y77+Z77+AA77+AB77+AC77+AD77+AE77</f>
        <v>2373016.2799999998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31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37">
        <v>558.45000000000005</v>
      </c>
      <c r="R77" s="37">
        <v>2338119.84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37">
        <v>34896.44</v>
      </c>
      <c r="AD77" s="29">
        <v>0</v>
      </c>
      <c r="AE77" s="29">
        <v>0</v>
      </c>
      <c r="AF77" s="32" t="s">
        <v>268</v>
      </c>
      <c r="AG77" s="32">
        <v>2020</v>
      </c>
      <c r="AH77" s="33">
        <v>2020</v>
      </c>
      <c r="BZ77" s="61"/>
      <c r="CD77" s="18" t="e">
        <f>VLOOKUP(C77,CE:CF,2,FALSE)</f>
        <v>#N/A</v>
      </c>
      <c r="CE77" s="85" t="s">
        <v>1171</v>
      </c>
      <c r="CF77" s="85">
        <v>1995.2</v>
      </c>
    </row>
    <row r="78" spans="1:84" ht="61.5" x14ac:dyDescent="0.85">
      <c r="A78" s="18">
        <v>1</v>
      </c>
      <c r="B78" s="57">
        <f>SUBTOTAL(103,$A$22:A78)</f>
        <v>57</v>
      </c>
      <c r="C78" s="22" t="s">
        <v>1097</v>
      </c>
      <c r="D78" s="29">
        <f t="shared" si="4"/>
        <v>3249268.89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31">
        <v>0</v>
      </c>
      <c r="L78" s="29">
        <v>0</v>
      </c>
      <c r="M78" s="37">
        <f>959.6+211</f>
        <v>1170.5999999999999</v>
      </c>
      <c r="N78" s="134">
        <v>3201486.7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134">
        <v>47782.19</v>
      </c>
      <c r="AD78" s="29">
        <v>0</v>
      </c>
      <c r="AE78" s="29">
        <v>0</v>
      </c>
      <c r="AF78" s="32" t="s">
        <v>268</v>
      </c>
      <c r="AG78" s="32">
        <v>2020</v>
      </c>
      <c r="AH78" s="33">
        <v>2020</v>
      </c>
      <c r="BZ78" s="61"/>
      <c r="CD78" s="18">
        <f>VLOOKUP(C78,CE:CF,2,FALSE)</f>
        <v>1200</v>
      </c>
      <c r="CE78" s="85" t="s">
        <v>1187</v>
      </c>
      <c r="CF78" s="85">
        <v>855</v>
      </c>
    </row>
    <row r="79" spans="1:84" ht="61.5" x14ac:dyDescent="0.85">
      <c r="A79" s="18">
        <v>1</v>
      </c>
      <c r="B79" s="57">
        <f>SUBTOTAL(103,$A$22:A79)</f>
        <v>58</v>
      </c>
      <c r="C79" s="22" t="s">
        <v>1098</v>
      </c>
      <c r="D79" s="29">
        <f t="shared" si="4"/>
        <v>2561819.3000000003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31">
        <v>0</v>
      </c>
      <c r="L79" s="29">
        <v>0</v>
      </c>
      <c r="M79" s="37">
        <v>929</v>
      </c>
      <c r="N79" s="134">
        <v>2524146.41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134">
        <v>37672.89</v>
      </c>
      <c r="AD79" s="29">
        <v>0</v>
      </c>
      <c r="AE79" s="29">
        <v>0</v>
      </c>
      <c r="AF79" s="32" t="s">
        <v>268</v>
      </c>
      <c r="AG79" s="32">
        <v>2020</v>
      </c>
      <c r="AH79" s="33">
        <v>2020</v>
      </c>
      <c r="BZ79" s="61"/>
      <c r="CD79" s="18">
        <f>VLOOKUP(C79,CE:CF,2,FALSE)</f>
        <v>946</v>
      </c>
      <c r="CE79" s="85" t="s">
        <v>1173</v>
      </c>
      <c r="CF79" s="85">
        <v>1155.9000000000001</v>
      </c>
    </row>
    <row r="80" spans="1:84" ht="61.5" x14ac:dyDescent="0.85">
      <c r="A80" s="18">
        <v>1</v>
      </c>
      <c r="B80" s="57">
        <f>SUBTOTAL(103,$A$22:A80)</f>
        <v>59</v>
      </c>
      <c r="C80" s="22" t="s">
        <v>1099</v>
      </c>
      <c r="D80" s="29">
        <f t="shared" si="4"/>
        <v>967510.08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31">
        <v>0</v>
      </c>
      <c r="L80" s="29">
        <v>0</v>
      </c>
      <c r="M80" s="37">
        <v>365</v>
      </c>
      <c r="N80" s="37">
        <v>953282.34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37">
        <v>14227.74</v>
      </c>
      <c r="AD80" s="29">
        <v>0</v>
      </c>
      <c r="AE80" s="29">
        <v>0</v>
      </c>
      <c r="AF80" s="32" t="s">
        <v>268</v>
      </c>
      <c r="AG80" s="32">
        <v>2020</v>
      </c>
      <c r="AH80" s="33">
        <v>2020</v>
      </c>
      <c r="BZ80" s="61"/>
      <c r="CD80" s="18">
        <f>VLOOKUP(C80,CE:CF,2,FALSE)</f>
        <v>365.5</v>
      </c>
      <c r="CE80" s="85" t="s">
        <v>669</v>
      </c>
      <c r="CF80" s="85">
        <v>1022</v>
      </c>
    </row>
    <row r="81" spans="1:84" ht="61.5" x14ac:dyDescent="0.85">
      <c r="A81" s="18">
        <v>1</v>
      </c>
      <c r="B81" s="57">
        <f>SUBTOTAL(103,$A$22:A81)</f>
        <v>60</v>
      </c>
      <c r="C81" s="22" t="s">
        <v>1100</v>
      </c>
      <c r="D81" s="29">
        <f t="shared" si="4"/>
        <v>966024.86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31">
        <v>0</v>
      </c>
      <c r="L81" s="29">
        <v>0</v>
      </c>
      <c r="M81" s="37">
        <v>358</v>
      </c>
      <c r="N81" s="37">
        <v>951818.96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37">
        <v>14205.9</v>
      </c>
      <c r="AD81" s="29">
        <v>0</v>
      </c>
      <c r="AE81" s="29">
        <v>0</v>
      </c>
      <c r="AF81" s="32" t="s">
        <v>268</v>
      </c>
      <c r="AG81" s="32">
        <v>2020</v>
      </c>
      <c r="AH81" s="33">
        <v>2020</v>
      </c>
      <c r="BZ81" s="61"/>
      <c r="CD81" s="18">
        <f>VLOOKUP(C81,CE:CF,2,FALSE)</f>
        <v>365.5</v>
      </c>
      <c r="CE81" s="85" t="s">
        <v>1188</v>
      </c>
      <c r="CF81" s="85">
        <v>407.8</v>
      </c>
    </row>
    <row r="82" spans="1:84" ht="61.5" x14ac:dyDescent="0.85">
      <c r="A82" s="18">
        <v>1</v>
      </c>
      <c r="B82" s="57">
        <f>SUBTOTAL(103,$A$22:A82)</f>
        <v>61</v>
      </c>
      <c r="C82" s="22" t="s">
        <v>1101</v>
      </c>
      <c r="D82" s="29">
        <f t="shared" si="4"/>
        <v>2880785.14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334">
        <v>2</v>
      </c>
      <c r="L82" s="37">
        <v>2880785.14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32" t="s">
        <v>268</v>
      </c>
      <c r="AG82" s="32">
        <v>2020</v>
      </c>
      <c r="AH82" s="33" t="s">
        <v>268</v>
      </c>
      <c r="BZ82" s="61"/>
      <c r="CD82" s="18" t="e">
        <f>VLOOKUP(C82,CE:CF,2,FALSE)</f>
        <v>#N/A</v>
      </c>
      <c r="CE82" s="85" t="s">
        <v>1189</v>
      </c>
      <c r="CF82" s="85">
        <v>953.5</v>
      </c>
    </row>
    <row r="83" spans="1:84" ht="61.5" x14ac:dyDescent="0.85">
      <c r="A83" s="18">
        <v>1</v>
      </c>
      <c r="B83" s="57">
        <f>SUBTOTAL(103,$A$22:A83)</f>
        <v>62</v>
      </c>
      <c r="C83" s="22" t="s">
        <v>1102</v>
      </c>
      <c r="D83" s="29">
        <f t="shared" si="4"/>
        <v>3859190.52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334">
        <v>2</v>
      </c>
      <c r="L83" s="37">
        <v>3859190.52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32" t="s">
        <v>268</v>
      </c>
      <c r="AG83" s="32">
        <v>2020</v>
      </c>
      <c r="AH83" s="33" t="s">
        <v>268</v>
      </c>
      <c r="BZ83" s="61"/>
      <c r="CD83" s="18" t="e">
        <f>VLOOKUP(C83,CE:CF,2,FALSE)</f>
        <v>#N/A</v>
      </c>
      <c r="CE83" s="85" t="s">
        <v>1197</v>
      </c>
      <c r="CF83" s="85">
        <v>738.92</v>
      </c>
    </row>
    <row r="84" spans="1:84" ht="61.5" x14ac:dyDescent="0.85">
      <c r="A84" s="18">
        <v>1</v>
      </c>
      <c r="B84" s="57">
        <f>SUBTOTAL(103,$A$22:A84)</f>
        <v>63</v>
      </c>
      <c r="C84" s="22" t="s">
        <v>1105</v>
      </c>
      <c r="D84" s="29">
        <f t="shared" si="4"/>
        <v>216770.67</v>
      </c>
      <c r="E84" s="134">
        <v>87007.41</v>
      </c>
      <c r="F84" s="29">
        <v>0</v>
      </c>
      <c r="G84" s="29">
        <v>0</v>
      </c>
      <c r="H84" s="134">
        <v>126575.53</v>
      </c>
      <c r="I84" s="29">
        <v>0</v>
      </c>
      <c r="J84" s="29">
        <v>0</v>
      </c>
      <c r="K84" s="31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3187.73</v>
      </c>
      <c r="AD84" s="29">
        <v>0</v>
      </c>
      <c r="AE84" s="29">
        <v>0</v>
      </c>
      <c r="AF84" s="32" t="s">
        <v>268</v>
      </c>
      <c r="AG84" s="32">
        <v>2020</v>
      </c>
      <c r="AH84" s="33">
        <v>2020</v>
      </c>
      <c r="BZ84" s="61"/>
      <c r="CD84" s="18" t="e">
        <f>VLOOKUP(C84,CE:CF,2,FALSE)</f>
        <v>#N/A</v>
      </c>
      <c r="CE84" s="85" t="s">
        <v>1526</v>
      </c>
      <c r="CF84" s="85">
        <v>275.39999999999998</v>
      </c>
    </row>
    <row r="85" spans="1:84" ht="61.5" x14ac:dyDescent="0.85">
      <c r="A85" s="18">
        <v>1</v>
      </c>
      <c r="B85" s="57">
        <f>SUBTOTAL(103,$A$22:A85)</f>
        <v>64</v>
      </c>
      <c r="C85" s="22" t="s">
        <v>1111</v>
      </c>
      <c r="D85" s="29">
        <f t="shared" si="4"/>
        <v>3764827.4299999997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31">
        <v>0</v>
      </c>
      <c r="L85" s="29">
        <v>0</v>
      </c>
      <c r="M85" s="37">
        <v>1174</v>
      </c>
      <c r="N85" s="37">
        <v>3713580.03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37">
        <v>51247.4</v>
      </c>
      <c r="AD85" s="29">
        <v>0</v>
      </c>
      <c r="AE85" s="29">
        <v>0</v>
      </c>
      <c r="AF85" s="32" t="s">
        <v>268</v>
      </c>
      <c r="AG85" s="32">
        <v>2020</v>
      </c>
      <c r="AH85" s="33">
        <v>2020</v>
      </c>
      <c r="BZ85" s="61"/>
      <c r="CD85" s="18">
        <f>VLOOKUP(C85,CE:CF,2,FALSE)</f>
        <v>1124.75</v>
      </c>
      <c r="CE85" s="85" t="s">
        <v>1536</v>
      </c>
      <c r="CF85" s="85">
        <v>344.5</v>
      </c>
    </row>
    <row r="86" spans="1:84" ht="61.5" x14ac:dyDescent="0.85">
      <c r="A86" s="18">
        <v>1</v>
      </c>
      <c r="B86" s="57">
        <f>SUBTOTAL(103,$A$22:A86)</f>
        <v>65</v>
      </c>
      <c r="C86" s="22" t="s">
        <v>1112</v>
      </c>
      <c r="D86" s="29">
        <f t="shared" si="4"/>
        <v>3712372.02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31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37">
        <v>820</v>
      </c>
      <c r="R86" s="37">
        <v>3657509.38</v>
      </c>
      <c r="S86" s="29">
        <v>0</v>
      </c>
      <c r="T86" s="29">
        <v>0</v>
      </c>
      <c r="U86" s="29">
        <v>0</v>
      </c>
      <c r="V86" s="29">
        <v>0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37">
        <v>54862.64</v>
      </c>
      <c r="AD86" s="29">
        <v>0</v>
      </c>
      <c r="AE86" s="29">
        <v>0</v>
      </c>
      <c r="AF86" s="32" t="s">
        <v>268</v>
      </c>
      <c r="AG86" s="32">
        <v>2020</v>
      </c>
      <c r="AH86" s="33">
        <v>2020</v>
      </c>
      <c r="BZ86" s="61"/>
      <c r="CD86" s="18" t="e">
        <f>VLOOKUP(C86,CE:CF,2,FALSE)</f>
        <v>#N/A</v>
      </c>
      <c r="CE86" s="85" t="s">
        <v>1205</v>
      </c>
      <c r="CF86" s="85">
        <v>374.3</v>
      </c>
    </row>
    <row r="87" spans="1:84" ht="61.5" x14ac:dyDescent="0.85">
      <c r="A87" s="18">
        <v>1</v>
      </c>
      <c r="B87" s="57">
        <f>SUBTOTAL(103,$A$22:A87)</f>
        <v>66</v>
      </c>
      <c r="C87" s="22" t="s">
        <v>1113</v>
      </c>
      <c r="D87" s="29">
        <f t="shared" si="4"/>
        <v>1900391.55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31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37">
        <v>516</v>
      </c>
      <c r="R87" s="37">
        <v>1872306.95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37">
        <v>28084.6</v>
      </c>
      <c r="AD87" s="29">
        <v>0</v>
      </c>
      <c r="AE87" s="29">
        <v>0</v>
      </c>
      <c r="AF87" s="32" t="s">
        <v>268</v>
      </c>
      <c r="AG87" s="32">
        <v>2020</v>
      </c>
      <c r="AH87" s="33">
        <v>2020</v>
      </c>
      <c r="BZ87" s="61"/>
      <c r="CD87" s="18" t="e">
        <f>VLOOKUP(C87,CE:CF,2,FALSE)</f>
        <v>#N/A</v>
      </c>
      <c r="CE87" s="85" t="s">
        <v>1519</v>
      </c>
      <c r="CF87" s="85">
        <v>329.1</v>
      </c>
    </row>
    <row r="88" spans="1:84" ht="61.5" x14ac:dyDescent="0.85">
      <c r="A88" s="18">
        <v>1</v>
      </c>
      <c r="B88" s="57">
        <f>SUBTOTAL(103,$A$22:A88)</f>
        <v>67</v>
      </c>
      <c r="C88" s="22" t="s">
        <v>1114</v>
      </c>
      <c r="D88" s="29">
        <f t="shared" si="4"/>
        <v>2106147.9500000002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31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37">
        <v>559</v>
      </c>
      <c r="R88" s="37">
        <v>2075022.61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37">
        <v>31125.34</v>
      </c>
      <c r="AD88" s="29">
        <v>0</v>
      </c>
      <c r="AE88" s="29">
        <v>0</v>
      </c>
      <c r="AF88" s="32" t="s">
        <v>268</v>
      </c>
      <c r="AG88" s="32">
        <v>2020</v>
      </c>
      <c r="AH88" s="33">
        <v>2020</v>
      </c>
      <c r="BZ88" s="61"/>
      <c r="CD88" s="18" t="e">
        <f>VLOOKUP(C88,CE:CF,2,FALSE)</f>
        <v>#N/A</v>
      </c>
      <c r="CE88" s="85" t="s">
        <v>1520</v>
      </c>
      <c r="CF88" s="85">
        <v>611</v>
      </c>
    </row>
    <row r="89" spans="1:84" ht="61.5" x14ac:dyDescent="0.85">
      <c r="A89" s="18">
        <v>1</v>
      </c>
      <c r="B89" s="57">
        <f>SUBTOTAL(103,$A$22:A89)</f>
        <v>68</v>
      </c>
      <c r="C89" s="22" t="s">
        <v>1115</v>
      </c>
      <c r="D89" s="29">
        <f t="shared" si="4"/>
        <v>2813385.7399999998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31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37">
        <v>1522.8</v>
      </c>
      <c r="R89" s="37">
        <v>2771808.61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37">
        <v>41577.129999999997</v>
      </c>
      <c r="AD89" s="29">
        <v>0</v>
      </c>
      <c r="AE89" s="29">
        <v>0</v>
      </c>
      <c r="AF89" s="32" t="s">
        <v>268</v>
      </c>
      <c r="AG89" s="32">
        <v>2020</v>
      </c>
      <c r="AH89" s="33">
        <v>2020</v>
      </c>
      <c r="BZ89" s="61"/>
      <c r="CD89" s="18" t="e">
        <f>VLOOKUP(C89,CE:CF,2,FALSE)</f>
        <v>#N/A</v>
      </c>
      <c r="CE89" s="85" t="s">
        <v>1534</v>
      </c>
      <c r="CF89" s="85">
        <v>606</v>
      </c>
    </row>
    <row r="90" spans="1:84" ht="61.5" x14ac:dyDescent="0.85">
      <c r="A90" s="18">
        <v>1</v>
      </c>
      <c r="B90" s="57">
        <f>SUBTOTAL(103,$A$22:A90)</f>
        <v>69</v>
      </c>
      <c r="C90" s="22" t="s">
        <v>1116</v>
      </c>
      <c r="D90" s="29">
        <f t="shared" si="4"/>
        <v>2278510.5799999996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31">
        <v>0</v>
      </c>
      <c r="L90" s="29">
        <v>0</v>
      </c>
      <c r="M90" s="37">
        <v>556.6</v>
      </c>
      <c r="N90" s="37">
        <v>2244838.0099999998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37">
        <v>33672.57</v>
      </c>
      <c r="AD90" s="29">
        <v>0</v>
      </c>
      <c r="AE90" s="29">
        <v>0</v>
      </c>
      <c r="AF90" s="32" t="s">
        <v>268</v>
      </c>
      <c r="AG90" s="32">
        <v>2020</v>
      </c>
      <c r="AH90" s="33">
        <v>2020</v>
      </c>
      <c r="BZ90" s="61"/>
      <c r="CD90" s="18">
        <f>VLOOKUP(C90,CE:CF,2,FALSE)</f>
        <v>556.6</v>
      </c>
      <c r="CE90" s="85" t="s">
        <v>1521</v>
      </c>
      <c r="CF90" s="85">
        <v>249</v>
      </c>
    </row>
    <row r="91" spans="1:84" ht="61.5" x14ac:dyDescent="0.85">
      <c r="A91" s="18">
        <v>1</v>
      </c>
      <c r="B91" s="57">
        <f>SUBTOTAL(103,$A$22:A91)</f>
        <v>70</v>
      </c>
      <c r="C91" s="22" t="s">
        <v>1117</v>
      </c>
      <c r="D91" s="29">
        <f t="shared" si="4"/>
        <v>2391493.25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31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37">
        <v>643</v>
      </c>
      <c r="R91" s="37">
        <v>2356150.9900000002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37">
        <v>35342.26</v>
      </c>
      <c r="AD91" s="29">
        <v>0</v>
      </c>
      <c r="AE91" s="29">
        <v>0</v>
      </c>
      <c r="AF91" s="32" t="s">
        <v>268</v>
      </c>
      <c r="AG91" s="32">
        <v>2020</v>
      </c>
      <c r="AH91" s="33">
        <v>2020</v>
      </c>
      <c r="BZ91" s="61"/>
      <c r="CD91" s="18" t="e">
        <f>VLOOKUP(C91,CE:CF,2,FALSE)</f>
        <v>#N/A</v>
      </c>
      <c r="CE91" s="85" t="s">
        <v>1522</v>
      </c>
      <c r="CF91" s="85">
        <v>309</v>
      </c>
    </row>
    <row r="92" spans="1:84" ht="61.5" x14ac:dyDescent="0.85">
      <c r="A92" s="18">
        <v>1</v>
      </c>
      <c r="B92" s="57">
        <f>SUBTOTAL(103,$A$22:A92)</f>
        <v>71</v>
      </c>
      <c r="C92" s="22" t="s">
        <v>1119</v>
      </c>
      <c r="D92" s="29">
        <f t="shared" si="4"/>
        <v>4355328.45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31">
        <v>0</v>
      </c>
      <c r="L92" s="29">
        <v>0</v>
      </c>
      <c r="M92" s="134">
        <v>1083.7</v>
      </c>
      <c r="N92" s="134">
        <v>4291281.08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8">
        <v>64047.37</v>
      </c>
      <c r="AD92" s="29">
        <v>0</v>
      </c>
      <c r="AE92" s="29">
        <v>0</v>
      </c>
      <c r="AF92" s="32" t="s">
        <v>268</v>
      </c>
      <c r="AG92" s="32">
        <v>2020</v>
      </c>
      <c r="AH92" s="33">
        <v>2020</v>
      </c>
      <c r="BZ92" s="61"/>
      <c r="CD92" s="18" t="e">
        <f>VLOOKUP(C92,CE:CF,2,FALSE)</f>
        <v>#N/A</v>
      </c>
      <c r="CE92" s="85" t="s">
        <v>1541</v>
      </c>
      <c r="CF92" s="85">
        <v>762.8</v>
      </c>
    </row>
    <row r="93" spans="1:84" ht="61.5" x14ac:dyDescent="0.85">
      <c r="A93" s="18">
        <v>1</v>
      </c>
      <c r="B93" s="57">
        <f>SUBTOTAL(103,$A$22:A93)</f>
        <v>72</v>
      </c>
      <c r="C93" s="22" t="s">
        <v>1122</v>
      </c>
      <c r="D93" s="29">
        <f t="shared" si="4"/>
        <v>1505981.24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31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37">
        <v>680</v>
      </c>
      <c r="R93" s="37">
        <v>1483835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37">
        <v>22146.240000000002</v>
      </c>
      <c r="AD93" s="29">
        <v>0</v>
      </c>
      <c r="AE93" s="29">
        <v>0</v>
      </c>
      <c r="AF93" s="32" t="s">
        <v>268</v>
      </c>
      <c r="AG93" s="32">
        <v>2020</v>
      </c>
      <c r="AH93" s="33">
        <v>2020</v>
      </c>
      <c r="BZ93" s="61"/>
      <c r="CD93" s="18" t="e">
        <f>VLOOKUP(C93,CE:CF,2,FALSE)</f>
        <v>#N/A</v>
      </c>
      <c r="CE93" s="85" t="s">
        <v>115</v>
      </c>
      <c r="CF93" s="85">
        <v>1256.9000000000001</v>
      </c>
    </row>
    <row r="94" spans="1:84" ht="61.5" x14ac:dyDescent="0.85">
      <c r="A94" s="18">
        <v>1</v>
      </c>
      <c r="B94" s="57">
        <f>SUBTOTAL(103,$A$22:A94)</f>
        <v>73</v>
      </c>
      <c r="C94" s="22" t="s">
        <v>1123</v>
      </c>
      <c r="D94" s="29">
        <f t="shared" si="4"/>
        <v>820883.7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31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37">
        <v>432</v>
      </c>
      <c r="R94" s="37">
        <v>760754.47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8">
        <v>11354.26</v>
      </c>
      <c r="AD94" s="37">
        <v>48774.97</v>
      </c>
      <c r="AE94" s="29">
        <v>0</v>
      </c>
      <c r="AF94" s="32">
        <v>2020</v>
      </c>
      <c r="AG94" s="32">
        <v>2020</v>
      </c>
      <c r="AH94" s="33">
        <v>2020</v>
      </c>
      <c r="BZ94" s="61"/>
      <c r="CD94" s="18" t="e">
        <f>VLOOKUP(C94,CE:CF,2,FALSE)</f>
        <v>#N/A</v>
      </c>
      <c r="CE94" s="85" t="s">
        <v>1212</v>
      </c>
      <c r="CF94" s="85">
        <v>1150.3</v>
      </c>
    </row>
    <row r="95" spans="1:84" ht="61.5" x14ac:dyDescent="0.85">
      <c r="A95" s="18">
        <v>1</v>
      </c>
      <c r="B95" s="57">
        <f>SUBTOTAL(103,$A$22:A95)</f>
        <v>74</v>
      </c>
      <c r="C95" s="22" t="s">
        <v>1532</v>
      </c>
      <c r="D95" s="29">
        <f t="shared" si="4"/>
        <v>1677475.96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31">
        <v>0</v>
      </c>
      <c r="L95" s="29">
        <v>0</v>
      </c>
      <c r="M95" s="335">
        <v>466.12</v>
      </c>
      <c r="N95" s="335">
        <v>1677475.96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32" t="s">
        <v>268</v>
      </c>
      <c r="AG95" s="32">
        <v>2020</v>
      </c>
      <c r="AH95" s="33" t="s">
        <v>268</v>
      </c>
      <c r="BZ95" s="61"/>
      <c r="CD95" s="18">
        <f>VLOOKUP(C95,CE:CF,2,FALSE)</f>
        <v>466.12</v>
      </c>
      <c r="CE95" s="85" t="s">
        <v>1213</v>
      </c>
      <c r="CF95" s="85">
        <v>763.8</v>
      </c>
    </row>
    <row r="96" spans="1:84" ht="61.5" x14ac:dyDescent="0.85">
      <c r="A96" s="18">
        <v>1</v>
      </c>
      <c r="B96" s="57">
        <f>SUBTOTAL(103,$A$22:A96)</f>
        <v>75</v>
      </c>
      <c r="C96" s="22" t="s">
        <v>1528</v>
      </c>
      <c r="D96" s="29">
        <f t="shared" si="4"/>
        <v>3647517.81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31">
        <v>0</v>
      </c>
      <c r="L96" s="29">
        <v>0</v>
      </c>
      <c r="M96" s="335">
        <v>859</v>
      </c>
      <c r="N96" s="335">
        <v>3593879.16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37">
        <v>53638.65</v>
      </c>
      <c r="AD96" s="29">
        <v>0</v>
      </c>
      <c r="AE96" s="29">
        <v>0</v>
      </c>
      <c r="AF96" s="32" t="s">
        <v>268</v>
      </c>
      <c r="AG96" s="32">
        <v>2020</v>
      </c>
      <c r="AH96" s="33">
        <v>2020</v>
      </c>
      <c r="BZ96" s="61"/>
      <c r="CD96" s="18">
        <f>VLOOKUP(C96,CE:CF,2,FALSE)</f>
        <v>859</v>
      </c>
      <c r="CE96" s="85" t="s">
        <v>1214</v>
      </c>
      <c r="CF96" s="85">
        <v>461.1</v>
      </c>
    </row>
    <row r="97" spans="1:84" ht="61.5" x14ac:dyDescent="0.85">
      <c r="A97" s="18">
        <v>1</v>
      </c>
      <c r="B97" s="57">
        <f>SUBTOTAL(103,$A$22:A97)</f>
        <v>76</v>
      </c>
      <c r="C97" s="22" t="s">
        <v>1531</v>
      </c>
      <c r="D97" s="29">
        <f t="shared" si="4"/>
        <v>5096776.0799999991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31">
        <v>0</v>
      </c>
      <c r="L97" s="29">
        <v>0</v>
      </c>
      <c r="M97" s="335">
        <v>996</v>
      </c>
      <c r="N97" s="335">
        <v>5021454.2699999996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37">
        <v>75321.81</v>
      </c>
      <c r="AD97" s="29">
        <v>0</v>
      </c>
      <c r="AE97" s="29">
        <v>0</v>
      </c>
      <c r="AF97" s="32" t="s">
        <v>268</v>
      </c>
      <c r="AG97" s="32">
        <v>2020</v>
      </c>
      <c r="AH97" s="33">
        <v>2020</v>
      </c>
      <c r="BZ97" s="61"/>
      <c r="CD97" s="18">
        <f>VLOOKUP(C97,CE:CF,2,FALSE)</f>
        <v>1004.3</v>
      </c>
      <c r="CE97" s="85" t="s">
        <v>1216</v>
      </c>
      <c r="CF97" s="85">
        <v>1528.9</v>
      </c>
    </row>
    <row r="98" spans="1:84" ht="61.5" x14ac:dyDescent="0.85">
      <c r="A98" s="18">
        <v>1</v>
      </c>
      <c r="B98" s="57">
        <f>SUBTOTAL(103,$A$22:A98)</f>
        <v>77</v>
      </c>
      <c r="C98" s="22" t="s">
        <v>1527</v>
      </c>
      <c r="D98" s="29">
        <f t="shared" si="4"/>
        <v>3789473.9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31">
        <v>0</v>
      </c>
      <c r="L98" s="29">
        <v>0</v>
      </c>
      <c r="M98" s="335">
        <v>1028.5</v>
      </c>
      <c r="N98" s="335">
        <v>3733471.82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335">
        <v>56002.080000000002</v>
      </c>
      <c r="AD98" s="29">
        <v>0</v>
      </c>
      <c r="AE98" s="29">
        <v>0</v>
      </c>
      <c r="AF98" s="32" t="s">
        <v>268</v>
      </c>
      <c r="AG98" s="32">
        <v>2020</v>
      </c>
      <c r="AH98" s="33">
        <v>2020</v>
      </c>
      <c r="BZ98" s="61"/>
      <c r="CD98" s="18">
        <f>VLOOKUP(C98,CE:CF,2,FALSE)</f>
        <v>1028.5</v>
      </c>
      <c r="CE98" s="85" t="s">
        <v>120</v>
      </c>
      <c r="CF98" s="85">
        <v>541.1</v>
      </c>
    </row>
    <row r="99" spans="1:84" ht="61.5" x14ac:dyDescent="0.85">
      <c r="A99" s="18">
        <v>1</v>
      </c>
      <c r="B99" s="57">
        <f>SUBTOTAL(103,$A$22:A99)</f>
        <v>78</v>
      </c>
      <c r="C99" s="22" t="s">
        <v>1517</v>
      </c>
      <c r="D99" s="29">
        <f t="shared" si="4"/>
        <v>597387.81000000006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31">
        <v>0</v>
      </c>
      <c r="L99" s="29">
        <v>0</v>
      </c>
      <c r="M99" s="335">
        <v>294</v>
      </c>
      <c r="N99" s="335">
        <v>588602.91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37">
        <v>8784.9</v>
      </c>
      <c r="AD99" s="29">
        <v>0</v>
      </c>
      <c r="AE99" s="29">
        <v>0</v>
      </c>
      <c r="AF99" s="32" t="s">
        <v>268</v>
      </c>
      <c r="AG99" s="32">
        <v>2020</v>
      </c>
      <c r="AH99" s="33">
        <v>2020</v>
      </c>
      <c r="BZ99" s="61"/>
      <c r="CD99" s="18">
        <f>VLOOKUP(C99,CE:CF,2,FALSE)</f>
        <v>334.8</v>
      </c>
      <c r="CE99" s="85" t="s">
        <v>170</v>
      </c>
      <c r="CF99" s="85">
        <v>678.3</v>
      </c>
    </row>
    <row r="100" spans="1:84" ht="61.5" x14ac:dyDescent="0.85">
      <c r="A100" s="18">
        <v>1</v>
      </c>
      <c r="B100" s="57">
        <f>SUBTOTAL(103,$A$22:A100)</f>
        <v>79</v>
      </c>
      <c r="C100" s="22" t="s">
        <v>1529</v>
      </c>
      <c r="D100" s="29">
        <f t="shared" si="4"/>
        <v>4468866.21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31">
        <v>0</v>
      </c>
      <c r="L100" s="29">
        <v>0</v>
      </c>
      <c r="M100" s="37">
        <v>1545</v>
      </c>
      <c r="N100" s="37">
        <v>4403149.21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37">
        <v>65717</v>
      </c>
      <c r="AD100" s="29">
        <v>0</v>
      </c>
      <c r="AE100" s="29">
        <v>0</v>
      </c>
      <c r="AF100" s="32" t="s">
        <v>268</v>
      </c>
      <c r="AG100" s="32">
        <v>2020</v>
      </c>
      <c r="AH100" s="33">
        <v>2020</v>
      </c>
      <c r="BZ100" s="61"/>
      <c r="CD100" s="18">
        <f>VLOOKUP(C100,CE:CF,2,FALSE)</f>
        <v>1585</v>
      </c>
      <c r="CE100" s="85" t="s">
        <v>1222</v>
      </c>
      <c r="CF100" s="85">
        <v>975.2</v>
      </c>
    </row>
    <row r="101" spans="1:84" ht="61.5" x14ac:dyDescent="0.85">
      <c r="A101" s="18">
        <v>1</v>
      </c>
      <c r="B101" s="57">
        <f>SUBTOTAL(103,$A$22:A101)</f>
        <v>80</v>
      </c>
      <c r="C101" s="22" t="s">
        <v>1530</v>
      </c>
      <c r="D101" s="29">
        <f t="shared" si="4"/>
        <v>6330505.6400000006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31">
        <v>0</v>
      </c>
      <c r="L101" s="29">
        <v>0</v>
      </c>
      <c r="M101" s="335">
        <v>1663.4</v>
      </c>
      <c r="N101" s="335">
        <v>6142341.9000000004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335">
        <v>91674.45</v>
      </c>
      <c r="AD101" s="37">
        <v>96489.29</v>
      </c>
      <c r="AE101" s="29">
        <v>0</v>
      </c>
      <c r="AF101" s="32">
        <v>2020</v>
      </c>
      <c r="AG101" s="32">
        <v>2020</v>
      </c>
      <c r="AH101" s="33">
        <v>2020</v>
      </c>
      <c r="BZ101" s="61"/>
      <c r="CD101" s="18" t="e">
        <f>VLOOKUP(C101,CE:CF,2,FALSE)</f>
        <v>#N/A</v>
      </c>
      <c r="CE101" s="85" t="s">
        <v>1223</v>
      </c>
      <c r="CF101" s="85">
        <v>600</v>
      </c>
    </row>
    <row r="102" spans="1:84" ht="61.5" x14ac:dyDescent="0.85">
      <c r="A102" s="18">
        <v>1</v>
      </c>
      <c r="B102" s="57">
        <f>SUBTOTAL(103,$A$22:A102)</f>
        <v>81</v>
      </c>
      <c r="C102" s="22" t="s">
        <v>1518</v>
      </c>
      <c r="D102" s="29">
        <f t="shared" si="4"/>
        <v>1913423.73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31">
        <v>0</v>
      </c>
      <c r="L102" s="29">
        <v>0</v>
      </c>
      <c r="M102" s="335">
        <v>508</v>
      </c>
      <c r="N102" s="335">
        <v>1913423.73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29">
        <v>0</v>
      </c>
      <c r="AF102" s="32" t="s">
        <v>268</v>
      </c>
      <c r="AG102" s="32">
        <v>2020</v>
      </c>
      <c r="AH102" s="33" t="s">
        <v>268</v>
      </c>
      <c r="BZ102" s="61"/>
      <c r="CD102" s="18">
        <f>VLOOKUP(C102,CE:CF,2,FALSE)</f>
        <v>543.6</v>
      </c>
      <c r="CE102" s="85" t="s">
        <v>107</v>
      </c>
      <c r="CF102" s="85">
        <v>596.4</v>
      </c>
    </row>
    <row r="103" spans="1:84" ht="61.5" x14ac:dyDescent="0.85">
      <c r="A103" s="18">
        <v>1</v>
      </c>
      <c r="B103" s="57">
        <f>SUBTOTAL(103,$A$22:A103)</f>
        <v>82</v>
      </c>
      <c r="C103" s="22" t="s">
        <v>1571</v>
      </c>
      <c r="D103" s="29">
        <f t="shared" si="4"/>
        <v>1963557.73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64">
        <v>0</v>
      </c>
      <c r="L103" s="29">
        <v>0</v>
      </c>
      <c r="M103" s="84">
        <v>501.3</v>
      </c>
      <c r="N103" s="84">
        <v>1871204.38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8">
        <v>25822.62</v>
      </c>
      <c r="AD103" s="37">
        <v>66530.73</v>
      </c>
      <c r="AE103" s="29">
        <v>0</v>
      </c>
      <c r="AF103" s="32">
        <v>2020</v>
      </c>
      <c r="AG103" s="32">
        <v>2020</v>
      </c>
      <c r="AH103" s="32">
        <v>2020</v>
      </c>
      <c r="BZ103" s="61"/>
      <c r="CD103" s="18" t="e">
        <f>VLOOKUP(C103,CE:CF,2,FALSE)</f>
        <v>#N/A</v>
      </c>
      <c r="CE103" s="85" t="s">
        <v>109</v>
      </c>
      <c r="CF103" s="85">
        <v>936.1</v>
      </c>
    </row>
    <row r="104" spans="1:84" ht="61.5" x14ac:dyDescent="0.85">
      <c r="A104" s="18">
        <v>1</v>
      </c>
      <c r="B104" s="57">
        <f>SUBTOTAL(103,$A$22:A104)</f>
        <v>83</v>
      </c>
      <c r="C104" s="22" t="s">
        <v>1573</v>
      </c>
      <c r="D104" s="29">
        <f t="shared" si="4"/>
        <v>86742.97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31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37">
        <v>86742.97</v>
      </c>
      <c r="AE104" s="29">
        <v>0</v>
      </c>
      <c r="AF104" s="32">
        <v>2020</v>
      </c>
      <c r="AG104" s="33" t="s">
        <v>268</v>
      </c>
      <c r="AH104" s="33" t="s">
        <v>268</v>
      </c>
      <c r="BZ104" s="61"/>
      <c r="CD104" s="18" t="e">
        <f>VLOOKUP(C104,CE:CF,2,FALSE)</f>
        <v>#N/A</v>
      </c>
      <c r="CE104" s="85" t="s">
        <v>1226</v>
      </c>
      <c r="CF104" s="85">
        <v>901.42</v>
      </c>
    </row>
    <row r="105" spans="1:84" ht="61.5" x14ac:dyDescent="0.85">
      <c r="A105" s="18">
        <v>1</v>
      </c>
      <c r="B105" s="57">
        <f>SUBTOTAL(103,$A$22:A105)</f>
        <v>84</v>
      </c>
      <c r="C105" s="22" t="s">
        <v>1575</v>
      </c>
      <c r="D105" s="29">
        <f t="shared" si="4"/>
        <v>70589.929999999993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31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37">
        <v>70589.929999999993</v>
      </c>
      <c r="AE105" s="29">
        <v>0</v>
      </c>
      <c r="AF105" s="32">
        <v>2020</v>
      </c>
      <c r="AG105" s="33" t="s">
        <v>268</v>
      </c>
      <c r="AH105" s="33" t="s">
        <v>268</v>
      </c>
      <c r="BZ105" s="61"/>
      <c r="CD105" s="18" t="e">
        <f>VLOOKUP(C105,CE:CF,2,FALSE)</f>
        <v>#N/A</v>
      </c>
      <c r="CE105" s="85" t="s">
        <v>43</v>
      </c>
      <c r="CF105" s="85">
        <v>566</v>
      </c>
    </row>
    <row r="106" spans="1:84" ht="61.5" x14ac:dyDescent="0.85">
      <c r="A106" s="18">
        <v>1</v>
      </c>
      <c r="B106" s="57">
        <f>SUBTOTAL(103,$A$22:A106)</f>
        <v>85</v>
      </c>
      <c r="C106" s="22" t="s">
        <v>1576</v>
      </c>
      <c r="D106" s="29">
        <f t="shared" si="4"/>
        <v>2062889.95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31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37">
        <v>780</v>
      </c>
      <c r="R106" s="37">
        <v>1965144.06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37">
        <v>27118.99</v>
      </c>
      <c r="AD106" s="134">
        <v>70626.899999999994</v>
      </c>
      <c r="AE106" s="29">
        <v>0</v>
      </c>
      <c r="AF106" s="32">
        <v>2020</v>
      </c>
      <c r="AG106" s="32">
        <v>2020</v>
      </c>
      <c r="AH106" s="33">
        <v>2020</v>
      </c>
      <c r="BZ106" s="61"/>
      <c r="CD106" s="18" t="e">
        <f>VLOOKUP(C106,CE:CF,2,FALSE)</f>
        <v>#N/A</v>
      </c>
      <c r="CE106" s="85" t="s">
        <v>45</v>
      </c>
      <c r="CF106" s="85">
        <v>562</v>
      </c>
    </row>
    <row r="107" spans="1:84" ht="61.5" x14ac:dyDescent="0.85">
      <c r="A107" s="18">
        <v>1</v>
      </c>
      <c r="B107" s="57">
        <f>SUBTOTAL(103,$A$22:A107)</f>
        <v>86</v>
      </c>
      <c r="C107" s="22" t="s">
        <v>1598</v>
      </c>
      <c r="D107" s="29">
        <f t="shared" si="4"/>
        <v>1414038.2200000002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31">
        <v>0</v>
      </c>
      <c r="L107" s="29">
        <v>0</v>
      </c>
      <c r="M107" s="37">
        <v>289</v>
      </c>
      <c r="N107" s="37">
        <v>1394790.12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37">
        <v>19248.099999999999</v>
      </c>
      <c r="AD107" s="29">
        <v>0</v>
      </c>
      <c r="AE107" s="29">
        <v>0</v>
      </c>
      <c r="AF107" s="32" t="s">
        <v>268</v>
      </c>
      <c r="AG107" s="32">
        <v>2020</v>
      </c>
      <c r="AH107" s="33">
        <v>2020</v>
      </c>
      <c r="BZ107" s="61"/>
      <c r="CD107" s="18" t="e">
        <f>VLOOKUP(C107,CE:CF,2,FALSE)</f>
        <v>#N/A</v>
      </c>
      <c r="CE107" s="85" t="s">
        <v>1239</v>
      </c>
      <c r="CF107" s="85">
        <v>454</v>
      </c>
    </row>
    <row r="108" spans="1:84" ht="61.5" x14ac:dyDescent="0.85">
      <c r="A108" s="18">
        <v>1</v>
      </c>
      <c r="B108" s="57">
        <f>SUBTOTAL(103,$A$22:A108)</f>
        <v>87</v>
      </c>
      <c r="C108" s="22" t="s">
        <v>1599</v>
      </c>
      <c r="D108" s="29">
        <f t="shared" si="4"/>
        <v>2070332.01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336">
        <v>1</v>
      </c>
      <c r="L108" s="84">
        <v>1961754.06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  <c r="U108" s="29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84">
        <v>108577.95</v>
      </c>
      <c r="AE108" s="29">
        <v>0</v>
      </c>
      <c r="AF108" s="32">
        <v>2020</v>
      </c>
      <c r="AG108" s="32">
        <v>2020</v>
      </c>
      <c r="AH108" s="33" t="s">
        <v>268</v>
      </c>
      <c r="BZ108" s="61"/>
      <c r="CD108" s="18" t="e">
        <f>VLOOKUP(C108,CE:CF,2,FALSE)</f>
        <v>#N/A</v>
      </c>
      <c r="CE108" s="85" t="s">
        <v>42</v>
      </c>
      <c r="CF108" s="85">
        <v>595</v>
      </c>
    </row>
    <row r="109" spans="1:84" ht="61.5" x14ac:dyDescent="0.85">
      <c r="A109" s="18">
        <v>1</v>
      </c>
      <c r="B109" s="57">
        <f>SUBTOTAL(103,$A$22:A109)</f>
        <v>88</v>
      </c>
      <c r="C109" s="22" t="s">
        <v>1110</v>
      </c>
      <c r="D109" s="29">
        <f t="shared" ref="D109:D115" si="5">E109+F109+G109+H109+I109+J109+L109+N109+P109+R109+T109+U109+V109+W109+X109+Y109+Z109+AA109+AB109+AC109+AD109+AE109</f>
        <v>3278227.2600000002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31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37">
        <v>1778.5</v>
      </c>
      <c r="R109" s="37">
        <f>2245405.85+985539.87</f>
        <v>3230945.72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337">
        <f>33681.09+13600.45</f>
        <v>47281.539999999994</v>
      </c>
      <c r="AD109" s="29">
        <v>0</v>
      </c>
      <c r="AE109" s="29">
        <v>0</v>
      </c>
      <c r="AF109" s="32" t="s">
        <v>268</v>
      </c>
      <c r="AG109" s="32">
        <v>2020</v>
      </c>
      <c r="AH109" s="33">
        <v>2020</v>
      </c>
      <c r="BZ109" s="61"/>
      <c r="CD109" s="18" t="e">
        <f>VLOOKUP(C109,CE:CF,2,FALSE)</f>
        <v>#N/A</v>
      </c>
    </row>
    <row r="110" spans="1:84" ht="61.5" x14ac:dyDescent="0.85">
      <c r="A110" s="18">
        <v>1</v>
      </c>
      <c r="B110" s="57">
        <f>SUBTOTAL(103,$A$22:A110)</f>
        <v>89</v>
      </c>
      <c r="C110" s="22" t="s">
        <v>530</v>
      </c>
      <c r="D110" s="29">
        <f t="shared" si="5"/>
        <v>1702747.3199999998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64">
        <v>1</v>
      </c>
      <c r="L110" s="29">
        <v>1631846.65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70900.67</v>
      </c>
      <c r="AE110" s="29">
        <v>0</v>
      </c>
      <c r="AF110" s="32">
        <v>2020</v>
      </c>
      <c r="AG110" s="32">
        <v>2020</v>
      </c>
      <c r="AH110" s="33" t="s">
        <v>268</v>
      </c>
      <c r="AT110" s="18" t="e">
        <f>VLOOKUP(C110,AW:AX,2,FALSE)</f>
        <v>#N/A</v>
      </c>
      <c r="BZ110" s="61"/>
      <c r="CD110" s="18" t="e">
        <f>VLOOKUP(C110,CE:CF,2,FALSE)</f>
        <v>#N/A</v>
      </c>
    </row>
    <row r="111" spans="1:84" ht="61.5" x14ac:dyDescent="0.85">
      <c r="A111" s="18">
        <v>1</v>
      </c>
      <c r="B111" s="57">
        <f>SUBTOTAL(103,$A$22:A111)</f>
        <v>90</v>
      </c>
      <c r="C111" s="22" t="s">
        <v>531</v>
      </c>
      <c r="D111" s="29">
        <f t="shared" si="5"/>
        <v>1698388.8199999998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64">
        <v>1</v>
      </c>
      <c r="L111" s="29">
        <v>1627567.91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70820.91</v>
      </c>
      <c r="AE111" s="29">
        <v>0</v>
      </c>
      <c r="AF111" s="32">
        <v>2020</v>
      </c>
      <c r="AG111" s="32">
        <v>2020</v>
      </c>
      <c r="AH111" s="33" t="s">
        <v>268</v>
      </c>
      <c r="AT111" s="18" t="e">
        <f>VLOOKUP(C111,AW:AX,2,FALSE)</f>
        <v>#N/A</v>
      </c>
      <c r="BZ111" s="61"/>
      <c r="CD111" s="18" t="e">
        <f>VLOOKUP(C111,CE:CF,2,FALSE)</f>
        <v>#N/A</v>
      </c>
    </row>
    <row r="112" spans="1:84" ht="61.5" x14ac:dyDescent="0.85">
      <c r="A112" s="18">
        <v>1</v>
      </c>
      <c r="B112" s="57">
        <f>SUBTOTAL(103,$A$22:A112)</f>
        <v>91</v>
      </c>
      <c r="C112" s="22" t="s">
        <v>1364</v>
      </c>
      <c r="D112" s="29">
        <f t="shared" si="5"/>
        <v>9902722.7999999989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64">
        <v>6</v>
      </c>
      <c r="L112" s="29">
        <f>1633824.21+1633824.21+1633824.21+1633824.21+1633824.21+1633824.21</f>
        <v>9802945.2599999998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99777.54</v>
      </c>
      <c r="AE112" s="29">
        <v>0</v>
      </c>
      <c r="AF112" s="32">
        <v>2020</v>
      </c>
      <c r="AG112" s="32">
        <v>2020</v>
      </c>
      <c r="AH112" s="33" t="s">
        <v>268</v>
      </c>
      <c r="BZ112" s="61"/>
      <c r="CD112" s="18" t="e">
        <f>VLOOKUP(C112,CE:CF,2,FALSE)</f>
        <v>#N/A</v>
      </c>
    </row>
    <row r="113" spans="1:84" ht="61.5" x14ac:dyDescent="0.85">
      <c r="A113" s="18">
        <v>1</v>
      </c>
      <c r="B113" s="57">
        <f>SUBTOTAL(103,$A$22:A113)</f>
        <v>92</v>
      </c>
      <c r="C113" s="22" t="s">
        <v>545</v>
      </c>
      <c r="D113" s="29">
        <f t="shared" si="5"/>
        <v>1918155.32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64">
        <v>1</v>
      </c>
      <c r="L113" s="29">
        <v>1845694.58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72460.740000000005</v>
      </c>
      <c r="AE113" s="29">
        <v>0</v>
      </c>
      <c r="AF113" s="32">
        <v>2020</v>
      </c>
      <c r="AG113" s="32">
        <v>2020</v>
      </c>
      <c r="AH113" s="33" t="s">
        <v>268</v>
      </c>
      <c r="AT113" s="18" t="e">
        <f>VLOOKUP(C113,AW:AX,2,FALSE)</f>
        <v>#N/A</v>
      </c>
      <c r="BZ113" s="61"/>
      <c r="CD113" s="18" t="e">
        <f>VLOOKUP(C113,CE:CF,2,FALSE)</f>
        <v>#N/A</v>
      </c>
    </row>
    <row r="114" spans="1:84" ht="61.5" x14ac:dyDescent="0.85">
      <c r="A114" s="18">
        <v>1</v>
      </c>
      <c r="B114" s="57">
        <f>SUBTOTAL(103,$A$22:A114)</f>
        <v>93</v>
      </c>
      <c r="C114" s="22" t="s">
        <v>1076</v>
      </c>
      <c r="D114" s="29">
        <f t="shared" si="5"/>
        <v>7396376.3500000006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64">
        <v>4</v>
      </c>
      <c r="L114" s="29">
        <f>1826169.04+1826169.04+1826169.04+1826169.04</f>
        <v>7304676.1600000001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91700.19</v>
      </c>
      <c r="AE114" s="29">
        <v>0</v>
      </c>
      <c r="AF114" s="32">
        <v>2020</v>
      </c>
      <c r="AG114" s="32">
        <v>2020</v>
      </c>
      <c r="AH114" s="33" t="s">
        <v>268</v>
      </c>
      <c r="BZ114" s="61"/>
      <c r="CD114" s="18" t="e">
        <f>VLOOKUP(C114,CE:CF,2,FALSE)</f>
        <v>#N/A</v>
      </c>
    </row>
    <row r="115" spans="1:84" ht="61.5" x14ac:dyDescent="0.85">
      <c r="A115" s="18">
        <v>1</v>
      </c>
      <c r="B115" s="57">
        <f>SUBTOTAL(103,$A$22:A115)</f>
        <v>94</v>
      </c>
      <c r="C115" s="22" t="s">
        <v>553</v>
      </c>
      <c r="D115" s="29">
        <f t="shared" si="5"/>
        <v>1901891.1600000001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64">
        <v>1</v>
      </c>
      <c r="L115" s="29">
        <v>1830984.58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70906.58</v>
      </c>
      <c r="AE115" s="29">
        <v>0</v>
      </c>
      <c r="AF115" s="32">
        <v>2020</v>
      </c>
      <c r="AG115" s="32">
        <v>2020</v>
      </c>
      <c r="AH115" s="33" t="s">
        <v>268</v>
      </c>
      <c r="AT115" s="18" t="e">
        <f>VLOOKUP(C115,AW:AX,2,FALSE)</f>
        <v>#N/A</v>
      </c>
      <c r="BZ115" s="61"/>
      <c r="CD115" s="18" t="e">
        <f>VLOOKUP(C115,CE:CF,2,FALSE)</f>
        <v>#N/A</v>
      </c>
    </row>
    <row r="116" spans="1:84" ht="61.5" x14ac:dyDescent="0.85">
      <c r="A116" s="18">
        <v>1</v>
      </c>
      <c r="B116" s="57">
        <f>SUBTOTAL(103,$A$22:A116)</f>
        <v>95</v>
      </c>
      <c r="C116" s="22" t="s">
        <v>1107</v>
      </c>
      <c r="D116" s="29">
        <f>E116+F116+G116+H116+I116+J116+L116+N116+P116+R116+T116+U116+V116+W116+X116+Y116+Z116+AA116+AB116+AC116+AD116+AE116</f>
        <v>814287.52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31">
        <v>0</v>
      </c>
      <c r="L116" s="29">
        <v>0</v>
      </c>
      <c r="M116" s="93">
        <v>523.98</v>
      </c>
      <c r="N116" s="93">
        <v>802313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93">
        <v>11974.52</v>
      </c>
      <c r="AD116" s="29">
        <v>0</v>
      </c>
      <c r="AE116" s="29">
        <v>0</v>
      </c>
      <c r="AF116" s="33" t="s">
        <v>268</v>
      </c>
      <c r="AG116" s="32">
        <v>2020</v>
      </c>
      <c r="AH116" s="32">
        <v>2020</v>
      </c>
      <c r="BZ116" s="61"/>
      <c r="CD116" s="18">
        <f>VLOOKUP(C116,CE:CF,2,FALSE)</f>
        <v>523.98</v>
      </c>
    </row>
    <row r="117" spans="1:84" ht="61.5" x14ac:dyDescent="0.85">
      <c r="A117" s="18">
        <v>1</v>
      </c>
      <c r="B117" s="57">
        <f>SUBTOTAL(103,$A$22:A117)</f>
        <v>96</v>
      </c>
      <c r="C117" s="22" t="s">
        <v>1120</v>
      </c>
      <c r="D117" s="29">
        <f t="shared" ref="D117:D125" si="6">E117+F117+G117+H117+I117+J117+L117+N117+P117+R117+T117+U117+V117+W117+X117+Y117+Z117+AA117+AB117+AC117+AD117+AE117</f>
        <v>52271.7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64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37">
        <v>52271.7</v>
      </c>
      <c r="AE117" s="29">
        <v>0</v>
      </c>
      <c r="AF117" s="32">
        <v>2020</v>
      </c>
      <c r="AG117" s="33" t="s">
        <v>268</v>
      </c>
      <c r="AH117" s="33" t="s">
        <v>268</v>
      </c>
      <c r="BZ117" s="61"/>
      <c r="CD117" s="18" t="e">
        <f>VLOOKUP(C117,CE:CF,2,FALSE)</f>
        <v>#N/A</v>
      </c>
    </row>
    <row r="118" spans="1:84" ht="61.5" x14ac:dyDescent="0.85">
      <c r="A118" s="18">
        <v>1</v>
      </c>
      <c r="B118" s="57">
        <f>SUBTOTAL(103,$A$22:A118)</f>
        <v>97</v>
      </c>
      <c r="C118" s="22" t="s">
        <v>483</v>
      </c>
      <c r="D118" s="29">
        <f t="shared" si="6"/>
        <v>83051.86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64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83051.86</v>
      </c>
      <c r="AE118" s="29">
        <v>0</v>
      </c>
      <c r="AF118" s="32">
        <v>2020</v>
      </c>
      <c r="AG118" s="33" t="s">
        <v>268</v>
      </c>
      <c r="AH118" s="33" t="s">
        <v>268</v>
      </c>
      <c r="BZ118" s="61"/>
      <c r="CD118" s="18" t="e">
        <f>VLOOKUP(C118,CE:CF,2,FALSE)</f>
        <v>#N/A</v>
      </c>
    </row>
    <row r="119" spans="1:84" ht="61.5" x14ac:dyDescent="0.85">
      <c r="A119" s="18">
        <v>1</v>
      </c>
      <c r="B119" s="57">
        <f>SUBTOTAL(103,$A$22:A119)</f>
        <v>98</v>
      </c>
      <c r="C119" s="22" t="s">
        <v>1121</v>
      </c>
      <c r="D119" s="29">
        <f t="shared" si="6"/>
        <v>50689.120000000003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64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134">
        <v>50689.120000000003</v>
      </c>
      <c r="AE119" s="29">
        <v>0</v>
      </c>
      <c r="AF119" s="32">
        <v>2020</v>
      </c>
      <c r="AG119" s="33" t="s">
        <v>268</v>
      </c>
      <c r="AH119" s="33" t="s">
        <v>268</v>
      </c>
      <c r="BZ119" s="61"/>
      <c r="CD119" s="18" t="e">
        <f>VLOOKUP(C119,CE:CF,2,FALSE)</f>
        <v>#N/A</v>
      </c>
    </row>
    <row r="120" spans="1:84" ht="61.5" x14ac:dyDescent="0.85">
      <c r="A120" s="18">
        <v>1</v>
      </c>
      <c r="B120" s="57">
        <f>SUBTOTAL(103,$A$22:A120)</f>
        <v>99</v>
      </c>
      <c r="C120" s="22" t="s">
        <v>497</v>
      </c>
      <c r="D120" s="29">
        <f t="shared" si="6"/>
        <v>95587.09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64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37">
        <v>95587.09</v>
      </c>
      <c r="AE120" s="29">
        <v>0</v>
      </c>
      <c r="AF120" s="32">
        <v>2020</v>
      </c>
      <c r="AG120" s="33" t="s">
        <v>268</v>
      </c>
      <c r="AH120" s="33" t="s">
        <v>268</v>
      </c>
      <c r="BZ120" s="61"/>
      <c r="CD120" s="18" t="e">
        <f>VLOOKUP(C120,CE:CF,2,FALSE)</f>
        <v>#N/A</v>
      </c>
    </row>
    <row r="121" spans="1:84" ht="61.5" x14ac:dyDescent="0.85">
      <c r="A121" s="18">
        <v>1</v>
      </c>
      <c r="B121" s="57">
        <f>SUBTOTAL(103,$A$22:A121)</f>
        <v>100</v>
      </c>
      <c r="C121" s="22" t="s">
        <v>1055</v>
      </c>
      <c r="D121" s="29">
        <f t="shared" si="6"/>
        <v>79784.160000000003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64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79784.160000000003</v>
      </c>
      <c r="AE121" s="29">
        <v>0</v>
      </c>
      <c r="AF121" s="32">
        <v>2020</v>
      </c>
      <c r="AG121" s="33" t="s">
        <v>268</v>
      </c>
      <c r="AH121" s="33" t="s">
        <v>268</v>
      </c>
      <c r="BZ121" s="61"/>
      <c r="CD121" s="18" t="e">
        <f>VLOOKUP(C121,CE:CF,2,FALSE)</f>
        <v>#N/A</v>
      </c>
    </row>
    <row r="122" spans="1:84" ht="61.5" x14ac:dyDescent="0.85">
      <c r="A122" s="18">
        <v>1</v>
      </c>
      <c r="B122" s="57">
        <f>SUBTOTAL(103,$A$22:A122)</f>
        <v>101</v>
      </c>
      <c r="C122" s="22" t="s">
        <v>1388</v>
      </c>
      <c r="D122" s="29">
        <f t="shared" si="6"/>
        <v>71679.100000000006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64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71679.100000000006</v>
      </c>
      <c r="AE122" s="29">
        <v>0</v>
      </c>
      <c r="AF122" s="32">
        <v>2020</v>
      </c>
      <c r="AG122" s="33" t="s">
        <v>268</v>
      </c>
      <c r="AH122" s="33" t="s">
        <v>268</v>
      </c>
      <c r="BZ122" s="61"/>
      <c r="CD122" s="18" t="e">
        <f>VLOOKUP(C122,CE:CF,2,FALSE)</f>
        <v>#N/A</v>
      </c>
    </row>
    <row r="123" spans="1:84" ht="61.5" x14ac:dyDescent="0.85">
      <c r="A123" s="18">
        <v>1</v>
      </c>
      <c r="B123" s="57">
        <f>SUBTOTAL(103,$A$22:A123)</f>
        <v>102</v>
      </c>
      <c r="C123" s="22" t="s">
        <v>1361</v>
      </c>
      <c r="D123" s="29">
        <f t="shared" si="6"/>
        <v>55904.38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64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55904.38</v>
      </c>
      <c r="AE123" s="29">
        <v>0</v>
      </c>
      <c r="AF123" s="32">
        <v>2020</v>
      </c>
      <c r="AG123" s="33" t="s">
        <v>268</v>
      </c>
      <c r="AH123" s="33" t="s">
        <v>268</v>
      </c>
      <c r="BZ123" s="61"/>
      <c r="CD123" s="18" t="e">
        <f>VLOOKUP(C123,CE:CF,2,FALSE)</f>
        <v>#N/A</v>
      </c>
    </row>
    <row r="124" spans="1:84" ht="61.5" x14ac:dyDescent="0.85">
      <c r="A124" s="18">
        <v>1</v>
      </c>
      <c r="B124" s="57">
        <f>SUBTOTAL(103,$A$22:A124)</f>
        <v>103</v>
      </c>
      <c r="C124" s="22" t="s">
        <v>1673</v>
      </c>
      <c r="D124" s="29">
        <f t="shared" si="6"/>
        <v>100382.56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31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84">
        <v>100382.56</v>
      </c>
      <c r="AE124" s="29">
        <v>0</v>
      </c>
      <c r="AF124" s="32">
        <v>2020</v>
      </c>
      <c r="AG124" s="33" t="s">
        <v>268</v>
      </c>
      <c r="AH124" s="33" t="s">
        <v>268</v>
      </c>
      <c r="BZ124" s="61"/>
      <c r="CD124" s="18" t="e">
        <f>VLOOKUP(C124,CE:CF,2,FALSE)</f>
        <v>#N/A</v>
      </c>
    </row>
    <row r="125" spans="1:84" ht="61.5" x14ac:dyDescent="0.85">
      <c r="A125" s="18">
        <v>1</v>
      </c>
      <c r="B125" s="57">
        <f>SUBTOTAL(103,$A$22:A125)</f>
        <v>104</v>
      </c>
      <c r="C125" s="22" t="s">
        <v>523</v>
      </c>
      <c r="D125" s="29">
        <f t="shared" si="6"/>
        <v>82721.55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31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37">
        <v>82721.55</v>
      </c>
      <c r="AE125" s="29">
        <v>0</v>
      </c>
      <c r="AF125" s="32">
        <v>2020</v>
      </c>
      <c r="AG125" s="32" t="s">
        <v>268</v>
      </c>
      <c r="AH125" s="33" t="s">
        <v>268</v>
      </c>
      <c r="AT125" s="18" t="e">
        <f>VLOOKUP(C125,AW:AX,2,FALSE)</f>
        <v>#N/A</v>
      </c>
      <c r="BZ125" s="61"/>
      <c r="CD125" s="18">
        <f>VLOOKUP(C125,CE:CF,2,FALSE)</f>
        <v>904</v>
      </c>
      <c r="CE125" s="85" t="s">
        <v>1274</v>
      </c>
      <c r="CF125" s="85">
        <v>1674.7</v>
      </c>
    </row>
    <row r="126" spans="1:84" ht="61.5" x14ac:dyDescent="0.85">
      <c r="B126" s="22" t="s">
        <v>748</v>
      </c>
      <c r="C126" s="338"/>
      <c r="D126" s="339">
        <f t="shared" ref="D126:AE126" si="7">SUM(D127:D155)</f>
        <v>50842017.239999995</v>
      </c>
      <c r="E126" s="29">
        <f t="shared" si="7"/>
        <v>392971.79</v>
      </c>
      <c r="F126" s="29">
        <f t="shared" si="7"/>
        <v>287233.21999999997</v>
      </c>
      <c r="G126" s="29">
        <f t="shared" si="7"/>
        <v>1294699.6299999999</v>
      </c>
      <c r="H126" s="29">
        <f t="shared" si="7"/>
        <v>643435.68999999994</v>
      </c>
      <c r="I126" s="29">
        <f t="shared" si="7"/>
        <v>4483524.6500000004</v>
      </c>
      <c r="J126" s="29">
        <f t="shared" si="7"/>
        <v>0</v>
      </c>
      <c r="K126" s="31">
        <f t="shared" si="7"/>
        <v>4</v>
      </c>
      <c r="L126" s="29">
        <f t="shared" si="7"/>
        <v>5593558.4000000004</v>
      </c>
      <c r="M126" s="29">
        <f t="shared" si="7"/>
        <v>8193.49</v>
      </c>
      <c r="N126" s="29">
        <f t="shared" si="7"/>
        <v>31283343.900000002</v>
      </c>
      <c r="O126" s="29">
        <f t="shared" si="7"/>
        <v>0</v>
      </c>
      <c r="P126" s="29">
        <f t="shared" si="7"/>
        <v>0</v>
      </c>
      <c r="Q126" s="29">
        <f t="shared" si="7"/>
        <v>2678.1099999999997</v>
      </c>
      <c r="R126" s="29">
        <f t="shared" si="7"/>
        <v>5635955.5300000003</v>
      </c>
      <c r="S126" s="29">
        <f t="shared" si="7"/>
        <v>0</v>
      </c>
      <c r="T126" s="29">
        <f t="shared" si="7"/>
        <v>0</v>
      </c>
      <c r="U126" s="29">
        <f t="shared" si="7"/>
        <v>0</v>
      </c>
      <c r="V126" s="29">
        <f t="shared" si="7"/>
        <v>0</v>
      </c>
      <c r="W126" s="29">
        <f t="shared" si="7"/>
        <v>0</v>
      </c>
      <c r="X126" s="29">
        <f t="shared" si="7"/>
        <v>0</v>
      </c>
      <c r="Y126" s="29">
        <f t="shared" si="7"/>
        <v>0</v>
      </c>
      <c r="Z126" s="29">
        <f t="shared" si="7"/>
        <v>0</v>
      </c>
      <c r="AA126" s="29">
        <f t="shared" si="7"/>
        <v>0</v>
      </c>
      <c r="AB126" s="29">
        <f t="shared" si="7"/>
        <v>0</v>
      </c>
      <c r="AC126" s="29">
        <f t="shared" si="7"/>
        <v>274374.53000000003</v>
      </c>
      <c r="AD126" s="29">
        <f t="shared" si="7"/>
        <v>952919.9</v>
      </c>
      <c r="AE126" s="29">
        <f t="shared" si="7"/>
        <v>0</v>
      </c>
      <c r="AF126" s="62" t="s">
        <v>743</v>
      </c>
      <c r="AG126" s="62" t="s">
        <v>743</v>
      </c>
      <c r="AH126" s="77" t="s">
        <v>743</v>
      </c>
      <c r="AT126" s="18" t="e">
        <f>VLOOKUP(C126,AW:AX,2,FALSE)</f>
        <v>#N/A</v>
      </c>
      <c r="BZ126" s="29">
        <v>95682574.419999987</v>
      </c>
      <c r="CA126" s="29"/>
      <c r="CB126" s="29">
        <f>BZ126-D126</f>
        <v>44840557.179999992</v>
      </c>
      <c r="CD126" s="18" t="e">
        <f>VLOOKUP(C126,CE:CF,2,FALSE)</f>
        <v>#N/A</v>
      </c>
      <c r="CE126" s="85" t="s">
        <v>1234</v>
      </c>
      <c r="CF126" s="85">
        <v>1278.8</v>
      </c>
    </row>
    <row r="127" spans="1:84" ht="61.5" x14ac:dyDescent="0.85">
      <c r="A127" s="18">
        <v>1</v>
      </c>
      <c r="B127" s="57">
        <f>SUBTOTAL(103,$A$22:A127)</f>
        <v>105</v>
      </c>
      <c r="C127" s="22" t="s">
        <v>440</v>
      </c>
      <c r="D127" s="29">
        <f t="shared" ref="D127:D155" si="8">E127+F127+G127+H127+I127+J127+L127+N127+P127+R127+T127+U127+V127+W127+X127+Y127+Z127+AA127+AB127+AC127+AD127+AE127</f>
        <v>2291514.0300000003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64">
        <v>0</v>
      </c>
      <c r="L127" s="29">
        <v>0</v>
      </c>
      <c r="M127" s="37">
        <v>636.21</v>
      </c>
      <c r="N127" s="37">
        <v>2242129.4900000002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37">
        <v>14461.74</v>
      </c>
      <c r="AD127" s="37">
        <v>34922.800000000003</v>
      </c>
      <c r="AE127" s="29">
        <v>0</v>
      </c>
      <c r="AF127" s="32">
        <v>2020</v>
      </c>
      <c r="AG127" s="32">
        <v>2020</v>
      </c>
      <c r="AH127" s="33">
        <v>2020</v>
      </c>
      <c r="AT127" s="18" t="e">
        <f>VLOOKUP(C127,AW:AX,2,FALSE)</f>
        <v>#N/A</v>
      </c>
      <c r="BZ127" s="61"/>
      <c r="CD127" s="18">
        <f>VLOOKUP(C127,CE:CF,2,FALSE)</f>
        <v>598</v>
      </c>
      <c r="CE127" s="85" t="s">
        <v>1236</v>
      </c>
      <c r="CF127" s="85">
        <v>225.04</v>
      </c>
    </row>
    <row r="128" spans="1:84" ht="61.5" x14ac:dyDescent="0.85">
      <c r="A128" s="18">
        <v>1</v>
      </c>
      <c r="B128" s="57">
        <f>SUBTOTAL(103,$A$22:A128)</f>
        <v>106</v>
      </c>
      <c r="C128" s="22" t="s">
        <v>441</v>
      </c>
      <c r="D128" s="29">
        <f t="shared" si="8"/>
        <v>2189911.6500000004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64">
        <v>0</v>
      </c>
      <c r="L128" s="29">
        <v>0</v>
      </c>
      <c r="M128" s="37">
        <v>585.59</v>
      </c>
      <c r="N128" s="134">
        <v>2122436.64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134">
        <v>13689.72</v>
      </c>
      <c r="AD128" s="37">
        <v>53785.29</v>
      </c>
      <c r="AE128" s="29">
        <v>0</v>
      </c>
      <c r="AF128" s="32">
        <v>2020</v>
      </c>
      <c r="AG128" s="32">
        <v>2020</v>
      </c>
      <c r="AH128" s="33">
        <v>2020</v>
      </c>
      <c r="AT128" s="18" t="e">
        <f>VLOOKUP(C128,AW:AX,2,FALSE)</f>
        <v>#N/A</v>
      </c>
      <c r="BZ128" s="61"/>
      <c r="CD128" s="18">
        <f>VLOOKUP(C128,CE:CF,2,FALSE)</f>
        <v>592.20000000000005</v>
      </c>
      <c r="CE128" s="85" t="s">
        <v>1237</v>
      </c>
      <c r="CF128" s="85">
        <v>337</v>
      </c>
    </row>
    <row r="129" spans="1:84" ht="61.5" x14ac:dyDescent="0.85">
      <c r="A129" s="18">
        <v>1</v>
      </c>
      <c r="B129" s="57">
        <f>SUBTOTAL(103,$A$22:A129)</f>
        <v>107</v>
      </c>
      <c r="C129" s="22" t="s">
        <v>442</v>
      </c>
      <c r="D129" s="29">
        <f t="shared" si="8"/>
        <v>2241889.83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64">
        <v>0</v>
      </c>
      <c r="L129" s="29">
        <v>0</v>
      </c>
      <c r="M129" s="29">
        <v>515.38</v>
      </c>
      <c r="N129" s="29">
        <v>2169539.4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22454.73</v>
      </c>
      <c r="AD129" s="37">
        <v>49895.7</v>
      </c>
      <c r="AE129" s="29">
        <v>0</v>
      </c>
      <c r="AF129" s="32">
        <v>2020</v>
      </c>
      <c r="AG129" s="32">
        <v>2020</v>
      </c>
      <c r="AH129" s="32">
        <v>2020</v>
      </c>
      <c r="AT129" s="18" t="e">
        <f>VLOOKUP(C129,AW:AX,2,FALSE)</f>
        <v>#N/A</v>
      </c>
      <c r="BZ129" s="61"/>
      <c r="CD129" s="18" t="e">
        <f>VLOOKUP(C129,CE:CF,2,FALSE)</f>
        <v>#N/A</v>
      </c>
      <c r="CE129" s="85" t="s">
        <v>227</v>
      </c>
      <c r="CF129" s="85">
        <v>806.38</v>
      </c>
    </row>
    <row r="130" spans="1:84" ht="61.5" x14ac:dyDescent="0.85">
      <c r="A130" s="18">
        <v>1</v>
      </c>
      <c r="B130" s="57">
        <f>SUBTOTAL(103,$A$22:A130)</f>
        <v>108</v>
      </c>
      <c r="C130" s="22" t="s">
        <v>443</v>
      </c>
      <c r="D130" s="29">
        <f t="shared" si="8"/>
        <v>55080.59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64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29">
        <v>0</v>
      </c>
      <c r="AA130" s="29">
        <v>0</v>
      </c>
      <c r="AB130" s="29">
        <v>0</v>
      </c>
      <c r="AC130" s="29">
        <f>ROUND(N130*1.5%,2)</f>
        <v>0</v>
      </c>
      <c r="AD130" s="134">
        <v>55080.59</v>
      </c>
      <c r="AE130" s="29">
        <v>0</v>
      </c>
      <c r="AF130" s="32">
        <v>2020</v>
      </c>
      <c r="AG130" s="32" t="s">
        <v>268</v>
      </c>
      <c r="AH130" s="33" t="s">
        <v>268</v>
      </c>
      <c r="AT130" s="18" t="e">
        <f>VLOOKUP(C130,AW:AX,2,FALSE)</f>
        <v>#N/A</v>
      </c>
      <c r="BZ130" s="61"/>
      <c r="CD130" s="18" t="e">
        <f>VLOOKUP(C130,CE:CF,2,FALSE)</f>
        <v>#N/A</v>
      </c>
      <c r="CE130" s="85" t="s">
        <v>230</v>
      </c>
      <c r="CF130" s="85">
        <v>308.60000000000002</v>
      </c>
    </row>
    <row r="131" spans="1:84" ht="61.5" x14ac:dyDescent="0.85">
      <c r="A131" s="18">
        <v>1</v>
      </c>
      <c r="B131" s="57">
        <f>SUBTOTAL(103,$A$22:A131)</f>
        <v>109</v>
      </c>
      <c r="C131" s="22" t="s">
        <v>444</v>
      </c>
      <c r="D131" s="29">
        <f t="shared" si="8"/>
        <v>2479536.17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64">
        <v>0</v>
      </c>
      <c r="L131" s="29">
        <v>0</v>
      </c>
      <c r="M131" s="37">
        <v>597.83000000000004</v>
      </c>
      <c r="N131" s="37">
        <v>2411595.7999999998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37">
        <v>15554.79</v>
      </c>
      <c r="AD131" s="37">
        <v>52385.58</v>
      </c>
      <c r="AE131" s="29">
        <v>0</v>
      </c>
      <c r="AF131" s="32">
        <v>2020</v>
      </c>
      <c r="AG131" s="32">
        <v>2020</v>
      </c>
      <c r="AH131" s="33">
        <v>2020</v>
      </c>
      <c r="AT131" s="18" t="e">
        <f>VLOOKUP(C131,AW:AX,2,FALSE)</f>
        <v>#N/A</v>
      </c>
      <c r="BZ131" s="61"/>
      <c r="CD131" s="18">
        <f>VLOOKUP(C131,CE:CF,2,FALSE)</f>
        <v>603.71</v>
      </c>
      <c r="CE131" s="85" t="s">
        <v>1251</v>
      </c>
      <c r="CF131" s="85">
        <v>189.8</v>
      </c>
    </row>
    <row r="132" spans="1:84" ht="61.5" x14ac:dyDescent="0.85">
      <c r="A132" s="18">
        <v>1</v>
      </c>
      <c r="B132" s="57">
        <f>SUBTOTAL(103,$A$22:A132)</f>
        <v>110</v>
      </c>
      <c r="C132" s="22" t="s">
        <v>445</v>
      </c>
      <c r="D132" s="29">
        <f t="shared" si="8"/>
        <v>2128855.41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64">
        <v>0</v>
      </c>
      <c r="L132" s="29">
        <v>0</v>
      </c>
      <c r="M132" s="37">
        <v>618.17999999999995</v>
      </c>
      <c r="N132" s="134">
        <v>2062274.75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37">
        <v>13301.67</v>
      </c>
      <c r="AD132" s="37">
        <v>53278.99</v>
      </c>
      <c r="AE132" s="29">
        <v>0</v>
      </c>
      <c r="AF132" s="32">
        <v>2020</v>
      </c>
      <c r="AG132" s="32">
        <v>2020</v>
      </c>
      <c r="AH132" s="33">
        <v>2020</v>
      </c>
      <c r="AT132" s="18" t="e">
        <f>VLOOKUP(C132,AW:AX,2,FALSE)</f>
        <v>#N/A</v>
      </c>
      <c r="BZ132" s="61"/>
      <c r="CD132" s="18">
        <f>VLOOKUP(C132,CE:CF,2,FALSE)</f>
        <v>588.4</v>
      </c>
      <c r="CE132" s="85" t="s">
        <v>145</v>
      </c>
      <c r="CF132" s="85">
        <v>1525.2</v>
      </c>
    </row>
    <row r="133" spans="1:84" ht="61.5" x14ac:dyDescent="0.85">
      <c r="A133" s="18">
        <v>1</v>
      </c>
      <c r="B133" s="57">
        <f>SUBTOTAL(103,$A$22:A133)</f>
        <v>111</v>
      </c>
      <c r="C133" s="22" t="s">
        <v>446</v>
      </c>
      <c r="D133" s="29">
        <f t="shared" si="8"/>
        <v>2540318.89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64">
        <v>0</v>
      </c>
      <c r="L133" s="29">
        <v>0</v>
      </c>
      <c r="M133" s="37">
        <v>548.33000000000004</v>
      </c>
      <c r="N133" s="37">
        <v>2453870.5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37">
        <v>15827.46</v>
      </c>
      <c r="AD133" s="37">
        <v>70620.929999999993</v>
      </c>
      <c r="AE133" s="29">
        <v>0</v>
      </c>
      <c r="AF133" s="32">
        <v>2020</v>
      </c>
      <c r="AG133" s="32">
        <v>2020</v>
      </c>
      <c r="AH133" s="33">
        <v>2020</v>
      </c>
      <c r="AT133" s="18" t="e">
        <f>VLOOKUP(C133,AW:AX,2,FALSE)</f>
        <v>#N/A</v>
      </c>
      <c r="BZ133" s="61"/>
      <c r="CD133" s="18">
        <f>VLOOKUP(C133,CE:CF,2,FALSE)</f>
        <v>555.39</v>
      </c>
      <c r="CE133" s="85" t="s">
        <v>141</v>
      </c>
      <c r="CF133" s="85">
        <v>1373.6</v>
      </c>
    </row>
    <row r="134" spans="1:84" ht="61.5" x14ac:dyDescent="0.85">
      <c r="A134" s="18">
        <v>1</v>
      </c>
      <c r="B134" s="57">
        <f>SUBTOTAL(103,$A$22:A134)</f>
        <v>112</v>
      </c>
      <c r="C134" s="22" t="s">
        <v>447</v>
      </c>
      <c r="D134" s="29">
        <f t="shared" si="8"/>
        <v>2317566.0299999998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64">
        <v>0</v>
      </c>
      <c r="L134" s="29">
        <v>0</v>
      </c>
      <c r="M134" s="37">
        <v>561.44000000000005</v>
      </c>
      <c r="N134" s="37">
        <v>2249862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37">
        <v>14511.61</v>
      </c>
      <c r="AD134" s="37">
        <v>53192.42</v>
      </c>
      <c r="AE134" s="29">
        <v>0</v>
      </c>
      <c r="AF134" s="32">
        <v>2020</v>
      </c>
      <c r="AG134" s="32">
        <v>2020</v>
      </c>
      <c r="AH134" s="33">
        <v>2020</v>
      </c>
      <c r="AT134" s="18" t="e">
        <f>VLOOKUP(C134,AW:AX,2,FALSE)</f>
        <v>#N/A</v>
      </c>
      <c r="BZ134" s="61"/>
      <c r="CD134" s="18">
        <f>VLOOKUP(C134,CE:CF,2,FALSE)</f>
        <v>577</v>
      </c>
      <c r="CE134" s="85" t="s">
        <v>137</v>
      </c>
      <c r="CF134" s="85">
        <v>1062.4000000000001</v>
      </c>
    </row>
    <row r="135" spans="1:84" ht="61.5" x14ac:dyDescent="0.85">
      <c r="A135" s="18">
        <v>1</v>
      </c>
      <c r="B135" s="57">
        <f>SUBTOTAL(103,$A$22:A135)</f>
        <v>113</v>
      </c>
      <c r="C135" s="22" t="s">
        <v>448</v>
      </c>
      <c r="D135" s="29">
        <f t="shared" si="8"/>
        <v>2392182.6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64">
        <v>0</v>
      </c>
      <c r="L135" s="29">
        <v>0</v>
      </c>
      <c r="M135" s="37">
        <v>585.91</v>
      </c>
      <c r="N135" s="37">
        <v>2323884.75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37">
        <v>14989.06</v>
      </c>
      <c r="AD135" s="37">
        <v>53308.79</v>
      </c>
      <c r="AE135" s="29">
        <v>0</v>
      </c>
      <c r="AF135" s="32">
        <v>2020</v>
      </c>
      <c r="AG135" s="32">
        <v>2020</v>
      </c>
      <c r="AH135" s="33">
        <v>2020</v>
      </c>
      <c r="AT135" s="18" t="e">
        <f>VLOOKUP(C135,AW:AX,2,FALSE)</f>
        <v>#N/A</v>
      </c>
      <c r="BZ135" s="61"/>
      <c r="CD135" s="18">
        <f>VLOOKUP(C135,CE:CF,2,FALSE)</f>
        <v>567.62</v>
      </c>
      <c r="CE135" s="85" t="s">
        <v>1247</v>
      </c>
      <c r="CF135" s="85">
        <v>1105</v>
      </c>
    </row>
    <row r="136" spans="1:84" ht="61.5" x14ac:dyDescent="0.85">
      <c r="A136" s="18">
        <v>1</v>
      </c>
      <c r="B136" s="57">
        <f>SUBTOTAL(103,$A$22:A136)</f>
        <v>114</v>
      </c>
      <c r="C136" s="22" t="s">
        <v>449</v>
      </c>
      <c r="D136" s="29">
        <f t="shared" si="8"/>
        <v>3299178.75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64">
        <v>0</v>
      </c>
      <c r="L136" s="29">
        <v>0</v>
      </c>
      <c r="M136" s="37">
        <v>847.77</v>
      </c>
      <c r="N136" s="37">
        <v>3158718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37">
        <v>20373.73</v>
      </c>
      <c r="AD136" s="37">
        <v>120087.02</v>
      </c>
      <c r="AE136" s="29">
        <v>0</v>
      </c>
      <c r="AF136" s="32">
        <v>2020</v>
      </c>
      <c r="AG136" s="32">
        <v>2020</v>
      </c>
      <c r="AH136" s="33">
        <v>2020</v>
      </c>
      <c r="AT136" s="18" t="e">
        <f>VLOOKUP(C136,AW:AX,2,FALSE)</f>
        <v>#N/A</v>
      </c>
      <c r="BZ136" s="61"/>
      <c r="CD136" s="18">
        <f>VLOOKUP(C136,CE:CF,2,FALSE)</f>
        <v>865.12</v>
      </c>
      <c r="CE136" s="85" t="s">
        <v>1249</v>
      </c>
      <c r="CF136" s="85">
        <v>1401.4</v>
      </c>
    </row>
    <row r="137" spans="1:84" ht="61.5" x14ac:dyDescent="0.85">
      <c r="A137" s="18">
        <v>1</v>
      </c>
      <c r="B137" s="57">
        <f>SUBTOTAL(103,$A$22:A137)</f>
        <v>115</v>
      </c>
      <c r="C137" s="22" t="s">
        <v>450</v>
      </c>
      <c r="D137" s="29">
        <f t="shared" si="8"/>
        <v>2218259.69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64">
        <v>0</v>
      </c>
      <c r="L137" s="29">
        <v>0</v>
      </c>
      <c r="M137" s="37">
        <v>581.07000000000005</v>
      </c>
      <c r="N137" s="37">
        <v>2150786.5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37">
        <v>13872.57</v>
      </c>
      <c r="AD137" s="37">
        <v>53600.62</v>
      </c>
      <c r="AE137" s="29">
        <v>0</v>
      </c>
      <c r="AF137" s="32">
        <v>2020</v>
      </c>
      <c r="AG137" s="32">
        <v>2020</v>
      </c>
      <c r="AH137" s="33">
        <v>2020</v>
      </c>
      <c r="AT137" s="18" t="e">
        <f>VLOOKUP(C137,AW:AX,2,FALSE)</f>
        <v>#N/A</v>
      </c>
      <c r="BZ137" s="61"/>
      <c r="CD137" s="18">
        <f>VLOOKUP(C137,CE:CF,2,FALSE)</f>
        <v>556.79999999999995</v>
      </c>
      <c r="CE137" s="85" t="s">
        <v>1246</v>
      </c>
      <c r="CF137" s="85">
        <v>467.74</v>
      </c>
    </row>
    <row r="138" spans="1:84" ht="61.5" x14ac:dyDescent="0.85">
      <c r="A138" s="18">
        <v>1</v>
      </c>
      <c r="B138" s="57">
        <f>SUBTOTAL(103,$A$22:A138)</f>
        <v>116</v>
      </c>
      <c r="C138" s="22" t="s">
        <v>451</v>
      </c>
      <c r="D138" s="29">
        <f t="shared" si="8"/>
        <v>91764.43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64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f>ROUND(N138*1.5%,2)</f>
        <v>0</v>
      </c>
      <c r="AD138" s="37">
        <v>91764.43</v>
      </c>
      <c r="AE138" s="29">
        <v>0</v>
      </c>
      <c r="AF138" s="32">
        <v>2020</v>
      </c>
      <c r="AG138" s="32" t="s">
        <v>268</v>
      </c>
      <c r="AH138" s="32" t="s">
        <v>268</v>
      </c>
      <c r="AT138" s="18" t="e">
        <f>VLOOKUP(C138,AW:AX,2,FALSE)</f>
        <v>#N/A</v>
      </c>
      <c r="BZ138" s="61"/>
      <c r="CD138" s="18">
        <f>VLOOKUP(C138,CE:CF,2,FALSE)</f>
        <v>860.91</v>
      </c>
      <c r="CE138" s="85" t="s">
        <v>1254</v>
      </c>
      <c r="CF138" s="85">
        <v>949</v>
      </c>
    </row>
    <row r="139" spans="1:84" ht="61.5" x14ac:dyDescent="0.85">
      <c r="A139" s="18">
        <v>1</v>
      </c>
      <c r="B139" s="57">
        <f>SUBTOTAL(103,$A$22:A139)</f>
        <v>117</v>
      </c>
      <c r="C139" s="22" t="s">
        <v>452</v>
      </c>
      <c r="D139" s="29">
        <f t="shared" si="8"/>
        <v>45369.9</v>
      </c>
      <c r="E139" s="29">
        <v>0</v>
      </c>
      <c r="F139" s="29">
        <v>0</v>
      </c>
      <c r="G139" s="29">
        <v>0</v>
      </c>
      <c r="H139" s="29">
        <v>0</v>
      </c>
      <c r="I139" s="29">
        <v>0</v>
      </c>
      <c r="J139" s="29">
        <v>0</v>
      </c>
      <c r="K139" s="64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f>ROUND(R139*1.5%,2)</f>
        <v>0</v>
      </c>
      <c r="AD139" s="29">
        <v>45369.9</v>
      </c>
      <c r="AE139" s="29">
        <v>0</v>
      </c>
      <c r="AF139" s="32">
        <v>2020</v>
      </c>
      <c r="AG139" s="32" t="s">
        <v>268</v>
      </c>
      <c r="AH139" s="32" t="s">
        <v>268</v>
      </c>
      <c r="AT139" s="18" t="e">
        <f>VLOOKUP(C139,AW:AX,2,FALSE)</f>
        <v>#N/A</v>
      </c>
      <c r="BZ139" s="61"/>
      <c r="CD139" s="18" t="e">
        <f>VLOOKUP(C139,CE:CF,2,FALSE)</f>
        <v>#N/A</v>
      </c>
      <c r="CE139" s="85" t="s">
        <v>1257</v>
      </c>
      <c r="CF139" s="85">
        <v>437.4</v>
      </c>
    </row>
    <row r="140" spans="1:84" ht="61.5" x14ac:dyDescent="0.85">
      <c r="A140" s="18">
        <v>1</v>
      </c>
      <c r="B140" s="57">
        <f>SUBTOTAL(103,$A$22:A140)</f>
        <v>118</v>
      </c>
      <c r="C140" s="22" t="s">
        <v>1124</v>
      </c>
      <c r="D140" s="29">
        <f t="shared" si="8"/>
        <v>2872501.01</v>
      </c>
      <c r="E140" s="29">
        <v>0</v>
      </c>
      <c r="F140" s="29">
        <v>0</v>
      </c>
      <c r="G140" s="29">
        <v>1294699.6299999999</v>
      </c>
      <c r="H140" s="29">
        <v>0</v>
      </c>
      <c r="I140" s="29">
        <v>1564983.85</v>
      </c>
      <c r="J140" s="29">
        <v>0</v>
      </c>
      <c r="K140" s="64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37">
        <v>12817.53</v>
      </c>
      <c r="AD140" s="29">
        <v>0</v>
      </c>
      <c r="AE140" s="29">
        <v>0</v>
      </c>
      <c r="AF140" s="32" t="s">
        <v>268</v>
      </c>
      <c r="AG140" s="32">
        <v>2020</v>
      </c>
      <c r="AH140" s="33">
        <v>2020</v>
      </c>
      <c r="BZ140" s="61"/>
      <c r="CD140" s="18" t="e">
        <f>VLOOKUP(C140,CE:CF,2,FALSE)</f>
        <v>#N/A</v>
      </c>
      <c r="CE140" s="85" t="s">
        <v>1258</v>
      </c>
      <c r="CF140" s="85">
        <v>408</v>
      </c>
    </row>
    <row r="141" spans="1:84" ht="61.5" x14ac:dyDescent="0.85">
      <c r="A141" s="18">
        <v>1</v>
      </c>
      <c r="B141" s="57">
        <f>SUBTOTAL(103,$A$22:A141)</f>
        <v>119</v>
      </c>
      <c r="C141" s="22" t="s">
        <v>1125</v>
      </c>
      <c r="D141" s="29">
        <f t="shared" si="8"/>
        <v>985412.63</v>
      </c>
      <c r="E141" s="29">
        <v>0</v>
      </c>
      <c r="F141" s="29">
        <v>0</v>
      </c>
      <c r="G141" s="93">
        <v>0</v>
      </c>
      <c r="H141" s="29">
        <v>0</v>
      </c>
      <c r="I141" s="134">
        <v>980084.46</v>
      </c>
      <c r="J141" s="29">
        <v>0</v>
      </c>
      <c r="K141" s="64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5328.17</v>
      </c>
      <c r="AD141" s="29">
        <v>0</v>
      </c>
      <c r="AE141" s="29">
        <v>0</v>
      </c>
      <c r="AF141" s="32" t="s">
        <v>268</v>
      </c>
      <c r="AG141" s="32">
        <v>2020</v>
      </c>
      <c r="AH141" s="33">
        <v>2020</v>
      </c>
      <c r="BZ141" s="61"/>
      <c r="CD141" s="18" t="e">
        <f>VLOOKUP(C141,CE:CF,2,FALSE)</f>
        <v>#N/A</v>
      </c>
      <c r="CE141" s="85" t="s">
        <v>187</v>
      </c>
      <c r="CF141" s="85">
        <v>1028.5999999999999</v>
      </c>
    </row>
    <row r="142" spans="1:84" ht="61.5" x14ac:dyDescent="0.85">
      <c r="A142" s="18">
        <v>1</v>
      </c>
      <c r="B142" s="57">
        <f>SUBTOTAL(103,$A$22:A142)</f>
        <v>120</v>
      </c>
      <c r="C142" s="22" t="s">
        <v>1127</v>
      </c>
      <c r="D142" s="29">
        <f t="shared" si="8"/>
        <v>1787071.37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64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37">
        <v>866.16</v>
      </c>
      <c r="R142" s="37">
        <v>1777408.59</v>
      </c>
      <c r="S142" s="29">
        <v>0</v>
      </c>
      <c r="T142" s="29">
        <v>0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9662.7800000000007</v>
      </c>
      <c r="AD142" s="29">
        <v>0</v>
      </c>
      <c r="AE142" s="29">
        <v>0</v>
      </c>
      <c r="AF142" s="32" t="s">
        <v>268</v>
      </c>
      <c r="AG142" s="32">
        <v>2020</v>
      </c>
      <c r="AH142" s="33">
        <v>2020</v>
      </c>
      <c r="BZ142" s="61"/>
      <c r="CD142" s="18" t="e">
        <f>VLOOKUP(C142,CE:CF,2,FALSE)</f>
        <v>#N/A</v>
      </c>
      <c r="CE142" s="85" t="s">
        <v>185</v>
      </c>
      <c r="CF142" s="85">
        <v>378</v>
      </c>
    </row>
    <row r="143" spans="1:84" ht="61.5" x14ac:dyDescent="0.85">
      <c r="A143" s="18">
        <v>1</v>
      </c>
      <c r="B143" s="57">
        <f>SUBTOTAL(103,$A$22:A143)</f>
        <v>121</v>
      </c>
      <c r="C143" s="22" t="s">
        <v>1128</v>
      </c>
      <c r="D143" s="29">
        <f t="shared" si="8"/>
        <v>121797.55</v>
      </c>
      <c r="E143" s="29">
        <v>0</v>
      </c>
      <c r="F143" s="29">
        <v>0</v>
      </c>
      <c r="G143" s="29">
        <v>0</v>
      </c>
      <c r="H143" s="29">
        <v>0</v>
      </c>
      <c r="I143" s="29">
        <v>121138.98</v>
      </c>
      <c r="J143" s="29">
        <v>0</v>
      </c>
      <c r="K143" s="64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37">
        <v>658.57</v>
      </c>
      <c r="AD143" s="29">
        <v>0</v>
      </c>
      <c r="AE143" s="29">
        <v>0</v>
      </c>
      <c r="AF143" s="32" t="s">
        <v>268</v>
      </c>
      <c r="AG143" s="32">
        <v>2020</v>
      </c>
      <c r="AH143" s="33">
        <v>2020</v>
      </c>
      <c r="BZ143" s="61"/>
      <c r="CD143" s="18" t="e">
        <f>VLOOKUP(C143,CE:CF,2,FALSE)</f>
        <v>#N/A</v>
      </c>
      <c r="CE143" s="85" t="s">
        <v>216</v>
      </c>
      <c r="CF143" s="85">
        <v>1057.07</v>
      </c>
    </row>
    <row r="144" spans="1:84" ht="61.5" x14ac:dyDescent="0.85">
      <c r="A144" s="18">
        <v>1</v>
      </c>
      <c r="B144" s="57">
        <f>SUBTOTAL(103,$A$22:A144)</f>
        <v>122</v>
      </c>
      <c r="C144" s="22" t="s">
        <v>1129</v>
      </c>
      <c r="D144" s="29">
        <f t="shared" si="8"/>
        <v>940372.45000000007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64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37">
        <v>435.9</v>
      </c>
      <c r="R144" s="134">
        <v>935287.81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8">
        <v>5084.6400000000003</v>
      </c>
      <c r="AD144" s="29">
        <v>0</v>
      </c>
      <c r="AE144" s="29">
        <v>0</v>
      </c>
      <c r="AF144" s="32" t="s">
        <v>268</v>
      </c>
      <c r="AG144" s="32">
        <v>2020</v>
      </c>
      <c r="AH144" s="33">
        <v>2020</v>
      </c>
      <c r="BZ144" s="61"/>
      <c r="CD144" s="18" t="e">
        <f>VLOOKUP(C144,CE:CF,2,FALSE)</f>
        <v>#N/A</v>
      </c>
      <c r="CE144" s="85" t="s">
        <v>220</v>
      </c>
      <c r="CF144" s="85">
        <v>615.20000000000005</v>
      </c>
    </row>
    <row r="145" spans="1:84" ht="61.5" x14ac:dyDescent="0.85">
      <c r="A145" s="18">
        <v>1</v>
      </c>
      <c r="B145" s="57">
        <f>SUBTOTAL(103,$A$22:A145)</f>
        <v>123</v>
      </c>
      <c r="C145" s="22" t="s">
        <v>1130</v>
      </c>
      <c r="D145" s="29">
        <f t="shared" si="8"/>
        <v>291919.45999999996</v>
      </c>
      <c r="E145" s="29">
        <v>65413.4</v>
      </c>
      <c r="F145" s="29">
        <v>0</v>
      </c>
      <c r="G145" s="29">
        <v>0</v>
      </c>
      <c r="H145" s="29">
        <v>73602.460000000006</v>
      </c>
      <c r="I145" s="29">
        <v>151325.24</v>
      </c>
      <c r="J145" s="29">
        <v>0</v>
      </c>
      <c r="K145" s="64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8">
        <v>1578.3600000000001</v>
      </c>
      <c r="AD145" s="29">
        <v>0</v>
      </c>
      <c r="AE145" s="29">
        <v>0</v>
      </c>
      <c r="AF145" s="32" t="s">
        <v>268</v>
      </c>
      <c r="AG145" s="32">
        <v>2020</v>
      </c>
      <c r="AH145" s="33">
        <v>2020</v>
      </c>
      <c r="BZ145" s="61"/>
      <c r="CD145" s="18" t="e">
        <f>VLOOKUP(C145,CE:CF,2,FALSE)</f>
        <v>#N/A</v>
      </c>
      <c r="CE145" s="85" t="s">
        <v>222</v>
      </c>
      <c r="CF145" s="85">
        <v>289.86</v>
      </c>
    </row>
    <row r="146" spans="1:84" ht="61.5" x14ac:dyDescent="0.85">
      <c r="A146" s="18">
        <v>1</v>
      </c>
      <c r="B146" s="57">
        <f>SUBTOTAL(103,$A$22:A146)</f>
        <v>124</v>
      </c>
      <c r="C146" s="22" t="s">
        <v>1131</v>
      </c>
      <c r="D146" s="29">
        <f t="shared" si="8"/>
        <v>1755092.12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64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802.93</v>
      </c>
      <c r="R146" s="28">
        <v>1745602.25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37">
        <v>9489.8700000000008</v>
      </c>
      <c r="AD146" s="29">
        <v>0</v>
      </c>
      <c r="AE146" s="29">
        <v>0</v>
      </c>
      <c r="AF146" s="32" t="s">
        <v>268</v>
      </c>
      <c r="AG146" s="32">
        <v>2020</v>
      </c>
      <c r="AH146" s="33">
        <v>2020</v>
      </c>
      <c r="BZ146" s="61"/>
      <c r="CD146" s="18" t="e">
        <f>VLOOKUP(C146,CE:CF,2,FALSE)</f>
        <v>#N/A</v>
      </c>
      <c r="CE146" s="85" t="s">
        <v>512</v>
      </c>
      <c r="CF146" s="85">
        <v>952</v>
      </c>
    </row>
    <row r="147" spans="1:84" ht="61.5" x14ac:dyDescent="0.85">
      <c r="A147" s="18">
        <v>1</v>
      </c>
      <c r="B147" s="57">
        <f>SUBTOTAL(103,$A$22:A147)</f>
        <v>125</v>
      </c>
      <c r="C147" s="22" t="s">
        <v>1132</v>
      </c>
      <c r="D147" s="29">
        <f t="shared" si="8"/>
        <v>1184059.1499999999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0</v>
      </c>
      <c r="K147" s="64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573.12</v>
      </c>
      <c r="R147" s="28">
        <v>1177656.8799999999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134">
        <v>6402.27</v>
      </c>
      <c r="AD147" s="29">
        <v>0</v>
      </c>
      <c r="AE147" s="29">
        <v>0</v>
      </c>
      <c r="AF147" s="32" t="s">
        <v>268</v>
      </c>
      <c r="AG147" s="32">
        <v>2020</v>
      </c>
      <c r="AH147" s="33">
        <v>2020</v>
      </c>
      <c r="BZ147" s="61"/>
      <c r="CD147" s="18" t="e">
        <f>VLOOKUP(C147,CE:CF,2,FALSE)</f>
        <v>#N/A</v>
      </c>
      <c r="CE147" s="85" t="s">
        <v>523</v>
      </c>
      <c r="CF147" s="85">
        <v>904</v>
      </c>
    </row>
    <row r="148" spans="1:84" ht="61.5" x14ac:dyDescent="0.85">
      <c r="A148" s="18">
        <v>1</v>
      </c>
      <c r="B148" s="57">
        <f>SUBTOTAL(103,$A$22:A148)</f>
        <v>126</v>
      </c>
      <c r="C148" s="22" t="s">
        <v>1134</v>
      </c>
      <c r="D148" s="29">
        <f t="shared" si="8"/>
        <v>5593558.4000000004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64">
        <v>4</v>
      </c>
      <c r="L148" s="29">
        <v>5593558.4000000004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32" t="s">
        <v>268</v>
      </c>
      <c r="AG148" s="32">
        <v>2020</v>
      </c>
      <c r="AH148" s="33" t="s">
        <v>268</v>
      </c>
      <c r="BZ148" s="61"/>
      <c r="CD148" s="18" t="e">
        <f>VLOOKUP(C148,CE:CF,2,FALSE)</f>
        <v>#N/A</v>
      </c>
      <c r="CE148" s="85" t="s">
        <v>619</v>
      </c>
      <c r="CF148" s="85">
        <v>586.70000000000005</v>
      </c>
    </row>
    <row r="149" spans="1:84" ht="61.5" x14ac:dyDescent="0.85">
      <c r="A149" s="18">
        <v>1</v>
      </c>
      <c r="B149" s="57">
        <f>SUBTOTAL(103,$A$22:A149)</f>
        <v>127</v>
      </c>
      <c r="C149" s="22" t="s">
        <v>1135</v>
      </c>
      <c r="D149" s="29">
        <f t="shared" si="8"/>
        <v>1052135.68</v>
      </c>
      <c r="E149" s="28">
        <v>167591.53</v>
      </c>
      <c r="F149" s="29">
        <v>0</v>
      </c>
      <c r="G149" s="29">
        <v>0</v>
      </c>
      <c r="H149" s="28">
        <v>140858.07999999999</v>
      </c>
      <c r="I149" s="134">
        <v>737997.53</v>
      </c>
      <c r="J149" s="29">
        <v>0</v>
      </c>
      <c r="K149" s="64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8">
        <v>5688.54</v>
      </c>
      <c r="AD149" s="29">
        <v>0</v>
      </c>
      <c r="AE149" s="29">
        <v>0</v>
      </c>
      <c r="AF149" s="32" t="s">
        <v>268</v>
      </c>
      <c r="AG149" s="32">
        <v>2020</v>
      </c>
      <c r="AH149" s="33">
        <v>2020</v>
      </c>
      <c r="BZ149" s="61"/>
      <c r="CD149" s="18" t="e">
        <f>VLOOKUP(C149,CE:CF,2,FALSE)</f>
        <v>#N/A</v>
      </c>
      <c r="CE149" s="85" t="s">
        <v>620</v>
      </c>
      <c r="CF149" s="85">
        <v>384.56</v>
      </c>
    </row>
    <row r="150" spans="1:84" ht="61.5" x14ac:dyDescent="0.85">
      <c r="A150" s="18">
        <v>1</v>
      </c>
      <c r="B150" s="57">
        <f>SUBTOTAL(103,$A$22:A150)</f>
        <v>128</v>
      </c>
      <c r="C150" s="22" t="s">
        <v>1136</v>
      </c>
      <c r="D150" s="29">
        <f t="shared" si="8"/>
        <v>1528398.16</v>
      </c>
      <c r="E150" s="29">
        <v>159966.85999999999</v>
      </c>
      <c r="F150" s="29">
        <v>287233.21999999997</v>
      </c>
      <c r="G150" s="29">
        <v>0</v>
      </c>
      <c r="H150" s="29">
        <v>144939.76999999999</v>
      </c>
      <c r="I150" s="37">
        <v>927994.59</v>
      </c>
      <c r="J150" s="29">
        <v>0</v>
      </c>
      <c r="K150" s="64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8">
        <v>8263.7199999999993</v>
      </c>
      <c r="AD150" s="29">
        <v>0</v>
      </c>
      <c r="AE150" s="29">
        <v>0</v>
      </c>
      <c r="AF150" s="32" t="s">
        <v>268</v>
      </c>
      <c r="AG150" s="32">
        <v>2020</v>
      </c>
      <c r="AH150" s="33">
        <v>2020</v>
      </c>
      <c r="BZ150" s="61"/>
      <c r="CD150" s="18" t="e">
        <f>VLOOKUP(C150,CE:CF,2,FALSE)</f>
        <v>#N/A</v>
      </c>
      <c r="CE150" s="85" t="s">
        <v>1272</v>
      </c>
      <c r="CF150" s="85">
        <v>500</v>
      </c>
    </row>
    <row r="151" spans="1:84" ht="61.5" x14ac:dyDescent="0.85">
      <c r="A151" s="18">
        <v>1</v>
      </c>
      <c r="B151" s="57">
        <f>SUBTOTAL(103,$A$22:A151)</f>
        <v>129</v>
      </c>
      <c r="C151" s="22" t="s">
        <v>1137</v>
      </c>
      <c r="D151" s="29">
        <f t="shared" si="8"/>
        <v>285579.52000000002</v>
      </c>
      <c r="E151" s="29">
        <v>0</v>
      </c>
      <c r="F151" s="29">
        <v>0</v>
      </c>
      <c r="G151" s="29">
        <v>0</v>
      </c>
      <c r="H151" s="28">
        <v>284035.38</v>
      </c>
      <c r="I151" s="29">
        <v>0</v>
      </c>
      <c r="J151" s="29">
        <v>0</v>
      </c>
      <c r="K151" s="64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134">
        <v>1544.14</v>
      </c>
      <c r="AD151" s="29">
        <v>0</v>
      </c>
      <c r="AE151" s="29">
        <v>0</v>
      </c>
      <c r="AF151" s="32" t="s">
        <v>268</v>
      </c>
      <c r="AG151" s="32">
        <v>2020</v>
      </c>
      <c r="AH151" s="33">
        <v>2020</v>
      </c>
      <c r="BZ151" s="61"/>
      <c r="CD151" s="18" t="e">
        <f>VLOOKUP(C151,CE:CF,2,FALSE)</f>
        <v>#N/A</v>
      </c>
      <c r="CE151" s="85" t="s">
        <v>1098</v>
      </c>
      <c r="CF151" s="85">
        <v>946</v>
      </c>
    </row>
    <row r="152" spans="1:84" ht="61.5" x14ac:dyDescent="0.85">
      <c r="A152" s="18">
        <v>1</v>
      </c>
      <c r="B152" s="57">
        <f>SUBTOTAL(103,$A$22:A152)</f>
        <v>130</v>
      </c>
      <c r="C152" s="22" t="s">
        <v>1138</v>
      </c>
      <c r="D152" s="29">
        <f t="shared" si="8"/>
        <v>2415665.65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64">
        <v>0</v>
      </c>
      <c r="L152" s="29">
        <v>0</v>
      </c>
      <c r="M152" s="29">
        <v>619</v>
      </c>
      <c r="N152" s="29">
        <v>2350957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37">
        <v>12780.85</v>
      </c>
      <c r="AD152" s="29">
        <v>51927.8</v>
      </c>
      <c r="AE152" s="29">
        <v>0</v>
      </c>
      <c r="AF152" s="32">
        <v>2020</v>
      </c>
      <c r="AG152" s="32">
        <v>2020</v>
      </c>
      <c r="AH152" s="33">
        <v>2020</v>
      </c>
      <c r="BZ152" s="61"/>
      <c r="CD152" s="18">
        <f>VLOOKUP(C152,CE:CF,2,FALSE)</f>
        <v>633.34</v>
      </c>
      <c r="CE152" s="85" t="s">
        <v>1099</v>
      </c>
      <c r="CF152" s="85">
        <v>365.5</v>
      </c>
    </row>
    <row r="153" spans="1:84" ht="61.5" x14ac:dyDescent="0.85">
      <c r="A153" s="18">
        <v>1</v>
      </c>
      <c r="B153" s="57">
        <f>SUBTOTAL(103,$A$22:A153)</f>
        <v>131</v>
      </c>
      <c r="C153" s="22" t="s">
        <v>1274</v>
      </c>
      <c r="D153" s="29">
        <f t="shared" si="8"/>
        <v>5623327.0800000001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64">
        <v>0</v>
      </c>
      <c r="L153" s="29">
        <v>0</v>
      </c>
      <c r="M153" s="29">
        <v>1496.78</v>
      </c>
      <c r="N153" s="29">
        <v>5587289.0700000003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37">
        <v>36038.01</v>
      </c>
      <c r="AD153" s="29">
        <v>0</v>
      </c>
      <c r="AE153" s="29">
        <v>0</v>
      </c>
      <c r="AF153" s="32" t="s">
        <v>268</v>
      </c>
      <c r="AG153" s="32">
        <v>2020</v>
      </c>
      <c r="AH153" s="33">
        <v>2020</v>
      </c>
      <c r="BZ153" s="61"/>
      <c r="CD153" s="18">
        <f>VLOOKUP(C153,CE:CF,2,FALSE)</f>
        <v>1674.7</v>
      </c>
      <c r="CE153" s="85" t="s">
        <v>1100</v>
      </c>
      <c r="CF153" s="85">
        <v>365.5</v>
      </c>
    </row>
    <row r="154" spans="1:84" ht="61.5" x14ac:dyDescent="0.85">
      <c r="A154" s="18">
        <v>1</v>
      </c>
      <c r="B154" s="57">
        <f>SUBTOTAL(103,$A$22:A154)</f>
        <v>132</v>
      </c>
      <c r="C154" s="22" t="s">
        <v>460</v>
      </c>
      <c r="D154" s="29">
        <f t="shared" si="8"/>
        <v>52567.68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64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f>ROUND(N154*1.5%,2)</f>
        <v>0</v>
      </c>
      <c r="AD154" s="29">
        <v>52567.68</v>
      </c>
      <c r="AE154" s="29">
        <v>0</v>
      </c>
      <c r="AF154" s="32">
        <v>2020</v>
      </c>
      <c r="AG154" s="32" t="s">
        <v>268</v>
      </c>
      <c r="AH154" s="32" t="s">
        <v>268</v>
      </c>
      <c r="BZ154" s="61"/>
      <c r="CD154" s="18" t="e">
        <f>VLOOKUP(C154,CE:CF,2,FALSE)</f>
        <v>#N/A</v>
      </c>
      <c r="CE154" s="85" t="s">
        <v>440</v>
      </c>
      <c r="CF154" s="85">
        <v>598</v>
      </c>
    </row>
    <row r="155" spans="1:84" ht="61.5" x14ac:dyDescent="0.85">
      <c r="A155" s="18">
        <v>1</v>
      </c>
      <c r="B155" s="57">
        <f>SUBTOTAL(103,$A$22:A155)</f>
        <v>133</v>
      </c>
      <c r="C155" s="22" t="s">
        <v>1275</v>
      </c>
      <c r="D155" s="29">
        <f t="shared" si="8"/>
        <v>61131.360000000001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64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f>ROUND(R155*1.5%,2)</f>
        <v>0</v>
      </c>
      <c r="AD155" s="29">
        <v>61131.360000000001</v>
      </c>
      <c r="AE155" s="29">
        <v>0</v>
      </c>
      <c r="AF155" s="32">
        <v>2020</v>
      </c>
      <c r="AG155" s="32" t="s">
        <v>268</v>
      </c>
      <c r="AH155" s="32" t="s">
        <v>268</v>
      </c>
      <c r="BZ155" s="61"/>
      <c r="CD155" s="18" t="e">
        <f>VLOOKUP(C155,CE:CF,2,FALSE)</f>
        <v>#N/A</v>
      </c>
      <c r="CE155" s="85" t="s">
        <v>616</v>
      </c>
      <c r="CF155" s="85">
        <v>486.27</v>
      </c>
    </row>
    <row r="156" spans="1:84" ht="61.5" x14ac:dyDescent="0.85">
      <c r="B156" s="22" t="s">
        <v>749</v>
      </c>
      <c r="C156" s="338"/>
      <c r="D156" s="339">
        <f t="shared" ref="D156:AE156" si="9">SUM(D157:D201)</f>
        <v>112751259.44999994</v>
      </c>
      <c r="E156" s="29">
        <f t="shared" si="9"/>
        <v>358075</v>
      </c>
      <c r="F156" s="29">
        <f t="shared" si="9"/>
        <v>609470</v>
      </c>
      <c r="G156" s="29">
        <f t="shared" si="9"/>
        <v>10937113.330000002</v>
      </c>
      <c r="H156" s="29">
        <f t="shared" si="9"/>
        <v>118902</v>
      </c>
      <c r="I156" s="29">
        <f t="shared" si="9"/>
        <v>228228</v>
      </c>
      <c r="J156" s="29">
        <f t="shared" si="9"/>
        <v>0</v>
      </c>
      <c r="K156" s="31">
        <f t="shared" si="9"/>
        <v>17</v>
      </c>
      <c r="L156" s="29">
        <f t="shared" si="9"/>
        <v>26506080.609999996</v>
      </c>
      <c r="M156" s="29">
        <f t="shared" si="9"/>
        <v>16535.420000000002</v>
      </c>
      <c r="N156" s="29">
        <f t="shared" si="9"/>
        <v>68407583.209999993</v>
      </c>
      <c r="O156" s="29">
        <f t="shared" si="9"/>
        <v>725.5</v>
      </c>
      <c r="P156" s="29">
        <f t="shared" si="9"/>
        <v>2136439.1800000002</v>
      </c>
      <c r="Q156" s="29">
        <f t="shared" si="9"/>
        <v>0</v>
      </c>
      <c r="R156" s="29">
        <f t="shared" si="9"/>
        <v>0</v>
      </c>
      <c r="S156" s="29">
        <f t="shared" si="9"/>
        <v>19.07</v>
      </c>
      <c r="T156" s="29">
        <f t="shared" si="9"/>
        <v>210458.31</v>
      </c>
      <c r="U156" s="29">
        <f t="shared" si="9"/>
        <v>0</v>
      </c>
      <c r="V156" s="29">
        <f t="shared" si="9"/>
        <v>0</v>
      </c>
      <c r="W156" s="29">
        <f t="shared" si="9"/>
        <v>0</v>
      </c>
      <c r="X156" s="29">
        <f t="shared" si="9"/>
        <v>0</v>
      </c>
      <c r="Y156" s="29">
        <f t="shared" si="9"/>
        <v>0</v>
      </c>
      <c r="Z156" s="29">
        <f t="shared" si="9"/>
        <v>0</v>
      </c>
      <c r="AA156" s="29">
        <f t="shared" si="9"/>
        <v>0</v>
      </c>
      <c r="AB156" s="29">
        <f t="shared" si="9"/>
        <v>0</v>
      </c>
      <c r="AC156" s="29">
        <f t="shared" si="9"/>
        <v>348764.68999999989</v>
      </c>
      <c r="AD156" s="29">
        <f t="shared" si="9"/>
        <v>2890145.1199999996</v>
      </c>
      <c r="AE156" s="29">
        <f t="shared" si="9"/>
        <v>0</v>
      </c>
      <c r="AF156" s="62" t="s">
        <v>743</v>
      </c>
      <c r="AG156" s="62" t="s">
        <v>743</v>
      </c>
      <c r="AH156" s="77" t="s">
        <v>743</v>
      </c>
      <c r="AT156" s="18" t="e">
        <f>VLOOKUP(C156,AW:AX,2,FALSE)</f>
        <v>#N/A</v>
      </c>
      <c r="BZ156" s="29">
        <v>157621357.26999998</v>
      </c>
      <c r="CA156" s="29"/>
      <c r="CB156" s="29">
        <f>BZ156-D156</f>
        <v>44870097.820000038</v>
      </c>
      <c r="CD156" s="18" t="e">
        <f>VLOOKUP(C156,CE:CF,2,FALSE)</f>
        <v>#N/A</v>
      </c>
      <c r="CE156" s="85" t="s">
        <v>167</v>
      </c>
      <c r="CF156" s="85">
        <v>336.14</v>
      </c>
    </row>
    <row r="157" spans="1:84" ht="61.5" x14ac:dyDescent="0.85">
      <c r="A157" s="18">
        <v>1</v>
      </c>
      <c r="B157" s="57">
        <f>SUBTOTAL(103,$A$22:A157)</f>
        <v>134</v>
      </c>
      <c r="C157" s="22" t="s">
        <v>384</v>
      </c>
      <c r="D157" s="29">
        <f t="shared" ref="D157:D192" si="10">E157+F157+G157+H157+I157+J157+L157+N157+P157+R157+T157+U157+V157+W157+X157+Y157+Z157+AA157+AB157+AC157+AD157+AE157</f>
        <v>2649277.08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31">
        <v>0</v>
      </c>
      <c r="L157" s="29">
        <v>0</v>
      </c>
      <c r="M157" s="29">
        <v>1108.98</v>
      </c>
      <c r="N157" s="29">
        <v>2492694.84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37">
        <v>156582.24</v>
      </c>
      <c r="AE157" s="29">
        <v>0</v>
      </c>
      <c r="AF157" s="32">
        <v>2020</v>
      </c>
      <c r="AG157" s="32">
        <v>2020</v>
      </c>
      <c r="AH157" s="33" t="s">
        <v>268</v>
      </c>
      <c r="AT157" s="18" t="e">
        <f>VLOOKUP(C157,AW:AX,2,FALSE)</f>
        <v>#N/A</v>
      </c>
      <c r="BZ157" s="61"/>
      <c r="CD157" s="18">
        <f>VLOOKUP(C157,CE:CF,2,FALSE)</f>
        <v>1108.98</v>
      </c>
      <c r="CE157" s="85" t="s">
        <v>1227</v>
      </c>
      <c r="CF157" s="85">
        <v>335</v>
      </c>
    </row>
    <row r="158" spans="1:84" ht="61.5" x14ac:dyDescent="0.85">
      <c r="A158" s="18">
        <v>1</v>
      </c>
      <c r="B158" s="57">
        <f>SUBTOTAL(103,$A$22:A158)</f>
        <v>135</v>
      </c>
      <c r="C158" s="22" t="s">
        <v>385</v>
      </c>
      <c r="D158" s="29">
        <f t="shared" si="10"/>
        <v>2599693.37</v>
      </c>
      <c r="E158" s="29">
        <v>358075</v>
      </c>
      <c r="F158" s="29">
        <v>609470</v>
      </c>
      <c r="G158" s="29">
        <v>1447301</v>
      </c>
      <c r="H158" s="29">
        <v>0</v>
      </c>
      <c r="I158" s="29">
        <v>0</v>
      </c>
      <c r="J158" s="29">
        <v>0</v>
      </c>
      <c r="K158" s="31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37">
        <v>11410.15</v>
      </c>
      <c r="AD158" s="37">
        <v>173437.22</v>
      </c>
      <c r="AE158" s="29">
        <v>0</v>
      </c>
      <c r="AF158" s="32">
        <v>2020</v>
      </c>
      <c r="AG158" s="32">
        <v>2020</v>
      </c>
      <c r="AH158" s="33">
        <v>2020</v>
      </c>
      <c r="AT158" s="18" t="e">
        <f>VLOOKUP(C158,AW:AX,2,FALSE)</f>
        <v>#N/A</v>
      </c>
      <c r="BZ158" s="61"/>
      <c r="CD158" s="18" t="e">
        <f>VLOOKUP(C158,CE:CF,2,FALSE)</f>
        <v>#N/A</v>
      </c>
      <c r="CE158" s="85" t="s">
        <v>1233</v>
      </c>
      <c r="CF158" s="85">
        <v>678.5</v>
      </c>
    </row>
    <row r="159" spans="1:84" ht="61.5" x14ac:dyDescent="0.85">
      <c r="A159" s="18">
        <v>1</v>
      </c>
      <c r="B159" s="57">
        <f>SUBTOTAL(103,$A$22:A159)</f>
        <v>136</v>
      </c>
      <c r="C159" s="22" t="s">
        <v>386</v>
      </c>
      <c r="D159" s="29">
        <f t="shared" si="10"/>
        <v>3188621.1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0</v>
      </c>
      <c r="K159" s="31">
        <v>0</v>
      </c>
      <c r="L159" s="29">
        <v>0</v>
      </c>
      <c r="M159" s="37">
        <v>600</v>
      </c>
      <c r="N159" s="37">
        <v>3110660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>
        <v>0</v>
      </c>
      <c r="X159" s="29">
        <v>0</v>
      </c>
      <c r="Y159" s="29">
        <v>0</v>
      </c>
      <c r="Z159" s="29">
        <v>0</v>
      </c>
      <c r="AA159" s="29">
        <v>0</v>
      </c>
      <c r="AB159" s="29">
        <v>0</v>
      </c>
      <c r="AC159" s="29">
        <v>0</v>
      </c>
      <c r="AD159" s="37">
        <v>77961.100000000006</v>
      </c>
      <c r="AE159" s="29">
        <v>0</v>
      </c>
      <c r="AF159" s="32">
        <v>2020</v>
      </c>
      <c r="AG159" s="32">
        <v>2020</v>
      </c>
      <c r="AH159" s="33" t="s">
        <v>268</v>
      </c>
      <c r="AT159" s="18" t="e">
        <f>VLOOKUP(C159,AW:AX,2,FALSE)</f>
        <v>#N/A</v>
      </c>
      <c r="BZ159" s="61"/>
      <c r="CD159" s="18">
        <f>VLOOKUP(C159,CE:CF,2,FALSE)</f>
        <v>600</v>
      </c>
      <c r="CE159" s="85" t="s">
        <v>1106</v>
      </c>
      <c r="CF159" s="85">
        <v>453.4</v>
      </c>
    </row>
    <row r="160" spans="1:84" ht="61.5" x14ac:dyDescent="0.85">
      <c r="A160" s="18">
        <v>1</v>
      </c>
      <c r="B160" s="57">
        <f>SUBTOTAL(103,$A$22:A160)</f>
        <v>137</v>
      </c>
      <c r="C160" s="22" t="s">
        <v>387</v>
      </c>
      <c r="D160" s="29">
        <f t="shared" si="10"/>
        <v>5265781.6800000006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31">
        <v>0</v>
      </c>
      <c r="L160" s="29">
        <v>0</v>
      </c>
      <c r="M160" s="37">
        <v>1093</v>
      </c>
      <c r="N160" s="134">
        <v>5109413.2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  <c r="U160" s="29">
        <v>0</v>
      </c>
      <c r="V160" s="29">
        <v>0</v>
      </c>
      <c r="W160" s="29">
        <v>0</v>
      </c>
      <c r="X160" s="29">
        <v>0</v>
      </c>
      <c r="Y160" s="29">
        <v>0</v>
      </c>
      <c r="Z160" s="29">
        <v>0</v>
      </c>
      <c r="AA160" s="29">
        <v>0</v>
      </c>
      <c r="AB160" s="29">
        <v>0</v>
      </c>
      <c r="AC160" s="134">
        <v>24141.98</v>
      </c>
      <c r="AD160" s="37">
        <v>132226.5</v>
      </c>
      <c r="AE160" s="29">
        <v>0</v>
      </c>
      <c r="AF160" s="32">
        <v>2020</v>
      </c>
      <c r="AG160" s="32">
        <v>2020</v>
      </c>
      <c r="AH160" s="33">
        <v>2020</v>
      </c>
      <c r="AT160" s="18" t="e">
        <f>VLOOKUP(C160,AW:AX,2,FALSE)</f>
        <v>#N/A</v>
      </c>
      <c r="BZ160" s="61"/>
      <c r="CD160" s="18" t="e">
        <f>VLOOKUP(C160,CE:CF,2,FALSE)</f>
        <v>#N/A</v>
      </c>
      <c r="CE160" s="85" t="s">
        <v>1241</v>
      </c>
      <c r="CF160" s="85">
        <v>511.8</v>
      </c>
    </row>
    <row r="161" spans="1:84" ht="61.5" x14ac:dyDescent="0.85">
      <c r="A161" s="18">
        <v>1</v>
      </c>
      <c r="B161" s="57">
        <f>SUBTOTAL(103,$A$22:A161)</f>
        <v>138</v>
      </c>
      <c r="C161" s="22" t="s">
        <v>388</v>
      </c>
      <c r="D161" s="29">
        <f t="shared" si="10"/>
        <v>5393074.9299999997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31">
        <v>0</v>
      </c>
      <c r="L161" s="29">
        <v>0</v>
      </c>
      <c r="M161" s="37">
        <v>1092.54</v>
      </c>
      <c r="N161" s="134">
        <v>5234761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134">
        <v>24734.25</v>
      </c>
      <c r="AD161" s="37">
        <v>133579.68</v>
      </c>
      <c r="AE161" s="29">
        <v>0</v>
      </c>
      <c r="AF161" s="32">
        <v>2020</v>
      </c>
      <c r="AG161" s="32">
        <v>2020</v>
      </c>
      <c r="AH161" s="33">
        <v>2020</v>
      </c>
      <c r="AT161" s="18" t="e">
        <f>VLOOKUP(C161,AW:AX,2,FALSE)</f>
        <v>#N/A</v>
      </c>
      <c r="BZ161" s="61"/>
      <c r="CD161" s="18" t="e">
        <f>VLOOKUP(C161,CE:CF,2,FALSE)</f>
        <v>#N/A</v>
      </c>
      <c r="CE161" s="85" t="s">
        <v>1116</v>
      </c>
      <c r="CF161" s="85">
        <v>556.6</v>
      </c>
    </row>
    <row r="162" spans="1:84" ht="61.5" x14ac:dyDescent="0.85">
      <c r="A162" s="18">
        <v>1</v>
      </c>
      <c r="B162" s="57">
        <f>SUBTOTAL(103,$A$22:A162)</f>
        <v>139</v>
      </c>
      <c r="C162" s="22" t="s">
        <v>389</v>
      </c>
      <c r="D162" s="29">
        <f t="shared" si="10"/>
        <v>4873547.67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64">
        <v>3</v>
      </c>
      <c r="L162" s="29">
        <v>4873547.67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32" t="s">
        <v>268</v>
      </c>
      <c r="AG162" s="32">
        <v>2020</v>
      </c>
      <c r="AH162" s="33" t="s">
        <v>268</v>
      </c>
      <c r="AT162" s="18">
        <f>VLOOKUP(C162,AW:AX,2,FALSE)</f>
        <v>1</v>
      </c>
      <c r="BZ162" s="61"/>
      <c r="CD162" s="18" t="e">
        <f>VLOOKUP(C162,CE:CF,2,FALSE)</f>
        <v>#N/A</v>
      </c>
      <c r="CE162" s="85" t="s">
        <v>1532</v>
      </c>
      <c r="CF162" s="85">
        <v>466.12</v>
      </c>
    </row>
    <row r="163" spans="1:84" ht="61.5" x14ac:dyDescent="0.85">
      <c r="A163" s="18">
        <v>1</v>
      </c>
      <c r="B163" s="57">
        <f>SUBTOTAL(103,$A$22:A163)</f>
        <v>140</v>
      </c>
      <c r="C163" s="22" t="s">
        <v>390</v>
      </c>
      <c r="D163" s="29">
        <f t="shared" si="10"/>
        <v>2215482.85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0</v>
      </c>
      <c r="K163" s="31">
        <v>0</v>
      </c>
      <c r="L163" s="29">
        <v>0</v>
      </c>
      <c r="M163" s="29">
        <v>443.8</v>
      </c>
      <c r="N163" s="29">
        <v>2215482.85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0</v>
      </c>
      <c r="AF163" s="32" t="s">
        <v>268</v>
      </c>
      <c r="AG163" s="32">
        <v>2020</v>
      </c>
      <c r="AH163" s="33" t="s">
        <v>268</v>
      </c>
      <c r="AT163" s="18" t="e">
        <f>VLOOKUP(C163,AW:AX,2,FALSE)</f>
        <v>#N/A</v>
      </c>
      <c r="BZ163" s="61"/>
      <c r="CD163" s="18">
        <f>VLOOKUP(C163,CE:CF,2,FALSE)</f>
        <v>443.8</v>
      </c>
      <c r="CE163" s="85" t="s">
        <v>1528</v>
      </c>
      <c r="CF163" s="85">
        <v>859</v>
      </c>
    </row>
    <row r="164" spans="1:84" ht="61.5" x14ac:dyDescent="0.85">
      <c r="A164" s="18">
        <v>1</v>
      </c>
      <c r="B164" s="57">
        <f>SUBTOTAL(103,$A$22:A164)</f>
        <v>141</v>
      </c>
      <c r="C164" s="22" t="s">
        <v>391</v>
      </c>
      <c r="D164" s="29">
        <f t="shared" si="10"/>
        <v>4885396.4400000004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64">
        <v>3</v>
      </c>
      <c r="L164" s="29">
        <v>4885396.4400000004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32" t="s">
        <v>268</v>
      </c>
      <c r="AG164" s="32">
        <v>2020</v>
      </c>
      <c r="AH164" s="33" t="s">
        <v>268</v>
      </c>
      <c r="AT164" s="18" t="e">
        <f>VLOOKUP(C164,AW:AX,2,FALSE)</f>
        <v>#N/A</v>
      </c>
      <c r="BZ164" s="61"/>
      <c r="CD164" s="18" t="e">
        <f>VLOOKUP(C164,CE:CF,2,FALSE)</f>
        <v>#N/A</v>
      </c>
      <c r="CE164" s="85" t="s">
        <v>1527</v>
      </c>
      <c r="CF164" s="85">
        <v>1028.5</v>
      </c>
    </row>
    <row r="165" spans="1:84" ht="61.5" x14ac:dyDescent="0.85">
      <c r="A165" s="18">
        <v>1</v>
      </c>
      <c r="B165" s="57">
        <f>SUBTOTAL(103,$A$22:A165)</f>
        <v>142</v>
      </c>
      <c r="C165" s="22" t="s">
        <v>392</v>
      </c>
      <c r="D165" s="29">
        <f t="shared" si="10"/>
        <v>7884254.25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0</v>
      </c>
      <c r="K165" s="31">
        <v>0</v>
      </c>
      <c r="L165" s="29">
        <v>0</v>
      </c>
      <c r="M165" s="58">
        <v>1503.05</v>
      </c>
      <c r="N165" s="58">
        <v>7687845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37">
        <v>36325.07</v>
      </c>
      <c r="AD165" s="37">
        <v>160084.18</v>
      </c>
      <c r="AE165" s="29">
        <v>0</v>
      </c>
      <c r="AF165" s="32">
        <v>2020</v>
      </c>
      <c r="AG165" s="32">
        <v>2020</v>
      </c>
      <c r="AH165" s="33">
        <v>2020</v>
      </c>
      <c r="AT165" s="18" t="e">
        <f>VLOOKUP(C165,AW:AX,2,FALSE)</f>
        <v>#N/A</v>
      </c>
      <c r="BZ165" s="61"/>
      <c r="CD165" s="18" t="e">
        <f>VLOOKUP(C165,CE:CF,2,FALSE)</f>
        <v>#N/A</v>
      </c>
      <c r="CE165" s="85" t="s">
        <v>384</v>
      </c>
      <c r="CF165" s="85">
        <v>1108.98</v>
      </c>
    </row>
    <row r="166" spans="1:84" ht="61.5" x14ac:dyDescent="0.85">
      <c r="A166" s="18">
        <v>1</v>
      </c>
      <c r="B166" s="57">
        <f>SUBTOTAL(103,$A$22:A166)</f>
        <v>143</v>
      </c>
      <c r="C166" s="22" t="s">
        <v>393</v>
      </c>
      <c r="D166" s="29">
        <f t="shared" si="10"/>
        <v>2908813.4299999997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31">
        <v>0</v>
      </c>
      <c r="L166" s="29">
        <v>0</v>
      </c>
      <c r="M166" s="58">
        <v>935.22</v>
      </c>
      <c r="N166" s="340">
        <v>2738778.69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37">
        <v>12940.73</v>
      </c>
      <c r="AD166" s="37">
        <v>157094.01</v>
      </c>
      <c r="AE166" s="29">
        <v>0</v>
      </c>
      <c r="AF166" s="32">
        <v>2020</v>
      </c>
      <c r="AG166" s="32">
        <v>2020</v>
      </c>
      <c r="AH166" s="33">
        <v>2020</v>
      </c>
      <c r="AT166" s="18" t="e">
        <f>VLOOKUP(C166,AW:AX,2,FALSE)</f>
        <v>#N/A</v>
      </c>
      <c r="BZ166" s="61"/>
      <c r="CD166" s="18" t="e">
        <f>VLOOKUP(C166,CE:CF,2,FALSE)</f>
        <v>#N/A</v>
      </c>
      <c r="CE166" s="85" t="s">
        <v>386</v>
      </c>
      <c r="CF166" s="85">
        <v>600</v>
      </c>
    </row>
    <row r="167" spans="1:84" ht="61.5" x14ac:dyDescent="0.85">
      <c r="A167" s="18">
        <v>1</v>
      </c>
      <c r="B167" s="57">
        <f>SUBTOTAL(103,$A$22:A167)</f>
        <v>144</v>
      </c>
      <c r="C167" s="22" t="s">
        <v>394</v>
      </c>
      <c r="D167" s="29">
        <f t="shared" si="10"/>
        <v>2189551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31">
        <v>0</v>
      </c>
      <c r="L167" s="29">
        <v>0</v>
      </c>
      <c r="M167" s="58">
        <v>473</v>
      </c>
      <c r="N167" s="58">
        <v>2189551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0</v>
      </c>
      <c r="AF167" s="32" t="s">
        <v>268</v>
      </c>
      <c r="AG167" s="32">
        <v>2020</v>
      </c>
      <c r="AH167" s="33" t="s">
        <v>268</v>
      </c>
      <c r="AT167" s="18" t="e">
        <f>VLOOKUP(C167,AW:AX,2,FALSE)</f>
        <v>#N/A</v>
      </c>
      <c r="BZ167" s="61"/>
      <c r="CD167" s="18">
        <f>VLOOKUP(C167,CE:CF,2,FALSE)</f>
        <v>473</v>
      </c>
      <c r="CE167" s="85" t="s">
        <v>390</v>
      </c>
      <c r="CF167" s="85">
        <v>443.8</v>
      </c>
    </row>
    <row r="168" spans="1:84" ht="61.5" x14ac:dyDescent="0.85">
      <c r="A168" s="18">
        <v>1</v>
      </c>
      <c r="B168" s="57">
        <f>SUBTOTAL(103,$A$22:A168)</f>
        <v>145</v>
      </c>
      <c r="C168" s="22" t="s">
        <v>395</v>
      </c>
      <c r="D168" s="29">
        <f t="shared" si="10"/>
        <v>2855710.47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31">
        <v>0</v>
      </c>
      <c r="L168" s="29">
        <v>0</v>
      </c>
      <c r="M168" s="58">
        <v>550</v>
      </c>
      <c r="N168" s="58">
        <v>2777462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37">
        <v>78248.47</v>
      </c>
      <c r="AE168" s="29">
        <v>0</v>
      </c>
      <c r="AF168" s="32">
        <v>2020</v>
      </c>
      <c r="AG168" s="32">
        <v>2020</v>
      </c>
      <c r="AH168" s="33" t="s">
        <v>268</v>
      </c>
      <c r="AT168" s="18" t="e">
        <f>VLOOKUP(C168,AW:AX,2,FALSE)</f>
        <v>#N/A</v>
      </c>
      <c r="BZ168" s="61"/>
      <c r="CD168" s="18">
        <f>VLOOKUP(C168,CE:CF,2,FALSE)</f>
        <v>550</v>
      </c>
      <c r="CE168" s="85" t="s">
        <v>394</v>
      </c>
      <c r="CF168" s="85">
        <v>473</v>
      </c>
    </row>
    <row r="169" spans="1:84" ht="61.5" x14ac:dyDescent="0.85">
      <c r="A169" s="18">
        <v>1</v>
      </c>
      <c r="B169" s="57">
        <f>SUBTOTAL(103,$A$22:A169)</f>
        <v>146</v>
      </c>
      <c r="C169" s="22" t="s">
        <v>396</v>
      </c>
      <c r="D169" s="29">
        <f t="shared" si="10"/>
        <v>3945816.73</v>
      </c>
      <c r="E169" s="29">
        <v>0</v>
      </c>
      <c r="F169" s="29">
        <v>0</v>
      </c>
      <c r="G169" s="37">
        <v>3842425</v>
      </c>
      <c r="H169" s="29">
        <v>0</v>
      </c>
      <c r="I169" s="29">
        <v>0</v>
      </c>
      <c r="J169" s="29">
        <v>0</v>
      </c>
      <c r="K169" s="31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37">
        <v>18155.46</v>
      </c>
      <c r="AD169" s="37">
        <v>85236.27</v>
      </c>
      <c r="AE169" s="29">
        <v>0</v>
      </c>
      <c r="AF169" s="32">
        <v>2020</v>
      </c>
      <c r="AG169" s="32">
        <v>2020</v>
      </c>
      <c r="AH169" s="33">
        <v>2020</v>
      </c>
      <c r="AT169" s="18" t="e">
        <f>VLOOKUP(C169,AW:AX,2,FALSE)</f>
        <v>#N/A</v>
      </c>
      <c r="BZ169" s="61"/>
      <c r="CD169" s="18" t="e">
        <f>VLOOKUP(C169,CE:CF,2,FALSE)</f>
        <v>#N/A</v>
      </c>
      <c r="CE169" s="85" t="s">
        <v>395</v>
      </c>
      <c r="CF169" s="85">
        <v>550</v>
      </c>
    </row>
    <row r="170" spans="1:84" ht="61.5" x14ac:dyDescent="0.85">
      <c r="A170" s="18">
        <v>1</v>
      </c>
      <c r="B170" s="57">
        <f>SUBTOTAL(103,$A$22:A170)</f>
        <v>147</v>
      </c>
      <c r="C170" s="22" t="s">
        <v>197</v>
      </c>
      <c r="D170" s="29">
        <f t="shared" si="10"/>
        <v>2766905.7600000002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31">
        <v>0</v>
      </c>
      <c r="L170" s="29">
        <v>0</v>
      </c>
      <c r="M170" s="37">
        <v>1190.4000000000001</v>
      </c>
      <c r="N170" s="37">
        <v>2598303.89</v>
      </c>
      <c r="O170" s="29">
        <v>0</v>
      </c>
      <c r="P170" s="29">
        <v>0</v>
      </c>
      <c r="Q170" s="29">
        <v>0</v>
      </c>
      <c r="R170" s="29">
        <v>0</v>
      </c>
      <c r="S170" s="29">
        <v>0</v>
      </c>
      <c r="T170" s="29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37">
        <v>12276.99</v>
      </c>
      <c r="AD170" s="37">
        <v>156324.88</v>
      </c>
      <c r="AE170" s="29">
        <v>0</v>
      </c>
      <c r="AF170" s="32">
        <v>2020</v>
      </c>
      <c r="AG170" s="32">
        <v>2020</v>
      </c>
      <c r="AH170" s="33">
        <v>2020</v>
      </c>
      <c r="AT170" s="18" t="e">
        <f>VLOOKUP(C170,AW:AX,2,FALSE)</f>
        <v>#N/A</v>
      </c>
      <c r="BZ170" s="61"/>
      <c r="CD170" s="18" t="e">
        <f>VLOOKUP(C170,CE:CF,2,FALSE)</f>
        <v>#N/A</v>
      </c>
      <c r="CE170" s="85" t="s">
        <v>397</v>
      </c>
      <c r="CF170" s="85">
        <v>342</v>
      </c>
    </row>
    <row r="171" spans="1:84" ht="61.5" x14ac:dyDescent="0.85">
      <c r="A171" s="18">
        <v>1</v>
      </c>
      <c r="B171" s="57">
        <f>SUBTOTAL(103,$A$22:A171)</f>
        <v>148</v>
      </c>
      <c r="C171" s="22" t="s">
        <v>397</v>
      </c>
      <c r="D171" s="29">
        <f t="shared" si="10"/>
        <v>1828369.47</v>
      </c>
      <c r="E171" s="29">
        <v>0</v>
      </c>
      <c r="F171" s="29">
        <v>0</v>
      </c>
      <c r="G171" s="29">
        <v>0</v>
      </c>
      <c r="H171" s="29">
        <v>0</v>
      </c>
      <c r="I171" s="29">
        <v>0</v>
      </c>
      <c r="J171" s="29">
        <v>0</v>
      </c>
      <c r="K171" s="31">
        <v>0</v>
      </c>
      <c r="L171" s="29">
        <v>0</v>
      </c>
      <c r="M171" s="37">
        <v>342</v>
      </c>
      <c r="N171" s="37">
        <v>1828369.47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32" t="s">
        <v>268</v>
      </c>
      <c r="AG171" s="32">
        <v>2020</v>
      </c>
      <c r="AH171" s="33" t="s">
        <v>268</v>
      </c>
      <c r="AT171" s="18" t="e">
        <f>VLOOKUP(C171,AW:AX,2,FALSE)</f>
        <v>#N/A</v>
      </c>
      <c r="BZ171" s="61"/>
      <c r="CD171" s="18">
        <f>VLOOKUP(C171,CE:CF,2,FALSE)</f>
        <v>342</v>
      </c>
      <c r="CE171" s="85" t="s">
        <v>1140</v>
      </c>
      <c r="CF171" s="85">
        <v>331</v>
      </c>
    </row>
    <row r="172" spans="1:84" ht="61.5" x14ac:dyDescent="0.85">
      <c r="A172" s="18">
        <v>1</v>
      </c>
      <c r="B172" s="57">
        <f>SUBTOTAL(103,$A$22:A172)</f>
        <v>149</v>
      </c>
      <c r="C172" s="22" t="s">
        <v>398</v>
      </c>
      <c r="D172" s="29">
        <f t="shared" si="10"/>
        <v>9316893.9800000004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31">
        <v>0</v>
      </c>
      <c r="L172" s="29">
        <v>0</v>
      </c>
      <c r="M172" s="37">
        <v>2014</v>
      </c>
      <c r="N172" s="37">
        <v>9115520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29">
        <v>0</v>
      </c>
      <c r="U172" s="29">
        <v>0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37">
        <v>43070.83</v>
      </c>
      <c r="AD172" s="37">
        <v>158303.15</v>
      </c>
      <c r="AE172" s="29">
        <v>0</v>
      </c>
      <c r="AF172" s="32">
        <v>2020</v>
      </c>
      <c r="AG172" s="32">
        <v>2020</v>
      </c>
      <c r="AH172" s="33">
        <v>2020</v>
      </c>
      <c r="AT172" s="18" t="e">
        <f>VLOOKUP(C172,AW:AX,2,FALSE)</f>
        <v>#N/A</v>
      </c>
      <c r="BZ172" s="61"/>
      <c r="CD172" s="18" t="e">
        <f>VLOOKUP(C172,CE:CF,2,FALSE)</f>
        <v>#N/A</v>
      </c>
      <c r="CE172" s="85" t="s">
        <v>1537</v>
      </c>
      <c r="CF172" s="85">
        <v>792</v>
      </c>
    </row>
    <row r="173" spans="1:84" ht="61.5" x14ac:dyDescent="0.85">
      <c r="A173" s="18">
        <v>1</v>
      </c>
      <c r="B173" s="57">
        <f>SUBTOTAL(103,$A$22:A173)</f>
        <v>150</v>
      </c>
      <c r="C173" s="22" t="s">
        <v>1139</v>
      </c>
      <c r="D173" s="29">
        <f t="shared" si="10"/>
        <v>1472380.11</v>
      </c>
      <c r="E173" s="29">
        <v>0</v>
      </c>
      <c r="F173" s="29">
        <v>0</v>
      </c>
      <c r="G173" s="37">
        <v>1103598</v>
      </c>
      <c r="H173" s="37">
        <v>118902</v>
      </c>
      <c r="I173" s="37">
        <v>228228</v>
      </c>
      <c r="J173" s="29">
        <v>0</v>
      </c>
      <c r="K173" s="31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21652.11</v>
      </c>
      <c r="AD173" s="29">
        <v>0</v>
      </c>
      <c r="AE173" s="29">
        <v>0</v>
      </c>
      <c r="AF173" s="32" t="s">
        <v>268</v>
      </c>
      <c r="AG173" s="32">
        <v>2020</v>
      </c>
      <c r="AH173" s="33">
        <v>2020</v>
      </c>
      <c r="BZ173" s="61"/>
      <c r="CD173" s="18" t="e">
        <f>VLOOKUP(C173,CE:CF,2,FALSE)</f>
        <v>#N/A</v>
      </c>
      <c r="CE173" s="85" t="s">
        <v>1535</v>
      </c>
      <c r="CF173" s="85">
        <v>592.07000000000005</v>
      </c>
    </row>
    <row r="174" spans="1:84" ht="61.5" x14ac:dyDescent="0.85">
      <c r="A174" s="18">
        <v>1</v>
      </c>
      <c r="B174" s="57">
        <f>SUBTOTAL(103,$A$22:A174)</f>
        <v>151</v>
      </c>
      <c r="C174" s="22" t="s">
        <v>1140</v>
      </c>
      <c r="D174" s="29">
        <f t="shared" si="10"/>
        <v>1557950.91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31">
        <v>0</v>
      </c>
      <c r="L174" s="29">
        <v>0</v>
      </c>
      <c r="M174" s="29">
        <v>331</v>
      </c>
      <c r="N174" s="93">
        <v>1549352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37">
        <v>8598.91</v>
      </c>
      <c r="AD174" s="29">
        <v>0</v>
      </c>
      <c r="AE174" s="29">
        <v>0</v>
      </c>
      <c r="AF174" s="32" t="s">
        <v>268</v>
      </c>
      <c r="AG174" s="32">
        <v>2020</v>
      </c>
      <c r="AH174" s="33">
        <v>2020</v>
      </c>
      <c r="BZ174" s="61"/>
      <c r="CD174" s="18">
        <f>VLOOKUP(C174,CE:CF,2,FALSE)</f>
        <v>331</v>
      </c>
      <c r="CE174" s="85" t="s">
        <v>0</v>
      </c>
      <c r="CF174" s="85">
        <v>618.1</v>
      </c>
    </row>
    <row r="175" spans="1:84" ht="61.5" x14ac:dyDescent="0.85">
      <c r="A175" s="18">
        <v>1</v>
      </c>
      <c r="B175" s="57">
        <f>SUBTOTAL(103,$A$22:A175)</f>
        <v>152</v>
      </c>
      <c r="C175" s="22" t="s">
        <v>1142</v>
      </c>
      <c r="D175" s="29">
        <f t="shared" si="10"/>
        <v>2712861.94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64">
        <v>2</v>
      </c>
      <c r="L175" s="29">
        <v>2712861.94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32" t="s">
        <v>268</v>
      </c>
      <c r="AG175" s="32">
        <v>2020</v>
      </c>
      <c r="AH175" s="33" t="s">
        <v>268</v>
      </c>
      <c r="BZ175" s="61"/>
      <c r="CD175" s="18" t="e">
        <f>VLOOKUP(C175,CE:CF,2,FALSE)</f>
        <v>#N/A</v>
      </c>
      <c r="CE175" s="85" t="s">
        <v>1225</v>
      </c>
      <c r="CF175" s="85">
        <v>807.4</v>
      </c>
    </row>
    <row r="176" spans="1:84" ht="61.5" x14ac:dyDescent="0.85">
      <c r="A176" s="18">
        <v>1</v>
      </c>
      <c r="B176" s="57">
        <f>SUBTOTAL(103,$A$22:A176)</f>
        <v>153</v>
      </c>
      <c r="C176" s="22" t="s">
        <v>1143</v>
      </c>
      <c r="D176" s="29">
        <f t="shared" si="10"/>
        <v>211626.35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31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19.07</v>
      </c>
      <c r="T176" s="28">
        <v>210458.31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134">
        <v>1168.04</v>
      </c>
      <c r="AD176" s="29">
        <v>0</v>
      </c>
      <c r="AE176" s="29">
        <v>0</v>
      </c>
      <c r="AF176" s="32" t="s">
        <v>268</v>
      </c>
      <c r="AG176" s="32">
        <v>2020</v>
      </c>
      <c r="AH176" s="33">
        <v>2020</v>
      </c>
      <c r="BZ176" s="61"/>
      <c r="CD176" s="18" t="e">
        <f>VLOOKUP(C176,CE:CF,2,FALSE)</f>
        <v>#N/A</v>
      </c>
      <c r="CE176" s="85" t="s">
        <v>1539</v>
      </c>
      <c r="CF176" s="85">
        <v>837.3</v>
      </c>
    </row>
    <row r="177" spans="1:84" ht="61.5" x14ac:dyDescent="0.85">
      <c r="A177" s="18">
        <v>1</v>
      </c>
      <c r="B177" s="57">
        <f>SUBTOTAL(103,$A$22:A177)</f>
        <v>154</v>
      </c>
      <c r="C177" s="22" t="s">
        <v>1144</v>
      </c>
      <c r="D177" s="29">
        <f t="shared" si="10"/>
        <v>2148296.4200000004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31">
        <v>0</v>
      </c>
      <c r="L177" s="29">
        <v>0</v>
      </c>
      <c r="M177" s="29">
        <v>0</v>
      </c>
      <c r="N177" s="29">
        <v>0</v>
      </c>
      <c r="O177" s="37">
        <v>725.5</v>
      </c>
      <c r="P177" s="37">
        <v>2136439.1800000002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37">
        <v>11857.24</v>
      </c>
      <c r="AD177" s="29">
        <v>0</v>
      </c>
      <c r="AE177" s="29">
        <v>0</v>
      </c>
      <c r="AF177" s="32" t="s">
        <v>268</v>
      </c>
      <c r="AG177" s="32">
        <v>2020</v>
      </c>
      <c r="AH177" s="33">
        <v>2020</v>
      </c>
      <c r="BZ177" s="61"/>
      <c r="CD177" s="18" t="e">
        <f>VLOOKUP(C177,CE:CF,2,FALSE)</f>
        <v>#N/A</v>
      </c>
      <c r="CE177" s="85" t="s">
        <v>143</v>
      </c>
      <c r="CF177" s="85">
        <v>317.8</v>
      </c>
    </row>
    <row r="178" spans="1:84" ht="61.5" x14ac:dyDescent="0.85">
      <c r="A178" s="18">
        <v>1</v>
      </c>
      <c r="B178" s="57">
        <f>SUBTOTAL(103,$A$22:A178)</f>
        <v>155</v>
      </c>
      <c r="C178" s="22" t="s">
        <v>1145</v>
      </c>
      <c r="D178" s="29">
        <f t="shared" si="10"/>
        <v>2712861.94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64">
        <v>2</v>
      </c>
      <c r="L178" s="29">
        <v>2712861.94</v>
      </c>
      <c r="M178" s="29">
        <v>0</v>
      </c>
      <c r="N178" s="29">
        <v>0</v>
      </c>
      <c r="O178" s="29">
        <v>0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v>0</v>
      </c>
      <c r="AF178" s="32" t="s">
        <v>268</v>
      </c>
      <c r="AG178" s="32">
        <v>2020</v>
      </c>
      <c r="AH178" s="33" t="s">
        <v>268</v>
      </c>
      <c r="BZ178" s="61"/>
      <c r="CD178" s="18" t="e">
        <f>VLOOKUP(C178,CE:CF,2,FALSE)</f>
        <v>#N/A</v>
      </c>
      <c r="CE178" s="85" t="s">
        <v>1248</v>
      </c>
      <c r="CF178" s="85">
        <v>835.43</v>
      </c>
    </row>
    <row r="179" spans="1:84" ht="61.5" x14ac:dyDescent="0.85">
      <c r="A179" s="18">
        <v>1</v>
      </c>
      <c r="B179" s="57">
        <f>SUBTOTAL(103,$A$22:A179)</f>
        <v>156</v>
      </c>
      <c r="C179" s="22" t="s">
        <v>1146</v>
      </c>
      <c r="D179" s="29">
        <f t="shared" si="10"/>
        <v>2237682.5499999998</v>
      </c>
      <c r="E179" s="29">
        <v>0</v>
      </c>
      <c r="F179" s="29">
        <v>0</v>
      </c>
      <c r="G179" s="37">
        <v>2225331.96</v>
      </c>
      <c r="H179" s="29">
        <v>0</v>
      </c>
      <c r="I179" s="29">
        <v>0</v>
      </c>
      <c r="J179" s="29">
        <v>0</v>
      </c>
      <c r="K179" s="31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37">
        <v>12350.59</v>
      </c>
      <c r="AD179" s="29">
        <v>0</v>
      </c>
      <c r="AE179" s="29">
        <v>0</v>
      </c>
      <c r="AF179" s="32" t="s">
        <v>268</v>
      </c>
      <c r="AG179" s="32">
        <v>2020</v>
      </c>
      <c r="AH179" s="33">
        <v>2020</v>
      </c>
      <c r="BZ179" s="61"/>
      <c r="CD179" s="18" t="e">
        <f>VLOOKUP(C179,CE:CF,2,FALSE)</f>
        <v>#N/A</v>
      </c>
      <c r="CE179" s="85" t="s">
        <v>91</v>
      </c>
      <c r="CF179" s="85">
        <v>613.20000000000005</v>
      </c>
    </row>
    <row r="180" spans="1:84" ht="61.5" x14ac:dyDescent="0.85">
      <c r="A180" s="18">
        <v>1</v>
      </c>
      <c r="B180" s="57">
        <f>SUBTOTAL(103,$A$22:A180)</f>
        <v>157</v>
      </c>
      <c r="C180" s="22" t="s">
        <v>1147</v>
      </c>
      <c r="D180" s="29">
        <f t="shared" si="10"/>
        <v>2418873.6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31">
        <v>0</v>
      </c>
      <c r="L180" s="29">
        <v>0</v>
      </c>
      <c r="M180" s="37">
        <v>494.53</v>
      </c>
      <c r="N180" s="134">
        <v>2337937.12</v>
      </c>
      <c r="O180" s="29">
        <v>0</v>
      </c>
      <c r="P180" s="29">
        <v>0</v>
      </c>
      <c r="Q180" s="29">
        <v>0</v>
      </c>
      <c r="R180" s="29">
        <v>0</v>
      </c>
      <c r="S180" s="29">
        <v>0</v>
      </c>
      <c r="T180" s="29">
        <v>0</v>
      </c>
      <c r="U180" s="29">
        <v>0</v>
      </c>
      <c r="V180" s="29">
        <v>0</v>
      </c>
      <c r="W180" s="29">
        <v>0</v>
      </c>
      <c r="X180" s="29">
        <v>0</v>
      </c>
      <c r="Y180" s="29">
        <v>0</v>
      </c>
      <c r="Z180" s="29">
        <v>0</v>
      </c>
      <c r="AA180" s="29">
        <v>0</v>
      </c>
      <c r="AB180" s="29">
        <v>0</v>
      </c>
      <c r="AC180" s="134">
        <v>12975.55</v>
      </c>
      <c r="AD180" s="37">
        <v>67960.929999999993</v>
      </c>
      <c r="AE180" s="29">
        <v>0</v>
      </c>
      <c r="AF180" s="32">
        <v>2020</v>
      </c>
      <c r="AG180" s="32">
        <v>2020</v>
      </c>
      <c r="AH180" s="33">
        <v>2020</v>
      </c>
      <c r="BZ180" s="61"/>
      <c r="CD180" s="18" t="e">
        <f>VLOOKUP(C180,CE:CF,2,FALSE)</f>
        <v>#N/A</v>
      </c>
      <c r="CE180" s="85" t="s">
        <v>448</v>
      </c>
      <c r="CF180" s="85">
        <v>567.62</v>
      </c>
    </row>
    <row r="181" spans="1:84" ht="61.5" x14ac:dyDescent="0.85">
      <c r="A181" s="18">
        <v>1</v>
      </c>
      <c r="B181" s="57">
        <f>SUBTOTAL(103,$A$22:A181)</f>
        <v>158</v>
      </c>
      <c r="C181" s="22" t="s">
        <v>1150</v>
      </c>
      <c r="D181" s="29">
        <f t="shared" si="10"/>
        <v>1640571.49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341">
        <v>1</v>
      </c>
      <c r="L181" s="93">
        <v>1640571.49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0</v>
      </c>
      <c r="S181" s="29">
        <v>0</v>
      </c>
      <c r="T181" s="29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v>0</v>
      </c>
      <c r="AF181" s="32" t="s">
        <v>268</v>
      </c>
      <c r="AG181" s="32">
        <v>2020</v>
      </c>
      <c r="AH181" s="33" t="s">
        <v>268</v>
      </c>
      <c r="BZ181" s="61"/>
      <c r="CD181" s="18" t="e">
        <f>VLOOKUP(C181,CE:CF,2,FALSE)</f>
        <v>#N/A</v>
      </c>
      <c r="CE181" s="85" t="s">
        <v>1273</v>
      </c>
      <c r="CF181" s="85">
        <v>958</v>
      </c>
    </row>
    <row r="182" spans="1:84" ht="61.5" x14ac:dyDescent="0.85">
      <c r="A182" s="18">
        <v>1</v>
      </c>
      <c r="B182" s="57">
        <f>SUBTOTAL(103,$A$22:A182)</f>
        <v>159</v>
      </c>
      <c r="C182" s="22" t="s">
        <v>1151</v>
      </c>
      <c r="D182" s="29">
        <f t="shared" si="10"/>
        <v>1784450.96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341">
        <v>1</v>
      </c>
      <c r="L182" s="93">
        <v>1784450.96</v>
      </c>
      <c r="M182" s="29">
        <v>0</v>
      </c>
      <c r="N182" s="29">
        <v>0</v>
      </c>
      <c r="O182" s="29">
        <v>0</v>
      </c>
      <c r="P182" s="29">
        <v>0</v>
      </c>
      <c r="Q182" s="29">
        <v>0</v>
      </c>
      <c r="R182" s="29">
        <v>0</v>
      </c>
      <c r="S182" s="29">
        <v>0</v>
      </c>
      <c r="T182" s="29">
        <v>0</v>
      </c>
      <c r="U182" s="29">
        <v>0</v>
      </c>
      <c r="V182" s="29">
        <v>0</v>
      </c>
      <c r="W182" s="29">
        <v>0</v>
      </c>
      <c r="X182" s="29">
        <v>0</v>
      </c>
      <c r="Y182" s="29">
        <v>0</v>
      </c>
      <c r="Z182" s="29">
        <v>0</v>
      </c>
      <c r="AA182" s="29">
        <v>0</v>
      </c>
      <c r="AB182" s="29">
        <v>0</v>
      </c>
      <c r="AC182" s="29">
        <v>0</v>
      </c>
      <c r="AD182" s="29">
        <v>0</v>
      </c>
      <c r="AE182" s="29">
        <v>0</v>
      </c>
      <c r="AF182" s="32" t="s">
        <v>268</v>
      </c>
      <c r="AG182" s="32">
        <v>2020</v>
      </c>
      <c r="AH182" s="33" t="s">
        <v>268</v>
      </c>
      <c r="BZ182" s="61"/>
      <c r="CD182" s="18" t="e">
        <f>VLOOKUP(C182,CE:CF,2,FALSE)</f>
        <v>#N/A</v>
      </c>
      <c r="CE182" s="85" t="s">
        <v>184</v>
      </c>
      <c r="CF182" s="85">
        <v>255.2</v>
      </c>
    </row>
    <row r="183" spans="1:84" ht="61.5" x14ac:dyDescent="0.85">
      <c r="A183" s="18">
        <v>1</v>
      </c>
      <c r="B183" s="57">
        <f>SUBTOTAL(103,$A$22:A183)</f>
        <v>160</v>
      </c>
      <c r="C183" s="22" t="s">
        <v>1152</v>
      </c>
      <c r="D183" s="29">
        <f t="shared" si="10"/>
        <v>6364982.3099999996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64">
        <v>4</v>
      </c>
      <c r="L183" s="29">
        <v>6364982.3099999996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0</v>
      </c>
      <c r="AF183" s="32" t="s">
        <v>268</v>
      </c>
      <c r="AG183" s="32">
        <v>2020</v>
      </c>
      <c r="AH183" s="33" t="s">
        <v>268</v>
      </c>
      <c r="BZ183" s="61"/>
      <c r="CD183" s="18" t="e">
        <f>VLOOKUP(C183,CE:CF,2,FALSE)</f>
        <v>#N/A</v>
      </c>
      <c r="CE183" s="85" t="s">
        <v>135</v>
      </c>
      <c r="CF183" s="85">
        <v>1229.9000000000001</v>
      </c>
    </row>
    <row r="184" spans="1:84" ht="61.5" x14ac:dyDescent="0.85">
      <c r="A184" s="18">
        <v>1</v>
      </c>
      <c r="B184" s="57">
        <f>SUBTOTAL(103,$A$22:A184)</f>
        <v>161</v>
      </c>
      <c r="C184" s="22" t="s">
        <v>1268</v>
      </c>
      <c r="D184" s="29">
        <f t="shared" si="10"/>
        <v>2331324.81</v>
      </c>
      <c r="E184" s="29">
        <v>0</v>
      </c>
      <c r="F184" s="29">
        <v>0</v>
      </c>
      <c r="G184" s="37">
        <v>2318457.37</v>
      </c>
      <c r="H184" s="29">
        <v>0</v>
      </c>
      <c r="I184" s="29">
        <v>0</v>
      </c>
      <c r="J184" s="29">
        <v>0</v>
      </c>
      <c r="K184" s="31">
        <v>0</v>
      </c>
      <c r="L184" s="29">
        <v>0</v>
      </c>
      <c r="M184" s="29">
        <v>0</v>
      </c>
      <c r="N184" s="29">
        <v>0</v>
      </c>
      <c r="O184" s="29">
        <v>0</v>
      </c>
      <c r="P184" s="29">
        <v>0</v>
      </c>
      <c r="Q184" s="29">
        <v>0</v>
      </c>
      <c r="R184" s="29">
        <v>0</v>
      </c>
      <c r="S184" s="29">
        <v>0</v>
      </c>
      <c r="T184" s="29">
        <v>0</v>
      </c>
      <c r="U184" s="29">
        <v>0</v>
      </c>
      <c r="V184" s="29">
        <v>0</v>
      </c>
      <c r="W184" s="29">
        <v>0</v>
      </c>
      <c r="X184" s="29">
        <v>0</v>
      </c>
      <c r="Y184" s="29">
        <v>0</v>
      </c>
      <c r="Z184" s="29">
        <v>0</v>
      </c>
      <c r="AA184" s="29">
        <v>0</v>
      </c>
      <c r="AB184" s="29">
        <v>0</v>
      </c>
      <c r="AC184" s="37">
        <v>12867.44</v>
      </c>
      <c r="AD184" s="29">
        <v>0</v>
      </c>
      <c r="AE184" s="29">
        <v>0</v>
      </c>
      <c r="AF184" s="32" t="s">
        <v>268</v>
      </c>
      <c r="AG184" s="32">
        <v>2020</v>
      </c>
      <c r="AH184" s="33">
        <v>2020</v>
      </c>
      <c r="BZ184" s="61"/>
      <c r="CD184" s="18" t="e">
        <f>VLOOKUP(C184,CE:CF,2,FALSE)</f>
        <v>#N/A</v>
      </c>
    </row>
    <row r="185" spans="1:84" ht="61.5" x14ac:dyDescent="0.85">
      <c r="A185" s="18">
        <v>1</v>
      </c>
      <c r="B185" s="57">
        <f>SUBTOTAL(103,$A$22:A185)</f>
        <v>162</v>
      </c>
      <c r="C185" s="22" t="s">
        <v>1281</v>
      </c>
      <c r="D185" s="29">
        <f t="shared" si="10"/>
        <v>131828.92000000001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31">
        <v>0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9">
        <v>0</v>
      </c>
      <c r="Y185" s="29">
        <v>0</v>
      </c>
      <c r="Z185" s="29">
        <v>0</v>
      </c>
      <c r="AA185" s="29">
        <v>0</v>
      </c>
      <c r="AB185" s="29">
        <v>0</v>
      </c>
      <c r="AC185" s="29">
        <f>ROUND(R185*1.5%,2)</f>
        <v>0</v>
      </c>
      <c r="AD185" s="37">
        <v>131828.92000000001</v>
      </c>
      <c r="AE185" s="29">
        <v>0</v>
      </c>
      <c r="AF185" s="32">
        <v>2020</v>
      </c>
      <c r="AG185" s="32" t="s">
        <v>268</v>
      </c>
      <c r="AH185" s="33" t="s">
        <v>268</v>
      </c>
      <c r="AI185" s="32">
        <v>2020</v>
      </c>
      <c r="AJ185" s="32">
        <v>2020</v>
      </c>
      <c r="AK185" s="32">
        <v>2020</v>
      </c>
      <c r="AL185" s="32">
        <v>2020</v>
      </c>
      <c r="AM185" s="32">
        <v>2020</v>
      </c>
      <c r="AN185" s="32">
        <v>2020</v>
      </c>
      <c r="AO185" s="32">
        <v>2020</v>
      </c>
      <c r="AP185" s="32">
        <v>2020</v>
      </c>
      <c r="AQ185" s="32">
        <v>2020</v>
      </c>
      <c r="AR185" s="32">
        <v>2020</v>
      </c>
      <c r="AS185" s="32">
        <v>2020</v>
      </c>
      <c r="AT185" s="32">
        <v>2020</v>
      </c>
      <c r="AU185" s="32">
        <v>2020</v>
      </c>
      <c r="AV185" s="32">
        <v>2020</v>
      </c>
      <c r="AW185" s="32">
        <v>2020</v>
      </c>
      <c r="AX185" s="32">
        <v>2020</v>
      </c>
      <c r="AY185" s="32">
        <v>2020</v>
      </c>
      <c r="AZ185" s="32">
        <v>2020</v>
      </c>
      <c r="BA185" s="32">
        <v>2020</v>
      </c>
      <c r="BB185" s="32">
        <v>2020</v>
      </c>
      <c r="BC185" s="32">
        <v>2020</v>
      </c>
      <c r="BD185" s="32">
        <v>2020</v>
      </c>
      <c r="BE185" s="32">
        <v>2020</v>
      </c>
      <c r="BF185" s="32">
        <v>2020</v>
      </c>
      <c r="BG185" s="32">
        <v>2020</v>
      </c>
      <c r="BH185" s="32">
        <v>2020</v>
      </c>
      <c r="BI185" s="32">
        <v>2020</v>
      </c>
      <c r="BJ185" s="32">
        <v>2020</v>
      </c>
      <c r="BK185" s="32">
        <v>2020</v>
      </c>
      <c r="BL185" s="32">
        <v>2020</v>
      </c>
      <c r="BM185" s="32">
        <v>2020</v>
      </c>
      <c r="BN185" s="32">
        <v>2020</v>
      </c>
      <c r="BO185" s="32">
        <v>2020</v>
      </c>
      <c r="BP185" s="32">
        <v>2020</v>
      </c>
      <c r="BQ185" s="32">
        <v>2020</v>
      </c>
      <c r="BR185" s="32">
        <v>2020</v>
      </c>
      <c r="BS185" s="32">
        <v>2020</v>
      </c>
      <c r="BT185" s="32">
        <v>2020</v>
      </c>
      <c r="BU185" s="32">
        <v>2020</v>
      </c>
      <c r="BV185" s="32">
        <v>2020</v>
      </c>
      <c r="BW185" s="32">
        <v>2020</v>
      </c>
      <c r="BZ185" s="61"/>
      <c r="CD185" s="18" t="e">
        <f>VLOOKUP(C185,CE:CF,2,FALSE)</f>
        <v>#N/A</v>
      </c>
    </row>
    <row r="186" spans="1:84" ht="61.5" x14ac:dyDescent="0.85">
      <c r="A186" s="18">
        <v>1</v>
      </c>
      <c r="B186" s="57">
        <f>SUBTOTAL(103,$A$22:A186)</f>
        <v>163</v>
      </c>
      <c r="C186" s="22" t="s">
        <v>1282</v>
      </c>
      <c r="D186" s="29">
        <f t="shared" si="10"/>
        <v>2376594.88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31">
        <v>0</v>
      </c>
      <c r="L186" s="29">
        <v>0</v>
      </c>
      <c r="M186" s="37">
        <v>479</v>
      </c>
      <c r="N186" s="37">
        <v>2305669.96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37">
        <v>10894.29</v>
      </c>
      <c r="AD186" s="37">
        <v>60030.63</v>
      </c>
      <c r="AE186" s="29">
        <v>0</v>
      </c>
      <c r="AF186" s="32">
        <v>2020</v>
      </c>
      <c r="AG186" s="32">
        <v>2020</v>
      </c>
      <c r="AH186" s="33">
        <v>2020</v>
      </c>
      <c r="BZ186" s="61"/>
      <c r="CD186" s="18" t="e">
        <f>VLOOKUP(C186,CE:CF,2,FALSE)</f>
        <v>#N/A</v>
      </c>
    </row>
    <row r="187" spans="1:84" ht="61.5" x14ac:dyDescent="0.85">
      <c r="A187" s="18">
        <v>1</v>
      </c>
      <c r="B187" s="57">
        <f>SUBTOTAL(103,$A$22:A187)</f>
        <v>164</v>
      </c>
      <c r="C187" s="22" t="s">
        <v>1283</v>
      </c>
      <c r="D187" s="29">
        <f t="shared" si="10"/>
        <v>3042838.07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31">
        <v>0</v>
      </c>
      <c r="L187" s="29">
        <v>0</v>
      </c>
      <c r="M187" s="37">
        <v>654.20000000000005</v>
      </c>
      <c r="N187" s="37">
        <v>2946964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9">
        <v>0</v>
      </c>
      <c r="AC187" s="28">
        <v>13924.4</v>
      </c>
      <c r="AD187" s="37">
        <v>81949.67</v>
      </c>
      <c r="AE187" s="29">
        <v>0</v>
      </c>
      <c r="AF187" s="32">
        <v>2020</v>
      </c>
      <c r="AG187" s="32">
        <v>2020</v>
      </c>
      <c r="AH187" s="33">
        <v>2020</v>
      </c>
      <c r="BZ187" s="61"/>
      <c r="CD187" s="18" t="e">
        <f>VLOOKUP(C187,CE:CF,2,FALSE)</f>
        <v>#N/A</v>
      </c>
    </row>
    <row r="188" spans="1:84" ht="61.5" x14ac:dyDescent="0.85">
      <c r="A188" s="18">
        <v>1</v>
      </c>
      <c r="B188" s="57">
        <f>SUBTOTAL(103,$A$22:A188)</f>
        <v>165</v>
      </c>
      <c r="C188" s="22" t="s">
        <v>1284</v>
      </c>
      <c r="D188" s="29">
        <f t="shared" si="10"/>
        <v>1139819.0599999998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31">
        <v>0</v>
      </c>
      <c r="L188" s="29">
        <v>0</v>
      </c>
      <c r="M188" s="37">
        <v>259.76</v>
      </c>
      <c r="N188" s="134">
        <v>1089346.73</v>
      </c>
      <c r="O188" s="29">
        <v>0</v>
      </c>
      <c r="P188" s="29">
        <v>0</v>
      </c>
      <c r="Q188" s="29">
        <v>0</v>
      </c>
      <c r="R188" s="29">
        <v>0</v>
      </c>
      <c r="S188" s="29">
        <v>0</v>
      </c>
      <c r="T188" s="29">
        <v>0</v>
      </c>
      <c r="U188" s="29">
        <v>0</v>
      </c>
      <c r="V188" s="29">
        <v>0</v>
      </c>
      <c r="W188" s="29">
        <v>0</v>
      </c>
      <c r="X188" s="29">
        <v>0</v>
      </c>
      <c r="Y188" s="29">
        <v>0</v>
      </c>
      <c r="Z188" s="29">
        <v>0</v>
      </c>
      <c r="AA188" s="29">
        <v>0</v>
      </c>
      <c r="AB188" s="29">
        <v>0</v>
      </c>
      <c r="AC188" s="134">
        <v>5147.16</v>
      </c>
      <c r="AD188" s="37">
        <v>45325.17</v>
      </c>
      <c r="AE188" s="29">
        <v>0</v>
      </c>
      <c r="AF188" s="32">
        <v>2020</v>
      </c>
      <c r="AG188" s="32">
        <v>2020</v>
      </c>
      <c r="AH188" s="33">
        <v>2020</v>
      </c>
      <c r="BZ188" s="61"/>
      <c r="CD188" s="18" t="e">
        <f>VLOOKUP(C188,CE:CF,2,FALSE)</f>
        <v>#N/A</v>
      </c>
    </row>
    <row r="189" spans="1:84" ht="61.5" x14ac:dyDescent="0.85">
      <c r="A189" s="18">
        <v>1</v>
      </c>
      <c r="B189" s="57">
        <f>SUBTOTAL(103,$A$22:A189)</f>
        <v>166</v>
      </c>
      <c r="C189" s="22" t="s">
        <v>1285</v>
      </c>
      <c r="D189" s="29">
        <f t="shared" si="10"/>
        <v>1396947.25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31">
        <v>0</v>
      </c>
      <c r="L189" s="29">
        <v>0</v>
      </c>
      <c r="M189" s="37">
        <v>255.1</v>
      </c>
      <c r="N189" s="37">
        <v>1343152.62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8">
        <v>6346.4</v>
      </c>
      <c r="AD189" s="37">
        <v>47448.23</v>
      </c>
      <c r="AE189" s="29">
        <v>0</v>
      </c>
      <c r="AF189" s="32">
        <v>2020</v>
      </c>
      <c r="AG189" s="32">
        <v>2020</v>
      </c>
      <c r="AH189" s="33">
        <v>2020</v>
      </c>
      <c r="BZ189" s="61"/>
      <c r="CD189" s="18" t="e">
        <f>VLOOKUP(C189,CE:CF,2,FALSE)</f>
        <v>#N/A</v>
      </c>
    </row>
    <row r="190" spans="1:84" ht="61.5" x14ac:dyDescent="0.85">
      <c r="A190" s="18">
        <v>1</v>
      </c>
      <c r="B190" s="57">
        <f>SUBTOTAL(103,$A$22:A190)</f>
        <v>167</v>
      </c>
      <c r="C190" s="22" t="s">
        <v>1537</v>
      </c>
      <c r="D190" s="29">
        <f t="shared" si="10"/>
        <v>2343822.52</v>
      </c>
      <c r="E190" s="29"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31">
        <v>0</v>
      </c>
      <c r="L190" s="29">
        <v>0</v>
      </c>
      <c r="M190" s="29">
        <v>792</v>
      </c>
      <c r="N190" s="29">
        <v>2330886.1</v>
      </c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  <c r="U190" s="29">
        <v>0</v>
      </c>
      <c r="V190" s="29">
        <v>0</v>
      </c>
      <c r="W190" s="29">
        <v>0</v>
      </c>
      <c r="X190" s="29">
        <v>0</v>
      </c>
      <c r="Y190" s="29">
        <v>0</v>
      </c>
      <c r="Z190" s="29">
        <v>0</v>
      </c>
      <c r="AA190" s="29">
        <v>0</v>
      </c>
      <c r="AB190" s="29">
        <v>0</v>
      </c>
      <c r="AC190" s="37">
        <v>12936.42</v>
      </c>
      <c r="AD190" s="29">
        <v>0</v>
      </c>
      <c r="AE190" s="29">
        <v>0</v>
      </c>
      <c r="AF190" s="32" t="s">
        <v>268</v>
      </c>
      <c r="AG190" s="32">
        <v>2020</v>
      </c>
      <c r="AH190" s="33">
        <v>2020</v>
      </c>
      <c r="BZ190" s="61"/>
      <c r="CD190" s="18">
        <f>VLOOKUP(C190,CE:CF,2,FALSE)</f>
        <v>792</v>
      </c>
    </row>
    <row r="191" spans="1:84" ht="61.5" x14ac:dyDescent="0.85">
      <c r="A191" s="18">
        <v>1</v>
      </c>
      <c r="B191" s="57">
        <f>SUBTOTAL(103,$A$22:A191)</f>
        <v>168</v>
      </c>
      <c r="C191" s="22" t="s">
        <v>1549</v>
      </c>
      <c r="D191" s="29">
        <f t="shared" si="10"/>
        <v>2905261.2600000002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31">
        <v>0</v>
      </c>
      <c r="L191" s="29">
        <v>0</v>
      </c>
      <c r="M191" s="37">
        <v>553</v>
      </c>
      <c r="N191" s="37">
        <v>2821489.33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37">
        <v>13331.54</v>
      </c>
      <c r="AD191" s="37">
        <v>70440.39</v>
      </c>
      <c r="AE191" s="29">
        <v>0</v>
      </c>
      <c r="AF191" s="32">
        <v>2020</v>
      </c>
      <c r="AG191" s="32">
        <v>2020</v>
      </c>
      <c r="AH191" s="33">
        <v>2020</v>
      </c>
      <c r="BZ191" s="61"/>
      <c r="CD191" s="18" t="e">
        <f>VLOOKUP(C191,CE:CF,2,FALSE)</f>
        <v>#N/A</v>
      </c>
    </row>
    <row r="192" spans="1:84" ht="61.5" x14ac:dyDescent="0.85">
      <c r="A192" s="18">
        <v>1</v>
      </c>
      <c r="B192" s="57">
        <f>SUBTOTAL(103,$A$22:A192)</f>
        <v>169</v>
      </c>
      <c r="C192" s="22" t="s">
        <v>1550</v>
      </c>
      <c r="D192" s="29">
        <f t="shared" si="10"/>
        <v>2908972.99</v>
      </c>
      <c r="E192" s="29">
        <v>0</v>
      </c>
      <c r="F192" s="29">
        <v>0</v>
      </c>
      <c r="G192" s="29">
        <v>0</v>
      </c>
      <c r="H192" s="29">
        <v>0</v>
      </c>
      <c r="I192" s="29">
        <v>0</v>
      </c>
      <c r="J192" s="29">
        <v>0</v>
      </c>
      <c r="K192" s="31">
        <v>0</v>
      </c>
      <c r="L192" s="29">
        <v>0</v>
      </c>
      <c r="M192" s="37">
        <v>577.86</v>
      </c>
      <c r="N192" s="37">
        <v>2816936.74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37">
        <v>13310.03</v>
      </c>
      <c r="AD192" s="37">
        <v>78726.22</v>
      </c>
      <c r="AE192" s="29">
        <v>0</v>
      </c>
      <c r="AF192" s="32">
        <v>2020</v>
      </c>
      <c r="AG192" s="32">
        <v>2020</v>
      </c>
      <c r="AH192" s="33">
        <v>2020</v>
      </c>
      <c r="BZ192" s="61"/>
      <c r="CD192" s="18" t="e">
        <f>VLOOKUP(C192,CE:CF,2,FALSE)</f>
        <v>#N/A</v>
      </c>
    </row>
    <row r="193" spans="1:82" ht="61.5" x14ac:dyDescent="0.85">
      <c r="A193" s="18">
        <v>1</v>
      </c>
      <c r="B193" s="57">
        <f>SUBTOTAL(103,$A$22:A193)</f>
        <v>170</v>
      </c>
      <c r="C193" s="22" t="s">
        <v>1579</v>
      </c>
      <c r="D193" s="29">
        <f>E193+F193+G193+H193+I193+J193+L193+N193+P193+R193+T193+U193+V193+W193+X193+Y193+Z193+AA193+AB193+AC193+AD193+AE193</f>
        <v>2039264.59</v>
      </c>
      <c r="E193" s="29">
        <v>0</v>
      </c>
      <c r="F193" s="29">
        <v>0</v>
      </c>
      <c r="G193" s="29">
        <v>0</v>
      </c>
      <c r="H193" s="29">
        <v>0</v>
      </c>
      <c r="I193" s="29">
        <v>0</v>
      </c>
      <c r="J193" s="29">
        <v>0</v>
      </c>
      <c r="K193" s="31">
        <v>0</v>
      </c>
      <c r="L193" s="29">
        <v>0</v>
      </c>
      <c r="M193" s="29">
        <v>792.98</v>
      </c>
      <c r="N193" s="29">
        <v>1767006.67</v>
      </c>
      <c r="O193" s="29">
        <v>0</v>
      </c>
      <c r="P193" s="29">
        <v>0</v>
      </c>
      <c r="Q193" s="29">
        <v>0</v>
      </c>
      <c r="R193" s="29">
        <v>0</v>
      </c>
      <c r="S193" s="29">
        <v>0</v>
      </c>
      <c r="T193" s="29">
        <v>0</v>
      </c>
      <c r="U193" s="29">
        <v>0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9">
        <v>0</v>
      </c>
      <c r="AC193" s="37">
        <v>8349.11</v>
      </c>
      <c r="AD193" s="37">
        <v>263908.81</v>
      </c>
      <c r="AE193" s="29">
        <v>0</v>
      </c>
      <c r="AF193" s="32">
        <v>2020</v>
      </c>
      <c r="AG193" s="32">
        <v>2020</v>
      </c>
      <c r="AH193" s="33">
        <v>2020</v>
      </c>
      <c r="BZ193" s="61"/>
      <c r="CD193" s="18" t="e">
        <f>VLOOKUP(C193,CE:CF,2,FALSE)</f>
        <v>#N/A</v>
      </c>
    </row>
    <row r="194" spans="1:82" ht="61.5" x14ac:dyDescent="0.85">
      <c r="A194" s="18">
        <v>1</v>
      </c>
      <c r="B194" s="57">
        <f>SUBTOTAL(103,$A$22:A194)</f>
        <v>171</v>
      </c>
      <c r="C194" s="22" t="s">
        <v>400</v>
      </c>
      <c r="D194" s="29">
        <f>E194+F194+G194+H194+I194+J194+L194+N194+P194+R194+T194+U194+V194+W194+X194+Y194+Z194+AA194+AB194+AC194+AD194+AE194</f>
        <v>1604039.9000000001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64">
        <v>1</v>
      </c>
      <c r="L194" s="29">
        <v>1531407.86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92">
        <v>72632.039999999994</v>
      </c>
      <c r="AE194" s="29">
        <v>0</v>
      </c>
      <c r="AF194" s="32">
        <v>2020</v>
      </c>
      <c r="AG194" s="32">
        <v>2020</v>
      </c>
      <c r="AH194" s="33" t="s">
        <v>268</v>
      </c>
      <c r="AT194" s="18">
        <f>VLOOKUP(C194,AW:AX,2,FALSE)</f>
        <v>1</v>
      </c>
      <c r="BZ194" s="61"/>
      <c r="CD194" s="18" t="e">
        <f>VLOOKUP(C194,CE:CF,2,FALSE)</f>
        <v>#N/A</v>
      </c>
    </row>
    <row r="195" spans="1:82" ht="61.5" x14ac:dyDescent="0.85">
      <c r="A195" s="18">
        <v>1</v>
      </c>
      <c r="B195" s="57">
        <f>SUBTOTAL(103,$A$22:A195)</f>
        <v>172</v>
      </c>
      <c r="C195" s="22" t="s">
        <v>436</v>
      </c>
      <c r="D195" s="29">
        <f>E195+F195+G195+H195+I195+J195+L195+N195+P195+R195+T195+U195+V195+W195+X195+Y195+Z195+AA195+AB195+AC195+AD195+AE195</f>
        <v>105635.39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31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9">
        <f>ROUND(N195*1.5%,2)</f>
        <v>0</v>
      </c>
      <c r="AD195" s="29">
        <v>105635.39</v>
      </c>
      <c r="AE195" s="29">
        <v>0</v>
      </c>
      <c r="AF195" s="32">
        <v>2020</v>
      </c>
      <c r="AG195" s="33" t="s">
        <v>268</v>
      </c>
      <c r="AH195" s="33" t="s">
        <v>268</v>
      </c>
      <c r="BZ195" s="61"/>
      <c r="CD195" s="18" t="e">
        <f>VLOOKUP(C195,CE:CF,2,FALSE)</f>
        <v>#N/A</v>
      </c>
    </row>
    <row r="196" spans="1:82" ht="61.5" x14ac:dyDescent="0.85">
      <c r="A196" s="18">
        <v>1</v>
      </c>
      <c r="B196" s="57">
        <f>SUBTOTAL(103,$A$22:A196)</f>
        <v>173</v>
      </c>
      <c r="C196" s="22" t="s">
        <v>404</v>
      </c>
      <c r="D196" s="29">
        <f t="shared" ref="D196:D201" si="11">E196+F196+G196+H196+I196+J196+L196+N196+P196+R196+T196+U196+V196+W196+X196+Y196+Z196+AA196+AB196+AC196+AD196+AE196</f>
        <v>81776.960000000006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64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9">
        <f t="shared" ref="AC196:AC201" si="12">ROUND(N196*1.5%,2)</f>
        <v>0</v>
      </c>
      <c r="AD196" s="29">
        <v>81776.960000000006</v>
      </c>
      <c r="AE196" s="29">
        <v>0</v>
      </c>
      <c r="AF196" s="32">
        <v>2020</v>
      </c>
      <c r="AG196" s="33" t="s">
        <v>268</v>
      </c>
      <c r="AH196" s="33" t="s">
        <v>268</v>
      </c>
      <c r="AT196" s="18" t="e">
        <v>#N/A</v>
      </c>
      <c r="BZ196" s="61"/>
      <c r="CD196" s="18" t="e">
        <v>#N/A</v>
      </c>
    </row>
    <row r="197" spans="1:82" ht="61.5" x14ac:dyDescent="0.85">
      <c r="A197" s="18">
        <v>1</v>
      </c>
      <c r="B197" s="57">
        <f>SUBTOTAL(103,$A$22:A197)</f>
        <v>174</v>
      </c>
      <c r="C197" s="22" t="s">
        <v>405</v>
      </c>
      <c r="D197" s="29">
        <f t="shared" si="11"/>
        <v>64771.71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64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f t="shared" si="12"/>
        <v>0</v>
      </c>
      <c r="AD197" s="29">
        <v>64771.71</v>
      </c>
      <c r="AE197" s="29">
        <v>0</v>
      </c>
      <c r="AF197" s="32">
        <v>2020</v>
      </c>
      <c r="AG197" s="33" t="s">
        <v>268</v>
      </c>
      <c r="AH197" s="33" t="s">
        <v>268</v>
      </c>
      <c r="AT197" s="18" t="e">
        <v>#N/A</v>
      </c>
      <c r="BZ197" s="61"/>
      <c r="CD197" s="18" t="e">
        <v>#N/A</v>
      </c>
    </row>
    <row r="198" spans="1:82" ht="61.5" x14ac:dyDescent="0.85">
      <c r="A198" s="18">
        <v>1</v>
      </c>
      <c r="B198" s="57">
        <f>SUBTOTAL(103,$A$22:A198)</f>
        <v>175</v>
      </c>
      <c r="C198" s="22" t="s">
        <v>406</v>
      </c>
      <c r="D198" s="29">
        <f t="shared" si="11"/>
        <v>64458.1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64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9">
        <f t="shared" si="12"/>
        <v>0</v>
      </c>
      <c r="AD198" s="29">
        <v>64458.1</v>
      </c>
      <c r="AE198" s="29">
        <v>0</v>
      </c>
      <c r="AF198" s="32">
        <v>2020</v>
      </c>
      <c r="AG198" s="33" t="s">
        <v>268</v>
      </c>
      <c r="AH198" s="33" t="s">
        <v>268</v>
      </c>
      <c r="AT198" s="18" t="e">
        <v>#N/A</v>
      </c>
      <c r="BZ198" s="61"/>
      <c r="CD198" s="18" t="e">
        <v>#N/A</v>
      </c>
    </row>
    <row r="199" spans="1:82" ht="61.5" x14ac:dyDescent="0.85">
      <c r="A199" s="18">
        <v>1</v>
      </c>
      <c r="B199" s="57">
        <f>SUBTOTAL(103,$A$22:A199)</f>
        <v>176</v>
      </c>
      <c r="C199" s="22" t="s">
        <v>411</v>
      </c>
      <c r="D199" s="29">
        <f t="shared" si="11"/>
        <v>68984.12</v>
      </c>
      <c r="E199" s="29">
        <v>0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64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f t="shared" si="12"/>
        <v>0</v>
      </c>
      <c r="AD199" s="29">
        <v>68984.12</v>
      </c>
      <c r="AE199" s="29">
        <v>0</v>
      </c>
      <c r="AF199" s="32">
        <v>2020</v>
      </c>
      <c r="AG199" s="33" t="s">
        <v>268</v>
      </c>
      <c r="AH199" s="33" t="s">
        <v>268</v>
      </c>
      <c r="AT199" s="18" t="e">
        <v>#N/A</v>
      </c>
      <c r="BZ199" s="61"/>
      <c r="CD199" s="18" t="e">
        <v>#N/A</v>
      </c>
    </row>
    <row r="200" spans="1:82" ht="61.5" x14ac:dyDescent="0.85">
      <c r="A200" s="18">
        <v>1</v>
      </c>
      <c r="B200" s="57">
        <f>SUBTOTAL(103,$A$22:A200)</f>
        <v>177</v>
      </c>
      <c r="C200" s="22" t="s">
        <v>412</v>
      </c>
      <c r="D200" s="29">
        <f t="shared" si="11"/>
        <v>49086.239999999998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64">
        <v>0</v>
      </c>
      <c r="L200" s="29">
        <v>0</v>
      </c>
      <c r="M200" s="29">
        <v>0</v>
      </c>
      <c r="N200" s="29">
        <v>0</v>
      </c>
      <c r="O200" s="29">
        <v>0</v>
      </c>
      <c r="P200" s="29">
        <v>0</v>
      </c>
      <c r="Q200" s="29">
        <v>0</v>
      </c>
      <c r="R200" s="29">
        <v>0</v>
      </c>
      <c r="S200" s="29">
        <v>0</v>
      </c>
      <c r="T200" s="29">
        <v>0</v>
      </c>
      <c r="U200" s="29">
        <v>0</v>
      </c>
      <c r="V200" s="29">
        <v>0</v>
      </c>
      <c r="W200" s="29">
        <v>0</v>
      </c>
      <c r="X200" s="29">
        <v>0</v>
      </c>
      <c r="Y200" s="29">
        <v>0</v>
      </c>
      <c r="Z200" s="29">
        <v>0</v>
      </c>
      <c r="AA200" s="29">
        <v>0</v>
      </c>
      <c r="AB200" s="29">
        <v>0</v>
      </c>
      <c r="AC200" s="29">
        <f t="shared" si="12"/>
        <v>0</v>
      </c>
      <c r="AD200" s="29">
        <v>49086.239999999998</v>
      </c>
      <c r="AE200" s="29">
        <v>0</v>
      </c>
      <c r="AF200" s="32">
        <v>2020</v>
      </c>
      <c r="AG200" s="33" t="s">
        <v>268</v>
      </c>
      <c r="AH200" s="33" t="s">
        <v>268</v>
      </c>
      <c r="AT200" s="18" t="e">
        <v>#N/A</v>
      </c>
      <c r="BZ200" s="61"/>
      <c r="CD200" s="18" t="e">
        <v>#N/A</v>
      </c>
    </row>
    <row r="201" spans="1:82" ht="61.5" x14ac:dyDescent="0.85">
      <c r="A201" s="18">
        <v>1</v>
      </c>
      <c r="B201" s="57">
        <f>SUBTOTAL(103,$A$22:A201)</f>
        <v>178</v>
      </c>
      <c r="C201" s="22" t="s">
        <v>420</v>
      </c>
      <c r="D201" s="29">
        <f t="shared" si="11"/>
        <v>66103.89</v>
      </c>
      <c r="E201" s="29">
        <v>0</v>
      </c>
      <c r="F201" s="29">
        <v>0</v>
      </c>
      <c r="G201" s="29">
        <v>0</v>
      </c>
      <c r="H201" s="29">
        <v>0</v>
      </c>
      <c r="I201" s="29">
        <v>0</v>
      </c>
      <c r="J201" s="29">
        <v>0</v>
      </c>
      <c r="K201" s="64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9">
        <f t="shared" si="12"/>
        <v>0</v>
      </c>
      <c r="AD201" s="29">
        <v>66103.89</v>
      </c>
      <c r="AE201" s="29">
        <v>0</v>
      </c>
      <c r="AF201" s="32">
        <v>2020</v>
      </c>
      <c r="AG201" s="33" t="s">
        <v>268</v>
      </c>
      <c r="AH201" s="33" t="s">
        <v>268</v>
      </c>
      <c r="AT201" s="18" t="e">
        <v>#N/A</v>
      </c>
      <c r="BZ201" s="61"/>
      <c r="CD201" s="18" t="e">
        <v>#N/A</v>
      </c>
    </row>
    <row r="202" spans="1:82" ht="61.5" x14ac:dyDescent="0.85">
      <c r="B202" s="22" t="s">
        <v>752</v>
      </c>
      <c r="C202" s="338"/>
      <c r="D202" s="339">
        <f t="shared" ref="D202:AE202" si="13">SUM(D203:D238)</f>
        <v>128937901.11000001</v>
      </c>
      <c r="E202" s="29">
        <f t="shared" si="13"/>
        <v>0</v>
      </c>
      <c r="F202" s="29">
        <f t="shared" si="13"/>
        <v>0</v>
      </c>
      <c r="G202" s="29">
        <f t="shared" si="13"/>
        <v>0</v>
      </c>
      <c r="H202" s="29">
        <f t="shared" si="13"/>
        <v>0</v>
      </c>
      <c r="I202" s="29">
        <f t="shared" si="13"/>
        <v>576161.37</v>
      </c>
      <c r="J202" s="29">
        <f t="shared" si="13"/>
        <v>0</v>
      </c>
      <c r="K202" s="31">
        <f t="shared" si="13"/>
        <v>66</v>
      </c>
      <c r="L202" s="29">
        <f t="shared" si="13"/>
        <v>106298275.30000001</v>
      </c>
      <c r="M202" s="29">
        <f t="shared" si="13"/>
        <v>3279.26</v>
      </c>
      <c r="N202" s="29">
        <f t="shared" si="13"/>
        <v>12410000.699999999</v>
      </c>
      <c r="O202" s="29">
        <f t="shared" si="13"/>
        <v>0</v>
      </c>
      <c r="P202" s="29">
        <f t="shared" si="13"/>
        <v>0</v>
      </c>
      <c r="Q202" s="29">
        <f t="shared" si="13"/>
        <v>2091.2799999999997</v>
      </c>
      <c r="R202" s="29">
        <f t="shared" si="13"/>
        <v>7877592.3200000003</v>
      </c>
      <c r="S202" s="29">
        <f t="shared" si="13"/>
        <v>0</v>
      </c>
      <c r="T202" s="29">
        <f t="shared" si="13"/>
        <v>0</v>
      </c>
      <c r="U202" s="29">
        <f t="shared" si="13"/>
        <v>0</v>
      </c>
      <c r="V202" s="29">
        <f t="shared" si="13"/>
        <v>0</v>
      </c>
      <c r="W202" s="29">
        <f t="shared" si="13"/>
        <v>0</v>
      </c>
      <c r="X202" s="29">
        <f t="shared" si="13"/>
        <v>0</v>
      </c>
      <c r="Y202" s="29">
        <f t="shared" si="13"/>
        <v>0</v>
      </c>
      <c r="Z202" s="29">
        <f t="shared" si="13"/>
        <v>0</v>
      </c>
      <c r="AA202" s="29">
        <f t="shared" si="13"/>
        <v>0</v>
      </c>
      <c r="AB202" s="29">
        <f t="shared" si="13"/>
        <v>0</v>
      </c>
      <c r="AC202" s="29">
        <f t="shared" si="13"/>
        <v>161902.00999999998</v>
      </c>
      <c r="AD202" s="29">
        <f t="shared" si="13"/>
        <v>1613969.4100000004</v>
      </c>
      <c r="AE202" s="29">
        <f t="shared" si="13"/>
        <v>0</v>
      </c>
      <c r="AF202" s="62" t="s">
        <v>743</v>
      </c>
      <c r="AG202" s="62" t="s">
        <v>743</v>
      </c>
      <c r="AH202" s="77" t="s">
        <v>743</v>
      </c>
      <c r="AT202" s="18" t="e">
        <f>VLOOKUP(C202,AW:AX,2,FALSE)</f>
        <v>#N/A</v>
      </c>
      <c r="BZ202" s="61">
        <v>182923711.81999996</v>
      </c>
      <c r="CB202" s="61">
        <f>BZ202-D202</f>
        <v>53985810.709999949</v>
      </c>
      <c r="CD202" s="18" t="e">
        <f>VLOOKUP(C202,CE:CF,2,FALSE)</f>
        <v>#N/A</v>
      </c>
    </row>
    <row r="203" spans="1:82" ht="61.5" x14ac:dyDescent="0.85">
      <c r="A203" s="18">
        <v>1</v>
      </c>
      <c r="B203" s="57">
        <f>SUBTOTAL(103,$A$22:A203)</f>
        <v>179</v>
      </c>
      <c r="C203" s="22" t="s">
        <v>753</v>
      </c>
      <c r="D203" s="29">
        <f t="shared" ref="D203:D230" si="14">E203+F203+G203+H203+I203+J203+L203+N203+P203+R203+T203+U203+V203+W203+X203+Y203+Z203+AA203+AB203+AC203+AD203+AE203</f>
        <v>131699.56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31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f>ROUND(R203*1.5%,2)</f>
        <v>0</v>
      </c>
      <c r="AD203" s="84">
        <v>131699.56</v>
      </c>
      <c r="AE203" s="29">
        <v>0</v>
      </c>
      <c r="AF203" s="32">
        <v>2020</v>
      </c>
      <c r="AG203" s="33" t="s">
        <v>268</v>
      </c>
      <c r="AH203" s="33" t="s">
        <v>268</v>
      </c>
      <c r="AT203" s="18" t="e">
        <f>VLOOKUP(C203,AW:AX,2,FALSE)</f>
        <v>#N/A</v>
      </c>
      <c r="BZ203" s="61"/>
      <c r="CD203" s="18" t="e">
        <f>VLOOKUP(C203,CE:CF,2,FALSE)</f>
        <v>#N/A</v>
      </c>
    </row>
    <row r="204" spans="1:82" ht="61.5" x14ac:dyDescent="0.85">
      <c r="A204" s="18">
        <v>1</v>
      </c>
      <c r="B204" s="57">
        <f>SUBTOTAL(103,$A$22:A204)</f>
        <v>180</v>
      </c>
      <c r="C204" s="22" t="s">
        <v>754</v>
      </c>
      <c r="D204" s="29">
        <f t="shared" si="14"/>
        <v>2194413.6799999997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31">
        <v>0</v>
      </c>
      <c r="L204" s="29">
        <v>0</v>
      </c>
      <c r="M204" s="37">
        <v>540.37</v>
      </c>
      <c r="N204" s="134">
        <v>2078453.13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0</v>
      </c>
      <c r="AB204" s="29">
        <v>0</v>
      </c>
      <c r="AC204" s="37">
        <v>26812.05</v>
      </c>
      <c r="AD204" s="37">
        <v>89148.5</v>
      </c>
      <c r="AE204" s="29">
        <v>0</v>
      </c>
      <c r="AF204" s="32">
        <v>2020</v>
      </c>
      <c r="AG204" s="32">
        <v>2020</v>
      </c>
      <c r="AH204" s="33">
        <v>2020</v>
      </c>
      <c r="AT204" s="18" t="e">
        <f>VLOOKUP(C204,AW:AX,2,FALSE)</f>
        <v>#N/A</v>
      </c>
      <c r="BZ204" s="61"/>
      <c r="CD204" s="18" t="e">
        <f>VLOOKUP(C204,CE:CF,2,FALSE)</f>
        <v>#N/A</v>
      </c>
    </row>
    <row r="205" spans="1:82" ht="61.5" x14ac:dyDescent="0.85">
      <c r="A205" s="18">
        <v>1</v>
      </c>
      <c r="B205" s="57">
        <f>SUBTOTAL(103,$A$22:A205)</f>
        <v>181</v>
      </c>
      <c r="C205" s="22" t="s">
        <v>755</v>
      </c>
      <c r="D205" s="29">
        <f t="shared" si="14"/>
        <v>62023.07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31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9">
        <f>ROUND(N205*1.5%,2)</f>
        <v>0</v>
      </c>
      <c r="AD205" s="134">
        <v>62023.07</v>
      </c>
      <c r="AE205" s="29">
        <v>0</v>
      </c>
      <c r="AF205" s="32">
        <v>2020</v>
      </c>
      <c r="AG205" s="33" t="s">
        <v>268</v>
      </c>
      <c r="AH205" s="33" t="s">
        <v>268</v>
      </c>
      <c r="AT205" s="18" t="e">
        <f>VLOOKUP(C205,AW:AX,2,FALSE)</f>
        <v>#N/A</v>
      </c>
      <c r="BZ205" s="61"/>
      <c r="CD205" s="18" t="e">
        <f>VLOOKUP(C205,CE:CF,2,FALSE)</f>
        <v>#N/A</v>
      </c>
    </row>
    <row r="206" spans="1:82" ht="61.5" x14ac:dyDescent="0.85">
      <c r="A206" s="18">
        <v>1</v>
      </c>
      <c r="B206" s="57">
        <f>SUBTOTAL(103,$A$22:A206)</f>
        <v>182</v>
      </c>
      <c r="C206" s="22" t="s">
        <v>756</v>
      </c>
      <c r="D206" s="29">
        <f t="shared" si="14"/>
        <v>4939980.5199999996</v>
      </c>
      <c r="E206" s="29">
        <v>0</v>
      </c>
      <c r="F206" s="29">
        <v>0</v>
      </c>
      <c r="G206" s="29">
        <v>0</v>
      </c>
      <c r="H206" s="29">
        <v>0</v>
      </c>
      <c r="I206" s="29">
        <v>0</v>
      </c>
      <c r="J206" s="29">
        <v>0</v>
      </c>
      <c r="K206" s="334">
        <v>3</v>
      </c>
      <c r="L206" s="37">
        <f>1646660.18+1646660.17+1646660.17</f>
        <v>4939980.5199999996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v>0</v>
      </c>
      <c r="AF206" s="32" t="s">
        <v>268</v>
      </c>
      <c r="AG206" s="32">
        <v>2020</v>
      </c>
      <c r="AH206" s="33" t="s">
        <v>268</v>
      </c>
      <c r="AT206" s="18" t="e">
        <f>VLOOKUP(C206,AW:AX,2,FALSE)</f>
        <v>#N/A</v>
      </c>
      <c r="BZ206" s="61"/>
      <c r="CD206" s="18" t="e">
        <f>VLOOKUP(C206,CE:CF,2,FALSE)</f>
        <v>#N/A</v>
      </c>
    </row>
    <row r="207" spans="1:82" ht="61.5" x14ac:dyDescent="0.85">
      <c r="A207" s="18">
        <v>1</v>
      </c>
      <c r="B207" s="57">
        <f>SUBTOTAL(103,$A$22:A207)</f>
        <v>183</v>
      </c>
      <c r="C207" s="22" t="s">
        <v>757</v>
      </c>
      <c r="D207" s="29">
        <f t="shared" si="14"/>
        <v>6608023.2199999997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334">
        <v>4</v>
      </c>
      <c r="L207" s="37">
        <v>6608023.2199999997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0</v>
      </c>
      <c r="AF207" s="32" t="s">
        <v>268</v>
      </c>
      <c r="AG207" s="32">
        <v>2020</v>
      </c>
      <c r="AH207" s="33" t="s">
        <v>268</v>
      </c>
      <c r="AT207" s="18" t="e">
        <f>VLOOKUP(C207,AW:AX,2,FALSE)</f>
        <v>#N/A</v>
      </c>
      <c r="BZ207" s="61"/>
      <c r="CD207" s="18" t="e">
        <f>VLOOKUP(C207,CE:CF,2,FALSE)</f>
        <v>#N/A</v>
      </c>
    </row>
    <row r="208" spans="1:82" ht="61.5" x14ac:dyDescent="0.85">
      <c r="A208" s="18">
        <v>1</v>
      </c>
      <c r="B208" s="57">
        <f>SUBTOTAL(103,$A$22:A208)</f>
        <v>184</v>
      </c>
      <c r="C208" s="22" t="s">
        <v>758</v>
      </c>
      <c r="D208" s="29">
        <f t="shared" si="14"/>
        <v>8162096.2000000002</v>
      </c>
      <c r="E208" s="29">
        <v>0</v>
      </c>
      <c r="F208" s="29">
        <v>0</v>
      </c>
      <c r="G208" s="29">
        <v>0</v>
      </c>
      <c r="H208" s="29">
        <v>0</v>
      </c>
      <c r="I208" s="29">
        <v>0</v>
      </c>
      <c r="J208" s="29">
        <v>0</v>
      </c>
      <c r="K208" s="334">
        <v>5</v>
      </c>
      <c r="L208" s="37">
        <f>1632419.24+1632419.24+1632419.24+1632419.24+1632419.24</f>
        <v>8162096.2000000002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29">
        <v>0</v>
      </c>
      <c r="AD208" s="29">
        <v>0</v>
      </c>
      <c r="AE208" s="29">
        <v>0</v>
      </c>
      <c r="AF208" s="32" t="s">
        <v>268</v>
      </c>
      <c r="AG208" s="32">
        <v>2020</v>
      </c>
      <c r="AH208" s="33" t="s">
        <v>268</v>
      </c>
      <c r="AT208" s="18" t="e">
        <f>VLOOKUP(C208,AW:AX,2,FALSE)</f>
        <v>#N/A</v>
      </c>
      <c r="BZ208" s="61"/>
      <c r="CD208" s="18" t="e">
        <f>VLOOKUP(C208,CE:CF,2,FALSE)</f>
        <v>#N/A</v>
      </c>
    </row>
    <row r="209" spans="1:82" ht="61.5" x14ac:dyDescent="0.85">
      <c r="A209" s="18">
        <v>1</v>
      </c>
      <c r="B209" s="57">
        <f>SUBTOTAL(103,$A$22:A209)</f>
        <v>185</v>
      </c>
      <c r="C209" s="22" t="s">
        <v>759</v>
      </c>
      <c r="D209" s="29">
        <f t="shared" si="14"/>
        <v>7899262.5999999996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9">
        <v>0</v>
      </c>
      <c r="K209" s="334">
        <v>5</v>
      </c>
      <c r="L209" s="37">
        <f>1579852.52+1579852.52+1579852.52+1579852.52+1579852.52</f>
        <v>7899262.5999999996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v>0</v>
      </c>
      <c r="AF209" s="32" t="s">
        <v>268</v>
      </c>
      <c r="AG209" s="32">
        <v>2020</v>
      </c>
      <c r="AH209" s="33" t="s">
        <v>268</v>
      </c>
      <c r="AT209" s="18" t="e">
        <f>VLOOKUP(C209,AW:AX,2,FALSE)</f>
        <v>#N/A</v>
      </c>
      <c r="BZ209" s="61"/>
      <c r="CD209" s="18" t="e">
        <f>VLOOKUP(C209,CE:CF,2,FALSE)</f>
        <v>#N/A</v>
      </c>
    </row>
    <row r="210" spans="1:82" ht="61.5" x14ac:dyDescent="0.85">
      <c r="A210" s="18">
        <v>1</v>
      </c>
      <c r="B210" s="57">
        <f>SUBTOTAL(103,$A$22:A210)</f>
        <v>186</v>
      </c>
      <c r="C210" s="22" t="s">
        <v>761</v>
      </c>
      <c r="D210" s="29">
        <f t="shared" si="14"/>
        <v>1703879.76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9">
        <v>0</v>
      </c>
      <c r="K210" s="31">
        <v>0</v>
      </c>
      <c r="L210" s="29">
        <v>0</v>
      </c>
      <c r="M210" s="37">
        <v>420.77</v>
      </c>
      <c r="N210" s="37">
        <v>1622576.28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9">
        <v>0</v>
      </c>
      <c r="AD210" s="37">
        <v>81303.48</v>
      </c>
      <c r="AE210" s="29">
        <v>0</v>
      </c>
      <c r="AF210" s="32">
        <v>2020</v>
      </c>
      <c r="AG210" s="32">
        <v>2020</v>
      </c>
      <c r="AH210" s="33" t="s">
        <v>268</v>
      </c>
      <c r="AT210" s="18" t="e">
        <f>VLOOKUP(C210,AW:AX,2,FALSE)</f>
        <v>#N/A</v>
      </c>
      <c r="BZ210" s="61"/>
      <c r="CD210" s="18" t="e">
        <f>VLOOKUP(C210,CE:CF,2,FALSE)</f>
        <v>#N/A</v>
      </c>
    </row>
    <row r="211" spans="1:82" ht="61.5" x14ac:dyDescent="0.85">
      <c r="A211" s="18">
        <v>1</v>
      </c>
      <c r="B211" s="57">
        <f>SUBTOTAL(103,$A$22:A211)</f>
        <v>187</v>
      </c>
      <c r="C211" s="22" t="s">
        <v>762</v>
      </c>
      <c r="D211" s="29">
        <f t="shared" si="14"/>
        <v>114842.89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31">
        <v>0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f>ROUND(N211*1.5%,2)</f>
        <v>0</v>
      </c>
      <c r="AD211" s="37">
        <v>114842.89</v>
      </c>
      <c r="AE211" s="29">
        <v>0</v>
      </c>
      <c r="AF211" s="32">
        <v>2020</v>
      </c>
      <c r="AG211" s="32" t="s">
        <v>268</v>
      </c>
      <c r="AH211" s="32" t="s">
        <v>268</v>
      </c>
      <c r="AT211" s="18" t="e">
        <f>VLOOKUP(C211,AW:AX,2,FALSE)</f>
        <v>#N/A</v>
      </c>
      <c r="BZ211" s="61"/>
      <c r="CD211" s="18">
        <f>VLOOKUP(C211,CE:CF,2,FALSE)</f>
        <v>1319.27</v>
      </c>
    </row>
    <row r="212" spans="1:82" ht="61.5" x14ac:dyDescent="0.85">
      <c r="A212" s="18">
        <v>1</v>
      </c>
      <c r="B212" s="57">
        <f>SUBTOTAL(103,$A$22:A212)</f>
        <v>188</v>
      </c>
      <c r="C212" s="22" t="s">
        <v>763</v>
      </c>
      <c r="D212" s="29">
        <f t="shared" si="14"/>
        <v>136497.56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31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f>ROUND(N212*1.5%,2)</f>
        <v>0</v>
      </c>
      <c r="AD212" s="37">
        <v>136497.56</v>
      </c>
      <c r="AE212" s="29">
        <v>0</v>
      </c>
      <c r="AF212" s="32">
        <v>2020</v>
      </c>
      <c r="AG212" s="32" t="s">
        <v>268</v>
      </c>
      <c r="AH212" s="32" t="s">
        <v>268</v>
      </c>
      <c r="AT212" s="18" t="e">
        <f>VLOOKUP(C212,AW:AX,2,FALSE)</f>
        <v>#N/A</v>
      </c>
      <c r="BZ212" s="61"/>
      <c r="CD212" s="18" t="e">
        <f>VLOOKUP(C212,CE:CF,2,FALSE)</f>
        <v>#N/A</v>
      </c>
    </row>
    <row r="213" spans="1:82" ht="61.5" x14ac:dyDescent="0.85">
      <c r="A213" s="18">
        <v>1</v>
      </c>
      <c r="B213" s="57">
        <f>SUBTOTAL(103,$A$22:A213)</f>
        <v>189</v>
      </c>
      <c r="C213" s="22" t="s">
        <v>1153</v>
      </c>
      <c r="D213" s="29">
        <f t="shared" si="14"/>
        <v>3517276.18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29">
        <v>0</v>
      </c>
      <c r="K213" s="31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335">
        <v>815.66</v>
      </c>
      <c r="R213" s="335">
        <v>3517276.18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0</v>
      </c>
      <c r="AF213" s="32" t="s">
        <v>268</v>
      </c>
      <c r="AG213" s="32">
        <v>2020</v>
      </c>
      <c r="AH213" s="33" t="s">
        <v>268</v>
      </c>
      <c r="BZ213" s="61"/>
      <c r="CD213" s="18" t="e">
        <f>VLOOKUP(C213,CE:CF,2,FALSE)</f>
        <v>#N/A</v>
      </c>
    </row>
    <row r="214" spans="1:82" ht="61.5" x14ac:dyDescent="0.85">
      <c r="A214" s="18">
        <v>1</v>
      </c>
      <c r="B214" s="57">
        <f>SUBTOTAL(103,$A$22:A214)</f>
        <v>190</v>
      </c>
      <c r="C214" s="22" t="s">
        <v>1154</v>
      </c>
      <c r="D214" s="29">
        <f t="shared" si="14"/>
        <v>581865.37</v>
      </c>
      <c r="E214" s="29">
        <v>0</v>
      </c>
      <c r="F214" s="29">
        <v>0</v>
      </c>
      <c r="G214" s="29">
        <v>0</v>
      </c>
      <c r="H214" s="29">
        <v>0</v>
      </c>
      <c r="I214" s="134">
        <v>576161.37</v>
      </c>
      <c r="J214" s="29">
        <v>0</v>
      </c>
      <c r="K214" s="31">
        <v>0</v>
      </c>
      <c r="L214" s="29">
        <v>0</v>
      </c>
      <c r="M214" s="29">
        <v>0</v>
      </c>
      <c r="N214" s="29">
        <v>0</v>
      </c>
      <c r="O214" s="29">
        <v>0</v>
      </c>
      <c r="P214" s="29">
        <v>0</v>
      </c>
      <c r="Q214" s="29">
        <v>0</v>
      </c>
      <c r="R214" s="29">
        <v>0</v>
      </c>
      <c r="S214" s="29">
        <v>0</v>
      </c>
      <c r="T214" s="29">
        <v>0</v>
      </c>
      <c r="U214" s="29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134">
        <v>5704</v>
      </c>
      <c r="AD214" s="29">
        <v>0</v>
      </c>
      <c r="AE214" s="29">
        <v>0</v>
      </c>
      <c r="AF214" s="32" t="s">
        <v>268</v>
      </c>
      <c r="AG214" s="32">
        <v>2020</v>
      </c>
      <c r="AH214" s="33">
        <v>2020</v>
      </c>
      <c r="BZ214" s="61"/>
      <c r="CD214" s="18" t="e">
        <f>VLOOKUP(C214,CE:CF,2,FALSE)</f>
        <v>#N/A</v>
      </c>
    </row>
    <row r="215" spans="1:82" ht="61.5" x14ac:dyDescent="0.85">
      <c r="A215" s="18">
        <v>1</v>
      </c>
      <c r="B215" s="57">
        <f>SUBTOTAL(103,$A$22:A215)</f>
        <v>191</v>
      </c>
      <c r="C215" s="22" t="s">
        <v>1155</v>
      </c>
      <c r="D215" s="29">
        <f t="shared" si="14"/>
        <v>4997938.54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31">
        <v>0</v>
      </c>
      <c r="L215" s="29">
        <v>0</v>
      </c>
      <c r="M215" s="335">
        <v>1206.22</v>
      </c>
      <c r="N215" s="335">
        <v>4948943.99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8">
        <v>48994.55</v>
      </c>
      <c r="AD215" s="29">
        <v>0</v>
      </c>
      <c r="AE215" s="29">
        <v>0</v>
      </c>
      <c r="AF215" s="32" t="s">
        <v>268</v>
      </c>
      <c r="AG215" s="32">
        <v>2020</v>
      </c>
      <c r="AH215" s="33">
        <v>2020</v>
      </c>
      <c r="BZ215" s="61"/>
      <c r="CD215" s="18">
        <f>VLOOKUP(C215,CE:CF,2,FALSE)</f>
        <v>1206.22</v>
      </c>
    </row>
    <row r="216" spans="1:82" ht="61.5" x14ac:dyDescent="0.85">
      <c r="A216" s="18">
        <v>1</v>
      </c>
      <c r="B216" s="57">
        <f>SUBTOTAL(103,$A$22:A216)</f>
        <v>192</v>
      </c>
      <c r="C216" s="22" t="s">
        <v>1158</v>
      </c>
      <c r="D216" s="29">
        <f t="shared" si="14"/>
        <v>3797251.5799999996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31">
        <v>0</v>
      </c>
      <c r="L216" s="29">
        <v>0</v>
      </c>
      <c r="M216" s="37">
        <v>1111.9000000000001</v>
      </c>
      <c r="N216" s="37">
        <v>3760027.3</v>
      </c>
      <c r="O216" s="29">
        <v>0</v>
      </c>
      <c r="P216" s="29">
        <v>0</v>
      </c>
      <c r="Q216" s="29">
        <v>0</v>
      </c>
      <c r="R216" s="29">
        <v>0</v>
      </c>
      <c r="S216" s="29">
        <v>0</v>
      </c>
      <c r="T216" s="29">
        <v>0</v>
      </c>
      <c r="U216" s="29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37">
        <v>37224.28</v>
      </c>
      <c r="AD216" s="29">
        <v>0</v>
      </c>
      <c r="AE216" s="29">
        <v>0</v>
      </c>
      <c r="AF216" s="32" t="s">
        <v>268</v>
      </c>
      <c r="AG216" s="32">
        <v>2020</v>
      </c>
      <c r="AH216" s="33">
        <v>2020</v>
      </c>
      <c r="BZ216" s="61"/>
      <c r="CD216" s="18">
        <f>VLOOKUP(C216,CE:CF,2,FALSE)</f>
        <v>1137.3</v>
      </c>
    </row>
    <row r="217" spans="1:82" ht="61.5" x14ac:dyDescent="0.85">
      <c r="A217" s="18">
        <v>1</v>
      </c>
      <c r="B217" s="57">
        <f>SUBTOTAL(103,$A$22:A217)</f>
        <v>193</v>
      </c>
      <c r="C217" s="22" t="s">
        <v>1159</v>
      </c>
      <c r="D217" s="29">
        <f t="shared" si="14"/>
        <v>1338677.8699999999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31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37">
        <v>379.48</v>
      </c>
      <c r="R217" s="37">
        <v>1325554.8799999999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37">
        <v>13122.99</v>
      </c>
      <c r="AD217" s="29">
        <v>0</v>
      </c>
      <c r="AE217" s="29">
        <v>0</v>
      </c>
      <c r="AF217" s="32" t="s">
        <v>268</v>
      </c>
      <c r="AG217" s="32">
        <v>2020</v>
      </c>
      <c r="AH217" s="33">
        <v>2020</v>
      </c>
      <c r="BZ217" s="61"/>
      <c r="CD217" s="18" t="e">
        <f>VLOOKUP(C217,CE:CF,2,FALSE)</f>
        <v>#N/A</v>
      </c>
    </row>
    <row r="218" spans="1:82" ht="61.5" x14ac:dyDescent="0.85">
      <c r="A218" s="18">
        <v>1</v>
      </c>
      <c r="B218" s="57">
        <f>SUBTOTAL(103,$A$22:A218)</f>
        <v>194</v>
      </c>
      <c r="C218" s="22" t="s">
        <v>1160</v>
      </c>
      <c r="D218" s="29">
        <f t="shared" si="14"/>
        <v>4355063.8499999996</v>
      </c>
      <c r="E218" s="29"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334">
        <v>3</v>
      </c>
      <c r="L218" s="37">
        <v>4355063.8499999996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32" t="s">
        <v>268</v>
      </c>
      <c r="AG218" s="32">
        <v>2020</v>
      </c>
      <c r="AH218" s="33" t="s">
        <v>268</v>
      </c>
      <c r="BZ218" s="61"/>
      <c r="CD218" s="18" t="e">
        <f>VLOOKUP(C218,CE:CF,2,FALSE)</f>
        <v>#N/A</v>
      </c>
    </row>
    <row r="219" spans="1:82" ht="61.5" x14ac:dyDescent="0.85">
      <c r="A219" s="18">
        <v>1</v>
      </c>
      <c r="B219" s="57">
        <f>SUBTOTAL(103,$A$22:A219)</f>
        <v>195</v>
      </c>
      <c r="C219" s="22" t="s">
        <v>1161</v>
      </c>
      <c r="D219" s="29">
        <f t="shared" si="14"/>
        <v>1700754.66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31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37">
        <v>503.64</v>
      </c>
      <c r="R219" s="134">
        <v>1684082.24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134">
        <v>16672.419999999998</v>
      </c>
      <c r="AD219" s="29">
        <v>0</v>
      </c>
      <c r="AE219" s="29">
        <v>0</v>
      </c>
      <c r="AF219" s="32" t="s">
        <v>268</v>
      </c>
      <c r="AG219" s="32">
        <v>2020</v>
      </c>
      <c r="AH219" s="33">
        <v>2020</v>
      </c>
      <c r="BZ219" s="61"/>
      <c r="CD219" s="18" t="e">
        <f>VLOOKUP(C219,CE:CF,2,FALSE)</f>
        <v>#N/A</v>
      </c>
    </row>
    <row r="220" spans="1:82" ht="61.5" x14ac:dyDescent="0.85">
      <c r="A220" s="18">
        <v>1</v>
      </c>
      <c r="B220" s="57">
        <f>SUBTOTAL(103,$A$22:A220)</f>
        <v>196</v>
      </c>
      <c r="C220" s="22" t="s">
        <v>1162</v>
      </c>
      <c r="D220" s="29">
        <f t="shared" si="14"/>
        <v>1402602.78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31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37">
        <v>392.5</v>
      </c>
      <c r="R220" s="37">
        <v>1350679.02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37">
        <v>13371.72</v>
      </c>
      <c r="AD220" s="37">
        <v>38552.04</v>
      </c>
      <c r="AE220" s="29">
        <v>0</v>
      </c>
      <c r="AF220" s="32">
        <v>2020</v>
      </c>
      <c r="AG220" s="32">
        <v>2020</v>
      </c>
      <c r="AH220" s="33">
        <v>2020</v>
      </c>
      <c r="BZ220" s="61"/>
      <c r="CD220" s="18" t="e">
        <f>VLOOKUP(C220,CE:CF,2,FALSE)</f>
        <v>#N/A</v>
      </c>
    </row>
    <row r="221" spans="1:82" ht="61.5" x14ac:dyDescent="0.85">
      <c r="A221" s="18">
        <v>1</v>
      </c>
      <c r="B221" s="57">
        <f>SUBTOTAL(103,$A$22:A221)</f>
        <v>197</v>
      </c>
      <c r="C221" s="22" t="s">
        <v>1163</v>
      </c>
      <c r="D221" s="29">
        <f t="shared" si="14"/>
        <v>6356844.0800000001</v>
      </c>
      <c r="E221" s="29">
        <v>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334">
        <v>4</v>
      </c>
      <c r="L221" s="37">
        <v>6356844.0800000001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32" t="s">
        <v>268</v>
      </c>
      <c r="AG221" s="32">
        <v>2020</v>
      </c>
      <c r="AH221" s="33" t="s">
        <v>268</v>
      </c>
      <c r="BZ221" s="61"/>
      <c r="CD221" s="18" t="e">
        <f>VLOOKUP(C221,CE:CF,2,FALSE)</f>
        <v>#N/A</v>
      </c>
    </row>
    <row r="222" spans="1:82" ht="61.5" x14ac:dyDescent="0.85">
      <c r="A222" s="18">
        <v>1</v>
      </c>
      <c r="B222" s="57">
        <f>SUBTOTAL(103,$A$22:A222)</f>
        <v>198</v>
      </c>
      <c r="C222" s="22" t="s">
        <v>1267</v>
      </c>
      <c r="D222" s="29">
        <f t="shared" si="14"/>
        <v>172775.04000000001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31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f>ROUND(N222*1.5%,2)</f>
        <v>0</v>
      </c>
      <c r="AD222" s="134">
        <v>172775.04000000001</v>
      </c>
      <c r="AE222" s="29">
        <v>0</v>
      </c>
      <c r="AF222" s="32">
        <v>2020</v>
      </c>
      <c r="AG222" s="32" t="s">
        <v>268</v>
      </c>
      <c r="AH222" s="32" t="s">
        <v>268</v>
      </c>
      <c r="BZ222" s="61"/>
      <c r="CD222" s="18" t="e">
        <f>VLOOKUP(C222,CE:CF,2,FALSE)</f>
        <v>#N/A</v>
      </c>
    </row>
    <row r="223" spans="1:82" ht="61.5" x14ac:dyDescent="0.85">
      <c r="A223" s="18">
        <v>1</v>
      </c>
      <c r="B223" s="57">
        <f>SUBTOTAL(103,$A$22:A223)</f>
        <v>199</v>
      </c>
      <c r="C223" s="22" t="s">
        <v>1359</v>
      </c>
      <c r="D223" s="29">
        <f t="shared" si="14"/>
        <v>13083489.59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334">
        <v>9</v>
      </c>
      <c r="L223" s="37">
        <v>13083489.59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32" t="s">
        <v>268</v>
      </c>
      <c r="AG223" s="32">
        <v>2020</v>
      </c>
      <c r="AH223" s="33" t="s">
        <v>268</v>
      </c>
      <c r="BZ223" s="61"/>
      <c r="CD223" s="18" t="e">
        <f>VLOOKUP(C223,CE:CF,2,FALSE)</f>
        <v>#N/A</v>
      </c>
    </row>
    <row r="224" spans="1:82" ht="61.5" x14ac:dyDescent="0.85">
      <c r="A224" s="18">
        <v>1</v>
      </c>
      <c r="B224" s="57">
        <f>SUBTOTAL(103,$A$22:A224)</f>
        <v>200</v>
      </c>
      <c r="C224" s="22" t="s">
        <v>1375</v>
      </c>
      <c r="D224" s="29">
        <f t="shared" si="14"/>
        <v>5478127.7400000002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334">
        <v>3</v>
      </c>
      <c r="L224" s="37">
        <v>5478127.7400000002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32" t="s">
        <v>268</v>
      </c>
      <c r="AG224" s="32">
        <v>2020</v>
      </c>
      <c r="AH224" s="33" t="s">
        <v>268</v>
      </c>
      <c r="BZ224" s="61"/>
      <c r="CD224" s="18" t="e">
        <f>VLOOKUP(C224,CE:CF,2,FALSE)</f>
        <v>#N/A</v>
      </c>
    </row>
    <row r="225" spans="1:82" ht="61.5" x14ac:dyDescent="0.85">
      <c r="A225" s="18">
        <v>1</v>
      </c>
      <c r="B225" s="57">
        <f>SUBTOTAL(103,$A$22:A225)</f>
        <v>201</v>
      </c>
      <c r="C225" s="22" t="s">
        <v>1376</v>
      </c>
      <c r="D225" s="29">
        <f t="shared" si="14"/>
        <v>7310851.2000000002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334">
        <v>4</v>
      </c>
      <c r="L225" s="37">
        <v>7310851.2000000002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32" t="s">
        <v>268</v>
      </c>
      <c r="AG225" s="32">
        <v>2020</v>
      </c>
      <c r="AH225" s="33" t="s">
        <v>268</v>
      </c>
      <c r="BZ225" s="61"/>
      <c r="CD225" s="18" t="e">
        <f>VLOOKUP(C225,CE:CF,2,FALSE)</f>
        <v>#N/A</v>
      </c>
    </row>
    <row r="226" spans="1:82" ht="61.5" x14ac:dyDescent="0.85">
      <c r="A226" s="18">
        <v>1</v>
      </c>
      <c r="B226" s="57">
        <f>SUBTOTAL(103,$A$22:A226)</f>
        <v>202</v>
      </c>
      <c r="C226" s="22" t="s">
        <v>1377</v>
      </c>
      <c r="D226" s="29">
        <f t="shared" si="14"/>
        <v>5327196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334">
        <v>3</v>
      </c>
      <c r="L226" s="37">
        <v>5327196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32" t="s">
        <v>268</v>
      </c>
      <c r="AG226" s="32">
        <v>2020</v>
      </c>
      <c r="AH226" s="33" t="s">
        <v>268</v>
      </c>
      <c r="BZ226" s="61"/>
      <c r="CD226" s="18" t="e">
        <f>VLOOKUP(C226,CE:CF,2,FALSE)</f>
        <v>#N/A</v>
      </c>
    </row>
    <row r="227" spans="1:82" ht="61.5" x14ac:dyDescent="0.85">
      <c r="A227" s="18">
        <v>1</v>
      </c>
      <c r="B227" s="57">
        <f>SUBTOTAL(103,$A$22:A227)</f>
        <v>203</v>
      </c>
      <c r="C227" s="22" t="s">
        <v>1378</v>
      </c>
      <c r="D227" s="29">
        <f t="shared" si="14"/>
        <v>7367915.9199999999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334">
        <v>4</v>
      </c>
      <c r="L227" s="37">
        <v>7367915.9199999999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32" t="s">
        <v>268</v>
      </c>
      <c r="AG227" s="32">
        <v>2020</v>
      </c>
      <c r="AH227" s="33" t="s">
        <v>268</v>
      </c>
      <c r="BZ227" s="61"/>
      <c r="CD227" s="18" t="e">
        <f>VLOOKUP(C227,CE:CF,2,FALSE)</f>
        <v>#N/A</v>
      </c>
    </row>
    <row r="228" spans="1:82" ht="61.5" x14ac:dyDescent="0.85">
      <c r="A228" s="18">
        <v>1</v>
      </c>
      <c r="B228" s="57">
        <f>SUBTOTAL(103,$A$22:A228)</f>
        <v>204</v>
      </c>
      <c r="C228" s="22" t="s">
        <v>1379</v>
      </c>
      <c r="D228" s="29">
        <f t="shared" si="14"/>
        <v>5462413.6200000001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334">
        <v>3</v>
      </c>
      <c r="L228" s="37">
        <v>5462413.6200000001</v>
      </c>
      <c r="M228" s="29">
        <v>0</v>
      </c>
      <c r="N228" s="29">
        <v>0</v>
      </c>
      <c r="O228" s="29">
        <v>0</v>
      </c>
      <c r="P228" s="29">
        <v>0</v>
      </c>
      <c r="Q228" s="29">
        <v>0</v>
      </c>
      <c r="R228" s="29">
        <v>0</v>
      </c>
      <c r="S228" s="29">
        <v>0</v>
      </c>
      <c r="T228" s="29">
        <v>0</v>
      </c>
      <c r="U228" s="29">
        <v>0</v>
      </c>
      <c r="V228" s="29">
        <v>0</v>
      </c>
      <c r="W228" s="29">
        <v>0</v>
      </c>
      <c r="X228" s="29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32" t="s">
        <v>268</v>
      </c>
      <c r="AG228" s="32">
        <v>2020</v>
      </c>
      <c r="AH228" s="33" t="s">
        <v>268</v>
      </c>
      <c r="BZ228" s="61"/>
      <c r="CD228" s="18" t="e">
        <f>VLOOKUP(C228,CE:CF,2,FALSE)</f>
        <v>#N/A</v>
      </c>
    </row>
    <row r="229" spans="1:82" ht="61.5" x14ac:dyDescent="0.85">
      <c r="A229" s="18">
        <v>1</v>
      </c>
      <c r="B229" s="57">
        <f>SUBTOTAL(103,$A$22:A229)</f>
        <v>205</v>
      </c>
      <c r="C229" s="22" t="s">
        <v>1523</v>
      </c>
      <c r="D229" s="29">
        <f t="shared" si="14"/>
        <v>1452147.29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334">
        <v>1</v>
      </c>
      <c r="L229" s="37">
        <v>1452147.29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  <c r="Z229" s="29">
        <v>0</v>
      </c>
      <c r="AA229" s="29">
        <v>0</v>
      </c>
      <c r="AB229" s="29">
        <v>0</v>
      </c>
      <c r="AC229" s="29">
        <v>0</v>
      </c>
      <c r="AD229" s="29">
        <v>0</v>
      </c>
      <c r="AE229" s="29">
        <v>0</v>
      </c>
      <c r="AF229" s="32" t="s">
        <v>268</v>
      </c>
      <c r="AG229" s="32">
        <v>2020</v>
      </c>
      <c r="AH229" s="33" t="s">
        <v>268</v>
      </c>
      <c r="BZ229" s="61"/>
      <c r="CD229" s="18" t="e">
        <f>VLOOKUP(C229,CE:CF,2,FALSE)</f>
        <v>#N/A</v>
      </c>
    </row>
    <row r="230" spans="1:82" ht="61.5" x14ac:dyDescent="0.85">
      <c r="A230" s="18">
        <v>1</v>
      </c>
      <c r="B230" s="57">
        <f>SUBTOTAL(103,$A$22:A230)</f>
        <v>206</v>
      </c>
      <c r="C230" s="22" t="s">
        <v>1524</v>
      </c>
      <c r="D230" s="29">
        <f t="shared" si="14"/>
        <v>2915220.6</v>
      </c>
      <c r="E230" s="29">
        <v>0</v>
      </c>
      <c r="F230" s="29">
        <v>0</v>
      </c>
      <c r="G230" s="29">
        <v>0</v>
      </c>
      <c r="H230" s="29">
        <v>0</v>
      </c>
      <c r="I230" s="29">
        <v>0</v>
      </c>
      <c r="J230" s="29">
        <v>0</v>
      </c>
      <c r="K230" s="334">
        <v>2</v>
      </c>
      <c r="L230" s="37">
        <v>2915220.6</v>
      </c>
      <c r="M230" s="29">
        <v>0</v>
      </c>
      <c r="N230" s="29">
        <v>0</v>
      </c>
      <c r="O230" s="29">
        <v>0</v>
      </c>
      <c r="P230" s="29">
        <v>0</v>
      </c>
      <c r="Q230" s="29">
        <v>0</v>
      </c>
      <c r="R230" s="29">
        <v>0</v>
      </c>
      <c r="S230" s="29">
        <v>0</v>
      </c>
      <c r="T230" s="29">
        <v>0</v>
      </c>
      <c r="U230" s="29">
        <v>0</v>
      </c>
      <c r="V230" s="29">
        <v>0</v>
      </c>
      <c r="W230" s="29">
        <v>0</v>
      </c>
      <c r="X230" s="29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v>0</v>
      </c>
      <c r="AF230" s="32" t="s">
        <v>268</v>
      </c>
      <c r="AG230" s="32">
        <v>2020</v>
      </c>
      <c r="AH230" s="33" t="s">
        <v>268</v>
      </c>
      <c r="BZ230" s="61"/>
      <c r="CD230" s="18" t="e">
        <f>VLOOKUP(C230,CE:CF,2,FALSE)</f>
        <v>#N/A</v>
      </c>
    </row>
    <row r="231" spans="1:82" ht="61.5" x14ac:dyDescent="0.85">
      <c r="A231" s="18">
        <v>1</v>
      </c>
      <c r="B231" s="57">
        <f>SUBTOTAL(103,$A$22:A231)</f>
        <v>207</v>
      </c>
      <c r="C231" s="22" t="s">
        <v>1525</v>
      </c>
      <c r="D231" s="29">
        <f t="shared" ref="D231:D238" si="15">E231+F231+G231+H231+I231+J231+L231+N231+P231+R231+T231+U231+V231+W231+X231+Y231+Z231+AA231+AB231+AC231+AD231+AE231</f>
        <v>4354761.09</v>
      </c>
      <c r="E231" s="29">
        <v>0</v>
      </c>
      <c r="F231" s="29">
        <v>0</v>
      </c>
      <c r="G231" s="29">
        <v>0</v>
      </c>
      <c r="H231" s="29">
        <v>0</v>
      </c>
      <c r="I231" s="29">
        <v>0</v>
      </c>
      <c r="J231" s="29">
        <v>0</v>
      </c>
      <c r="K231" s="334">
        <v>3</v>
      </c>
      <c r="L231" s="37">
        <v>4354761.09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0</v>
      </c>
      <c r="V231" s="29">
        <v>0</v>
      </c>
      <c r="W231" s="29">
        <v>0</v>
      </c>
      <c r="X231" s="29">
        <v>0</v>
      </c>
      <c r="Y231" s="29">
        <v>0</v>
      </c>
      <c r="Z231" s="29">
        <v>0</v>
      </c>
      <c r="AA231" s="29">
        <v>0</v>
      </c>
      <c r="AB231" s="29">
        <v>0</v>
      </c>
      <c r="AC231" s="29">
        <v>0</v>
      </c>
      <c r="AD231" s="29">
        <v>0</v>
      </c>
      <c r="AE231" s="29">
        <v>0</v>
      </c>
      <c r="AF231" s="32" t="s">
        <v>268</v>
      </c>
      <c r="AG231" s="32">
        <v>2020</v>
      </c>
      <c r="AH231" s="33" t="s">
        <v>268</v>
      </c>
      <c r="BZ231" s="61"/>
      <c r="CD231" s="18" t="e">
        <f>VLOOKUP(C231,CE:CF,2,FALSE)</f>
        <v>#N/A</v>
      </c>
    </row>
    <row r="232" spans="1:82" ht="61.5" x14ac:dyDescent="0.85">
      <c r="A232" s="18">
        <v>1</v>
      </c>
      <c r="B232" s="57">
        <f>SUBTOTAL(103,$A$22:A232)</f>
        <v>208</v>
      </c>
      <c r="C232" s="22" t="s">
        <v>766</v>
      </c>
      <c r="D232" s="29">
        <f t="shared" si="15"/>
        <v>4557762.04</v>
      </c>
      <c r="E232" s="29">
        <v>0</v>
      </c>
      <c r="F232" s="29">
        <v>0</v>
      </c>
      <c r="G232" s="29">
        <v>0</v>
      </c>
      <c r="H232" s="29">
        <v>0</v>
      </c>
      <c r="I232" s="29">
        <v>0</v>
      </c>
      <c r="J232" s="29">
        <v>0</v>
      </c>
      <c r="K232" s="64">
        <v>3</v>
      </c>
      <c r="L232" s="29">
        <f>1491526.65+1491526.66+1491526.66</f>
        <v>4474579.97</v>
      </c>
      <c r="M232" s="29">
        <v>0</v>
      </c>
      <c r="N232" s="29">
        <v>0</v>
      </c>
      <c r="O232" s="29">
        <v>0</v>
      </c>
      <c r="P232" s="29">
        <v>0</v>
      </c>
      <c r="Q232" s="29">
        <v>0</v>
      </c>
      <c r="R232" s="29">
        <v>0</v>
      </c>
      <c r="S232" s="29">
        <v>0</v>
      </c>
      <c r="T232" s="29">
        <v>0</v>
      </c>
      <c r="U232" s="29">
        <v>0</v>
      </c>
      <c r="V232" s="29">
        <v>0</v>
      </c>
      <c r="W232" s="29">
        <v>0</v>
      </c>
      <c r="X232" s="29">
        <v>0</v>
      </c>
      <c r="Y232" s="29">
        <v>0</v>
      </c>
      <c r="Z232" s="29">
        <v>0</v>
      </c>
      <c r="AA232" s="29">
        <v>0</v>
      </c>
      <c r="AB232" s="29">
        <v>0</v>
      </c>
      <c r="AC232" s="29">
        <v>0</v>
      </c>
      <c r="AD232" s="29">
        <v>83182.070000000007</v>
      </c>
      <c r="AE232" s="29">
        <v>0</v>
      </c>
      <c r="AF232" s="32">
        <v>2020</v>
      </c>
      <c r="AG232" s="32">
        <v>2020</v>
      </c>
      <c r="AH232" s="33" t="s">
        <v>268</v>
      </c>
      <c r="AT232" s="18" t="e">
        <f>VLOOKUP(C232,AW:AX,2,FALSE)</f>
        <v>#N/A</v>
      </c>
      <c r="BZ232" s="61"/>
      <c r="CD232" s="18" t="e">
        <f>VLOOKUP(C232,CE:CF,2,FALSE)</f>
        <v>#N/A</v>
      </c>
    </row>
    <row r="233" spans="1:82" ht="61.5" x14ac:dyDescent="0.85">
      <c r="A233" s="18">
        <v>1</v>
      </c>
      <c r="B233" s="57">
        <f>SUBTOTAL(103,$A$22:A233)</f>
        <v>209</v>
      </c>
      <c r="C233" s="22" t="s">
        <v>769</v>
      </c>
      <c r="D233" s="29">
        <f t="shared" si="15"/>
        <v>3054448.7</v>
      </c>
      <c r="E233" s="29">
        <v>0</v>
      </c>
      <c r="F233" s="29">
        <v>0</v>
      </c>
      <c r="G233" s="29">
        <v>0</v>
      </c>
      <c r="H233" s="29">
        <v>0</v>
      </c>
      <c r="I233" s="29">
        <v>0</v>
      </c>
      <c r="J233" s="29">
        <v>0</v>
      </c>
      <c r="K233" s="64">
        <v>2</v>
      </c>
      <c r="L233" s="29">
        <f>1489026.29+1489026.29</f>
        <v>2978052.58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76396.12</v>
      </c>
      <c r="AE233" s="29">
        <v>0</v>
      </c>
      <c r="AF233" s="32">
        <v>2020</v>
      </c>
      <c r="AG233" s="32">
        <v>2020</v>
      </c>
      <c r="AH233" s="33" t="s">
        <v>268</v>
      </c>
      <c r="AT233" s="18" t="e">
        <f>VLOOKUP(C233,AW:AX,2,FALSE)</f>
        <v>#N/A</v>
      </c>
      <c r="BZ233" s="61"/>
      <c r="CD233" s="18" t="e">
        <f>VLOOKUP(C233,CE:CF,2,FALSE)</f>
        <v>#N/A</v>
      </c>
    </row>
    <row r="234" spans="1:82" ht="61.5" x14ac:dyDescent="0.85">
      <c r="A234" s="18">
        <v>1</v>
      </c>
      <c r="B234" s="57">
        <f>SUBTOTAL(103,$A$22:A234)</f>
        <v>210</v>
      </c>
      <c r="C234" s="22" t="s">
        <v>771</v>
      </c>
      <c r="D234" s="29">
        <f t="shared" si="15"/>
        <v>3051298.6999999997</v>
      </c>
      <c r="E234" s="29">
        <v>0</v>
      </c>
      <c r="F234" s="29">
        <v>0</v>
      </c>
      <c r="G234" s="29">
        <v>0</v>
      </c>
      <c r="H234" s="29">
        <v>0</v>
      </c>
      <c r="I234" s="29">
        <v>0</v>
      </c>
      <c r="J234" s="29">
        <v>0</v>
      </c>
      <c r="K234" s="64">
        <v>2</v>
      </c>
      <c r="L234" s="29">
        <f>1487377.4+1487377.4</f>
        <v>2974754.8</v>
      </c>
      <c r="M234" s="29">
        <v>0</v>
      </c>
      <c r="N234" s="29">
        <v>0</v>
      </c>
      <c r="O234" s="29">
        <v>0</v>
      </c>
      <c r="P234" s="29">
        <v>0</v>
      </c>
      <c r="Q234" s="29">
        <v>0</v>
      </c>
      <c r="R234" s="29">
        <v>0</v>
      </c>
      <c r="S234" s="29">
        <v>0</v>
      </c>
      <c r="T234" s="29">
        <v>0</v>
      </c>
      <c r="U234" s="29">
        <v>0</v>
      </c>
      <c r="V234" s="29">
        <v>0</v>
      </c>
      <c r="W234" s="29">
        <v>0</v>
      </c>
      <c r="X234" s="29">
        <v>0</v>
      </c>
      <c r="Y234" s="29">
        <v>0</v>
      </c>
      <c r="Z234" s="29">
        <v>0</v>
      </c>
      <c r="AA234" s="29">
        <v>0</v>
      </c>
      <c r="AB234" s="29">
        <v>0</v>
      </c>
      <c r="AC234" s="29">
        <v>0</v>
      </c>
      <c r="AD234" s="29">
        <v>76543.899999999994</v>
      </c>
      <c r="AE234" s="29">
        <v>0</v>
      </c>
      <c r="AF234" s="32">
        <v>2020</v>
      </c>
      <c r="AG234" s="32">
        <v>2020</v>
      </c>
      <c r="AH234" s="33" t="s">
        <v>268</v>
      </c>
      <c r="AT234" s="18" t="e">
        <f>VLOOKUP(C234,AW:AX,2,FALSE)</f>
        <v>#N/A</v>
      </c>
      <c r="BZ234" s="61"/>
      <c r="CD234" s="18" t="e">
        <f>VLOOKUP(C234,CE:CF,2,FALSE)</f>
        <v>#N/A</v>
      </c>
    </row>
    <row r="235" spans="1:82" ht="61.5" x14ac:dyDescent="0.85">
      <c r="A235" s="18">
        <v>1</v>
      </c>
      <c r="B235" s="57">
        <f>SUBTOTAL(103,$A$22:A235)</f>
        <v>211</v>
      </c>
      <c r="C235" s="22" t="s">
        <v>767</v>
      </c>
      <c r="D235" s="29">
        <f t="shared" si="15"/>
        <v>123350.33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31">
        <v>0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9">
        <v>0</v>
      </c>
      <c r="AC235" s="29">
        <v>0</v>
      </c>
      <c r="AD235" s="29">
        <v>123350.33</v>
      </c>
      <c r="AE235" s="29">
        <v>0</v>
      </c>
      <c r="AF235" s="32">
        <v>2020</v>
      </c>
      <c r="AG235" s="32" t="s">
        <v>268</v>
      </c>
      <c r="AH235" s="33" t="s">
        <v>268</v>
      </c>
      <c r="AT235" s="18" t="e">
        <f>VLOOKUP(C235,AW:AX,2,FALSE)</f>
        <v>#N/A</v>
      </c>
      <c r="BZ235" s="61"/>
      <c r="CD235" s="18" t="e">
        <f>VLOOKUP(C235,CE:CF,2,FALSE)</f>
        <v>#N/A</v>
      </c>
    </row>
    <row r="236" spans="1:82" ht="61.5" x14ac:dyDescent="0.85">
      <c r="A236" s="18">
        <v>1</v>
      </c>
      <c r="B236" s="57">
        <f>SUBTOTAL(103,$A$22:A236)</f>
        <v>212</v>
      </c>
      <c r="C236" s="22" t="s">
        <v>772</v>
      </c>
      <c r="D236" s="29">
        <f t="shared" si="15"/>
        <v>1765429.7</v>
      </c>
      <c r="E236" s="29"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64">
        <v>1</v>
      </c>
      <c r="L236" s="29">
        <v>1653491.95</v>
      </c>
      <c r="M236" s="29">
        <v>0</v>
      </c>
      <c r="N236" s="29">
        <v>0</v>
      </c>
      <c r="O236" s="29">
        <v>0</v>
      </c>
      <c r="P236" s="29">
        <v>0</v>
      </c>
      <c r="Q236" s="29">
        <v>0</v>
      </c>
      <c r="R236" s="29">
        <v>0</v>
      </c>
      <c r="S236" s="29">
        <v>0</v>
      </c>
      <c r="T236" s="29">
        <v>0</v>
      </c>
      <c r="U236" s="29">
        <v>0</v>
      </c>
      <c r="V236" s="29">
        <v>0</v>
      </c>
      <c r="W236" s="29">
        <v>0</v>
      </c>
      <c r="X236" s="29">
        <v>0</v>
      </c>
      <c r="Y236" s="29">
        <v>0</v>
      </c>
      <c r="Z236" s="29">
        <v>0</v>
      </c>
      <c r="AA236" s="29">
        <v>0</v>
      </c>
      <c r="AB236" s="29">
        <v>0</v>
      </c>
      <c r="AC236" s="29">
        <v>0</v>
      </c>
      <c r="AD236" s="37">
        <v>111937.75</v>
      </c>
      <c r="AE236" s="29">
        <v>0</v>
      </c>
      <c r="AF236" s="32">
        <v>2020</v>
      </c>
      <c r="AG236" s="32">
        <v>2020</v>
      </c>
      <c r="AH236" s="33" t="s">
        <v>268</v>
      </c>
      <c r="AT236" s="18" t="e">
        <f>VLOOKUP(C236,AW:AX,2,FALSE)</f>
        <v>#N/A</v>
      </c>
      <c r="BZ236" s="61"/>
      <c r="CD236" s="18" t="e">
        <f>VLOOKUP(C236,CE:CF,2,FALSE)</f>
        <v>#N/A</v>
      </c>
    </row>
    <row r="237" spans="1:82" ht="61.5" x14ac:dyDescent="0.85">
      <c r="A237" s="18">
        <v>1</v>
      </c>
      <c r="B237" s="57">
        <f>SUBTOTAL(103,$A$22:A237)</f>
        <v>213</v>
      </c>
      <c r="C237" s="22" t="s">
        <v>1662</v>
      </c>
      <c r="D237" s="29">
        <f t="shared" si="15"/>
        <v>3250173.78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64">
        <v>2</v>
      </c>
      <c r="L237" s="29">
        <f>1570767.74+1573234.74</f>
        <v>3144002.48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9">
        <v>0</v>
      </c>
      <c r="AC237" s="29">
        <v>0</v>
      </c>
      <c r="AD237" s="37">
        <v>106171.3</v>
      </c>
      <c r="AE237" s="29">
        <v>0</v>
      </c>
      <c r="AF237" s="32">
        <v>2020</v>
      </c>
      <c r="AG237" s="32">
        <v>2020</v>
      </c>
      <c r="AH237" s="33" t="s">
        <v>268</v>
      </c>
      <c r="BZ237" s="61"/>
      <c r="CD237" s="18" t="e">
        <f>VLOOKUP(C237,CE:CF,2,FALSE)</f>
        <v>#N/A</v>
      </c>
    </row>
    <row r="238" spans="1:82" ht="61.5" x14ac:dyDescent="0.85">
      <c r="A238" s="18">
        <v>1</v>
      </c>
      <c r="B238" s="57">
        <f>SUBTOTAL(103,$A$22:A238)</f>
        <v>214</v>
      </c>
      <c r="C238" s="22" t="s">
        <v>1157</v>
      </c>
      <c r="D238" s="29">
        <f t="shared" si="15"/>
        <v>209545.8</v>
      </c>
      <c r="E238" s="29">
        <v>0</v>
      </c>
      <c r="F238" s="29">
        <v>0</v>
      </c>
      <c r="G238" s="29">
        <v>0</v>
      </c>
      <c r="H238" s="29">
        <v>0</v>
      </c>
      <c r="I238" s="29">
        <v>0</v>
      </c>
      <c r="J238" s="29">
        <v>0</v>
      </c>
      <c r="K238" s="64">
        <v>0</v>
      </c>
      <c r="L238" s="29">
        <v>0</v>
      </c>
      <c r="M238" s="29">
        <v>0</v>
      </c>
      <c r="N238" s="29">
        <v>0</v>
      </c>
      <c r="O238" s="29">
        <v>0</v>
      </c>
      <c r="P238" s="29">
        <v>0</v>
      </c>
      <c r="Q238" s="29">
        <v>0</v>
      </c>
      <c r="R238" s="29">
        <v>0</v>
      </c>
      <c r="S238" s="29">
        <v>0</v>
      </c>
      <c r="T238" s="29">
        <v>0</v>
      </c>
      <c r="U238" s="29">
        <v>0</v>
      </c>
      <c r="V238" s="29">
        <v>0</v>
      </c>
      <c r="W238" s="29">
        <v>0</v>
      </c>
      <c r="X238" s="29">
        <v>0</v>
      </c>
      <c r="Y238" s="29">
        <v>0</v>
      </c>
      <c r="Z238" s="29">
        <v>0</v>
      </c>
      <c r="AA238" s="29">
        <v>0</v>
      </c>
      <c r="AB238" s="29">
        <v>0</v>
      </c>
      <c r="AC238" s="29">
        <f>ROUND(R238*1.5%,2)</f>
        <v>0</v>
      </c>
      <c r="AD238" s="29">
        <v>209545.8</v>
      </c>
      <c r="AE238" s="29">
        <v>0</v>
      </c>
      <c r="AF238" s="32">
        <v>2020</v>
      </c>
      <c r="AG238" s="32" t="s">
        <v>268</v>
      </c>
      <c r="AH238" s="32" t="s">
        <v>268</v>
      </c>
      <c r="BZ238" s="61"/>
      <c r="CD238" s="18" t="e">
        <f>VLOOKUP(C238,CE:CF,2,FALSE)</f>
        <v>#N/A</v>
      </c>
    </row>
    <row r="239" spans="1:82" ht="61.5" x14ac:dyDescent="0.85">
      <c r="B239" s="22" t="s">
        <v>750</v>
      </c>
      <c r="C239" s="338"/>
      <c r="D239" s="339">
        <f t="shared" ref="D239:AE239" si="16">SUM(D240:D244)</f>
        <v>11570369.789999999</v>
      </c>
      <c r="E239" s="29">
        <f t="shared" si="16"/>
        <v>0</v>
      </c>
      <c r="F239" s="29">
        <f t="shared" si="16"/>
        <v>0</v>
      </c>
      <c r="G239" s="29">
        <f t="shared" si="16"/>
        <v>0</v>
      </c>
      <c r="H239" s="29">
        <f t="shared" si="16"/>
        <v>0</v>
      </c>
      <c r="I239" s="29">
        <f t="shared" si="16"/>
        <v>0</v>
      </c>
      <c r="J239" s="29">
        <f t="shared" si="16"/>
        <v>0</v>
      </c>
      <c r="K239" s="31">
        <f t="shared" si="16"/>
        <v>4</v>
      </c>
      <c r="L239" s="29">
        <f t="shared" si="16"/>
        <v>6300657.04</v>
      </c>
      <c r="M239" s="29">
        <f t="shared" si="16"/>
        <v>346.6</v>
      </c>
      <c r="N239" s="29">
        <f t="shared" si="16"/>
        <v>1209598.77</v>
      </c>
      <c r="O239" s="29">
        <f t="shared" si="16"/>
        <v>0</v>
      </c>
      <c r="P239" s="29">
        <f t="shared" si="16"/>
        <v>0</v>
      </c>
      <c r="Q239" s="29">
        <f t="shared" si="16"/>
        <v>2995.9</v>
      </c>
      <c r="R239" s="29">
        <f t="shared" si="16"/>
        <v>3560240.43</v>
      </c>
      <c r="S239" s="29">
        <f t="shared" si="16"/>
        <v>0</v>
      </c>
      <c r="T239" s="29">
        <f t="shared" si="16"/>
        <v>0</v>
      </c>
      <c r="U239" s="29">
        <f t="shared" si="16"/>
        <v>0</v>
      </c>
      <c r="V239" s="29">
        <f t="shared" si="16"/>
        <v>0</v>
      </c>
      <c r="W239" s="29">
        <f t="shared" si="16"/>
        <v>0</v>
      </c>
      <c r="X239" s="29">
        <f t="shared" si="16"/>
        <v>0</v>
      </c>
      <c r="Y239" s="29">
        <f t="shared" si="16"/>
        <v>0</v>
      </c>
      <c r="Z239" s="29">
        <f t="shared" si="16"/>
        <v>0</v>
      </c>
      <c r="AA239" s="29">
        <f t="shared" si="16"/>
        <v>0</v>
      </c>
      <c r="AB239" s="29">
        <f t="shared" si="16"/>
        <v>0</v>
      </c>
      <c r="AC239" s="29">
        <f t="shared" si="16"/>
        <v>30765.46</v>
      </c>
      <c r="AD239" s="29">
        <f t="shared" si="16"/>
        <v>469108.09</v>
      </c>
      <c r="AE239" s="29">
        <f t="shared" si="16"/>
        <v>0</v>
      </c>
      <c r="AF239" s="62" t="s">
        <v>743</v>
      </c>
      <c r="AG239" s="62" t="s">
        <v>743</v>
      </c>
      <c r="AH239" s="77" t="s">
        <v>743</v>
      </c>
      <c r="AT239" s="18" t="e">
        <f>VLOOKUP(C239,AW:AX,2,FALSE)</f>
        <v>#N/A</v>
      </c>
      <c r="BZ239" s="61">
        <v>51784138.459999993</v>
      </c>
      <c r="CB239" s="61">
        <f>BZ239-D239</f>
        <v>40213768.669999994</v>
      </c>
      <c r="CD239" s="18" t="e">
        <f>VLOOKUP(C239,CE:CF,2,FALSE)</f>
        <v>#N/A</v>
      </c>
    </row>
    <row r="240" spans="1:82" ht="61.5" x14ac:dyDescent="0.85">
      <c r="A240" s="18">
        <v>1</v>
      </c>
      <c r="B240" s="57">
        <f>SUBTOTAL(103,$A$22:A240)</f>
        <v>215</v>
      </c>
      <c r="C240" s="22" t="s">
        <v>377</v>
      </c>
      <c r="D240" s="29">
        <f>E240+F240+G240+H240+I240+J240+L240+N240+P240+R240+T240+U240+V240+W240+X240+Y240+Z240+AA240+AB240+AC240+AD240+AE240</f>
        <v>1217400.68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31">
        <v>0</v>
      </c>
      <c r="L240" s="29">
        <v>0</v>
      </c>
      <c r="M240" s="37">
        <v>346.6</v>
      </c>
      <c r="N240" s="37">
        <v>1209598.77</v>
      </c>
      <c r="O240" s="29">
        <v>0</v>
      </c>
      <c r="P240" s="29">
        <v>0</v>
      </c>
      <c r="Q240" s="29">
        <v>0</v>
      </c>
      <c r="R240" s="29">
        <v>0</v>
      </c>
      <c r="S240" s="29">
        <v>0</v>
      </c>
      <c r="T240" s="29">
        <v>0</v>
      </c>
      <c r="U240" s="29">
        <v>0</v>
      </c>
      <c r="V240" s="29">
        <v>0</v>
      </c>
      <c r="W240" s="29">
        <v>0</v>
      </c>
      <c r="X240" s="29">
        <v>0</v>
      </c>
      <c r="Y240" s="29">
        <v>0</v>
      </c>
      <c r="Z240" s="29">
        <v>0</v>
      </c>
      <c r="AA240" s="29">
        <v>0</v>
      </c>
      <c r="AB240" s="29">
        <v>0</v>
      </c>
      <c r="AC240" s="37">
        <v>7801.91</v>
      </c>
      <c r="AD240" s="29">
        <v>0</v>
      </c>
      <c r="AE240" s="29">
        <v>0</v>
      </c>
      <c r="AF240" s="32" t="s">
        <v>268</v>
      </c>
      <c r="AG240" s="32">
        <v>2020</v>
      </c>
      <c r="AH240" s="33">
        <v>2020</v>
      </c>
      <c r="AT240" s="18" t="e">
        <f>VLOOKUP(C240,AW:AX,2,FALSE)</f>
        <v>#N/A</v>
      </c>
      <c r="BZ240" s="61"/>
      <c r="CB240" s="61"/>
      <c r="CD240" s="18">
        <f>VLOOKUP(C240,CE:CF,2,FALSE)</f>
        <v>386.2</v>
      </c>
    </row>
    <row r="241" spans="1:82" ht="61.5" x14ac:dyDescent="0.85">
      <c r="A241" s="18">
        <v>1</v>
      </c>
      <c r="B241" s="57">
        <f>SUBTOTAL(103,$A$22:A241)</f>
        <v>216</v>
      </c>
      <c r="C241" s="22" t="s">
        <v>378</v>
      </c>
      <c r="D241" s="29">
        <f>E241+F241+G241+H241+I241+J241+L241+N241+P241+R241+T241+U241+V241+W241+X241+Y241+Z241+AA241+AB241+AC241+AD241+AE241</f>
        <v>3757493.57</v>
      </c>
      <c r="E241" s="29">
        <v>0</v>
      </c>
      <c r="F241" s="29">
        <v>0</v>
      </c>
      <c r="G241" s="29">
        <v>0</v>
      </c>
      <c r="H241" s="29">
        <v>0</v>
      </c>
      <c r="I241" s="29">
        <v>0</v>
      </c>
      <c r="J241" s="29">
        <v>0</v>
      </c>
      <c r="K241" s="31">
        <v>0</v>
      </c>
      <c r="L241" s="29">
        <v>0</v>
      </c>
      <c r="M241" s="29">
        <v>0</v>
      </c>
      <c r="N241" s="29">
        <v>0</v>
      </c>
      <c r="O241" s="29">
        <v>0</v>
      </c>
      <c r="P241" s="29">
        <v>0</v>
      </c>
      <c r="Q241" s="37">
        <v>2995.9</v>
      </c>
      <c r="R241" s="134">
        <v>3560240.43</v>
      </c>
      <c r="S241" s="29">
        <v>0</v>
      </c>
      <c r="T241" s="29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134">
        <v>22963.55</v>
      </c>
      <c r="AD241" s="37">
        <v>174289.59</v>
      </c>
      <c r="AE241" s="29">
        <v>0</v>
      </c>
      <c r="AF241" s="32">
        <v>2020</v>
      </c>
      <c r="AG241" s="32">
        <v>2020</v>
      </c>
      <c r="AH241" s="33">
        <v>2020</v>
      </c>
      <c r="AT241" s="18" t="e">
        <f>VLOOKUP(C241,AW:AX,2,FALSE)</f>
        <v>#N/A</v>
      </c>
      <c r="BZ241" s="61"/>
      <c r="CD241" s="18" t="e">
        <f>VLOOKUP(C241,CE:CF,2,FALSE)</f>
        <v>#N/A</v>
      </c>
    </row>
    <row r="242" spans="1:82" ht="61.5" x14ac:dyDescent="0.85">
      <c r="A242" s="18">
        <v>1</v>
      </c>
      <c r="B242" s="57">
        <f>SUBTOTAL(103,$A$22:A242)</f>
        <v>217</v>
      </c>
      <c r="C242" s="22" t="s">
        <v>379</v>
      </c>
      <c r="D242" s="29">
        <f>E242+F242+G242+H242+I242+J242+L242+N242+P242+R242+T242+U242+V242+W242+X242+Y242+Z242+AA242+AB242+AC242+AD242+AE242</f>
        <v>174120.8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31">
        <v>0</v>
      </c>
      <c r="L242" s="29">
        <v>0</v>
      </c>
      <c r="M242" s="29">
        <v>0</v>
      </c>
      <c r="N242" s="29">
        <v>0</v>
      </c>
      <c r="O242" s="29">
        <v>0</v>
      </c>
      <c r="P242" s="29">
        <v>0</v>
      </c>
      <c r="Q242" s="29">
        <v>0</v>
      </c>
      <c r="R242" s="29">
        <v>0</v>
      </c>
      <c r="S242" s="29">
        <v>0</v>
      </c>
      <c r="T242" s="29">
        <v>0</v>
      </c>
      <c r="U242" s="29">
        <v>0</v>
      </c>
      <c r="V242" s="29">
        <v>0</v>
      </c>
      <c r="W242" s="29">
        <v>0</v>
      </c>
      <c r="X242" s="29">
        <v>0</v>
      </c>
      <c r="Y242" s="29">
        <v>0</v>
      </c>
      <c r="Z242" s="29">
        <v>0</v>
      </c>
      <c r="AA242" s="29">
        <v>0</v>
      </c>
      <c r="AB242" s="29">
        <v>0</v>
      </c>
      <c r="AC242" s="29">
        <f>ROUND(R242*1.5%,2)</f>
        <v>0</v>
      </c>
      <c r="AD242" s="134">
        <v>174120.8</v>
      </c>
      <c r="AE242" s="29">
        <v>0</v>
      </c>
      <c r="AF242" s="32">
        <v>2020</v>
      </c>
      <c r="AG242" s="33" t="s">
        <v>268</v>
      </c>
      <c r="AH242" s="33" t="s">
        <v>268</v>
      </c>
      <c r="AT242" s="18" t="e">
        <f>VLOOKUP(C242,AW:AX,2,FALSE)</f>
        <v>#N/A</v>
      </c>
      <c r="BZ242" s="61"/>
      <c r="CD242" s="18" t="e">
        <f>VLOOKUP(C242,CE:CF,2,FALSE)</f>
        <v>#N/A</v>
      </c>
    </row>
    <row r="243" spans="1:82" ht="61.5" x14ac:dyDescent="0.85">
      <c r="A243" s="18">
        <v>1</v>
      </c>
      <c r="B243" s="57">
        <f>SUBTOTAL(103,$A$22:A243)</f>
        <v>218</v>
      </c>
      <c r="C243" s="22" t="s">
        <v>1542</v>
      </c>
      <c r="D243" s="29">
        <f>E243+F243+G243+H243+I243+J243+L243+N243+P243+R243+T243+U243+V243+W243+X243+Y243+Z243+AA243+AB243+AC243+AD243+AE243</f>
        <v>6300657.04</v>
      </c>
      <c r="E243" s="29">
        <v>0</v>
      </c>
      <c r="F243" s="29">
        <v>0</v>
      </c>
      <c r="G243" s="29">
        <v>0</v>
      </c>
      <c r="H243" s="29">
        <v>0</v>
      </c>
      <c r="I243" s="29">
        <v>0</v>
      </c>
      <c r="J243" s="29">
        <v>0</v>
      </c>
      <c r="K243" s="334">
        <v>4</v>
      </c>
      <c r="L243" s="37">
        <v>6300657.04</v>
      </c>
      <c r="M243" s="29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0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0</v>
      </c>
      <c r="AF243" s="32" t="s">
        <v>268</v>
      </c>
      <c r="AG243" s="32">
        <v>2020</v>
      </c>
      <c r="AH243" s="33" t="s">
        <v>268</v>
      </c>
      <c r="BZ243" s="61"/>
      <c r="CD243" s="18" t="e">
        <f>VLOOKUP(C243,CE:CF,2,FALSE)</f>
        <v>#N/A</v>
      </c>
    </row>
    <row r="244" spans="1:82" ht="61.5" x14ac:dyDescent="0.85">
      <c r="A244" s="18">
        <v>1</v>
      </c>
      <c r="B244" s="57">
        <f>SUBTOTAL(103,$A$22:A244)</f>
        <v>219</v>
      </c>
      <c r="C244" s="22" t="s">
        <v>380</v>
      </c>
      <c r="D244" s="29">
        <f>E244+F244+G244+H244+I244+J244+L244+N244+P244+R244+T244+U244+V244+W244+X244+Y244+Z244+AA244+AB244+AC244+AD244+AE244</f>
        <v>120697.7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29">
        <v>0</v>
      </c>
      <c r="K244" s="64">
        <v>0</v>
      </c>
      <c r="L244" s="29">
        <v>0</v>
      </c>
      <c r="M244" s="29">
        <v>0</v>
      </c>
      <c r="N244" s="29">
        <v>0</v>
      </c>
      <c r="O244" s="29">
        <v>0</v>
      </c>
      <c r="P244" s="29">
        <v>0</v>
      </c>
      <c r="Q244" s="29">
        <v>0</v>
      </c>
      <c r="R244" s="29">
        <v>0</v>
      </c>
      <c r="S244" s="29">
        <v>0</v>
      </c>
      <c r="T244" s="29">
        <v>0</v>
      </c>
      <c r="U244" s="29">
        <v>0</v>
      </c>
      <c r="V244" s="29">
        <v>0</v>
      </c>
      <c r="W244" s="29">
        <v>0</v>
      </c>
      <c r="X244" s="29">
        <v>0</v>
      </c>
      <c r="Y244" s="29">
        <v>0</v>
      </c>
      <c r="Z244" s="29">
        <v>0</v>
      </c>
      <c r="AA244" s="29">
        <v>0</v>
      </c>
      <c r="AB244" s="29">
        <v>0</v>
      </c>
      <c r="AC244" s="29">
        <v>0</v>
      </c>
      <c r="AD244" s="29">
        <v>120697.7</v>
      </c>
      <c r="AE244" s="29">
        <v>0</v>
      </c>
      <c r="AF244" s="32">
        <v>2020</v>
      </c>
      <c r="AG244" s="33" t="s">
        <v>268</v>
      </c>
      <c r="AH244" s="33" t="s">
        <v>268</v>
      </c>
      <c r="AT244" s="18" t="e">
        <f>VLOOKUP(C244,AW:AX,2,FALSE)</f>
        <v>#N/A</v>
      </c>
      <c r="BZ244" s="61"/>
      <c r="CD244" s="18" t="e">
        <f>VLOOKUP(C244,CE:CF,2,FALSE)</f>
        <v>#N/A</v>
      </c>
    </row>
    <row r="245" spans="1:82" ht="61.5" x14ac:dyDescent="0.85">
      <c r="B245" s="22" t="s">
        <v>807</v>
      </c>
      <c r="C245" s="338"/>
      <c r="D245" s="339">
        <f t="shared" ref="D245:AE245" si="17">SUM(D246:D271)</f>
        <v>65365711.729999989</v>
      </c>
      <c r="E245" s="29">
        <f t="shared" si="17"/>
        <v>682532.23</v>
      </c>
      <c r="F245" s="29">
        <f t="shared" si="17"/>
        <v>1291083.82</v>
      </c>
      <c r="G245" s="29">
        <f t="shared" si="17"/>
        <v>0</v>
      </c>
      <c r="H245" s="29">
        <f t="shared" si="17"/>
        <v>288852.59999999998</v>
      </c>
      <c r="I245" s="29">
        <f t="shared" si="17"/>
        <v>0</v>
      </c>
      <c r="J245" s="29">
        <f t="shared" si="17"/>
        <v>0</v>
      </c>
      <c r="K245" s="31">
        <f t="shared" si="17"/>
        <v>5</v>
      </c>
      <c r="L245" s="29">
        <f t="shared" si="17"/>
        <v>8620900.5199999996</v>
      </c>
      <c r="M245" s="29">
        <f t="shared" si="17"/>
        <v>15160.69</v>
      </c>
      <c r="N245" s="29">
        <f t="shared" si="17"/>
        <v>51287574.990000002</v>
      </c>
      <c r="O245" s="29">
        <f t="shared" si="17"/>
        <v>0</v>
      </c>
      <c r="P245" s="29">
        <f t="shared" si="17"/>
        <v>0</v>
      </c>
      <c r="Q245" s="29">
        <f t="shared" si="17"/>
        <v>639.89</v>
      </c>
      <c r="R245" s="29">
        <f t="shared" si="17"/>
        <v>1660924.18</v>
      </c>
      <c r="S245" s="29">
        <f t="shared" si="17"/>
        <v>0</v>
      </c>
      <c r="T245" s="29">
        <f t="shared" si="17"/>
        <v>0</v>
      </c>
      <c r="U245" s="29">
        <f t="shared" si="17"/>
        <v>0</v>
      </c>
      <c r="V245" s="29">
        <f t="shared" si="17"/>
        <v>0</v>
      </c>
      <c r="W245" s="29">
        <f t="shared" si="17"/>
        <v>0</v>
      </c>
      <c r="X245" s="29">
        <f t="shared" si="17"/>
        <v>0</v>
      </c>
      <c r="Y245" s="29">
        <f t="shared" si="17"/>
        <v>0</v>
      </c>
      <c r="Z245" s="29">
        <f t="shared" si="17"/>
        <v>0</v>
      </c>
      <c r="AA245" s="29">
        <f t="shared" si="17"/>
        <v>0</v>
      </c>
      <c r="AB245" s="29">
        <f t="shared" si="17"/>
        <v>0</v>
      </c>
      <c r="AC245" s="29">
        <f t="shared" si="17"/>
        <v>474788.58</v>
      </c>
      <c r="AD245" s="29">
        <f t="shared" si="17"/>
        <v>1059054.8099999998</v>
      </c>
      <c r="AE245" s="29">
        <f t="shared" si="17"/>
        <v>0</v>
      </c>
      <c r="AF245" s="62" t="s">
        <v>743</v>
      </c>
      <c r="AG245" s="62" t="s">
        <v>743</v>
      </c>
      <c r="AH245" s="77" t="s">
        <v>743</v>
      </c>
      <c r="AT245" s="18" t="e">
        <f>VLOOKUP(C245,AW:AX,2,FALSE)</f>
        <v>#N/A</v>
      </c>
      <c r="BZ245" s="29">
        <v>113740245.04000002</v>
      </c>
      <c r="CA245" s="29"/>
      <c r="CB245" s="29">
        <f>BZ245-D245</f>
        <v>48374533.310000032</v>
      </c>
      <c r="CD245" s="18" t="e">
        <f>VLOOKUP(C245,CE:CF,2,FALSE)</f>
        <v>#N/A</v>
      </c>
    </row>
    <row r="246" spans="1:82" ht="61.5" x14ac:dyDescent="0.85">
      <c r="A246" s="18">
        <v>1</v>
      </c>
      <c r="B246" s="57">
        <f>SUBTOTAL(103,$A$22:A246)</f>
        <v>220</v>
      </c>
      <c r="C246" s="22" t="s">
        <v>606</v>
      </c>
      <c r="D246" s="29">
        <f t="shared" ref="D246:D269" si="18">E246+F246+G246+H246+I246+J246+L246+N246+P246+R246+T246+U246+V246+W246+X246+Y246+Z246+AA246+AB246+AC246+AD246+AE246</f>
        <v>3589738.75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34">
        <v>2</v>
      </c>
      <c r="L246" s="37">
        <f>1884703.03+1705035.72</f>
        <v>3589738.75</v>
      </c>
      <c r="M246" s="29">
        <v>0</v>
      </c>
      <c r="N246" s="29">
        <v>0</v>
      </c>
      <c r="O246" s="34">
        <v>0</v>
      </c>
      <c r="P246" s="34">
        <v>0</v>
      </c>
      <c r="Q246" s="34">
        <v>0</v>
      </c>
      <c r="R246" s="34">
        <v>0</v>
      </c>
      <c r="S246" s="29">
        <v>0</v>
      </c>
      <c r="T246" s="29">
        <v>0</v>
      </c>
      <c r="U246" s="29">
        <v>0</v>
      </c>
      <c r="V246" s="29">
        <v>0</v>
      </c>
      <c r="W246" s="29">
        <v>0</v>
      </c>
      <c r="X246" s="29">
        <v>0</v>
      </c>
      <c r="Y246" s="29">
        <v>0</v>
      </c>
      <c r="Z246" s="29">
        <v>0</v>
      </c>
      <c r="AA246" s="29">
        <v>0</v>
      </c>
      <c r="AB246" s="29">
        <v>0</v>
      </c>
      <c r="AC246" s="29">
        <v>0</v>
      </c>
      <c r="AD246" s="29">
        <v>0</v>
      </c>
      <c r="AE246" s="29">
        <v>0</v>
      </c>
      <c r="AF246" s="32" t="s">
        <v>268</v>
      </c>
      <c r="AG246" s="32">
        <v>2020</v>
      </c>
      <c r="AH246" s="33" t="s">
        <v>268</v>
      </c>
      <c r="AT246" s="18" t="e">
        <f>VLOOKUP(C246,AW:AX,2,FALSE)</f>
        <v>#N/A</v>
      </c>
      <c r="BZ246" s="61"/>
      <c r="CD246" s="18" t="e">
        <f>VLOOKUP(C246,CE:CF,2,FALSE)</f>
        <v>#N/A</v>
      </c>
    </row>
    <row r="247" spans="1:82" ht="61.5" x14ac:dyDescent="0.85">
      <c r="A247" s="18">
        <v>1</v>
      </c>
      <c r="B247" s="57">
        <f>SUBTOTAL(103,$A$22:A247)</f>
        <v>221</v>
      </c>
      <c r="C247" s="22" t="s">
        <v>610</v>
      </c>
      <c r="D247" s="29">
        <f t="shared" si="18"/>
        <v>130936.07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1">
        <v>0</v>
      </c>
      <c r="L247" s="29">
        <v>0</v>
      </c>
      <c r="M247" s="29">
        <v>0</v>
      </c>
      <c r="N247" s="29">
        <v>0</v>
      </c>
      <c r="O247" s="34">
        <v>0</v>
      </c>
      <c r="P247" s="34">
        <v>0</v>
      </c>
      <c r="Q247" s="34">
        <v>0</v>
      </c>
      <c r="R247" s="34">
        <v>0</v>
      </c>
      <c r="S247" s="29">
        <v>0</v>
      </c>
      <c r="T247" s="29">
        <v>0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9">
        <v>0</v>
      </c>
      <c r="AC247" s="29">
        <f>ROUND(U247*1.5%,2)</f>
        <v>0</v>
      </c>
      <c r="AD247" s="37">
        <v>130936.07</v>
      </c>
      <c r="AE247" s="29">
        <v>0</v>
      </c>
      <c r="AF247" s="32">
        <v>2020</v>
      </c>
      <c r="AG247" s="33" t="s">
        <v>268</v>
      </c>
      <c r="AH247" s="33" t="s">
        <v>268</v>
      </c>
      <c r="AT247" s="18" t="e">
        <f>VLOOKUP(C247,AW:AX,2,FALSE)</f>
        <v>#N/A</v>
      </c>
      <c r="BZ247" s="61"/>
      <c r="CD247" s="18" t="e">
        <f>VLOOKUP(C247,CE:CF,2,FALSE)</f>
        <v>#N/A</v>
      </c>
    </row>
    <row r="248" spans="1:82" ht="61.5" x14ac:dyDescent="0.85">
      <c r="A248" s="18">
        <v>1</v>
      </c>
      <c r="B248" s="57">
        <f>SUBTOTAL(103,$A$22:A248)</f>
        <v>222</v>
      </c>
      <c r="C248" s="22" t="s">
        <v>611</v>
      </c>
      <c r="D248" s="29">
        <f t="shared" si="18"/>
        <v>143632.79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1">
        <v>0</v>
      </c>
      <c r="L248" s="29">
        <v>0</v>
      </c>
      <c r="M248" s="29">
        <v>0</v>
      </c>
      <c r="N248" s="29">
        <v>0</v>
      </c>
      <c r="O248" s="34">
        <v>0</v>
      </c>
      <c r="P248" s="34">
        <v>0</v>
      </c>
      <c r="Q248" s="29">
        <v>0</v>
      </c>
      <c r="R248" s="29">
        <v>0</v>
      </c>
      <c r="S248" s="29">
        <v>0</v>
      </c>
      <c r="T248" s="29">
        <v>0</v>
      </c>
      <c r="U248" s="29">
        <v>0</v>
      </c>
      <c r="V248" s="29">
        <v>0</v>
      </c>
      <c r="W248" s="29">
        <v>0</v>
      </c>
      <c r="X248" s="29">
        <v>0</v>
      </c>
      <c r="Y248" s="29">
        <v>0</v>
      </c>
      <c r="Z248" s="29">
        <v>0</v>
      </c>
      <c r="AA248" s="29">
        <v>0</v>
      </c>
      <c r="AB248" s="29">
        <v>0</v>
      </c>
      <c r="AC248" s="29">
        <f>ROUND((R248+T248)*1.5%,2)</f>
        <v>0</v>
      </c>
      <c r="AD248" s="134">
        <v>143632.79</v>
      </c>
      <c r="AE248" s="29">
        <v>0</v>
      </c>
      <c r="AF248" s="32">
        <v>2020</v>
      </c>
      <c r="AG248" s="33" t="s">
        <v>268</v>
      </c>
      <c r="AH248" s="33" t="s">
        <v>268</v>
      </c>
      <c r="AT248" s="18" t="e">
        <f>VLOOKUP(C248,AW:AX,2,FALSE)</f>
        <v>#N/A</v>
      </c>
      <c r="BZ248" s="61"/>
      <c r="CD248" s="18" t="e">
        <f>VLOOKUP(C248,CE:CF,2,FALSE)</f>
        <v>#N/A</v>
      </c>
    </row>
    <row r="249" spans="1:82" ht="61.5" x14ac:dyDescent="0.85">
      <c r="A249" s="18">
        <v>1</v>
      </c>
      <c r="B249" s="57">
        <f>SUBTOTAL(103,$A$22:A249)</f>
        <v>223</v>
      </c>
      <c r="C249" s="22" t="s">
        <v>614</v>
      </c>
      <c r="D249" s="29">
        <f t="shared" si="18"/>
        <v>3407945.42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34">
        <v>2</v>
      </c>
      <c r="L249" s="37">
        <v>3407945.42</v>
      </c>
      <c r="M249" s="29">
        <v>0</v>
      </c>
      <c r="N249" s="29">
        <v>0</v>
      </c>
      <c r="O249" s="34">
        <v>0</v>
      </c>
      <c r="P249" s="34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9">
        <v>0</v>
      </c>
      <c r="AC249" s="29">
        <v>0</v>
      </c>
      <c r="AD249" s="29">
        <v>0</v>
      </c>
      <c r="AE249" s="29">
        <v>0</v>
      </c>
      <c r="AF249" s="32" t="s">
        <v>268</v>
      </c>
      <c r="AG249" s="32">
        <v>2020</v>
      </c>
      <c r="AH249" s="33" t="s">
        <v>268</v>
      </c>
      <c r="AT249" s="18">
        <f>VLOOKUP(C249,AW:AX,2,FALSE)</f>
        <v>1</v>
      </c>
      <c r="BZ249" s="61"/>
      <c r="CD249" s="18" t="e">
        <f>VLOOKUP(C249,CE:CF,2,FALSE)</f>
        <v>#N/A</v>
      </c>
    </row>
    <row r="250" spans="1:82" ht="61.5" x14ac:dyDescent="0.85">
      <c r="A250" s="18">
        <v>1</v>
      </c>
      <c r="B250" s="57">
        <f>SUBTOTAL(103,$A$22:A250)</f>
        <v>224</v>
      </c>
      <c r="C250" s="22" t="s">
        <v>616</v>
      </c>
      <c r="D250" s="29">
        <f t="shared" si="18"/>
        <v>1860691.51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1">
        <v>0</v>
      </c>
      <c r="L250" s="29">
        <v>0</v>
      </c>
      <c r="M250" s="37">
        <v>500</v>
      </c>
      <c r="N250" s="37">
        <v>1799039.95</v>
      </c>
      <c r="O250" s="34">
        <v>0</v>
      </c>
      <c r="P250" s="34">
        <v>0</v>
      </c>
      <c r="Q250" s="29">
        <v>0</v>
      </c>
      <c r="R250" s="29">
        <v>0</v>
      </c>
      <c r="S250" s="29">
        <v>0</v>
      </c>
      <c r="T250" s="29">
        <v>0</v>
      </c>
      <c r="U250" s="29">
        <v>0</v>
      </c>
      <c r="V250" s="29">
        <v>0</v>
      </c>
      <c r="W250" s="29">
        <v>0</v>
      </c>
      <c r="X250" s="29">
        <v>0</v>
      </c>
      <c r="Y250" s="29">
        <v>0</v>
      </c>
      <c r="Z250" s="29">
        <v>0</v>
      </c>
      <c r="AA250" s="29">
        <v>0</v>
      </c>
      <c r="AB250" s="29">
        <v>0</v>
      </c>
      <c r="AC250" s="37">
        <v>10794.24</v>
      </c>
      <c r="AD250" s="37">
        <v>50857.32</v>
      </c>
      <c r="AE250" s="29">
        <v>0</v>
      </c>
      <c r="AF250" s="32">
        <v>2020</v>
      </c>
      <c r="AG250" s="32">
        <v>2020</v>
      </c>
      <c r="AH250" s="33">
        <v>2020</v>
      </c>
      <c r="AT250" s="18" t="e">
        <f>VLOOKUP(C250,AW:AX,2,FALSE)</f>
        <v>#N/A</v>
      </c>
      <c r="BZ250" s="61"/>
      <c r="CD250" s="18">
        <f>VLOOKUP(C250,CE:CF,2,FALSE)</f>
        <v>486.27</v>
      </c>
    </row>
    <row r="251" spans="1:82" ht="61.5" x14ac:dyDescent="0.85">
      <c r="A251" s="18">
        <v>1</v>
      </c>
      <c r="B251" s="57">
        <f>SUBTOTAL(103,$A$22:A251)</f>
        <v>225</v>
      </c>
      <c r="C251" s="22" t="s">
        <v>619</v>
      </c>
      <c r="D251" s="29">
        <f t="shared" si="18"/>
        <v>2404378.48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1">
        <v>0</v>
      </c>
      <c r="L251" s="29">
        <v>0</v>
      </c>
      <c r="M251" s="37">
        <v>541.6</v>
      </c>
      <c r="N251" s="37">
        <v>2283128.7999999998</v>
      </c>
      <c r="O251" s="34">
        <v>0</v>
      </c>
      <c r="P251" s="34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9">
        <v>0</v>
      </c>
      <c r="Y251" s="29">
        <v>0</v>
      </c>
      <c r="Z251" s="29">
        <v>0</v>
      </c>
      <c r="AA251" s="29">
        <v>0</v>
      </c>
      <c r="AB251" s="29">
        <v>0</v>
      </c>
      <c r="AC251" s="134">
        <v>13698.77</v>
      </c>
      <c r="AD251" s="134">
        <v>107550.91</v>
      </c>
      <c r="AE251" s="29">
        <v>0</v>
      </c>
      <c r="AF251" s="32">
        <v>2020</v>
      </c>
      <c r="AG251" s="32">
        <v>2020</v>
      </c>
      <c r="AH251" s="33">
        <v>2020</v>
      </c>
      <c r="AT251" s="18" t="e">
        <f>VLOOKUP(C251,AW:AX,2,FALSE)</f>
        <v>#N/A</v>
      </c>
      <c r="BZ251" s="61"/>
      <c r="CD251" s="18">
        <f>VLOOKUP(C251,CE:CF,2,FALSE)</f>
        <v>586.70000000000005</v>
      </c>
    </row>
    <row r="252" spans="1:82" ht="61.5" x14ac:dyDescent="0.85">
      <c r="A252" s="18">
        <v>1</v>
      </c>
      <c r="B252" s="57">
        <f>SUBTOTAL(103,$A$22:A252)</f>
        <v>226</v>
      </c>
      <c r="C252" s="22" t="s">
        <v>620</v>
      </c>
      <c r="D252" s="29">
        <f t="shared" si="18"/>
        <v>1323171.2200000002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1">
        <v>0</v>
      </c>
      <c r="L252" s="29">
        <v>0</v>
      </c>
      <c r="M252" s="37">
        <v>391.2</v>
      </c>
      <c r="N252" s="37">
        <v>1270891.82</v>
      </c>
      <c r="O252" s="34">
        <v>0</v>
      </c>
      <c r="P252" s="34">
        <v>0</v>
      </c>
      <c r="Q252" s="29">
        <v>0</v>
      </c>
      <c r="R252" s="29">
        <v>0</v>
      </c>
      <c r="S252" s="29">
        <v>0</v>
      </c>
      <c r="T252" s="29">
        <v>0</v>
      </c>
      <c r="U252" s="29">
        <v>0</v>
      </c>
      <c r="V252" s="29">
        <v>0</v>
      </c>
      <c r="W252" s="29">
        <v>0</v>
      </c>
      <c r="X252" s="29">
        <v>0</v>
      </c>
      <c r="Y252" s="29">
        <v>0</v>
      </c>
      <c r="Z252" s="29">
        <v>0</v>
      </c>
      <c r="AA252" s="29">
        <v>0</v>
      </c>
      <c r="AB252" s="29">
        <v>0</v>
      </c>
      <c r="AC252" s="37">
        <v>7625.35</v>
      </c>
      <c r="AD252" s="37">
        <v>44654.05</v>
      </c>
      <c r="AE252" s="29">
        <v>0</v>
      </c>
      <c r="AF252" s="32">
        <v>2020</v>
      </c>
      <c r="AG252" s="32">
        <v>2020</v>
      </c>
      <c r="AH252" s="33">
        <v>2020</v>
      </c>
      <c r="AT252" s="18" t="e">
        <f>VLOOKUP(C252,AW:AX,2,FALSE)</f>
        <v>#N/A</v>
      </c>
      <c r="BZ252" s="61"/>
      <c r="CD252" s="18">
        <f>VLOOKUP(C252,CE:CF,2,FALSE)</f>
        <v>384.56</v>
      </c>
    </row>
    <row r="253" spans="1:82" ht="61.5" x14ac:dyDescent="0.85">
      <c r="A253" s="18">
        <v>1</v>
      </c>
      <c r="B253" s="57">
        <f>SUBTOTAL(103,$A$22:A253)</f>
        <v>227</v>
      </c>
      <c r="C253" s="22" t="s">
        <v>621</v>
      </c>
      <c r="D253" s="29">
        <f t="shared" si="18"/>
        <v>1623216.35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34">
        <v>1</v>
      </c>
      <c r="L253" s="37">
        <v>1623216.35</v>
      </c>
      <c r="M253" s="29">
        <v>0</v>
      </c>
      <c r="N253" s="29">
        <v>0</v>
      </c>
      <c r="O253" s="34">
        <v>0</v>
      </c>
      <c r="P253" s="34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0</v>
      </c>
      <c r="W253" s="29">
        <v>0</v>
      </c>
      <c r="X253" s="29">
        <v>0</v>
      </c>
      <c r="Y253" s="29">
        <v>0</v>
      </c>
      <c r="Z253" s="29">
        <v>0</v>
      </c>
      <c r="AA253" s="29">
        <v>0</v>
      </c>
      <c r="AB253" s="29">
        <v>0</v>
      </c>
      <c r="AC253" s="29">
        <v>0</v>
      </c>
      <c r="AD253" s="29">
        <v>0</v>
      </c>
      <c r="AE253" s="29">
        <v>0</v>
      </c>
      <c r="AF253" s="32" t="s">
        <v>268</v>
      </c>
      <c r="AG253" s="32">
        <v>2020</v>
      </c>
      <c r="AH253" s="33" t="s">
        <v>268</v>
      </c>
      <c r="AT253" s="18" t="e">
        <f>VLOOKUP(C253,AW:AX,2,FALSE)</f>
        <v>#N/A</v>
      </c>
      <c r="BZ253" s="61"/>
      <c r="CD253" s="18" t="e">
        <f>VLOOKUP(C253,CE:CF,2,FALSE)</f>
        <v>#N/A</v>
      </c>
    </row>
    <row r="254" spans="1:82" ht="61.5" x14ac:dyDescent="0.85">
      <c r="A254" s="18">
        <v>1</v>
      </c>
      <c r="B254" s="57">
        <f>SUBTOTAL(103,$A$22:A254)</f>
        <v>228</v>
      </c>
      <c r="C254" s="22" t="s">
        <v>623</v>
      </c>
      <c r="D254" s="29">
        <f t="shared" si="18"/>
        <v>833755.4800000001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1">
        <v>0</v>
      </c>
      <c r="L254" s="29">
        <v>0</v>
      </c>
      <c r="M254" s="37">
        <v>215.9</v>
      </c>
      <c r="N254" s="37">
        <v>785551.29</v>
      </c>
      <c r="O254" s="34">
        <v>0</v>
      </c>
      <c r="P254" s="34">
        <v>0</v>
      </c>
      <c r="Q254" s="29">
        <v>0</v>
      </c>
      <c r="R254" s="29">
        <v>0</v>
      </c>
      <c r="S254" s="29">
        <v>0</v>
      </c>
      <c r="T254" s="29">
        <v>0</v>
      </c>
      <c r="U254" s="29">
        <v>0</v>
      </c>
      <c r="V254" s="29">
        <v>0</v>
      </c>
      <c r="W254" s="29">
        <v>0</v>
      </c>
      <c r="X254" s="29">
        <v>0</v>
      </c>
      <c r="Y254" s="29">
        <v>0</v>
      </c>
      <c r="Z254" s="29">
        <v>0</v>
      </c>
      <c r="AA254" s="29">
        <v>0</v>
      </c>
      <c r="AB254" s="29">
        <v>0</v>
      </c>
      <c r="AC254" s="37">
        <v>4713.3100000000004</v>
      </c>
      <c r="AD254" s="134">
        <v>43490.879999999997</v>
      </c>
      <c r="AE254" s="29">
        <v>0</v>
      </c>
      <c r="AF254" s="32">
        <v>2020</v>
      </c>
      <c r="AG254" s="32">
        <v>2020</v>
      </c>
      <c r="AH254" s="33">
        <v>2020</v>
      </c>
      <c r="AT254" s="18" t="e">
        <f>VLOOKUP(C254,AW:AX,2,FALSE)</f>
        <v>#N/A</v>
      </c>
      <c r="BZ254" s="61"/>
      <c r="CD254" s="18" t="e">
        <f>VLOOKUP(C254,CE:CF,2,FALSE)</f>
        <v>#N/A</v>
      </c>
    </row>
    <row r="255" spans="1:82" ht="61.5" x14ac:dyDescent="0.85">
      <c r="A255" s="18">
        <v>1</v>
      </c>
      <c r="B255" s="57">
        <f>SUBTOTAL(103,$A$22:A255)</f>
        <v>229</v>
      </c>
      <c r="C255" s="22" t="s">
        <v>627</v>
      </c>
      <c r="D255" s="29">
        <f t="shared" si="18"/>
        <v>1500690.63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1">
        <v>0</v>
      </c>
      <c r="L255" s="29">
        <v>0</v>
      </c>
      <c r="M255" s="37">
        <v>565</v>
      </c>
      <c r="N255" s="37">
        <v>1491740.19</v>
      </c>
      <c r="O255" s="34">
        <v>0</v>
      </c>
      <c r="P255" s="34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0</v>
      </c>
      <c r="V255" s="29">
        <v>0</v>
      </c>
      <c r="W255" s="29">
        <v>0</v>
      </c>
      <c r="X255" s="29">
        <v>0</v>
      </c>
      <c r="Y255" s="29">
        <v>0</v>
      </c>
      <c r="Z255" s="29">
        <v>0</v>
      </c>
      <c r="AA255" s="29">
        <v>0</v>
      </c>
      <c r="AB255" s="29">
        <v>0</v>
      </c>
      <c r="AC255" s="37">
        <v>8950.44</v>
      </c>
      <c r="AD255" s="29">
        <v>0</v>
      </c>
      <c r="AE255" s="29">
        <v>0</v>
      </c>
      <c r="AF255" s="32" t="s">
        <v>268</v>
      </c>
      <c r="AG255" s="32">
        <v>2020</v>
      </c>
      <c r="AH255" s="33">
        <v>2020</v>
      </c>
      <c r="AT255" s="18" t="e">
        <f>VLOOKUP(C255,AW:AX,2,FALSE)</f>
        <v>#N/A</v>
      </c>
      <c r="BZ255" s="61"/>
      <c r="CD255" s="18">
        <f>VLOOKUP(C255,CE:CF,2,FALSE)</f>
        <v>563.1</v>
      </c>
    </row>
    <row r="256" spans="1:82" ht="61.5" x14ac:dyDescent="0.85">
      <c r="A256" s="18">
        <v>1</v>
      </c>
      <c r="B256" s="57">
        <f>SUBTOTAL(103,$A$22:A256)</f>
        <v>230</v>
      </c>
      <c r="C256" s="22" t="s">
        <v>1080</v>
      </c>
      <c r="D256" s="29">
        <f t="shared" si="18"/>
        <v>4876210.959999999</v>
      </c>
      <c r="E256" s="29">
        <v>0</v>
      </c>
      <c r="F256" s="29">
        <v>0</v>
      </c>
      <c r="G256" s="29">
        <v>0</v>
      </c>
      <c r="H256" s="29">
        <v>0</v>
      </c>
      <c r="I256" s="29">
        <v>0</v>
      </c>
      <c r="J256" s="29">
        <v>0</v>
      </c>
      <c r="K256" s="64">
        <v>0</v>
      </c>
      <c r="L256" s="29">
        <v>0</v>
      </c>
      <c r="M256" s="37">
        <v>1093</v>
      </c>
      <c r="N256" s="37">
        <v>4724224.93</v>
      </c>
      <c r="O256" s="29">
        <v>0</v>
      </c>
      <c r="P256" s="29">
        <v>0</v>
      </c>
      <c r="Q256" s="29">
        <v>0</v>
      </c>
      <c r="R256" s="29">
        <v>0</v>
      </c>
      <c r="S256" s="29">
        <v>0</v>
      </c>
      <c r="T256" s="29">
        <v>0</v>
      </c>
      <c r="U256" s="29">
        <v>0</v>
      </c>
      <c r="V256" s="29">
        <v>0</v>
      </c>
      <c r="W256" s="29">
        <v>0</v>
      </c>
      <c r="X256" s="29">
        <v>0</v>
      </c>
      <c r="Y256" s="29">
        <v>0</v>
      </c>
      <c r="Z256" s="29">
        <v>0</v>
      </c>
      <c r="AA256" s="29">
        <v>0</v>
      </c>
      <c r="AB256" s="29">
        <v>0</v>
      </c>
      <c r="AC256" s="37">
        <v>28345.35</v>
      </c>
      <c r="AD256" s="37">
        <v>123640.68</v>
      </c>
      <c r="AE256" s="29">
        <v>0</v>
      </c>
      <c r="AF256" s="32">
        <v>2020</v>
      </c>
      <c r="AG256" s="32">
        <v>2020</v>
      </c>
      <c r="AH256" s="33">
        <v>2020</v>
      </c>
      <c r="BZ256" s="61"/>
      <c r="CD256" s="18" t="e">
        <f>VLOOKUP(C256,CE:CF,2,FALSE)</f>
        <v>#N/A</v>
      </c>
    </row>
    <row r="257" spans="1:82" ht="61.5" x14ac:dyDescent="0.85">
      <c r="A257" s="18">
        <v>1</v>
      </c>
      <c r="B257" s="57">
        <f>SUBTOTAL(103,$A$22:A257)</f>
        <v>231</v>
      </c>
      <c r="C257" s="22" t="s">
        <v>1166</v>
      </c>
      <c r="D257" s="29">
        <f t="shared" si="18"/>
        <v>978702.2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1">
        <v>0</v>
      </c>
      <c r="L257" s="29">
        <v>0</v>
      </c>
      <c r="M257" s="37">
        <v>540.5</v>
      </c>
      <c r="N257" s="37">
        <v>964309.88</v>
      </c>
      <c r="O257" s="34">
        <v>0</v>
      </c>
      <c r="P257" s="34">
        <v>0</v>
      </c>
      <c r="Q257" s="29">
        <v>0</v>
      </c>
      <c r="R257" s="29">
        <v>0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9">
        <v>0</v>
      </c>
      <c r="Y257" s="29">
        <v>0</v>
      </c>
      <c r="Z257" s="29">
        <v>0</v>
      </c>
      <c r="AA257" s="29">
        <v>0</v>
      </c>
      <c r="AB257" s="29">
        <v>0</v>
      </c>
      <c r="AC257" s="37">
        <v>14392.32</v>
      </c>
      <c r="AD257" s="29">
        <v>0</v>
      </c>
      <c r="AE257" s="29">
        <v>0</v>
      </c>
      <c r="AF257" s="32" t="s">
        <v>268</v>
      </c>
      <c r="AG257" s="32">
        <v>2020</v>
      </c>
      <c r="AH257" s="33">
        <v>2020</v>
      </c>
      <c r="BZ257" s="61"/>
      <c r="CD257" s="18">
        <f>VLOOKUP(C257,CE:CF,2,FALSE)</f>
        <v>540.5</v>
      </c>
    </row>
    <row r="258" spans="1:82" ht="61.5" x14ac:dyDescent="0.85">
      <c r="A258" s="18">
        <v>1</v>
      </c>
      <c r="B258" s="57">
        <f>SUBTOTAL(103,$A$22:A258)</f>
        <v>232</v>
      </c>
      <c r="C258" s="22" t="s">
        <v>1167</v>
      </c>
      <c r="D258" s="29">
        <f t="shared" si="18"/>
        <v>3006507.7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64">
        <v>0</v>
      </c>
      <c r="L258" s="29">
        <v>0</v>
      </c>
      <c r="M258" s="37">
        <v>612.78</v>
      </c>
      <c r="N258" s="37">
        <v>2885569.14</v>
      </c>
      <c r="O258" s="34">
        <v>0</v>
      </c>
      <c r="P258" s="34">
        <v>0</v>
      </c>
      <c r="Q258" s="29">
        <v>0</v>
      </c>
      <c r="R258" s="29">
        <v>0</v>
      </c>
      <c r="S258" s="29">
        <v>0</v>
      </c>
      <c r="T258" s="29">
        <v>0</v>
      </c>
      <c r="U258" s="29">
        <v>0</v>
      </c>
      <c r="V258" s="29">
        <v>0</v>
      </c>
      <c r="W258" s="29">
        <v>0</v>
      </c>
      <c r="X258" s="29">
        <v>0</v>
      </c>
      <c r="Y258" s="29">
        <v>0</v>
      </c>
      <c r="Z258" s="29">
        <v>0</v>
      </c>
      <c r="AA258" s="29">
        <v>0</v>
      </c>
      <c r="AB258" s="29">
        <v>0</v>
      </c>
      <c r="AC258" s="29">
        <v>43067.12</v>
      </c>
      <c r="AD258" s="37">
        <v>77871.44</v>
      </c>
      <c r="AE258" s="29">
        <v>0</v>
      </c>
      <c r="AF258" s="32">
        <v>2020</v>
      </c>
      <c r="AG258" s="32">
        <v>2020</v>
      </c>
      <c r="AH258" s="32">
        <v>2020</v>
      </c>
      <c r="BZ258" s="61"/>
      <c r="CD258" s="18">
        <f>VLOOKUP(C258,CE:CF,2,FALSE)</f>
        <v>603.5</v>
      </c>
    </row>
    <row r="259" spans="1:82" ht="61.5" x14ac:dyDescent="0.85">
      <c r="A259" s="18">
        <v>1</v>
      </c>
      <c r="B259" s="57">
        <f>SUBTOTAL(103,$A$22:A259)</f>
        <v>233</v>
      </c>
      <c r="C259" s="22" t="s">
        <v>1168</v>
      </c>
      <c r="D259" s="29">
        <f t="shared" si="18"/>
        <v>8000402.0100000007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1">
        <v>0</v>
      </c>
      <c r="L259" s="29">
        <v>0</v>
      </c>
      <c r="M259" s="335">
        <v>1580.66</v>
      </c>
      <c r="N259" s="335">
        <v>7882751.9400000004</v>
      </c>
      <c r="O259" s="34">
        <v>0</v>
      </c>
      <c r="P259" s="34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0</v>
      </c>
      <c r="Y259" s="29">
        <v>0</v>
      </c>
      <c r="Z259" s="29">
        <v>0</v>
      </c>
      <c r="AA259" s="29">
        <v>0</v>
      </c>
      <c r="AB259" s="29">
        <v>0</v>
      </c>
      <c r="AC259" s="335">
        <v>117650.07</v>
      </c>
      <c r="AD259" s="29">
        <v>0</v>
      </c>
      <c r="AE259" s="29">
        <v>0</v>
      </c>
      <c r="AF259" s="32" t="s">
        <v>268</v>
      </c>
      <c r="AG259" s="32">
        <v>2020</v>
      </c>
      <c r="AH259" s="33">
        <v>2020</v>
      </c>
      <c r="BZ259" s="61"/>
      <c r="CD259" s="18">
        <f>VLOOKUP(C259,CE:CF,2,FALSE)</f>
        <v>1650</v>
      </c>
    </row>
    <row r="260" spans="1:82" ht="61.5" x14ac:dyDescent="0.85">
      <c r="A260" s="18">
        <v>1</v>
      </c>
      <c r="B260" s="57">
        <f>SUBTOTAL(103,$A$22:A260)</f>
        <v>234</v>
      </c>
      <c r="C260" s="22" t="s">
        <v>1169</v>
      </c>
      <c r="D260" s="29">
        <f t="shared" si="18"/>
        <v>1685713.47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1">
        <v>0</v>
      </c>
      <c r="L260" s="29">
        <v>0</v>
      </c>
      <c r="M260" s="29">
        <v>0</v>
      </c>
      <c r="N260" s="29">
        <v>0</v>
      </c>
      <c r="O260" s="34">
        <v>0</v>
      </c>
      <c r="P260" s="34">
        <v>0</v>
      </c>
      <c r="Q260" s="37">
        <v>639.89</v>
      </c>
      <c r="R260" s="37">
        <v>1660924.18</v>
      </c>
      <c r="S260" s="29">
        <v>0</v>
      </c>
      <c r="T260" s="29">
        <v>0</v>
      </c>
      <c r="U260" s="29">
        <v>0</v>
      </c>
      <c r="V260" s="29">
        <v>0</v>
      </c>
      <c r="W260" s="29">
        <v>0</v>
      </c>
      <c r="X260" s="29">
        <v>0</v>
      </c>
      <c r="Y260" s="29">
        <v>0</v>
      </c>
      <c r="Z260" s="29">
        <v>0</v>
      </c>
      <c r="AA260" s="29">
        <v>0</v>
      </c>
      <c r="AB260" s="29">
        <v>0</v>
      </c>
      <c r="AC260" s="37">
        <v>24789.29</v>
      </c>
      <c r="AD260" s="29">
        <v>0</v>
      </c>
      <c r="AE260" s="29">
        <v>0</v>
      </c>
      <c r="AF260" s="32" t="s">
        <v>268</v>
      </c>
      <c r="AG260" s="32">
        <v>2020</v>
      </c>
      <c r="AH260" s="33">
        <v>2020</v>
      </c>
      <c r="BZ260" s="61"/>
      <c r="CD260" s="18" t="e">
        <f>VLOOKUP(C260,CE:CF,2,FALSE)</f>
        <v>#N/A</v>
      </c>
    </row>
    <row r="261" spans="1:82" ht="61.5" x14ac:dyDescent="0.85">
      <c r="A261" s="18">
        <v>1</v>
      </c>
      <c r="B261" s="57">
        <f>SUBTOTAL(103,$A$22:A261)</f>
        <v>235</v>
      </c>
      <c r="C261" s="22" t="s">
        <v>1170</v>
      </c>
      <c r="D261" s="29">
        <f t="shared" si="18"/>
        <v>3785233.7800000003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1">
        <v>0</v>
      </c>
      <c r="L261" s="29">
        <v>0</v>
      </c>
      <c r="M261" s="37">
        <v>1913</v>
      </c>
      <c r="N261" s="37">
        <v>3729569.95</v>
      </c>
      <c r="O261" s="34">
        <v>0</v>
      </c>
      <c r="P261" s="34">
        <v>0</v>
      </c>
      <c r="Q261" s="29">
        <v>0</v>
      </c>
      <c r="R261" s="29">
        <v>0</v>
      </c>
      <c r="S261" s="29">
        <v>0</v>
      </c>
      <c r="T261" s="29">
        <v>0</v>
      </c>
      <c r="U261" s="29">
        <v>0</v>
      </c>
      <c r="V261" s="29">
        <v>0</v>
      </c>
      <c r="W261" s="29">
        <v>0</v>
      </c>
      <c r="X261" s="29">
        <v>0</v>
      </c>
      <c r="Y261" s="29">
        <v>0</v>
      </c>
      <c r="Z261" s="29">
        <v>0</v>
      </c>
      <c r="AA261" s="29">
        <v>0</v>
      </c>
      <c r="AB261" s="29">
        <v>0</v>
      </c>
      <c r="AC261" s="37">
        <v>55663.83</v>
      </c>
      <c r="AD261" s="29">
        <v>0</v>
      </c>
      <c r="AE261" s="29">
        <v>0</v>
      </c>
      <c r="AF261" s="32" t="s">
        <v>268</v>
      </c>
      <c r="AG261" s="32">
        <v>2020</v>
      </c>
      <c r="AH261" s="33">
        <v>2020</v>
      </c>
      <c r="BZ261" s="61"/>
      <c r="CD261" s="18">
        <f>VLOOKUP(C261,CE:CF,2,FALSE)</f>
        <v>1906.5</v>
      </c>
    </row>
    <row r="262" spans="1:82" ht="61.5" x14ac:dyDescent="0.85">
      <c r="A262" s="18">
        <v>1</v>
      </c>
      <c r="B262" s="57">
        <f>SUBTOTAL(103,$A$22:A262)</f>
        <v>236</v>
      </c>
      <c r="C262" s="22" t="s">
        <v>1174</v>
      </c>
      <c r="D262" s="29">
        <f t="shared" si="18"/>
        <v>2272822.6599999997</v>
      </c>
      <c r="E262" s="37">
        <v>682532.23</v>
      </c>
      <c r="F262" s="37">
        <v>1291083.82</v>
      </c>
      <c r="G262" s="34">
        <v>0</v>
      </c>
      <c r="H262" s="37">
        <v>288852.59999999998</v>
      </c>
      <c r="I262" s="34">
        <v>0</v>
      </c>
      <c r="J262" s="34">
        <v>0</v>
      </c>
      <c r="K262" s="31">
        <v>0</v>
      </c>
      <c r="L262" s="29">
        <v>0</v>
      </c>
      <c r="M262" s="29">
        <v>0</v>
      </c>
      <c r="N262" s="29">
        <v>0</v>
      </c>
      <c r="O262" s="34">
        <v>0</v>
      </c>
      <c r="P262" s="34">
        <v>0</v>
      </c>
      <c r="Q262" s="29">
        <v>0</v>
      </c>
      <c r="R262" s="29">
        <v>0</v>
      </c>
      <c r="S262" s="29">
        <v>0</v>
      </c>
      <c r="T262" s="29">
        <v>0</v>
      </c>
      <c r="U262" s="29">
        <v>0</v>
      </c>
      <c r="V262" s="29">
        <v>0</v>
      </c>
      <c r="W262" s="29">
        <v>0</v>
      </c>
      <c r="X262" s="29">
        <v>0</v>
      </c>
      <c r="Y262" s="29">
        <v>0</v>
      </c>
      <c r="Z262" s="29">
        <v>0</v>
      </c>
      <c r="AA262" s="29">
        <v>0</v>
      </c>
      <c r="AB262" s="29">
        <v>0</v>
      </c>
      <c r="AC262" s="37">
        <v>10354.01</v>
      </c>
      <c r="AD262" s="29">
        <v>0</v>
      </c>
      <c r="AE262" s="29">
        <v>0</v>
      </c>
      <c r="AF262" s="32" t="s">
        <v>268</v>
      </c>
      <c r="AG262" s="32">
        <v>2020</v>
      </c>
      <c r="AH262" s="33">
        <v>2020</v>
      </c>
      <c r="BZ262" s="61"/>
      <c r="CD262" s="18" t="e">
        <f>VLOOKUP(C262,CE:CF,2,FALSE)</f>
        <v>#N/A</v>
      </c>
    </row>
    <row r="263" spans="1:82" ht="61.5" x14ac:dyDescent="0.85">
      <c r="A263" s="18">
        <v>1</v>
      </c>
      <c r="B263" s="57">
        <f>SUBTOTAL(103,$A$22:A263)</f>
        <v>237</v>
      </c>
      <c r="C263" s="22" t="s">
        <v>1175</v>
      </c>
      <c r="D263" s="29">
        <f t="shared" si="18"/>
        <v>4444796.6100000003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1">
        <v>0</v>
      </c>
      <c r="L263" s="29">
        <v>0</v>
      </c>
      <c r="M263" s="37">
        <v>1284.6300000000001</v>
      </c>
      <c r="N263" s="37">
        <v>4419604.91</v>
      </c>
      <c r="O263" s="34">
        <v>0</v>
      </c>
      <c r="P263" s="34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0</v>
      </c>
      <c r="V263" s="29">
        <v>0</v>
      </c>
      <c r="W263" s="29">
        <v>0</v>
      </c>
      <c r="X263" s="29">
        <v>0</v>
      </c>
      <c r="Y263" s="29">
        <v>0</v>
      </c>
      <c r="Z263" s="29">
        <v>0</v>
      </c>
      <c r="AA263" s="29">
        <v>0</v>
      </c>
      <c r="AB263" s="29">
        <v>0</v>
      </c>
      <c r="AC263" s="37">
        <v>25191.7</v>
      </c>
      <c r="AD263" s="29">
        <v>0</v>
      </c>
      <c r="AE263" s="29">
        <v>0</v>
      </c>
      <c r="AF263" s="32" t="s">
        <v>268</v>
      </c>
      <c r="AG263" s="32">
        <v>2020</v>
      </c>
      <c r="AH263" s="33">
        <v>2020</v>
      </c>
      <c r="BZ263" s="61"/>
      <c r="CD263" s="18">
        <f>VLOOKUP(C263,CE:CF,2,FALSE)</f>
        <v>1264.96</v>
      </c>
    </row>
    <row r="264" spans="1:82" ht="61.5" x14ac:dyDescent="0.85">
      <c r="A264" s="18">
        <v>1</v>
      </c>
      <c r="B264" s="57">
        <f>SUBTOTAL(103,$A$22:A264)</f>
        <v>238</v>
      </c>
      <c r="C264" s="22" t="s">
        <v>1177</v>
      </c>
      <c r="D264" s="29">
        <f t="shared" si="18"/>
        <v>3526049.4499999997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1">
        <v>0</v>
      </c>
      <c r="L264" s="29">
        <v>0</v>
      </c>
      <c r="M264" s="29">
        <v>838.77</v>
      </c>
      <c r="N264" s="93">
        <v>3506064.92</v>
      </c>
      <c r="O264" s="34">
        <v>0</v>
      </c>
      <c r="P264" s="34">
        <v>0</v>
      </c>
      <c r="Q264" s="29">
        <v>0</v>
      </c>
      <c r="R264" s="29">
        <v>0</v>
      </c>
      <c r="S264" s="29">
        <v>0</v>
      </c>
      <c r="T264" s="29">
        <v>0</v>
      </c>
      <c r="U264" s="29">
        <v>0</v>
      </c>
      <c r="V264" s="29">
        <v>0</v>
      </c>
      <c r="W264" s="29">
        <v>0</v>
      </c>
      <c r="X264" s="29">
        <v>0</v>
      </c>
      <c r="Y264" s="29">
        <v>0</v>
      </c>
      <c r="Z264" s="29">
        <v>0</v>
      </c>
      <c r="AA264" s="29">
        <v>0</v>
      </c>
      <c r="AB264" s="29">
        <v>0</v>
      </c>
      <c r="AC264" s="335">
        <v>19984.53</v>
      </c>
      <c r="AD264" s="29">
        <v>0</v>
      </c>
      <c r="AE264" s="29">
        <v>0</v>
      </c>
      <c r="AF264" s="32" t="s">
        <v>268</v>
      </c>
      <c r="AG264" s="32">
        <v>2020</v>
      </c>
      <c r="AH264" s="33">
        <v>2020</v>
      </c>
      <c r="BZ264" s="61"/>
      <c r="CD264" s="18">
        <f>VLOOKUP(C264,CE:CF,2,FALSE)</f>
        <v>781</v>
      </c>
    </row>
    <row r="265" spans="1:82" ht="61.5" x14ac:dyDescent="0.85">
      <c r="A265" s="18">
        <v>1</v>
      </c>
      <c r="B265" s="57">
        <f>SUBTOTAL(103,$A$22:A265)</f>
        <v>239</v>
      </c>
      <c r="C265" s="22" t="s">
        <v>1178</v>
      </c>
      <c r="D265" s="29">
        <f t="shared" si="18"/>
        <v>5490389.4400000004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1">
        <v>0</v>
      </c>
      <c r="L265" s="29">
        <v>0</v>
      </c>
      <c r="M265" s="37">
        <v>2418</v>
      </c>
      <c r="N265" s="37">
        <v>5459271.6500000004</v>
      </c>
      <c r="O265" s="34">
        <v>0</v>
      </c>
      <c r="P265" s="34">
        <v>0</v>
      </c>
      <c r="Q265" s="29">
        <v>0</v>
      </c>
      <c r="R265" s="29">
        <v>0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9">
        <v>0</v>
      </c>
      <c r="Y265" s="29">
        <v>0</v>
      </c>
      <c r="Z265" s="29">
        <v>0</v>
      </c>
      <c r="AA265" s="29">
        <v>0</v>
      </c>
      <c r="AB265" s="29">
        <v>0</v>
      </c>
      <c r="AC265" s="37">
        <v>31117.79</v>
      </c>
      <c r="AD265" s="29">
        <v>0</v>
      </c>
      <c r="AE265" s="29">
        <v>0</v>
      </c>
      <c r="AF265" s="32" t="s">
        <v>268</v>
      </c>
      <c r="AG265" s="32">
        <v>2020</v>
      </c>
      <c r="AH265" s="33">
        <v>2020</v>
      </c>
      <c r="BZ265" s="61"/>
      <c r="CD265" s="18">
        <f>VLOOKUP(C265,CE:CF,2,FALSE)</f>
        <v>2073.9</v>
      </c>
    </row>
    <row r="266" spans="1:82" ht="61.5" x14ac:dyDescent="0.85">
      <c r="A266" s="18">
        <v>1</v>
      </c>
      <c r="B266" s="57">
        <f>SUBTOTAL(103,$A$22:A266)</f>
        <v>240</v>
      </c>
      <c r="C266" s="22" t="s">
        <v>1180</v>
      </c>
      <c r="D266" s="29">
        <f t="shared" si="18"/>
        <v>4738452.92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1">
        <v>0</v>
      </c>
      <c r="L266" s="29">
        <v>0</v>
      </c>
      <c r="M266" s="37">
        <v>1174.5999999999999</v>
      </c>
      <c r="N266" s="335">
        <v>4711596.87</v>
      </c>
      <c r="O266" s="34">
        <v>0</v>
      </c>
      <c r="P266" s="34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335">
        <v>26856.05</v>
      </c>
      <c r="AD266" s="29">
        <v>0</v>
      </c>
      <c r="AE266" s="29">
        <v>0</v>
      </c>
      <c r="AF266" s="32" t="s">
        <v>268</v>
      </c>
      <c r="AG266" s="32">
        <v>2020</v>
      </c>
      <c r="AH266" s="33">
        <v>2020</v>
      </c>
      <c r="BZ266" s="61"/>
      <c r="CD266" s="18">
        <f>VLOOKUP(C266,CE:CF,2,FALSE)</f>
        <v>1174.18</v>
      </c>
    </row>
    <row r="267" spans="1:82" ht="61.5" x14ac:dyDescent="0.85">
      <c r="A267" s="18">
        <v>1</v>
      </c>
      <c r="B267" s="57">
        <f>SUBTOTAL(103,$A$22:A267)</f>
        <v>241</v>
      </c>
      <c r="C267" s="22" t="s">
        <v>1181</v>
      </c>
      <c r="D267" s="29">
        <f t="shared" si="18"/>
        <v>2182746.96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1">
        <v>0</v>
      </c>
      <c r="L267" s="29">
        <v>0</v>
      </c>
      <c r="M267" s="37">
        <v>484.14</v>
      </c>
      <c r="N267" s="335">
        <v>2170375.84</v>
      </c>
      <c r="O267" s="34">
        <v>0</v>
      </c>
      <c r="P267" s="34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9">
        <v>0</v>
      </c>
      <c r="AC267" s="335">
        <v>12371.12</v>
      </c>
      <c r="AD267" s="29">
        <v>0</v>
      </c>
      <c r="AE267" s="29">
        <v>0</v>
      </c>
      <c r="AF267" s="32" t="s">
        <v>268</v>
      </c>
      <c r="AG267" s="32">
        <v>2020</v>
      </c>
      <c r="AH267" s="33">
        <v>2020</v>
      </c>
      <c r="BZ267" s="61"/>
      <c r="CD267" s="18">
        <f>VLOOKUP(C267,CE:CF,2,FALSE)</f>
        <v>484</v>
      </c>
    </row>
    <row r="268" spans="1:82" ht="61.5" x14ac:dyDescent="0.85">
      <c r="A268" s="18">
        <v>1</v>
      </c>
      <c r="B268" s="57">
        <f>SUBTOTAL(103,$A$22:A268)</f>
        <v>242</v>
      </c>
      <c r="C268" s="22" t="s">
        <v>1341</v>
      </c>
      <c r="D268" s="29">
        <f t="shared" si="18"/>
        <v>1724602.98</v>
      </c>
      <c r="E268" s="29">
        <v>0</v>
      </c>
      <c r="F268" s="29">
        <v>0</v>
      </c>
      <c r="G268" s="29">
        <v>0</v>
      </c>
      <c r="H268" s="29">
        <v>0</v>
      </c>
      <c r="I268" s="29">
        <v>0</v>
      </c>
      <c r="J268" s="29">
        <v>0</v>
      </c>
      <c r="K268" s="31">
        <v>0</v>
      </c>
      <c r="L268" s="29">
        <v>0</v>
      </c>
      <c r="M268" s="37">
        <v>527.41999999999996</v>
      </c>
      <c r="N268" s="335">
        <v>1663637.88</v>
      </c>
      <c r="O268" s="29">
        <v>0</v>
      </c>
      <c r="P268" s="29">
        <v>0</v>
      </c>
      <c r="Q268" s="29">
        <v>0</v>
      </c>
      <c r="R268" s="29">
        <v>0</v>
      </c>
      <c r="S268" s="29">
        <v>0</v>
      </c>
      <c r="T268" s="29">
        <v>0</v>
      </c>
      <c r="U268" s="29">
        <v>0</v>
      </c>
      <c r="V268" s="29">
        <v>0</v>
      </c>
      <c r="W268" s="29">
        <v>0</v>
      </c>
      <c r="X268" s="29">
        <v>0</v>
      </c>
      <c r="Y268" s="29">
        <v>0</v>
      </c>
      <c r="Z268" s="29">
        <v>0</v>
      </c>
      <c r="AA268" s="29">
        <v>0</v>
      </c>
      <c r="AB268" s="29">
        <v>0</v>
      </c>
      <c r="AC268" s="335">
        <v>9981.82</v>
      </c>
      <c r="AD268" s="37">
        <v>50983.28</v>
      </c>
      <c r="AE268" s="29">
        <v>0</v>
      </c>
      <c r="AF268" s="32">
        <v>2020</v>
      </c>
      <c r="AG268" s="32">
        <v>2020</v>
      </c>
      <c r="AH268" s="33">
        <v>2020</v>
      </c>
      <c r="BZ268" s="61"/>
      <c r="CD268" s="18" t="e">
        <f>VLOOKUP(C268,CE:CF,2,FALSE)</f>
        <v>#N/A</v>
      </c>
    </row>
    <row r="269" spans="1:82" ht="61.5" x14ac:dyDescent="0.85">
      <c r="A269" s="18">
        <v>1</v>
      </c>
      <c r="B269" s="57">
        <f>SUBTOTAL(103,$A$22:A269)</f>
        <v>243</v>
      </c>
      <c r="C269" s="22" t="s">
        <v>1340</v>
      </c>
      <c r="D269" s="29">
        <f t="shared" si="18"/>
        <v>1598078</v>
      </c>
      <c r="E269" s="29">
        <v>0</v>
      </c>
      <c r="F269" s="29">
        <v>0</v>
      </c>
      <c r="G269" s="29">
        <v>0</v>
      </c>
      <c r="H269" s="29">
        <v>0</v>
      </c>
      <c r="I269" s="29">
        <v>0</v>
      </c>
      <c r="J269" s="29">
        <v>0</v>
      </c>
      <c r="K269" s="31">
        <v>0</v>
      </c>
      <c r="L269" s="29">
        <v>0</v>
      </c>
      <c r="M269" s="37">
        <v>479.49</v>
      </c>
      <c r="N269" s="335">
        <v>1540245.03</v>
      </c>
      <c r="O269" s="29">
        <v>0</v>
      </c>
      <c r="P269" s="29">
        <v>0</v>
      </c>
      <c r="Q269" s="29">
        <v>0</v>
      </c>
      <c r="R269" s="29">
        <v>0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9">
        <v>0</v>
      </c>
      <c r="Y269" s="29">
        <v>0</v>
      </c>
      <c r="Z269" s="29">
        <v>0</v>
      </c>
      <c r="AA269" s="29">
        <v>0</v>
      </c>
      <c r="AB269" s="29">
        <v>0</v>
      </c>
      <c r="AC269" s="335">
        <v>9241.4699999999993</v>
      </c>
      <c r="AD269" s="37">
        <v>48591.5</v>
      </c>
      <c r="AE269" s="29">
        <v>0</v>
      </c>
      <c r="AF269" s="32">
        <v>2020</v>
      </c>
      <c r="AG269" s="32">
        <v>2020</v>
      </c>
      <c r="AH269" s="33">
        <v>2020</v>
      </c>
      <c r="BZ269" s="61"/>
      <c r="CD269" s="18" t="e">
        <f>VLOOKUP(C269,CE:CF,2,FALSE)</f>
        <v>#N/A</v>
      </c>
    </row>
    <row r="270" spans="1:82" ht="61.5" x14ac:dyDescent="0.85">
      <c r="A270" s="18">
        <v>1</v>
      </c>
      <c r="B270" s="57">
        <f>SUBTOTAL(103,$A$22:A270)</f>
        <v>244</v>
      </c>
      <c r="C270" s="22" t="s">
        <v>1543</v>
      </c>
      <c r="D270" s="29">
        <f>E270+F270+G270+H270+I270+J270+L270+N270+P270+R270+T270+U270+V270+W270+X270+Y270+Z270+AA270+AB270+AC270+AD270+AE270</f>
        <v>130960.35</v>
      </c>
      <c r="E270" s="29">
        <v>0</v>
      </c>
      <c r="F270" s="29">
        <v>0</v>
      </c>
      <c r="G270" s="29">
        <v>0</v>
      </c>
      <c r="H270" s="29">
        <v>0</v>
      </c>
      <c r="I270" s="29">
        <v>0</v>
      </c>
      <c r="J270" s="29">
        <v>0</v>
      </c>
      <c r="K270" s="31">
        <v>0</v>
      </c>
      <c r="L270" s="29">
        <v>0</v>
      </c>
      <c r="M270" s="29">
        <v>0</v>
      </c>
      <c r="N270" s="29">
        <v>0</v>
      </c>
      <c r="O270" s="29">
        <v>0</v>
      </c>
      <c r="P270" s="29">
        <v>0</v>
      </c>
      <c r="Q270" s="29">
        <v>0</v>
      </c>
      <c r="R270" s="29">
        <v>0</v>
      </c>
      <c r="S270" s="29">
        <v>0</v>
      </c>
      <c r="T270" s="29">
        <v>0</v>
      </c>
      <c r="U270" s="29">
        <v>0</v>
      </c>
      <c r="V270" s="29">
        <v>0</v>
      </c>
      <c r="W270" s="29">
        <v>0</v>
      </c>
      <c r="X270" s="29">
        <v>0</v>
      </c>
      <c r="Y270" s="29">
        <v>0</v>
      </c>
      <c r="Z270" s="29">
        <v>0</v>
      </c>
      <c r="AA270" s="29">
        <v>0</v>
      </c>
      <c r="AB270" s="29">
        <v>0</v>
      </c>
      <c r="AC270" s="29">
        <f>ROUND(N270*1.5%,2)</f>
        <v>0</v>
      </c>
      <c r="AD270" s="134">
        <v>130960.35</v>
      </c>
      <c r="AE270" s="29">
        <v>0</v>
      </c>
      <c r="AF270" s="32">
        <v>2020</v>
      </c>
      <c r="AG270" s="32" t="s">
        <v>268</v>
      </c>
      <c r="AH270" s="32" t="s">
        <v>268</v>
      </c>
      <c r="BZ270" s="61"/>
      <c r="CD270" s="18" t="e">
        <f>VLOOKUP(C270,CE:CF,2,FALSE)</f>
        <v>#N/A</v>
      </c>
    </row>
    <row r="271" spans="1:82" ht="61.5" x14ac:dyDescent="0.85">
      <c r="A271" s="18">
        <v>1</v>
      </c>
      <c r="B271" s="57">
        <f>SUBTOTAL(103,$A$22:A271)</f>
        <v>245</v>
      </c>
      <c r="C271" s="22" t="s">
        <v>617</v>
      </c>
      <c r="D271" s="29">
        <f>E271+F271+G271+H271+I271+J271+L271+N271+P271+R271+T271+U271+V271+W271+X271+Y271+Z271+AA271+AB271+AC271+AD271+AE271</f>
        <v>105885.54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64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9">
        <v>0</v>
      </c>
      <c r="Y271" s="29">
        <v>0</v>
      </c>
      <c r="Z271" s="29">
        <v>0</v>
      </c>
      <c r="AA271" s="29">
        <v>0</v>
      </c>
      <c r="AB271" s="29">
        <v>0</v>
      </c>
      <c r="AC271" s="29">
        <v>0</v>
      </c>
      <c r="AD271" s="29">
        <v>105885.54</v>
      </c>
      <c r="AE271" s="29">
        <v>0</v>
      </c>
      <c r="AF271" s="32">
        <v>2020</v>
      </c>
      <c r="AG271" s="32" t="s">
        <v>268</v>
      </c>
      <c r="AH271" s="32" t="s">
        <v>268</v>
      </c>
      <c r="AT271" s="18" t="e">
        <f>VLOOKUP(C271,AW:AX,2,FALSE)</f>
        <v>#N/A</v>
      </c>
      <c r="BZ271" s="61"/>
      <c r="CD271" s="18" t="e">
        <f>VLOOKUP(C271,CE:CF,2,FALSE)</f>
        <v>#N/A</v>
      </c>
    </row>
    <row r="272" spans="1:82" ht="61.5" x14ac:dyDescent="0.85">
      <c r="B272" s="22" t="s">
        <v>808</v>
      </c>
      <c r="C272" s="22"/>
      <c r="D272" s="339">
        <f t="shared" ref="D272:AE272" si="19">SUM(D273:D277)</f>
        <v>14114868.93</v>
      </c>
      <c r="E272" s="29">
        <f t="shared" si="19"/>
        <v>0</v>
      </c>
      <c r="F272" s="29">
        <f t="shared" si="19"/>
        <v>0</v>
      </c>
      <c r="G272" s="29">
        <f t="shared" si="19"/>
        <v>0</v>
      </c>
      <c r="H272" s="29">
        <f t="shared" si="19"/>
        <v>0</v>
      </c>
      <c r="I272" s="29">
        <f t="shared" si="19"/>
        <v>0</v>
      </c>
      <c r="J272" s="29">
        <f t="shared" si="19"/>
        <v>0</v>
      </c>
      <c r="K272" s="31">
        <f t="shared" si="19"/>
        <v>0</v>
      </c>
      <c r="L272" s="29">
        <f t="shared" si="19"/>
        <v>0</v>
      </c>
      <c r="M272" s="29">
        <f t="shared" si="19"/>
        <v>4487.16</v>
      </c>
      <c r="N272" s="29">
        <f t="shared" si="19"/>
        <v>13726303.279999999</v>
      </c>
      <c r="O272" s="29">
        <f t="shared" si="19"/>
        <v>0</v>
      </c>
      <c r="P272" s="29">
        <f t="shared" si="19"/>
        <v>0</v>
      </c>
      <c r="Q272" s="29">
        <f t="shared" si="19"/>
        <v>0</v>
      </c>
      <c r="R272" s="29">
        <f t="shared" si="19"/>
        <v>0</v>
      </c>
      <c r="S272" s="29">
        <f t="shared" si="19"/>
        <v>0</v>
      </c>
      <c r="T272" s="29">
        <f t="shared" si="19"/>
        <v>0</v>
      </c>
      <c r="U272" s="29">
        <f t="shared" si="19"/>
        <v>0</v>
      </c>
      <c r="V272" s="29">
        <f t="shared" si="19"/>
        <v>0</v>
      </c>
      <c r="W272" s="29">
        <f t="shared" si="19"/>
        <v>0</v>
      </c>
      <c r="X272" s="29">
        <f t="shared" si="19"/>
        <v>0</v>
      </c>
      <c r="Y272" s="29">
        <f t="shared" si="19"/>
        <v>0</v>
      </c>
      <c r="Z272" s="29">
        <f t="shared" si="19"/>
        <v>0</v>
      </c>
      <c r="AA272" s="29">
        <f t="shared" si="19"/>
        <v>0</v>
      </c>
      <c r="AB272" s="29">
        <f t="shared" si="19"/>
        <v>0</v>
      </c>
      <c r="AC272" s="29">
        <f t="shared" si="19"/>
        <v>80305.45</v>
      </c>
      <c r="AD272" s="29">
        <f t="shared" si="19"/>
        <v>308260.2</v>
      </c>
      <c r="AE272" s="29">
        <f t="shared" si="19"/>
        <v>0</v>
      </c>
      <c r="AF272" s="62" t="s">
        <v>743</v>
      </c>
      <c r="AG272" s="62" t="s">
        <v>743</v>
      </c>
      <c r="AH272" s="77" t="s">
        <v>743</v>
      </c>
      <c r="AT272" s="18" t="e">
        <f>VLOOKUP(C272,AW:AX,2,FALSE)</f>
        <v>#N/A</v>
      </c>
      <c r="BZ272" s="61">
        <v>31393292.599999998</v>
      </c>
      <c r="CD272" s="18" t="e">
        <f>VLOOKUP(C272,CE:CF,2,FALSE)</f>
        <v>#N/A</v>
      </c>
    </row>
    <row r="273" spans="1:82" ht="61.5" x14ac:dyDescent="0.85">
      <c r="A273" s="18">
        <v>1</v>
      </c>
      <c r="B273" s="57">
        <f>SUBTOTAL(103,$A$22:A273)</f>
        <v>246</v>
      </c>
      <c r="C273" s="22" t="s">
        <v>628</v>
      </c>
      <c r="D273" s="29">
        <f>E273+F273+G273+H273+I273+J273+L273+N273+P273+R273+T273+U273+V273+W273+X273+Y273+Z273+AA273+AB273+AC273+AD273+AE273</f>
        <v>3927547.9699999997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1">
        <v>0</v>
      </c>
      <c r="L273" s="29">
        <v>0</v>
      </c>
      <c r="M273" s="37">
        <v>1278.5</v>
      </c>
      <c r="N273" s="37">
        <v>3747445.51</v>
      </c>
      <c r="O273" s="34">
        <v>0</v>
      </c>
      <c r="P273" s="34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  <c r="AA273" s="29">
        <v>0</v>
      </c>
      <c r="AB273" s="29">
        <v>0</v>
      </c>
      <c r="AC273" s="37">
        <v>22484.67</v>
      </c>
      <c r="AD273" s="37">
        <v>157617.79</v>
      </c>
      <c r="AE273" s="29">
        <v>0</v>
      </c>
      <c r="AF273" s="32">
        <v>2020</v>
      </c>
      <c r="AG273" s="32">
        <v>2020</v>
      </c>
      <c r="AH273" s="33">
        <v>2020</v>
      </c>
      <c r="AT273" s="18" t="e">
        <f>VLOOKUP(C273,AW:AX,2,FALSE)</f>
        <v>#N/A</v>
      </c>
      <c r="BZ273" s="61"/>
      <c r="CD273" s="18" t="e">
        <f>VLOOKUP(C273,CE:CF,2,FALSE)</f>
        <v>#N/A</v>
      </c>
    </row>
    <row r="274" spans="1:82" ht="61.5" x14ac:dyDescent="0.85">
      <c r="A274" s="18">
        <v>1</v>
      </c>
      <c r="B274" s="57">
        <f>SUBTOTAL(103,$A$22:A274)</f>
        <v>247</v>
      </c>
      <c r="C274" s="22" t="s">
        <v>634</v>
      </c>
      <c r="D274" s="29">
        <f>E274+F274+G274+H274+I274+J274+L274+N274+P274+R274+T274+U274+V274+W274+X274+Y274+Z274+AA274+AB274+AC274+AD274+AE274</f>
        <v>3307384.7800000003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1">
        <v>0</v>
      </c>
      <c r="L274" s="29">
        <v>0</v>
      </c>
      <c r="M274" s="37">
        <v>1021.96</v>
      </c>
      <c r="N274" s="37">
        <v>3137914.89</v>
      </c>
      <c r="O274" s="34">
        <v>0</v>
      </c>
      <c r="P274" s="34">
        <v>0</v>
      </c>
      <c r="Q274" s="29">
        <v>0</v>
      </c>
      <c r="R274" s="29">
        <v>0</v>
      </c>
      <c r="S274" s="29">
        <v>0</v>
      </c>
      <c r="T274" s="29">
        <v>0</v>
      </c>
      <c r="U274" s="29">
        <v>0</v>
      </c>
      <c r="V274" s="29">
        <v>0</v>
      </c>
      <c r="W274" s="29">
        <v>0</v>
      </c>
      <c r="X274" s="29">
        <v>0</v>
      </c>
      <c r="Y274" s="29">
        <v>0</v>
      </c>
      <c r="Z274" s="29">
        <v>0</v>
      </c>
      <c r="AA274" s="29">
        <v>0</v>
      </c>
      <c r="AB274" s="29">
        <v>0</v>
      </c>
      <c r="AC274" s="37">
        <v>18827.48</v>
      </c>
      <c r="AD274" s="37">
        <v>150642.41</v>
      </c>
      <c r="AE274" s="29">
        <v>0</v>
      </c>
      <c r="AF274" s="32">
        <v>2020</v>
      </c>
      <c r="AG274" s="32">
        <v>2020</v>
      </c>
      <c r="AH274" s="33">
        <v>2020</v>
      </c>
      <c r="AT274" s="18" t="e">
        <f>VLOOKUP(C274,AW:AX,2,FALSE)</f>
        <v>#N/A</v>
      </c>
      <c r="BZ274" s="61"/>
      <c r="CD274" s="18" t="e">
        <f>VLOOKUP(C274,CE:CF,2,FALSE)</f>
        <v>#N/A</v>
      </c>
    </row>
    <row r="275" spans="1:82" ht="61.5" x14ac:dyDescent="0.85">
      <c r="A275" s="18">
        <v>1</v>
      </c>
      <c r="B275" s="57">
        <f>SUBTOTAL(103,$A$22:A275)</f>
        <v>248</v>
      </c>
      <c r="C275" s="22" t="s">
        <v>1184</v>
      </c>
      <c r="D275" s="29">
        <f>E275+F275+G275+H275+I275+J275+L275+N275+P275+R275+T275+U275+V275+W275+X275+Y275+Z275+AA275+AB275+AC275+AD275+AE275</f>
        <v>1446069.26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1">
        <v>0</v>
      </c>
      <c r="L275" s="29">
        <v>0</v>
      </c>
      <c r="M275" s="37">
        <v>438.9</v>
      </c>
      <c r="N275" s="37">
        <v>1437873.4</v>
      </c>
      <c r="O275" s="34">
        <v>0</v>
      </c>
      <c r="P275" s="34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0</v>
      </c>
      <c r="V275" s="29">
        <v>0</v>
      </c>
      <c r="W275" s="29">
        <v>0</v>
      </c>
      <c r="X275" s="29">
        <v>0</v>
      </c>
      <c r="Y275" s="29">
        <v>0</v>
      </c>
      <c r="Z275" s="29">
        <v>0</v>
      </c>
      <c r="AA275" s="29">
        <v>0</v>
      </c>
      <c r="AB275" s="29">
        <v>0</v>
      </c>
      <c r="AC275" s="134">
        <v>8195.86</v>
      </c>
      <c r="AD275" s="29">
        <v>0</v>
      </c>
      <c r="AE275" s="29">
        <v>0</v>
      </c>
      <c r="AF275" s="32" t="s">
        <v>268</v>
      </c>
      <c r="AG275" s="32">
        <v>2020</v>
      </c>
      <c r="AH275" s="33">
        <v>2020</v>
      </c>
      <c r="BZ275" s="61"/>
      <c r="CD275" s="18">
        <f>VLOOKUP(C275,CE:CF,2,FALSE)</f>
        <v>452.1</v>
      </c>
    </row>
    <row r="276" spans="1:82" ht="61.5" x14ac:dyDescent="0.85">
      <c r="A276" s="18">
        <v>1</v>
      </c>
      <c r="B276" s="57">
        <f>SUBTOTAL(103,$A$22:A276)</f>
        <v>249</v>
      </c>
      <c r="C276" s="22" t="s">
        <v>1185</v>
      </c>
      <c r="D276" s="29">
        <f>E276+F276+G276+H276+I276+J276+L276+N276+P276+R276+T276+U276+V276+W276+X276+Y276+Z276+AA276+AB276+AC276+AD276+AE276</f>
        <v>2997039.15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1">
        <v>0</v>
      </c>
      <c r="L276" s="29">
        <v>0</v>
      </c>
      <c r="M276" s="37">
        <v>970</v>
      </c>
      <c r="N276" s="37">
        <v>2980052.88</v>
      </c>
      <c r="O276" s="34">
        <v>0</v>
      </c>
      <c r="P276" s="34">
        <v>0</v>
      </c>
      <c r="Q276" s="29">
        <v>0</v>
      </c>
      <c r="R276" s="29">
        <v>0</v>
      </c>
      <c r="S276" s="29">
        <v>0</v>
      </c>
      <c r="T276" s="29">
        <v>0</v>
      </c>
      <c r="U276" s="29">
        <v>0</v>
      </c>
      <c r="V276" s="29">
        <v>0</v>
      </c>
      <c r="W276" s="29">
        <v>0</v>
      </c>
      <c r="X276" s="29">
        <v>0</v>
      </c>
      <c r="Y276" s="29">
        <v>0</v>
      </c>
      <c r="Z276" s="29">
        <v>0</v>
      </c>
      <c r="AA276" s="29">
        <v>0</v>
      </c>
      <c r="AB276" s="29">
        <v>0</v>
      </c>
      <c r="AC276" s="37">
        <v>16986.27</v>
      </c>
      <c r="AD276" s="29">
        <v>0</v>
      </c>
      <c r="AE276" s="29">
        <v>0</v>
      </c>
      <c r="AF276" s="32" t="s">
        <v>268</v>
      </c>
      <c r="AG276" s="32">
        <v>2020</v>
      </c>
      <c r="AH276" s="33">
        <v>2020</v>
      </c>
      <c r="BZ276" s="61"/>
      <c r="CD276" s="18">
        <f>VLOOKUP(C276,CE:CF,2,FALSE)</f>
        <v>992</v>
      </c>
    </row>
    <row r="277" spans="1:82" ht="61.5" x14ac:dyDescent="0.85">
      <c r="A277" s="18">
        <v>1</v>
      </c>
      <c r="B277" s="57">
        <f>SUBTOTAL(103,$A$22:A277)</f>
        <v>250</v>
      </c>
      <c r="C277" s="22" t="s">
        <v>632</v>
      </c>
      <c r="D277" s="29">
        <f>E277+F277+G277+H277+I277+J277+L277+N277+P277+R277+T277+U277+V277+W277+X277+Y277+Z277+AA277+AB277+AC277+AD277+AE277</f>
        <v>2436827.77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1">
        <v>0</v>
      </c>
      <c r="L277" s="29">
        <v>0</v>
      </c>
      <c r="M277" s="37">
        <v>777.8</v>
      </c>
      <c r="N277" s="37">
        <v>2423016.6</v>
      </c>
      <c r="O277" s="34">
        <v>0</v>
      </c>
      <c r="P277" s="34">
        <v>0</v>
      </c>
      <c r="Q277" s="29">
        <v>0</v>
      </c>
      <c r="R277" s="29">
        <v>0</v>
      </c>
      <c r="S277" s="29">
        <v>0</v>
      </c>
      <c r="T277" s="29">
        <v>0</v>
      </c>
      <c r="U277" s="29">
        <v>0</v>
      </c>
      <c r="V277" s="29">
        <v>0</v>
      </c>
      <c r="W277" s="29">
        <v>0</v>
      </c>
      <c r="X277" s="29">
        <v>0</v>
      </c>
      <c r="Y277" s="29">
        <v>0</v>
      </c>
      <c r="Z277" s="29">
        <v>0</v>
      </c>
      <c r="AA277" s="29">
        <v>0</v>
      </c>
      <c r="AB277" s="29">
        <v>0</v>
      </c>
      <c r="AC277" s="37">
        <v>13811.17</v>
      </c>
      <c r="AD277" s="29">
        <v>0</v>
      </c>
      <c r="AE277" s="29">
        <v>0</v>
      </c>
      <c r="AF277" s="32" t="s">
        <v>268</v>
      </c>
      <c r="AG277" s="32">
        <v>2020</v>
      </c>
      <c r="AH277" s="33">
        <v>2020</v>
      </c>
      <c r="BZ277" s="61"/>
      <c r="CD277" s="18">
        <f>VLOOKUP(C277,CE:CF,2,FALSE)</f>
        <v>796.1</v>
      </c>
    </row>
    <row r="278" spans="1:82" ht="61.5" x14ac:dyDescent="0.85">
      <c r="B278" s="22" t="s">
        <v>809</v>
      </c>
      <c r="C278" s="22"/>
      <c r="D278" s="339">
        <f>SUM(D279:D284)</f>
        <v>30964559.009999998</v>
      </c>
      <c r="E278" s="29">
        <f t="shared" ref="E278:AE278" si="20">SUM(E279:E284)</f>
        <v>0</v>
      </c>
      <c r="F278" s="29">
        <f t="shared" si="20"/>
        <v>0</v>
      </c>
      <c r="G278" s="29">
        <f t="shared" si="20"/>
        <v>0</v>
      </c>
      <c r="H278" s="29">
        <f t="shared" si="20"/>
        <v>0</v>
      </c>
      <c r="I278" s="29">
        <f t="shared" si="20"/>
        <v>0</v>
      </c>
      <c r="J278" s="29">
        <f t="shared" si="20"/>
        <v>0</v>
      </c>
      <c r="K278" s="31">
        <f t="shared" si="20"/>
        <v>0</v>
      </c>
      <c r="L278" s="29">
        <f t="shared" si="20"/>
        <v>0</v>
      </c>
      <c r="M278" s="29">
        <f t="shared" si="20"/>
        <v>4568.6000000000004</v>
      </c>
      <c r="N278" s="29">
        <f t="shared" si="20"/>
        <v>22101832.469999999</v>
      </c>
      <c r="O278" s="29">
        <f t="shared" si="20"/>
        <v>0</v>
      </c>
      <c r="P278" s="29">
        <f t="shared" si="20"/>
        <v>0</v>
      </c>
      <c r="Q278" s="29">
        <f t="shared" si="20"/>
        <v>2556.4</v>
      </c>
      <c r="R278" s="29">
        <f t="shared" si="20"/>
        <v>8126707.1399999997</v>
      </c>
      <c r="S278" s="29">
        <f t="shared" si="20"/>
        <v>0</v>
      </c>
      <c r="T278" s="29">
        <f t="shared" si="20"/>
        <v>0</v>
      </c>
      <c r="U278" s="29">
        <f t="shared" si="20"/>
        <v>0</v>
      </c>
      <c r="V278" s="29">
        <f t="shared" si="20"/>
        <v>0</v>
      </c>
      <c r="W278" s="29">
        <f t="shared" si="20"/>
        <v>0</v>
      </c>
      <c r="X278" s="29">
        <f t="shared" si="20"/>
        <v>0</v>
      </c>
      <c r="Y278" s="29">
        <f t="shared" si="20"/>
        <v>0</v>
      </c>
      <c r="Z278" s="29">
        <f t="shared" si="20"/>
        <v>0</v>
      </c>
      <c r="AA278" s="29">
        <f t="shared" si="20"/>
        <v>0</v>
      </c>
      <c r="AB278" s="29">
        <f t="shared" si="20"/>
        <v>0</v>
      </c>
      <c r="AC278" s="29">
        <f t="shared" si="20"/>
        <v>268137.47000000003</v>
      </c>
      <c r="AD278" s="29">
        <f t="shared" si="20"/>
        <v>467881.93</v>
      </c>
      <c r="AE278" s="29">
        <f t="shared" si="20"/>
        <v>0</v>
      </c>
      <c r="AF278" s="62" t="s">
        <v>743</v>
      </c>
      <c r="AG278" s="62" t="s">
        <v>743</v>
      </c>
      <c r="AH278" s="77" t="s">
        <v>743</v>
      </c>
      <c r="AT278" s="18" t="e">
        <f>VLOOKUP(C278,AW:AX,2,FALSE)</f>
        <v>#N/A</v>
      </c>
      <c r="BZ278" s="61">
        <v>35599350.520000003</v>
      </c>
      <c r="CD278" s="18" t="e">
        <f>VLOOKUP(C278,CE:CF,2,FALSE)</f>
        <v>#N/A</v>
      </c>
    </row>
    <row r="279" spans="1:82" ht="61.5" x14ac:dyDescent="0.85">
      <c r="A279" s="18">
        <v>1</v>
      </c>
      <c r="B279" s="57">
        <f>SUBTOTAL(103,$A$22:A279)</f>
        <v>251</v>
      </c>
      <c r="C279" s="22" t="s">
        <v>641</v>
      </c>
      <c r="D279" s="29">
        <f t="shared" ref="D279:D284" si="21">E279+F279+G279+H279+I279+J279+L279+N279+P279+R279+T279+U279+V279+W279+X279+Y279+Z279+AA279+AB279+AC279+AD279+AE279</f>
        <v>3101907.63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1">
        <v>0</v>
      </c>
      <c r="L279" s="29">
        <v>0</v>
      </c>
      <c r="M279" s="37">
        <v>318.42</v>
      </c>
      <c r="N279" s="37">
        <v>1354124</v>
      </c>
      <c r="O279" s="35">
        <v>0</v>
      </c>
      <c r="P279" s="35">
        <v>0</v>
      </c>
      <c r="Q279" s="37">
        <v>617</v>
      </c>
      <c r="R279" s="37">
        <v>1623290</v>
      </c>
      <c r="S279" s="29">
        <v>0</v>
      </c>
      <c r="T279" s="29">
        <v>0</v>
      </c>
      <c r="U279" s="29">
        <v>0</v>
      </c>
      <c r="V279" s="29">
        <v>0</v>
      </c>
      <c r="W279" s="29">
        <v>0</v>
      </c>
      <c r="X279" s="29">
        <v>0</v>
      </c>
      <c r="Y279" s="29">
        <v>0</v>
      </c>
      <c r="Z279" s="29">
        <v>0</v>
      </c>
      <c r="AA279" s="29">
        <v>0</v>
      </c>
      <c r="AB279" s="29">
        <v>0</v>
      </c>
      <c r="AC279" s="29">
        <v>17864.48</v>
      </c>
      <c r="AD279" s="37">
        <v>106629.15</v>
      </c>
      <c r="AE279" s="29">
        <v>0</v>
      </c>
      <c r="AF279" s="32">
        <v>2020</v>
      </c>
      <c r="AG279" s="32">
        <v>2020</v>
      </c>
      <c r="AH279" s="33">
        <v>2020</v>
      </c>
      <c r="AT279" s="18" t="e">
        <f>VLOOKUP(C279,AW:AX,2,FALSE)</f>
        <v>#N/A</v>
      </c>
      <c r="BZ279" s="61"/>
      <c r="CD279" s="18" t="e">
        <f>VLOOKUP(C279,CE:CF,2,FALSE)</f>
        <v>#N/A</v>
      </c>
    </row>
    <row r="280" spans="1:82" ht="61.5" x14ac:dyDescent="0.85">
      <c r="A280" s="18">
        <v>1</v>
      </c>
      <c r="B280" s="57">
        <f>SUBTOTAL(103,$A$22:A280)</f>
        <v>252</v>
      </c>
      <c r="C280" s="22" t="s">
        <v>636</v>
      </c>
      <c r="D280" s="29">
        <f t="shared" si="21"/>
        <v>3151307.31</v>
      </c>
      <c r="E280" s="34">
        <v>0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1">
        <v>0</v>
      </c>
      <c r="L280" s="29">
        <v>0</v>
      </c>
      <c r="M280" s="37">
        <v>623</v>
      </c>
      <c r="N280" s="37">
        <v>3013159.02</v>
      </c>
      <c r="O280" s="34">
        <v>0</v>
      </c>
      <c r="P280" s="34">
        <v>0</v>
      </c>
      <c r="Q280" s="29">
        <v>0</v>
      </c>
      <c r="R280" s="29">
        <v>0</v>
      </c>
      <c r="S280" s="29">
        <v>0</v>
      </c>
      <c r="T280" s="29">
        <v>0</v>
      </c>
      <c r="U280" s="29">
        <v>0</v>
      </c>
      <c r="V280" s="29">
        <v>0</v>
      </c>
      <c r="W280" s="29">
        <v>0</v>
      </c>
      <c r="X280" s="29">
        <v>0</v>
      </c>
      <c r="Y280" s="29">
        <v>0</v>
      </c>
      <c r="Z280" s="29">
        <v>0</v>
      </c>
      <c r="AA280" s="29">
        <v>0</v>
      </c>
      <c r="AB280" s="29">
        <v>0</v>
      </c>
      <c r="AC280" s="37">
        <v>18078.95</v>
      </c>
      <c r="AD280" s="37">
        <v>120069.34</v>
      </c>
      <c r="AE280" s="29">
        <v>0</v>
      </c>
      <c r="AF280" s="32">
        <v>2020</v>
      </c>
      <c r="AG280" s="32">
        <v>2020</v>
      </c>
      <c r="AH280" s="33">
        <v>2020</v>
      </c>
      <c r="AT280" s="18" t="e">
        <f>VLOOKUP(C280,AW:AX,2,FALSE)</f>
        <v>#N/A</v>
      </c>
      <c r="BZ280" s="61"/>
      <c r="CD280" s="18" t="e">
        <f>VLOOKUP(C280,CE:CF,2,FALSE)</f>
        <v>#N/A</v>
      </c>
    </row>
    <row r="281" spans="1:82" ht="61.5" x14ac:dyDescent="0.85">
      <c r="A281" s="18">
        <v>1</v>
      </c>
      <c r="B281" s="57">
        <f>SUBTOTAL(103,$A$22:A281)</f>
        <v>253</v>
      </c>
      <c r="C281" s="22" t="s">
        <v>640</v>
      </c>
      <c r="D281" s="29">
        <f t="shared" si="21"/>
        <v>4866736.68</v>
      </c>
      <c r="E281" s="34">
        <v>0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1">
        <v>0</v>
      </c>
      <c r="L281" s="29">
        <v>0</v>
      </c>
      <c r="M281" s="37">
        <v>1038.72</v>
      </c>
      <c r="N281" s="134">
        <v>4711362.12</v>
      </c>
      <c r="O281" s="34">
        <v>0</v>
      </c>
      <c r="P281" s="34">
        <v>0</v>
      </c>
      <c r="Q281" s="29">
        <v>0</v>
      </c>
      <c r="R281" s="29">
        <v>0</v>
      </c>
      <c r="S281" s="29">
        <v>0</v>
      </c>
      <c r="T281" s="29">
        <v>0</v>
      </c>
      <c r="U281" s="29">
        <v>0</v>
      </c>
      <c r="V281" s="29">
        <v>0</v>
      </c>
      <c r="W281" s="29">
        <v>0</v>
      </c>
      <c r="X281" s="29">
        <v>0</v>
      </c>
      <c r="Y281" s="29">
        <v>0</v>
      </c>
      <c r="Z281" s="29">
        <v>0</v>
      </c>
      <c r="AA281" s="29">
        <v>0</v>
      </c>
      <c r="AB281" s="29">
        <v>0</v>
      </c>
      <c r="AC281" s="134">
        <v>28268.17</v>
      </c>
      <c r="AD281" s="37">
        <v>127106.39</v>
      </c>
      <c r="AE281" s="29">
        <v>0</v>
      </c>
      <c r="AF281" s="32">
        <v>2020</v>
      </c>
      <c r="AG281" s="32">
        <v>2020</v>
      </c>
      <c r="AH281" s="33">
        <v>2020</v>
      </c>
      <c r="AT281" s="18" t="e">
        <f>VLOOKUP(C281,AW:AX,2,FALSE)</f>
        <v>#N/A</v>
      </c>
      <c r="BZ281" s="61"/>
      <c r="CD281" s="18" t="e">
        <f>VLOOKUP(C281,CE:CF,2,FALSE)</f>
        <v>#N/A</v>
      </c>
    </row>
    <row r="282" spans="1:82" ht="61.5" x14ac:dyDescent="0.85">
      <c r="A282" s="18">
        <v>1</v>
      </c>
      <c r="B282" s="57">
        <f>SUBTOTAL(103,$A$22:A282)</f>
        <v>254</v>
      </c>
      <c r="C282" s="22" t="s">
        <v>1186</v>
      </c>
      <c r="D282" s="29">
        <f t="shared" si="21"/>
        <v>6540486.5499999998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1">
        <v>0</v>
      </c>
      <c r="L282" s="29">
        <v>0</v>
      </c>
      <c r="M282" s="29">
        <v>0</v>
      </c>
      <c r="N282" s="29">
        <v>0</v>
      </c>
      <c r="O282" s="34">
        <v>0</v>
      </c>
      <c r="P282" s="34">
        <v>0</v>
      </c>
      <c r="Q282" s="37">
        <v>1939.4</v>
      </c>
      <c r="R282" s="37">
        <v>6503417.1399999997</v>
      </c>
      <c r="S282" s="29">
        <v>0</v>
      </c>
      <c r="T282" s="29">
        <v>0</v>
      </c>
      <c r="U282" s="29">
        <v>0</v>
      </c>
      <c r="V282" s="29">
        <v>0</v>
      </c>
      <c r="W282" s="29">
        <v>0</v>
      </c>
      <c r="X282" s="29">
        <v>0</v>
      </c>
      <c r="Y282" s="29">
        <v>0</v>
      </c>
      <c r="Z282" s="29">
        <v>0</v>
      </c>
      <c r="AA282" s="29">
        <v>0</v>
      </c>
      <c r="AB282" s="29">
        <v>0</v>
      </c>
      <c r="AC282" s="37">
        <v>37069.410000000003</v>
      </c>
      <c r="AD282" s="29">
        <v>0</v>
      </c>
      <c r="AE282" s="29">
        <v>0</v>
      </c>
      <c r="AF282" s="32" t="s">
        <v>268</v>
      </c>
      <c r="AG282" s="32">
        <v>2020</v>
      </c>
      <c r="AH282" s="33">
        <v>2020</v>
      </c>
      <c r="BZ282" s="61"/>
      <c r="CD282" s="18" t="e">
        <f>VLOOKUP(C282,CE:CF,2,FALSE)</f>
        <v>#N/A</v>
      </c>
    </row>
    <row r="283" spans="1:82" ht="61.5" x14ac:dyDescent="0.85">
      <c r="A283" s="18">
        <v>1</v>
      </c>
      <c r="B283" s="57">
        <f>SUBTOTAL(103,$A$22:A283)</f>
        <v>255</v>
      </c>
      <c r="C283" s="22" t="s">
        <v>1171</v>
      </c>
      <c r="D283" s="29">
        <f t="shared" si="21"/>
        <v>10088677.58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1">
        <v>0</v>
      </c>
      <c r="L283" s="29">
        <v>0</v>
      </c>
      <c r="M283" s="335">
        <v>1878.14</v>
      </c>
      <c r="N283" s="335">
        <v>9940318.3300000001</v>
      </c>
      <c r="O283" s="34">
        <v>0</v>
      </c>
      <c r="P283" s="34">
        <v>0</v>
      </c>
      <c r="Q283" s="29">
        <v>0</v>
      </c>
      <c r="R283" s="29">
        <v>0</v>
      </c>
      <c r="S283" s="29">
        <v>0</v>
      </c>
      <c r="T283" s="29">
        <v>0</v>
      </c>
      <c r="U283" s="29">
        <v>0</v>
      </c>
      <c r="V283" s="29">
        <v>0</v>
      </c>
      <c r="W283" s="29">
        <v>0</v>
      </c>
      <c r="X283" s="29">
        <v>0</v>
      </c>
      <c r="Y283" s="29">
        <v>0</v>
      </c>
      <c r="Z283" s="29">
        <v>0</v>
      </c>
      <c r="AA283" s="29">
        <v>0</v>
      </c>
      <c r="AB283" s="29">
        <v>0</v>
      </c>
      <c r="AC283" s="134">
        <v>148359.25</v>
      </c>
      <c r="AD283" s="29">
        <v>0</v>
      </c>
      <c r="AE283" s="29">
        <v>0</v>
      </c>
      <c r="AF283" s="32" t="s">
        <v>268</v>
      </c>
      <c r="AG283" s="32">
        <v>2020</v>
      </c>
      <c r="AH283" s="33">
        <v>2020</v>
      </c>
      <c r="BZ283" s="61"/>
      <c r="CD283" s="18">
        <f>VLOOKUP(C283,CE:CF,2,FALSE)</f>
        <v>1995.2</v>
      </c>
    </row>
    <row r="284" spans="1:82" ht="61.5" x14ac:dyDescent="0.85">
      <c r="A284" s="18">
        <v>1</v>
      </c>
      <c r="B284" s="57">
        <f>SUBTOTAL(103,$A$22:A284)</f>
        <v>256</v>
      </c>
      <c r="C284" s="22" t="s">
        <v>1551</v>
      </c>
      <c r="D284" s="29">
        <f t="shared" si="21"/>
        <v>3215443.26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1">
        <v>0</v>
      </c>
      <c r="L284" s="29">
        <v>0</v>
      </c>
      <c r="M284" s="335">
        <v>710.32</v>
      </c>
      <c r="N284" s="335">
        <v>3082869</v>
      </c>
      <c r="O284" s="34">
        <v>0</v>
      </c>
      <c r="P284" s="34">
        <v>0</v>
      </c>
      <c r="Q284" s="29">
        <v>0</v>
      </c>
      <c r="R284" s="29">
        <v>0</v>
      </c>
      <c r="S284" s="29">
        <v>0</v>
      </c>
      <c r="T284" s="29">
        <v>0</v>
      </c>
      <c r="U284" s="29">
        <v>0</v>
      </c>
      <c r="V284" s="29">
        <v>0</v>
      </c>
      <c r="W284" s="29">
        <v>0</v>
      </c>
      <c r="X284" s="29">
        <v>0</v>
      </c>
      <c r="Y284" s="29">
        <v>0</v>
      </c>
      <c r="Z284" s="29">
        <v>0</v>
      </c>
      <c r="AA284" s="29">
        <v>0</v>
      </c>
      <c r="AB284" s="29">
        <v>0</v>
      </c>
      <c r="AC284" s="335">
        <v>18497.21</v>
      </c>
      <c r="AD284" s="37">
        <v>114077.05</v>
      </c>
      <c r="AE284" s="29">
        <v>0</v>
      </c>
      <c r="AF284" s="32">
        <v>2020</v>
      </c>
      <c r="AG284" s="32">
        <v>2020</v>
      </c>
      <c r="AH284" s="33">
        <v>2020</v>
      </c>
      <c r="BZ284" s="61"/>
      <c r="CD284" s="18" t="e">
        <f>VLOOKUP(C284,CE:CF,2,FALSE)</f>
        <v>#N/A</v>
      </c>
    </row>
    <row r="285" spans="1:82" ht="61.5" x14ac:dyDescent="0.85">
      <c r="B285" s="22" t="s">
        <v>810</v>
      </c>
      <c r="C285" s="22"/>
      <c r="D285" s="339">
        <f>SUM(D286:D289)</f>
        <v>12442442.430000002</v>
      </c>
      <c r="E285" s="29">
        <f t="shared" ref="E285:AE285" si="22">SUM(E286:E289)</f>
        <v>0</v>
      </c>
      <c r="F285" s="29">
        <f t="shared" si="22"/>
        <v>83564.44</v>
      </c>
      <c r="G285" s="29">
        <f t="shared" si="22"/>
        <v>895725.75</v>
      </c>
      <c r="H285" s="29">
        <f t="shared" si="22"/>
        <v>61962.38</v>
      </c>
      <c r="I285" s="29">
        <f t="shared" si="22"/>
        <v>0</v>
      </c>
      <c r="J285" s="29">
        <f t="shared" si="22"/>
        <v>0</v>
      </c>
      <c r="K285" s="31">
        <f t="shared" si="22"/>
        <v>0</v>
      </c>
      <c r="L285" s="29">
        <f t="shared" si="22"/>
        <v>0</v>
      </c>
      <c r="M285" s="29">
        <f t="shared" si="22"/>
        <v>2985.79</v>
      </c>
      <c r="N285" s="29">
        <f t="shared" si="22"/>
        <v>11043668.1</v>
      </c>
      <c r="O285" s="29">
        <f t="shared" si="22"/>
        <v>0</v>
      </c>
      <c r="P285" s="29">
        <f t="shared" si="22"/>
        <v>0</v>
      </c>
      <c r="Q285" s="29">
        <f t="shared" si="22"/>
        <v>0</v>
      </c>
      <c r="R285" s="29">
        <f t="shared" si="22"/>
        <v>0</v>
      </c>
      <c r="S285" s="29">
        <f t="shared" si="22"/>
        <v>0</v>
      </c>
      <c r="T285" s="29">
        <f t="shared" si="22"/>
        <v>0</v>
      </c>
      <c r="U285" s="29">
        <f t="shared" si="22"/>
        <v>0</v>
      </c>
      <c r="V285" s="29">
        <f t="shared" si="22"/>
        <v>0</v>
      </c>
      <c r="W285" s="29">
        <f t="shared" si="22"/>
        <v>0</v>
      </c>
      <c r="X285" s="29">
        <f t="shared" si="22"/>
        <v>0</v>
      </c>
      <c r="Y285" s="29">
        <f t="shared" si="22"/>
        <v>0</v>
      </c>
      <c r="Z285" s="29">
        <f t="shared" si="22"/>
        <v>0</v>
      </c>
      <c r="AA285" s="29">
        <f t="shared" si="22"/>
        <v>0</v>
      </c>
      <c r="AB285" s="29">
        <f t="shared" si="22"/>
        <v>0</v>
      </c>
      <c r="AC285" s="29">
        <f t="shared" si="22"/>
        <v>99418.28</v>
      </c>
      <c r="AD285" s="29">
        <f t="shared" si="22"/>
        <v>258103.47999999998</v>
      </c>
      <c r="AE285" s="29">
        <f t="shared" si="22"/>
        <v>0</v>
      </c>
      <c r="AF285" s="62" t="s">
        <v>743</v>
      </c>
      <c r="AG285" s="62" t="s">
        <v>743</v>
      </c>
      <c r="AH285" s="77" t="s">
        <v>743</v>
      </c>
      <c r="AT285" s="18" t="e">
        <f>VLOOKUP(C285,AW:AX,2,FALSE)</f>
        <v>#N/A</v>
      </c>
      <c r="BZ285" s="61">
        <v>17002898.350000001</v>
      </c>
      <c r="CD285" s="18" t="e">
        <f>VLOOKUP(C285,CE:CF,2,FALSE)</f>
        <v>#N/A</v>
      </c>
    </row>
    <row r="286" spans="1:82" ht="61.5" x14ac:dyDescent="0.85">
      <c r="A286" s="18">
        <v>1</v>
      </c>
      <c r="B286" s="57">
        <f>SUBTOTAL(103,$A$22:A286)</f>
        <v>257</v>
      </c>
      <c r="C286" s="22" t="s">
        <v>645</v>
      </c>
      <c r="D286" s="29">
        <f>E286+F286+G286+H286+I286+J286+L286+N286+P286+R286+T286+U286+V286+W286+X286+Y286+Z286+AA286+AB286+AC286+AD286+AE286</f>
        <v>5056079.6400000006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1">
        <v>0</v>
      </c>
      <c r="L286" s="29">
        <v>0</v>
      </c>
      <c r="M286" s="37">
        <v>1078.7</v>
      </c>
      <c r="N286" s="134">
        <v>4883507.32</v>
      </c>
      <c r="O286" s="34">
        <v>0</v>
      </c>
      <c r="P286" s="34">
        <v>0</v>
      </c>
      <c r="Q286" s="29">
        <v>0</v>
      </c>
      <c r="R286" s="29">
        <v>0</v>
      </c>
      <c r="S286" s="29">
        <v>0</v>
      </c>
      <c r="T286" s="29">
        <v>0</v>
      </c>
      <c r="U286" s="29">
        <v>0</v>
      </c>
      <c r="V286" s="29">
        <v>0</v>
      </c>
      <c r="W286" s="29">
        <v>0</v>
      </c>
      <c r="X286" s="29">
        <v>0</v>
      </c>
      <c r="Y286" s="29">
        <v>0</v>
      </c>
      <c r="Z286" s="29">
        <v>0</v>
      </c>
      <c r="AA286" s="29">
        <v>0</v>
      </c>
      <c r="AB286" s="29">
        <v>0</v>
      </c>
      <c r="AC286" s="134">
        <v>29301.040000000001</v>
      </c>
      <c r="AD286" s="37">
        <v>143271.28</v>
      </c>
      <c r="AE286" s="29">
        <v>0</v>
      </c>
      <c r="AF286" s="32">
        <v>2020</v>
      </c>
      <c r="AG286" s="32">
        <v>2020</v>
      </c>
      <c r="AH286" s="33">
        <v>2020</v>
      </c>
      <c r="AT286" s="18" t="e">
        <f>VLOOKUP(C286,AW:AX,2,FALSE)</f>
        <v>#N/A</v>
      </c>
      <c r="BZ286" s="61"/>
      <c r="CD286" s="18" t="e">
        <f>VLOOKUP(C286,CE:CF,2,FALSE)</f>
        <v>#N/A</v>
      </c>
    </row>
    <row r="287" spans="1:82" ht="61.5" x14ac:dyDescent="0.85">
      <c r="A287" s="18">
        <v>1</v>
      </c>
      <c r="B287" s="57">
        <f>SUBTOTAL(103,$A$22:A287)</f>
        <v>258</v>
      </c>
      <c r="C287" s="22" t="s">
        <v>642</v>
      </c>
      <c r="D287" s="29">
        <f>E287+F287+G287+H287+I287+J287+L287+N287+P287+R287+T287+U287+V287+W287+X287+Y287+Z287+AA287+AB287+AC287+AD287+AE287</f>
        <v>1162332.27</v>
      </c>
      <c r="E287" s="36">
        <v>0</v>
      </c>
      <c r="F287" s="342">
        <v>83564.44</v>
      </c>
      <c r="G287" s="37">
        <v>895725.75</v>
      </c>
      <c r="H287" s="342">
        <v>61962.38</v>
      </c>
      <c r="I287" s="36">
        <v>0</v>
      </c>
      <c r="J287" s="36">
        <v>0</v>
      </c>
      <c r="K287" s="31">
        <v>0</v>
      </c>
      <c r="L287" s="29">
        <v>0</v>
      </c>
      <c r="M287" s="29">
        <v>0</v>
      </c>
      <c r="N287" s="29">
        <v>0</v>
      </c>
      <c r="O287" s="36">
        <v>0</v>
      </c>
      <c r="P287" s="36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37">
        <v>6247.5</v>
      </c>
      <c r="AD287" s="37">
        <v>114832.2</v>
      </c>
      <c r="AE287" s="29">
        <v>0</v>
      </c>
      <c r="AF287" s="32">
        <v>2020</v>
      </c>
      <c r="AG287" s="32">
        <v>2020</v>
      </c>
      <c r="AH287" s="33">
        <v>2020</v>
      </c>
      <c r="AT287" s="18" t="e">
        <f>VLOOKUP(C287,AW:AX,2,FALSE)</f>
        <v>#N/A</v>
      </c>
      <c r="BZ287" s="61"/>
      <c r="CD287" s="18" t="e">
        <f>VLOOKUP(C287,CE:CF,2,FALSE)</f>
        <v>#N/A</v>
      </c>
    </row>
    <row r="288" spans="1:82" ht="61.5" x14ac:dyDescent="0.85">
      <c r="A288" s="18">
        <v>1</v>
      </c>
      <c r="B288" s="57">
        <f>SUBTOTAL(103,$A$22:A288)</f>
        <v>259</v>
      </c>
      <c r="C288" s="22" t="s">
        <v>1187</v>
      </c>
      <c r="D288" s="29">
        <f>E288+F288+G288+H288+I288+J288+L288+N288+P288+R288+T288+U288+V288+W288+X288+Y288+Z288+AA288+AB288+AC288+AD288+AE288</f>
        <v>3164041.96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1">
        <v>0</v>
      </c>
      <c r="L288" s="29">
        <v>0</v>
      </c>
      <c r="M288" s="37">
        <v>789.35</v>
      </c>
      <c r="N288" s="37">
        <v>3145170.94</v>
      </c>
      <c r="O288" s="34">
        <v>0</v>
      </c>
      <c r="P288" s="34">
        <v>0</v>
      </c>
      <c r="Q288" s="29">
        <v>0</v>
      </c>
      <c r="R288" s="29">
        <v>0</v>
      </c>
      <c r="S288" s="29">
        <v>0</v>
      </c>
      <c r="T288" s="29">
        <v>0</v>
      </c>
      <c r="U288" s="29">
        <v>0</v>
      </c>
      <c r="V288" s="29">
        <v>0</v>
      </c>
      <c r="W288" s="29">
        <v>0</v>
      </c>
      <c r="X288" s="29">
        <v>0</v>
      </c>
      <c r="Y288" s="29">
        <v>0</v>
      </c>
      <c r="Z288" s="29">
        <v>0</v>
      </c>
      <c r="AA288" s="29">
        <v>0</v>
      </c>
      <c r="AB288" s="29">
        <v>0</v>
      </c>
      <c r="AC288" s="37">
        <v>18871.02</v>
      </c>
      <c r="AD288" s="29">
        <v>0</v>
      </c>
      <c r="AE288" s="29">
        <v>0</v>
      </c>
      <c r="AF288" s="32" t="s">
        <v>268</v>
      </c>
      <c r="AG288" s="32">
        <v>2020</v>
      </c>
      <c r="AH288" s="33">
        <v>2020</v>
      </c>
      <c r="BZ288" s="61"/>
      <c r="CD288" s="18">
        <f>VLOOKUP(C288,CE:CF,2,FALSE)</f>
        <v>855</v>
      </c>
    </row>
    <row r="289" spans="1:82" ht="61.5" x14ac:dyDescent="0.85">
      <c r="A289" s="18">
        <v>1</v>
      </c>
      <c r="B289" s="57">
        <f>SUBTOTAL(103,$A$22:A289)</f>
        <v>260</v>
      </c>
      <c r="C289" s="22" t="s">
        <v>1173</v>
      </c>
      <c r="D289" s="29">
        <f>E289+F289+G289+H289+I289+J289+L289+N289+P289+R289+T289+U289+V289+W289+X289+Y289+Z289+AA289+AB289+AC289+AD289+AE289</f>
        <v>3059988.56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1">
        <v>0</v>
      </c>
      <c r="L289" s="29">
        <v>0</v>
      </c>
      <c r="M289" s="37">
        <v>1117.74</v>
      </c>
      <c r="N289" s="134">
        <v>3014989.84</v>
      </c>
      <c r="O289" s="34">
        <v>0</v>
      </c>
      <c r="P289" s="34">
        <v>0</v>
      </c>
      <c r="Q289" s="29">
        <v>0</v>
      </c>
      <c r="R289" s="29">
        <v>0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9">
        <v>0</v>
      </c>
      <c r="Y289" s="29">
        <v>0</v>
      </c>
      <c r="Z289" s="29">
        <v>0</v>
      </c>
      <c r="AA289" s="29">
        <v>0</v>
      </c>
      <c r="AB289" s="29">
        <v>0</v>
      </c>
      <c r="AC289" s="134">
        <v>44998.720000000001</v>
      </c>
      <c r="AD289" s="29">
        <v>0</v>
      </c>
      <c r="AE289" s="29">
        <v>0</v>
      </c>
      <c r="AF289" s="32" t="s">
        <v>268</v>
      </c>
      <c r="AG289" s="32">
        <v>2020</v>
      </c>
      <c r="AH289" s="33">
        <v>2020</v>
      </c>
      <c r="BZ289" s="61"/>
      <c r="CD289" s="18">
        <f>VLOOKUP(C289,CE:CF,2,FALSE)</f>
        <v>1155.9000000000001</v>
      </c>
    </row>
    <row r="290" spans="1:82" ht="61.5" x14ac:dyDescent="0.85">
      <c r="B290" s="22" t="s">
        <v>1266</v>
      </c>
      <c r="C290" s="22"/>
      <c r="D290" s="339">
        <f>D291</f>
        <v>345276.04000000004</v>
      </c>
      <c r="E290" s="29">
        <f t="shared" ref="E290:AE290" si="23">E291</f>
        <v>0</v>
      </c>
      <c r="F290" s="29">
        <f t="shared" si="23"/>
        <v>0</v>
      </c>
      <c r="G290" s="29">
        <f t="shared" si="23"/>
        <v>0</v>
      </c>
      <c r="H290" s="29">
        <f t="shared" si="23"/>
        <v>0</v>
      </c>
      <c r="I290" s="29">
        <f t="shared" si="23"/>
        <v>0</v>
      </c>
      <c r="J290" s="29">
        <f t="shared" si="23"/>
        <v>0</v>
      </c>
      <c r="K290" s="31">
        <f t="shared" si="23"/>
        <v>0</v>
      </c>
      <c r="L290" s="29">
        <f t="shared" si="23"/>
        <v>0</v>
      </c>
      <c r="M290" s="29">
        <f t="shared" si="23"/>
        <v>0</v>
      </c>
      <c r="N290" s="29">
        <f t="shared" si="23"/>
        <v>0</v>
      </c>
      <c r="O290" s="29">
        <f t="shared" si="23"/>
        <v>0</v>
      </c>
      <c r="P290" s="29">
        <f t="shared" si="23"/>
        <v>0</v>
      </c>
      <c r="Q290" s="29">
        <f t="shared" si="23"/>
        <v>0</v>
      </c>
      <c r="R290" s="29">
        <f t="shared" si="23"/>
        <v>0</v>
      </c>
      <c r="S290" s="29">
        <f t="shared" si="23"/>
        <v>0</v>
      </c>
      <c r="T290" s="29">
        <f t="shared" si="23"/>
        <v>0</v>
      </c>
      <c r="U290" s="29">
        <f t="shared" si="23"/>
        <v>0</v>
      </c>
      <c r="V290" s="29">
        <f t="shared" si="23"/>
        <v>340198.58</v>
      </c>
      <c r="W290" s="29">
        <f t="shared" si="23"/>
        <v>0</v>
      </c>
      <c r="X290" s="29">
        <f t="shared" si="23"/>
        <v>0</v>
      </c>
      <c r="Y290" s="29">
        <f t="shared" si="23"/>
        <v>0</v>
      </c>
      <c r="Z290" s="29">
        <f t="shared" si="23"/>
        <v>0</v>
      </c>
      <c r="AA290" s="29">
        <f t="shared" si="23"/>
        <v>0</v>
      </c>
      <c r="AB290" s="29">
        <f t="shared" si="23"/>
        <v>0</v>
      </c>
      <c r="AC290" s="29">
        <f t="shared" si="23"/>
        <v>5077.46</v>
      </c>
      <c r="AD290" s="29">
        <f t="shared" si="23"/>
        <v>0</v>
      </c>
      <c r="AE290" s="29">
        <f t="shared" si="23"/>
        <v>0</v>
      </c>
      <c r="AF290" s="62" t="s">
        <v>743</v>
      </c>
      <c r="AG290" s="62" t="s">
        <v>743</v>
      </c>
      <c r="AH290" s="77" t="s">
        <v>743</v>
      </c>
      <c r="BZ290" s="61">
        <v>509455.14</v>
      </c>
      <c r="CD290" s="18" t="e">
        <f>VLOOKUP(C290,CE:CF,2,FALSE)</f>
        <v>#N/A</v>
      </c>
    </row>
    <row r="291" spans="1:82" ht="61.5" x14ac:dyDescent="0.85">
      <c r="A291" s="18">
        <v>1</v>
      </c>
      <c r="B291" s="57">
        <f>SUBTOTAL(103,$A$22:A291)</f>
        <v>261</v>
      </c>
      <c r="C291" s="22" t="s">
        <v>1172</v>
      </c>
      <c r="D291" s="29">
        <f>E291+F291+G291+H291+I291+J291+L291+N291+P291+R291+T291+U291+V291+W291+X291+Y291+Z291+AA291+AB291+AC291+AD291+AE291</f>
        <v>345276.04000000004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1">
        <v>0</v>
      </c>
      <c r="L291" s="29">
        <v>0</v>
      </c>
      <c r="M291" s="29">
        <v>0</v>
      </c>
      <c r="N291" s="29">
        <v>0</v>
      </c>
      <c r="O291" s="34">
        <v>0</v>
      </c>
      <c r="P291" s="34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134">
        <v>340198.58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9">
        <v>0</v>
      </c>
      <c r="AC291" s="134">
        <v>5077.46</v>
      </c>
      <c r="AD291" s="29">
        <v>0</v>
      </c>
      <c r="AE291" s="29">
        <v>0</v>
      </c>
      <c r="AF291" s="32" t="s">
        <v>268</v>
      </c>
      <c r="AG291" s="32">
        <v>2020</v>
      </c>
      <c r="AH291" s="33">
        <v>2020</v>
      </c>
      <c r="BZ291" s="61"/>
      <c r="CD291" s="18" t="e">
        <f>VLOOKUP(C291,CE:CF,2,FALSE)</f>
        <v>#N/A</v>
      </c>
    </row>
    <row r="292" spans="1:82" ht="61.5" x14ac:dyDescent="0.85">
      <c r="B292" s="22" t="s">
        <v>811</v>
      </c>
      <c r="C292" s="338"/>
      <c r="D292" s="339">
        <f t="shared" ref="D292:AE292" si="24">SUM(D293:D294)</f>
        <v>5773107.5300000003</v>
      </c>
      <c r="E292" s="29">
        <f t="shared" si="24"/>
        <v>0</v>
      </c>
      <c r="F292" s="29">
        <f t="shared" si="24"/>
        <v>0</v>
      </c>
      <c r="G292" s="29">
        <f t="shared" si="24"/>
        <v>0</v>
      </c>
      <c r="H292" s="29">
        <f t="shared" si="24"/>
        <v>0</v>
      </c>
      <c r="I292" s="29">
        <f t="shared" si="24"/>
        <v>0</v>
      </c>
      <c r="J292" s="29">
        <f t="shared" si="24"/>
        <v>0</v>
      </c>
      <c r="K292" s="31">
        <f t="shared" si="24"/>
        <v>0</v>
      </c>
      <c r="L292" s="29">
        <f t="shared" si="24"/>
        <v>0</v>
      </c>
      <c r="M292" s="29">
        <f t="shared" si="24"/>
        <v>1310.67</v>
      </c>
      <c r="N292" s="29">
        <f t="shared" si="24"/>
        <v>5593662.3499999996</v>
      </c>
      <c r="O292" s="29">
        <f t="shared" si="24"/>
        <v>0</v>
      </c>
      <c r="P292" s="29">
        <f t="shared" si="24"/>
        <v>0</v>
      </c>
      <c r="Q292" s="29">
        <f t="shared" si="24"/>
        <v>0</v>
      </c>
      <c r="R292" s="29">
        <f t="shared" si="24"/>
        <v>0</v>
      </c>
      <c r="S292" s="29">
        <f t="shared" si="24"/>
        <v>0</v>
      </c>
      <c r="T292" s="29">
        <f t="shared" si="24"/>
        <v>0</v>
      </c>
      <c r="U292" s="29">
        <f t="shared" si="24"/>
        <v>0</v>
      </c>
      <c r="V292" s="29">
        <f t="shared" si="24"/>
        <v>0</v>
      </c>
      <c r="W292" s="29">
        <f t="shared" si="24"/>
        <v>0</v>
      </c>
      <c r="X292" s="29">
        <f t="shared" si="24"/>
        <v>0</v>
      </c>
      <c r="Y292" s="29">
        <f t="shared" si="24"/>
        <v>0</v>
      </c>
      <c r="Z292" s="29">
        <f t="shared" si="24"/>
        <v>0</v>
      </c>
      <c r="AA292" s="29">
        <f t="shared" si="24"/>
        <v>0</v>
      </c>
      <c r="AB292" s="29">
        <f t="shared" si="24"/>
        <v>0</v>
      </c>
      <c r="AC292" s="29">
        <f t="shared" si="24"/>
        <v>56635.83</v>
      </c>
      <c r="AD292" s="29">
        <f t="shared" si="24"/>
        <v>122809.35</v>
      </c>
      <c r="AE292" s="29">
        <f t="shared" si="24"/>
        <v>0</v>
      </c>
      <c r="AF292" s="62" t="s">
        <v>743</v>
      </c>
      <c r="AG292" s="62" t="s">
        <v>743</v>
      </c>
      <c r="AH292" s="77" t="s">
        <v>743</v>
      </c>
      <c r="AT292" s="18" t="e">
        <f>VLOOKUP(C292,AW:AX,2,FALSE)</f>
        <v>#N/A</v>
      </c>
      <c r="BZ292" s="61">
        <v>6114371.4100000001</v>
      </c>
      <c r="CB292" s="61">
        <f>BZ292-D292</f>
        <v>341263.87999999989</v>
      </c>
      <c r="CD292" s="18" t="e">
        <f>VLOOKUP(C292,CE:CF,2,FALSE)</f>
        <v>#N/A</v>
      </c>
    </row>
    <row r="293" spans="1:82" ht="61.5" x14ac:dyDescent="0.85">
      <c r="A293" s="18">
        <v>1</v>
      </c>
      <c r="B293" s="57">
        <f>SUBTOTAL(103,$A$22:A293)</f>
        <v>262</v>
      </c>
      <c r="C293" s="22" t="s">
        <v>669</v>
      </c>
      <c r="D293" s="29">
        <f>E293+F293+G293+H293+I293+J293+L293+N293+P293+R293+T293+U293+V293+W293+X293+Y293+Z293+AA293+AB293+AC293+AD293+AE293</f>
        <v>4843097.09</v>
      </c>
      <c r="E293" s="36">
        <v>0</v>
      </c>
      <c r="F293" s="36">
        <v>0</v>
      </c>
      <c r="G293" s="29">
        <v>0</v>
      </c>
      <c r="H293" s="36">
        <v>0</v>
      </c>
      <c r="I293" s="36">
        <v>0</v>
      </c>
      <c r="J293" s="36">
        <v>0</v>
      </c>
      <c r="K293" s="31">
        <v>0</v>
      </c>
      <c r="L293" s="29">
        <v>0</v>
      </c>
      <c r="M293" s="37">
        <v>1067</v>
      </c>
      <c r="N293" s="37">
        <v>4705104.47</v>
      </c>
      <c r="O293" s="36">
        <v>0</v>
      </c>
      <c r="P293" s="36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9">
        <v>47639.18</v>
      </c>
      <c r="AD293" s="37">
        <v>90353.44</v>
      </c>
      <c r="AE293" s="29">
        <v>0</v>
      </c>
      <c r="AF293" s="32">
        <v>2020</v>
      </c>
      <c r="AG293" s="32">
        <v>2020</v>
      </c>
      <c r="AH293" s="33">
        <v>2020</v>
      </c>
      <c r="AT293" s="18" t="e">
        <f>VLOOKUP(C293,AW:AX,2,FALSE)</f>
        <v>#N/A</v>
      </c>
      <c r="BZ293" s="61"/>
      <c r="CD293" s="18">
        <f>VLOOKUP(C293,CE:CF,2,FALSE)</f>
        <v>1022</v>
      </c>
    </row>
    <row r="294" spans="1:82" ht="61.5" x14ac:dyDescent="0.85">
      <c r="A294" s="18">
        <v>1</v>
      </c>
      <c r="B294" s="57">
        <f>SUBTOTAL(103,$A$22:A294)</f>
        <v>263</v>
      </c>
      <c r="C294" s="22" t="s">
        <v>667</v>
      </c>
      <c r="D294" s="29">
        <f>E294+F294+G294+H294+I294+J294+L294+N294+P294+R294+T294+U294+V294+W294+X294+Y294+Z294+AA294+AB294+AC294+AD294+AE294</f>
        <v>930010.44000000006</v>
      </c>
      <c r="E294" s="36">
        <v>0</v>
      </c>
      <c r="F294" s="36">
        <v>0</v>
      </c>
      <c r="G294" s="29">
        <v>0</v>
      </c>
      <c r="H294" s="36">
        <v>0</v>
      </c>
      <c r="I294" s="36">
        <v>0</v>
      </c>
      <c r="J294" s="36">
        <v>0</v>
      </c>
      <c r="K294" s="64">
        <v>0</v>
      </c>
      <c r="L294" s="29">
        <v>0</v>
      </c>
      <c r="M294" s="37">
        <v>243.67</v>
      </c>
      <c r="N294" s="37">
        <v>888557.88</v>
      </c>
      <c r="O294" s="36">
        <v>0</v>
      </c>
      <c r="P294" s="36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0</v>
      </c>
      <c r="AB294" s="29">
        <v>0</v>
      </c>
      <c r="AC294" s="29">
        <v>8996.65</v>
      </c>
      <c r="AD294" s="37">
        <v>32455.91</v>
      </c>
      <c r="AE294" s="29">
        <v>0</v>
      </c>
      <c r="AF294" s="32">
        <v>2020</v>
      </c>
      <c r="AG294" s="32">
        <v>2020</v>
      </c>
      <c r="AH294" s="32">
        <v>2020</v>
      </c>
      <c r="AT294" s="18" t="e">
        <f>VLOOKUP(C294,AW:AX,2,FALSE)</f>
        <v>#N/A</v>
      </c>
      <c r="BZ294" s="61"/>
      <c r="CD294" s="18">
        <f>VLOOKUP(C294,CE:CF,2,FALSE)</f>
        <v>243.96</v>
      </c>
    </row>
    <row r="295" spans="1:82" ht="61.5" x14ac:dyDescent="0.85">
      <c r="B295" s="22" t="s">
        <v>812</v>
      </c>
      <c r="C295" s="22"/>
      <c r="D295" s="339">
        <f>SUM(D296:D300)</f>
        <v>10624337.110000001</v>
      </c>
      <c r="E295" s="29">
        <f t="shared" ref="E295:AE295" si="25">SUM(E296:E300)</f>
        <v>56761.29</v>
      </c>
      <c r="F295" s="29">
        <f t="shared" si="25"/>
        <v>0</v>
      </c>
      <c r="G295" s="29">
        <f t="shared" si="25"/>
        <v>313554.02</v>
      </c>
      <c r="H295" s="29">
        <f t="shared" si="25"/>
        <v>166897.82</v>
      </c>
      <c r="I295" s="29">
        <f t="shared" si="25"/>
        <v>0</v>
      </c>
      <c r="J295" s="29">
        <f t="shared" si="25"/>
        <v>0</v>
      </c>
      <c r="K295" s="31">
        <f t="shared" si="25"/>
        <v>0</v>
      </c>
      <c r="L295" s="29">
        <f t="shared" si="25"/>
        <v>0</v>
      </c>
      <c r="M295" s="29">
        <f t="shared" si="25"/>
        <v>0</v>
      </c>
      <c r="N295" s="29">
        <f t="shared" si="25"/>
        <v>0</v>
      </c>
      <c r="O295" s="29">
        <f t="shared" si="25"/>
        <v>339.3</v>
      </c>
      <c r="P295" s="29">
        <f t="shared" si="25"/>
        <v>2618206.87</v>
      </c>
      <c r="Q295" s="29">
        <f t="shared" si="25"/>
        <v>1964.82</v>
      </c>
      <c r="R295" s="29">
        <f t="shared" si="25"/>
        <v>7256375.5399999991</v>
      </c>
      <c r="S295" s="29">
        <f t="shared" si="25"/>
        <v>0</v>
      </c>
      <c r="T295" s="29">
        <f t="shared" si="25"/>
        <v>0</v>
      </c>
      <c r="U295" s="29">
        <f t="shared" si="25"/>
        <v>0</v>
      </c>
      <c r="V295" s="29">
        <f t="shared" si="25"/>
        <v>0</v>
      </c>
      <c r="W295" s="29">
        <f t="shared" si="25"/>
        <v>0</v>
      </c>
      <c r="X295" s="29">
        <f t="shared" si="25"/>
        <v>0</v>
      </c>
      <c r="Y295" s="29">
        <f t="shared" si="25"/>
        <v>0</v>
      </c>
      <c r="Z295" s="29">
        <f t="shared" si="25"/>
        <v>0</v>
      </c>
      <c r="AA295" s="29">
        <f t="shared" si="25"/>
        <v>0</v>
      </c>
      <c r="AB295" s="29">
        <f t="shared" si="25"/>
        <v>0</v>
      </c>
      <c r="AC295" s="29">
        <f t="shared" si="25"/>
        <v>117571.73000000001</v>
      </c>
      <c r="AD295" s="29">
        <f t="shared" si="25"/>
        <v>94969.84</v>
      </c>
      <c r="AE295" s="29">
        <f t="shared" si="25"/>
        <v>0</v>
      </c>
      <c r="AF295" s="62" t="s">
        <v>743</v>
      </c>
      <c r="AG295" s="62" t="s">
        <v>743</v>
      </c>
      <c r="AH295" s="77" t="s">
        <v>743</v>
      </c>
      <c r="AT295" s="18" t="e">
        <f>VLOOKUP(C295,AW:AX,2,FALSE)</f>
        <v>#N/A</v>
      </c>
      <c r="BZ295" s="61">
        <v>13474518.75</v>
      </c>
      <c r="CD295" s="18" t="e">
        <f>VLOOKUP(C295,CE:CF,2,FALSE)</f>
        <v>#N/A</v>
      </c>
    </row>
    <row r="296" spans="1:82" ht="61.5" x14ac:dyDescent="0.85">
      <c r="A296" s="18">
        <v>1</v>
      </c>
      <c r="B296" s="57">
        <f>SUBTOTAL(103,$A$22:A296)</f>
        <v>264</v>
      </c>
      <c r="C296" s="22" t="s">
        <v>681</v>
      </c>
      <c r="D296" s="29">
        <f>E296+F296+G296+H296+I296+J296+L296+N296+P296+R296+T296+U296+V296+W296+X296+Y296+Z296+AA296+AB296+AC296+AD296+AE296</f>
        <v>2376905.8499999996</v>
      </c>
      <c r="E296" s="36">
        <v>0</v>
      </c>
      <c r="F296" s="36">
        <v>0</v>
      </c>
      <c r="G296" s="29">
        <v>0</v>
      </c>
      <c r="H296" s="36">
        <v>0</v>
      </c>
      <c r="I296" s="36">
        <v>0</v>
      </c>
      <c r="J296" s="36">
        <v>0</v>
      </c>
      <c r="K296" s="31">
        <v>0</v>
      </c>
      <c r="L296" s="29">
        <v>0</v>
      </c>
      <c r="M296" s="29">
        <v>0</v>
      </c>
      <c r="N296" s="29">
        <v>0</v>
      </c>
      <c r="O296" s="36">
        <v>0</v>
      </c>
      <c r="P296" s="36">
        <v>0</v>
      </c>
      <c r="Q296" s="37">
        <v>664.92</v>
      </c>
      <c r="R296" s="37">
        <v>2259063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9">
        <v>22873.01</v>
      </c>
      <c r="AD296" s="37">
        <v>94969.84</v>
      </c>
      <c r="AE296" s="29">
        <v>0</v>
      </c>
      <c r="AF296" s="32">
        <v>2020</v>
      </c>
      <c r="AG296" s="32">
        <v>2020</v>
      </c>
      <c r="AH296" s="33">
        <v>2020</v>
      </c>
      <c r="AT296" s="18" t="e">
        <f>VLOOKUP(C296,AW:AX,2,FALSE)</f>
        <v>#N/A</v>
      </c>
      <c r="BZ296" s="61"/>
      <c r="CD296" s="18" t="e">
        <f>VLOOKUP(C296,CE:CF,2,FALSE)</f>
        <v>#N/A</v>
      </c>
    </row>
    <row r="297" spans="1:82" ht="61.5" x14ac:dyDescent="0.85">
      <c r="A297" s="18">
        <v>1</v>
      </c>
      <c r="B297" s="57">
        <f>SUBTOTAL(103,$A$22:A297)</f>
        <v>265</v>
      </c>
      <c r="C297" s="22" t="s">
        <v>1190</v>
      </c>
      <c r="D297" s="29">
        <f>E297+F297+G297+H297+I297+J297+L297+N297+P297+R297+T297+U297+V297+W297+X297+Y297+Z297+AA297+AB297+AC297+AD297+AE297</f>
        <v>2513294.65</v>
      </c>
      <c r="E297" s="36">
        <v>0</v>
      </c>
      <c r="F297" s="36">
        <v>0</v>
      </c>
      <c r="G297" s="29">
        <v>0</v>
      </c>
      <c r="H297" s="36">
        <v>0</v>
      </c>
      <c r="I297" s="36">
        <v>0</v>
      </c>
      <c r="J297" s="36">
        <v>0</v>
      </c>
      <c r="K297" s="31">
        <v>0</v>
      </c>
      <c r="L297" s="29">
        <v>0</v>
      </c>
      <c r="M297" s="29">
        <v>0</v>
      </c>
      <c r="N297" s="29">
        <v>0</v>
      </c>
      <c r="O297" s="36">
        <v>0</v>
      </c>
      <c r="P297" s="36">
        <v>0</v>
      </c>
      <c r="Q297" s="37">
        <v>647.20000000000005</v>
      </c>
      <c r="R297" s="37">
        <v>2488287.36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37">
        <v>25007.29</v>
      </c>
      <c r="AD297" s="29">
        <v>0</v>
      </c>
      <c r="AE297" s="29">
        <v>0</v>
      </c>
      <c r="AF297" s="32" t="s">
        <v>268</v>
      </c>
      <c r="AG297" s="32">
        <v>2020</v>
      </c>
      <c r="AH297" s="33">
        <v>2020</v>
      </c>
      <c r="BZ297" s="61"/>
      <c r="CD297" s="18" t="e">
        <f>VLOOKUP(C297,CE:CF,2,FALSE)</f>
        <v>#N/A</v>
      </c>
    </row>
    <row r="298" spans="1:82" ht="61.5" x14ac:dyDescent="0.85">
      <c r="A298" s="18">
        <v>1</v>
      </c>
      <c r="B298" s="57">
        <f>SUBTOTAL(103,$A$22:A298)</f>
        <v>266</v>
      </c>
      <c r="C298" s="22" t="s">
        <v>1191</v>
      </c>
      <c r="D298" s="29">
        <f>E298+F298+G298+H298+I298+J298+L298+N298+P298+R298+T298+U298+V298+W298+X298+Y298+Z298+AA298+AB298+AC298+AD298+AE298</f>
        <v>2534240.8800000004</v>
      </c>
      <c r="E298" s="36">
        <v>0</v>
      </c>
      <c r="F298" s="36">
        <v>0</v>
      </c>
      <c r="G298" s="29">
        <v>0</v>
      </c>
      <c r="H298" s="36">
        <v>0</v>
      </c>
      <c r="I298" s="36">
        <v>0</v>
      </c>
      <c r="J298" s="36">
        <v>0</v>
      </c>
      <c r="K298" s="31">
        <v>0</v>
      </c>
      <c r="L298" s="29">
        <v>0</v>
      </c>
      <c r="M298" s="29">
        <v>0</v>
      </c>
      <c r="N298" s="29">
        <v>0</v>
      </c>
      <c r="O298" s="36">
        <v>0</v>
      </c>
      <c r="P298" s="36">
        <v>0</v>
      </c>
      <c r="Q298" s="37">
        <v>652.70000000000005</v>
      </c>
      <c r="R298" s="37">
        <v>2509025.1800000002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37">
        <v>25215.7</v>
      </c>
      <c r="AD298" s="29">
        <v>0</v>
      </c>
      <c r="AE298" s="29">
        <v>0</v>
      </c>
      <c r="AF298" s="32" t="s">
        <v>268</v>
      </c>
      <c r="AG298" s="32">
        <v>2020</v>
      </c>
      <c r="AH298" s="33">
        <v>2020</v>
      </c>
      <c r="BZ298" s="61"/>
      <c r="CD298" s="18" t="e">
        <f>VLOOKUP(C298,CE:CF,2,FALSE)</f>
        <v>#N/A</v>
      </c>
    </row>
    <row r="299" spans="1:82" ht="61.5" x14ac:dyDescent="0.85">
      <c r="A299" s="18">
        <v>1</v>
      </c>
      <c r="B299" s="57">
        <f>SUBTOTAL(103,$A$22:A299)</f>
        <v>267</v>
      </c>
      <c r="C299" s="22" t="s">
        <v>1192</v>
      </c>
      <c r="D299" s="29">
        <f>E299+F299+G299+H299+I299+J299+L299+N299+P299+R299+T299+U299+V299+W299+X299+Y299+Z299+AA299+AB299+AC299+AD299+AE299</f>
        <v>542612.12</v>
      </c>
      <c r="E299" s="134">
        <v>56761.29</v>
      </c>
      <c r="F299" s="36">
        <v>0</v>
      </c>
      <c r="G299" s="134">
        <v>313554.02</v>
      </c>
      <c r="H299" s="134">
        <v>166897.82</v>
      </c>
      <c r="I299" s="36">
        <v>0</v>
      </c>
      <c r="J299" s="36">
        <v>0</v>
      </c>
      <c r="K299" s="31">
        <v>0</v>
      </c>
      <c r="L299" s="29">
        <v>0</v>
      </c>
      <c r="M299" s="29">
        <v>0</v>
      </c>
      <c r="N299" s="29">
        <v>0</v>
      </c>
      <c r="O299" s="36">
        <v>0</v>
      </c>
      <c r="P299" s="36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9">
        <f>ROUND((E299+F299+G299+H299+I299+J299)*1.005%,2)</f>
        <v>5398.99</v>
      </c>
      <c r="AD299" s="29">
        <v>0</v>
      </c>
      <c r="AE299" s="29">
        <v>0</v>
      </c>
      <c r="AF299" s="32" t="s">
        <v>268</v>
      </c>
      <c r="AG299" s="32">
        <v>2020</v>
      </c>
      <c r="AH299" s="33">
        <v>2020</v>
      </c>
      <c r="BZ299" s="61"/>
      <c r="CD299" s="18" t="e">
        <f>VLOOKUP(C299,CE:CF,2,FALSE)</f>
        <v>#N/A</v>
      </c>
    </row>
    <row r="300" spans="1:82" ht="61.5" x14ac:dyDescent="0.85">
      <c r="A300" s="18">
        <v>1</v>
      </c>
      <c r="B300" s="57">
        <f>SUBTOTAL(103,$A$22:A300)</f>
        <v>268</v>
      </c>
      <c r="C300" s="22" t="s">
        <v>1193</v>
      </c>
      <c r="D300" s="29">
        <f>E300+F300+G300+H300+I300+J300+L300+N300+P300+R300+T300+U300+V300+W300+X300+Y300+Z300+AA300+AB300+AC300+AD300+AE300</f>
        <v>2657283.6100000003</v>
      </c>
      <c r="E300" s="36">
        <v>0</v>
      </c>
      <c r="F300" s="36">
        <v>0</v>
      </c>
      <c r="G300" s="29">
        <v>0</v>
      </c>
      <c r="H300" s="36">
        <v>0</v>
      </c>
      <c r="I300" s="36">
        <v>0</v>
      </c>
      <c r="J300" s="36">
        <v>0</v>
      </c>
      <c r="K300" s="31">
        <v>0</v>
      </c>
      <c r="L300" s="29">
        <v>0</v>
      </c>
      <c r="M300" s="29">
        <v>0</v>
      </c>
      <c r="N300" s="29">
        <v>0</v>
      </c>
      <c r="O300" s="37">
        <v>339.3</v>
      </c>
      <c r="P300" s="37">
        <v>2618206.87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9">
        <f>ROUND(P300*1.4925%,2)</f>
        <v>39076.74</v>
      </c>
      <c r="AD300" s="29">
        <v>0</v>
      </c>
      <c r="AE300" s="29">
        <v>0</v>
      </c>
      <c r="AF300" s="32" t="s">
        <v>268</v>
      </c>
      <c r="AG300" s="32">
        <v>2020</v>
      </c>
      <c r="AH300" s="33">
        <v>2020</v>
      </c>
      <c r="BZ300" s="61"/>
      <c r="CD300" s="18" t="e">
        <f>VLOOKUP(C300,CE:CF,2,FALSE)</f>
        <v>#N/A</v>
      </c>
    </row>
    <row r="301" spans="1:82" ht="61.5" x14ac:dyDescent="0.85">
      <c r="B301" s="22" t="s">
        <v>813</v>
      </c>
      <c r="C301" s="22"/>
      <c r="D301" s="339">
        <f>SUM(D302:D306)</f>
        <v>4459924</v>
      </c>
      <c r="E301" s="29">
        <f t="shared" ref="E301:AE301" si="26">SUM(E302:E306)</f>
        <v>94214.06</v>
      </c>
      <c r="F301" s="29">
        <f t="shared" si="26"/>
        <v>0</v>
      </c>
      <c r="G301" s="29">
        <f t="shared" si="26"/>
        <v>0</v>
      </c>
      <c r="H301" s="29">
        <f t="shared" si="26"/>
        <v>205262.31</v>
      </c>
      <c r="I301" s="29">
        <f t="shared" si="26"/>
        <v>585724.52</v>
      </c>
      <c r="J301" s="29">
        <f t="shared" si="26"/>
        <v>0</v>
      </c>
      <c r="K301" s="31">
        <f t="shared" si="26"/>
        <v>0</v>
      </c>
      <c r="L301" s="29">
        <f t="shared" si="26"/>
        <v>0</v>
      </c>
      <c r="M301" s="29">
        <f t="shared" si="26"/>
        <v>647</v>
      </c>
      <c r="N301" s="29">
        <f t="shared" si="26"/>
        <v>3348175.42</v>
      </c>
      <c r="O301" s="29">
        <f t="shared" si="26"/>
        <v>0</v>
      </c>
      <c r="P301" s="29">
        <f t="shared" si="26"/>
        <v>0</v>
      </c>
      <c r="Q301" s="29">
        <f t="shared" si="26"/>
        <v>0</v>
      </c>
      <c r="R301" s="29">
        <f t="shared" si="26"/>
        <v>0</v>
      </c>
      <c r="S301" s="29">
        <f t="shared" si="26"/>
        <v>0</v>
      </c>
      <c r="T301" s="29">
        <f t="shared" si="26"/>
        <v>0</v>
      </c>
      <c r="U301" s="29">
        <f t="shared" si="26"/>
        <v>0</v>
      </c>
      <c r="V301" s="29">
        <f t="shared" si="26"/>
        <v>0</v>
      </c>
      <c r="W301" s="29">
        <f t="shared" si="26"/>
        <v>0</v>
      </c>
      <c r="X301" s="29">
        <f t="shared" si="26"/>
        <v>0</v>
      </c>
      <c r="Y301" s="29">
        <f t="shared" si="26"/>
        <v>0</v>
      </c>
      <c r="Z301" s="29">
        <f t="shared" si="26"/>
        <v>0</v>
      </c>
      <c r="AA301" s="29">
        <f t="shared" si="26"/>
        <v>0</v>
      </c>
      <c r="AB301" s="29">
        <f t="shared" si="26"/>
        <v>0</v>
      </c>
      <c r="AC301" s="29">
        <f t="shared" si="26"/>
        <v>44670.939999999995</v>
      </c>
      <c r="AD301" s="29">
        <f t="shared" si="26"/>
        <v>181876.75</v>
      </c>
      <c r="AE301" s="29">
        <f t="shared" si="26"/>
        <v>0</v>
      </c>
      <c r="AF301" s="62" t="s">
        <v>743</v>
      </c>
      <c r="AG301" s="62" t="s">
        <v>743</v>
      </c>
      <c r="AH301" s="77" t="s">
        <v>743</v>
      </c>
      <c r="AT301" s="18" t="e">
        <f>VLOOKUP(C301,AW:AX,2,FALSE)</f>
        <v>#N/A</v>
      </c>
      <c r="BZ301" s="61">
        <v>4109300.7899999996</v>
      </c>
      <c r="CD301" s="18" t="e">
        <f>VLOOKUP(C301,CE:CF,2,FALSE)</f>
        <v>#N/A</v>
      </c>
    </row>
    <row r="302" spans="1:82" ht="61.5" x14ac:dyDescent="0.85">
      <c r="A302" s="18">
        <v>1</v>
      </c>
      <c r="B302" s="57">
        <f>SUBTOTAL(103,$A$22:A302)</f>
        <v>269</v>
      </c>
      <c r="C302" s="22" t="s">
        <v>682</v>
      </c>
      <c r="D302" s="29">
        <f>E302+F302+G302+H302+I302+J302+L302+N302+P302+R302+T302+U302+V302+W302+X302+Y302+Z302+AA302+AB302+AC302+AD302+AE302</f>
        <v>3466608.69</v>
      </c>
      <c r="E302" s="36">
        <v>0</v>
      </c>
      <c r="F302" s="36">
        <v>0</v>
      </c>
      <c r="G302" s="29">
        <v>0</v>
      </c>
      <c r="H302" s="36">
        <v>0</v>
      </c>
      <c r="I302" s="36">
        <v>0</v>
      </c>
      <c r="J302" s="36">
        <v>0</v>
      </c>
      <c r="K302" s="31">
        <v>0</v>
      </c>
      <c r="L302" s="29">
        <v>0</v>
      </c>
      <c r="M302" s="37">
        <v>647</v>
      </c>
      <c r="N302" s="37">
        <v>3348175.42</v>
      </c>
      <c r="O302" s="36">
        <v>0</v>
      </c>
      <c r="P302" s="36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37">
        <v>33900.28</v>
      </c>
      <c r="AD302" s="37">
        <v>84532.99</v>
      </c>
      <c r="AE302" s="29">
        <v>0</v>
      </c>
      <c r="AF302" s="32">
        <v>2020</v>
      </c>
      <c r="AG302" s="32">
        <v>2020</v>
      </c>
      <c r="AH302" s="33">
        <v>2020</v>
      </c>
      <c r="AT302" s="18" t="e">
        <f>VLOOKUP(C302,AW:AX,2,FALSE)</f>
        <v>#N/A</v>
      </c>
      <c r="BZ302" s="61"/>
      <c r="CD302" s="18" t="e">
        <f>VLOOKUP(C302,CE:CF,2,FALSE)</f>
        <v>#N/A</v>
      </c>
    </row>
    <row r="303" spans="1:82" ht="61.5" x14ac:dyDescent="0.85">
      <c r="A303" s="18">
        <v>1</v>
      </c>
      <c r="B303" s="57">
        <f>SUBTOTAL(103,$A$22:A303)</f>
        <v>270</v>
      </c>
      <c r="C303" s="22" t="s">
        <v>675</v>
      </c>
      <c r="D303" s="29">
        <f>E303+F303+G303+H303+I303+J303+L303+N303+P303+R303+T303+U303+V303+W303+X303+Y303+Z303+AA303+AB303+AC303+AD303+AE303</f>
        <v>34358.44</v>
      </c>
      <c r="E303" s="36">
        <v>0</v>
      </c>
      <c r="F303" s="36">
        <v>0</v>
      </c>
      <c r="G303" s="29">
        <v>0</v>
      </c>
      <c r="H303" s="36">
        <v>0</v>
      </c>
      <c r="I303" s="29">
        <v>0</v>
      </c>
      <c r="J303" s="36">
        <v>0</v>
      </c>
      <c r="K303" s="31">
        <v>0</v>
      </c>
      <c r="L303" s="29">
        <v>0</v>
      </c>
      <c r="M303" s="29">
        <v>0</v>
      </c>
      <c r="N303" s="29">
        <v>0</v>
      </c>
      <c r="O303" s="36">
        <v>0</v>
      </c>
      <c r="P303" s="36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9">
        <f>ROUND((E303+F303+G303+H303+I303+J303)*1.5%,2)</f>
        <v>0</v>
      </c>
      <c r="AD303" s="37">
        <v>34358.44</v>
      </c>
      <c r="AE303" s="29">
        <v>0</v>
      </c>
      <c r="AF303" s="32">
        <v>2020</v>
      </c>
      <c r="AG303" s="32" t="s">
        <v>268</v>
      </c>
      <c r="AH303" s="32" t="s">
        <v>268</v>
      </c>
      <c r="AT303" s="18" t="e">
        <f>VLOOKUP(C303,AW:AX,2,FALSE)</f>
        <v>#N/A</v>
      </c>
      <c r="BZ303" s="61"/>
      <c r="CD303" s="18" t="e">
        <f>VLOOKUP(C303,CE:CF,2,FALSE)</f>
        <v>#N/A</v>
      </c>
    </row>
    <row r="304" spans="1:82" ht="61.5" x14ac:dyDescent="0.85">
      <c r="A304" s="18">
        <v>1</v>
      </c>
      <c r="B304" s="57">
        <f>SUBTOTAL(103,$A$22:A304)</f>
        <v>271</v>
      </c>
      <c r="C304" s="22" t="s">
        <v>674</v>
      </c>
      <c r="D304" s="29">
        <f>E304+F304+G304+H304+I304+J304+L304+N304+P304+R304+T304+U304+V304+W304+X304+Y304+Z304+AA304+AB304+AC304+AD304+AE304</f>
        <v>576667.37</v>
      </c>
      <c r="E304" s="36">
        <v>0</v>
      </c>
      <c r="F304" s="36">
        <v>0</v>
      </c>
      <c r="G304" s="29">
        <v>0</v>
      </c>
      <c r="H304" s="36">
        <v>0</v>
      </c>
      <c r="I304" s="37">
        <v>508533.15</v>
      </c>
      <c r="J304" s="36">
        <v>0</v>
      </c>
      <c r="K304" s="31">
        <v>0</v>
      </c>
      <c r="L304" s="29">
        <v>0</v>
      </c>
      <c r="M304" s="29">
        <v>0</v>
      </c>
      <c r="N304" s="29">
        <v>0</v>
      </c>
      <c r="O304" s="36">
        <v>0</v>
      </c>
      <c r="P304" s="36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9">
        <v>5148.8999999999996</v>
      </c>
      <c r="AD304" s="37">
        <v>62985.32</v>
      </c>
      <c r="AE304" s="29">
        <v>0</v>
      </c>
      <c r="AF304" s="32">
        <v>2020</v>
      </c>
      <c r="AG304" s="32">
        <v>2020</v>
      </c>
      <c r="AH304" s="33">
        <v>2020</v>
      </c>
      <c r="AT304" s="18" t="e">
        <f>VLOOKUP(C304,AW:AX,2,FALSE)</f>
        <v>#N/A</v>
      </c>
      <c r="BZ304" s="61"/>
      <c r="CD304" s="18" t="e">
        <f>VLOOKUP(C304,CE:CF,2,FALSE)</f>
        <v>#N/A</v>
      </c>
    </row>
    <row r="305" spans="1:82" ht="61.5" x14ac:dyDescent="0.85">
      <c r="A305" s="18">
        <v>1</v>
      </c>
      <c r="B305" s="57">
        <f>SUBTOTAL(103,$A$22:A305)</f>
        <v>272</v>
      </c>
      <c r="C305" s="22" t="s">
        <v>1198</v>
      </c>
      <c r="D305" s="29">
        <f>E305+F305+G305+H305+I305+J305+L305+N305+P305+R305+T305+U305+V305+W305+X305+Y305+Z305+AA305+AB305+AC305+AD305+AE305</f>
        <v>248507.08000000002</v>
      </c>
      <c r="E305" s="134">
        <v>94214.06</v>
      </c>
      <c r="F305" s="36">
        <v>0</v>
      </c>
      <c r="G305" s="29">
        <v>0</v>
      </c>
      <c r="H305" s="134">
        <v>150638.6</v>
      </c>
      <c r="I305" s="36">
        <v>0</v>
      </c>
      <c r="J305" s="36">
        <v>0</v>
      </c>
      <c r="K305" s="31">
        <v>0</v>
      </c>
      <c r="L305" s="29">
        <v>0</v>
      </c>
      <c r="M305" s="29">
        <v>0</v>
      </c>
      <c r="N305" s="29">
        <v>0</v>
      </c>
      <c r="O305" s="36">
        <v>0</v>
      </c>
      <c r="P305" s="36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9">
        <v>3654.42</v>
      </c>
      <c r="AD305" s="29">
        <v>0</v>
      </c>
      <c r="AE305" s="29">
        <v>0</v>
      </c>
      <c r="AF305" s="32" t="s">
        <v>268</v>
      </c>
      <c r="AG305" s="32">
        <v>2020</v>
      </c>
      <c r="AH305" s="33">
        <v>2020</v>
      </c>
      <c r="BZ305" s="61"/>
      <c r="CD305" s="18" t="e">
        <f>VLOOKUP(C305,CE:CF,2,FALSE)</f>
        <v>#N/A</v>
      </c>
    </row>
    <row r="306" spans="1:82" ht="61.5" x14ac:dyDescent="0.85">
      <c r="A306" s="18">
        <v>1</v>
      </c>
      <c r="B306" s="57">
        <f>SUBTOTAL(103,$A$22:A306)</f>
        <v>273</v>
      </c>
      <c r="C306" s="22" t="s">
        <v>1199</v>
      </c>
      <c r="D306" s="29">
        <f>E306+F306+G306+H306+I306+J306+L306+N306+P306+R306+T306+U306+V306+W306+X306+Y306+Z306+AA306+AB306+AC306+AD306+AE306</f>
        <v>133782.41999999998</v>
      </c>
      <c r="E306" s="36">
        <v>0</v>
      </c>
      <c r="F306" s="36">
        <v>0</v>
      </c>
      <c r="G306" s="29">
        <v>0</v>
      </c>
      <c r="H306" s="134">
        <v>54623.71</v>
      </c>
      <c r="I306" s="134">
        <v>77191.37</v>
      </c>
      <c r="J306" s="36">
        <v>0</v>
      </c>
      <c r="K306" s="31">
        <v>0</v>
      </c>
      <c r="L306" s="29">
        <v>0</v>
      </c>
      <c r="M306" s="29">
        <v>0</v>
      </c>
      <c r="N306" s="29">
        <v>0</v>
      </c>
      <c r="O306" s="36">
        <v>0</v>
      </c>
      <c r="P306" s="36">
        <v>0</v>
      </c>
      <c r="Q306" s="29">
        <v>0</v>
      </c>
      <c r="R306" s="29">
        <v>0</v>
      </c>
      <c r="S306" s="29">
        <v>0</v>
      </c>
      <c r="T306" s="29">
        <v>0</v>
      </c>
      <c r="U306" s="29">
        <v>0</v>
      </c>
      <c r="V306" s="29">
        <v>0</v>
      </c>
      <c r="W306" s="29">
        <v>0</v>
      </c>
      <c r="X306" s="29">
        <v>0</v>
      </c>
      <c r="Y306" s="29">
        <v>0</v>
      </c>
      <c r="Z306" s="29">
        <v>0</v>
      </c>
      <c r="AA306" s="29">
        <v>0</v>
      </c>
      <c r="AB306" s="29">
        <v>0</v>
      </c>
      <c r="AC306" s="29">
        <v>1967.34</v>
      </c>
      <c r="AD306" s="29">
        <v>0</v>
      </c>
      <c r="AE306" s="29">
        <v>0</v>
      </c>
      <c r="AF306" s="32" t="s">
        <v>268</v>
      </c>
      <c r="AG306" s="32">
        <v>2020</v>
      </c>
      <c r="AH306" s="33">
        <v>2020</v>
      </c>
      <c r="BZ306" s="61"/>
      <c r="CD306" s="18" t="e">
        <f>VLOOKUP(C306,CE:CF,2,FALSE)</f>
        <v>#N/A</v>
      </c>
    </row>
    <row r="307" spans="1:82" ht="61.5" x14ac:dyDescent="0.85">
      <c r="B307" s="22" t="s">
        <v>814</v>
      </c>
      <c r="C307" s="22"/>
      <c r="D307" s="339">
        <f>D308</f>
        <v>1997229.1400000001</v>
      </c>
      <c r="E307" s="29">
        <f t="shared" ref="E307:AE307" si="27">E308</f>
        <v>0</v>
      </c>
      <c r="F307" s="29">
        <f t="shared" si="27"/>
        <v>0</v>
      </c>
      <c r="G307" s="29">
        <f t="shared" si="27"/>
        <v>0</v>
      </c>
      <c r="H307" s="29">
        <f t="shared" si="27"/>
        <v>0</v>
      </c>
      <c r="I307" s="29">
        <f t="shared" si="27"/>
        <v>0</v>
      </c>
      <c r="J307" s="29">
        <f t="shared" si="27"/>
        <v>0</v>
      </c>
      <c r="K307" s="31">
        <f t="shared" si="27"/>
        <v>0</v>
      </c>
      <c r="L307" s="29">
        <f t="shared" si="27"/>
        <v>0</v>
      </c>
      <c r="M307" s="29">
        <f t="shared" si="27"/>
        <v>775.93</v>
      </c>
      <c r="N307" s="29">
        <f t="shared" si="27"/>
        <v>1845774.1</v>
      </c>
      <c r="O307" s="29">
        <f t="shared" si="27"/>
        <v>0</v>
      </c>
      <c r="P307" s="29">
        <f t="shared" si="27"/>
        <v>0</v>
      </c>
      <c r="Q307" s="29">
        <f t="shared" si="27"/>
        <v>0</v>
      </c>
      <c r="R307" s="29">
        <f t="shared" si="27"/>
        <v>0</v>
      </c>
      <c r="S307" s="29">
        <f t="shared" si="27"/>
        <v>0</v>
      </c>
      <c r="T307" s="29">
        <f t="shared" si="27"/>
        <v>0</v>
      </c>
      <c r="U307" s="29">
        <f t="shared" si="27"/>
        <v>0</v>
      </c>
      <c r="V307" s="29">
        <f t="shared" si="27"/>
        <v>0</v>
      </c>
      <c r="W307" s="29">
        <f t="shared" si="27"/>
        <v>0</v>
      </c>
      <c r="X307" s="29">
        <f t="shared" si="27"/>
        <v>0</v>
      </c>
      <c r="Y307" s="29">
        <f t="shared" si="27"/>
        <v>0</v>
      </c>
      <c r="Z307" s="29">
        <f t="shared" si="27"/>
        <v>0</v>
      </c>
      <c r="AA307" s="29">
        <f t="shared" si="27"/>
        <v>0</v>
      </c>
      <c r="AB307" s="29">
        <f t="shared" si="27"/>
        <v>0</v>
      </c>
      <c r="AC307" s="29">
        <f t="shared" si="27"/>
        <v>18688.46</v>
      </c>
      <c r="AD307" s="29">
        <f t="shared" si="27"/>
        <v>132766.57999999999</v>
      </c>
      <c r="AE307" s="29">
        <f t="shared" si="27"/>
        <v>0</v>
      </c>
      <c r="AF307" s="62" t="s">
        <v>743</v>
      </c>
      <c r="AG307" s="62" t="s">
        <v>743</v>
      </c>
      <c r="AH307" s="77" t="s">
        <v>743</v>
      </c>
      <c r="AT307" s="18" t="e">
        <f>VLOOKUP(C307,AW:AX,2,FALSE)</f>
        <v>#N/A</v>
      </c>
      <c r="BZ307" s="61">
        <v>3674943.51</v>
      </c>
      <c r="CD307" s="18" t="e">
        <f>VLOOKUP(C307,CE:CF,2,FALSE)</f>
        <v>#N/A</v>
      </c>
    </row>
    <row r="308" spans="1:82" ht="61.5" x14ac:dyDescent="0.85">
      <c r="A308" s="18">
        <v>1</v>
      </c>
      <c r="B308" s="57">
        <f>SUBTOTAL(103,$A$22:A308)</f>
        <v>274</v>
      </c>
      <c r="C308" s="22" t="s">
        <v>672</v>
      </c>
      <c r="D308" s="29">
        <f>E308+F308+G308+H308+I308+J308+L308+N308+P308+R308+T308+U308+V308+W308+X308+Y308+Z308+AA308+AB308+AC308+AD308+AE308</f>
        <v>1997229.1400000001</v>
      </c>
      <c r="E308" s="36">
        <v>0</v>
      </c>
      <c r="F308" s="36">
        <v>0</v>
      </c>
      <c r="G308" s="29">
        <v>0</v>
      </c>
      <c r="H308" s="36">
        <v>0</v>
      </c>
      <c r="I308" s="36">
        <v>0</v>
      </c>
      <c r="J308" s="36">
        <v>0</v>
      </c>
      <c r="K308" s="31">
        <v>0</v>
      </c>
      <c r="L308" s="29">
        <v>0</v>
      </c>
      <c r="M308" s="37">
        <v>775.93</v>
      </c>
      <c r="N308" s="37">
        <v>1845774.1</v>
      </c>
      <c r="O308" s="36">
        <v>0</v>
      </c>
      <c r="P308" s="36">
        <v>0</v>
      </c>
      <c r="Q308" s="29">
        <v>0</v>
      </c>
      <c r="R308" s="29">
        <v>0</v>
      </c>
      <c r="S308" s="29">
        <v>0</v>
      </c>
      <c r="T308" s="29">
        <v>0</v>
      </c>
      <c r="U308" s="29">
        <v>0</v>
      </c>
      <c r="V308" s="29">
        <v>0</v>
      </c>
      <c r="W308" s="29">
        <v>0</v>
      </c>
      <c r="X308" s="29">
        <v>0</v>
      </c>
      <c r="Y308" s="29">
        <v>0</v>
      </c>
      <c r="Z308" s="29">
        <v>0</v>
      </c>
      <c r="AA308" s="29">
        <v>0</v>
      </c>
      <c r="AB308" s="29">
        <v>0</v>
      </c>
      <c r="AC308" s="37">
        <v>18688.46</v>
      </c>
      <c r="AD308" s="37">
        <v>132766.57999999999</v>
      </c>
      <c r="AE308" s="29">
        <v>0</v>
      </c>
      <c r="AF308" s="32">
        <v>2020</v>
      </c>
      <c r="AG308" s="32">
        <v>2020</v>
      </c>
      <c r="AH308" s="33">
        <v>2020</v>
      </c>
      <c r="AT308" s="18" t="e">
        <f>VLOOKUP(C308,AW:AX,2,FALSE)</f>
        <v>#N/A</v>
      </c>
      <c r="BZ308" s="61"/>
      <c r="CD308" s="18" t="e">
        <f>VLOOKUP(C308,CE:CF,2,FALSE)</f>
        <v>#N/A</v>
      </c>
    </row>
    <row r="309" spans="1:82" ht="61.5" x14ac:dyDescent="0.85">
      <c r="B309" s="22" t="s">
        <v>815</v>
      </c>
      <c r="C309" s="22"/>
      <c r="D309" s="339">
        <f t="shared" ref="D309:AE309" si="28">SUM(D310:D324)</f>
        <v>29976052.369999997</v>
      </c>
      <c r="E309" s="29">
        <f t="shared" si="28"/>
        <v>0</v>
      </c>
      <c r="F309" s="29">
        <f t="shared" si="28"/>
        <v>0</v>
      </c>
      <c r="G309" s="29">
        <f t="shared" si="28"/>
        <v>0</v>
      </c>
      <c r="H309" s="29">
        <f t="shared" si="28"/>
        <v>0</v>
      </c>
      <c r="I309" s="29">
        <f t="shared" si="28"/>
        <v>0</v>
      </c>
      <c r="J309" s="29">
        <f t="shared" si="28"/>
        <v>0</v>
      </c>
      <c r="K309" s="31">
        <f t="shared" si="28"/>
        <v>6</v>
      </c>
      <c r="L309" s="29">
        <f t="shared" si="28"/>
        <v>8696097.8399999999</v>
      </c>
      <c r="M309" s="29">
        <f t="shared" si="28"/>
        <v>5138.55</v>
      </c>
      <c r="N309" s="29">
        <f t="shared" si="28"/>
        <v>17781364.059999999</v>
      </c>
      <c r="O309" s="29">
        <f t="shared" si="28"/>
        <v>0</v>
      </c>
      <c r="P309" s="29">
        <f t="shared" si="28"/>
        <v>0</v>
      </c>
      <c r="Q309" s="29">
        <f t="shared" si="28"/>
        <v>664.65200000000004</v>
      </c>
      <c r="R309" s="29">
        <f t="shared" si="28"/>
        <v>2073147.13</v>
      </c>
      <c r="S309" s="29">
        <f t="shared" si="28"/>
        <v>0</v>
      </c>
      <c r="T309" s="29">
        <f t="shared" si="28"/>
        <v>0</v>
      </c>
      <c r="U309" s="29">
        <f t="shared" si="28"/>
        <v>0</v>
      </c>
      <c r="V309" s="29">
        <f t="shared" si="28"/>
        <v>0</v>
      </c>
      <c r="W309" s="29">
        <f t="shared" si="28"/>
        <v>0</v>
      </c>
      <c r="X309" s="29">
        <f t="shared" si="28"/>
        <v>0</v>
      </c>
      <c r="Y309" s="29">
        <f t="shared" si="28"/>
        <v>0</v>
      </c>
      <c r="Z309" s="29">
        <f t="shared" si="28"/>
        <v>0</v>
      </c>
      <c r="AA309" s="29">
        <f t="shared" si="28"/>
        <v>0</v>
      </c>
      <c r="AB309" s="29">
        <f t="shared" si="28"/>
        <v>0</v>
      </c>
      <c r="AC309" s="29">
        <f t="shared" si="28"/>
        <v>217841.08</v>
      </c>
      <c r="AD309" s="29">
        <f t="shared" si="28"/>
        <v>847602.26</v>
      </c>
      <c r="AE309" s="29">
        <f t="shared" si="28"/>
        <v>360000</v>
      </c>
      <c r="AF309" s="62" t="s">
        <v>743</v>
      </c>
      <c r="AG309" s="62" t="s">
        <v>743</v>
      </c>
      <c r="AH309" s="77" t="s">
        <v>743</v>
      </c>
      <c r="AT309" s="18" t="e">
        <f>VLOOKUP(C309,AW:AX,2,FALSE)</f>
        <v>#N/A</v>
      </c>
      <c r="BZ309" s="61">
        <v>50473058.759999998</v>
      </c>
      <c r="CB309" s="61">
        <f>BZ309-D309</f>
        <v>20497006.390000001</v>
      </c>
      <c r="CD309" s="18" t="e">
        <f>VLOOKUP(C309,CE:CF,2,FALSE)</f>
        <v>#N/A</v>
      </c>
    </row>
    <row r="310" spans="1:82" ht="61.5" x14ac:dyDescent="0.85">
      <c r="A310" s="18">
        <v>1</v>
      </c>
      <c r="B310" s="57">
        <f>SUBTOTAL(103,$A$22:A310)</f>
        <v>275</v>
      </c>
      <c r="C310" s="22" t="s">
        <v>676</v>
      </c>
      <c r="D310" s="29">
        <f t="shared" ref="D310:D324" si="29">E310+F310+G310+H310+I310+J310+L310+N310+P310+R310+T310+U310+V310+W310+X310+Y310+Z310+AA310+AB310+AC310+AD310+AE310</f>
        <v>95474.18</v>
      </c>
      <c r="E310" s="36">
        <v>0</v>
      </c>
      <c r="F310" s="36">
        <v>0</v>
      </c>
      <c r="G310" s="29">
        <v>0</v>
      </c>
      <c r="H310" s="36">
        <v>0</v>
      </c>
      <c r="I310" s="36">
        <v>0</v>
      </c>
      <c r="J310" s="36">
        <v>0</v>
      </c>
      <c r="K310" s="31">
        <v>0</v>
      </c>
      <c r="L310" s="29">
        <v>0</v>
      </c>
      <c r="M310" s="29">
        <v>0</v>
      </c>
      <c r="N310" s="29">
        <v>0</v>
      </c>
      <c r="O310" s="36">
        <v>0</v>
      </c>
      <c r="P310" s="36">
        <v>0</v>
      </c>
      <c r="Q310" s="29">
        <v>0</v>
      </c>
      <c r="R310" s="29">
        <v>0</v>
      </c>
      <c r="S310" s="29">
        <v>0</v>
      </c>
      <c r="T310" s="29">
        <v>0</v>
      </c>
      <c r="U310" s="29">
        <v>0</v>
      </c>
      <c r="V310" s="29">
        <v>0</v>
      </c>
      <c r="W310" s="29">
        <v>0</v>
      </c>
      <c r="X310" s="29">
        <v>0</v>
      </c>
      <c r="Y310" s="29">
        <v>0</v>
      </c>
      <c r="Z310" s="29">
        <v>0</v>
      </c>
      <c r="AA310" s="29">
        <v>0</v>
      </c>
      <c r="AB310" s="29">
        <v>0</v>
      </c>
      <c r="AC310" s="29">
        <f>ROUND(N310*1.5%,2)</f>
        <v>0</v>
      </c>
      <c r="AD310" s="37">
        <v>95474.18</v>
      </c>
      <c r="AE310" s="29">
        <v>0</v>
      </c>
      <c r="AF310" s="32">
        <v>2020</v>
      </c>
      <c r="AG310" s="32" t="s">
        <v>268</v>
      </c>
      <c r="AH310" s="32" t="s">
        <v>268</v>
      </c>
      <c r="AT310" s="18" t="e">
        <f>VLOOKUP(C310,AW:AX,2,FALSE)</f>
        <v>#N/A</v>
      </c>
      <c r="BZ310" s="61"/>
      <c r="CD310" s="18" t="e">
        <f>VLOOKUP(C310,CE:CF,2,FALSE)</f>
        <v>#N/A</v>
      </c>
    </row>
    <row r="311" spans="1:82" ht="61.5" x14ac:dyDescent="0.85">
      <c r="A311" s="18">
        <v>1</v>
      </c>
      <c r="B311" s="57">
        <f>SUBTOTAL(103,$A$22:A311)</f>
        <v>276</v>
      </c>
      <c r="C311" s="22" t="s">
        <v>660</v>
      </c>
      <c r="D311" s="29">
        <f t="shared" si="29"/>
        <v>6906704.6500000004</v>
      </c>
      <c r="E311" s="36">
        <v>0</v>
      </c>
      <c r="F311" s="36">
        <v>0</v>
      </c>
      <c r="G311" s="29">
        <v>0</v>
      </c>
      <c r="H311" s="36">
        <v>0</v>
      </c>
      <c r="I311" s="36">
        <v>0</v>
      </c>
      <c r="J311" s="36">
        <v>0</v>
      </c>
      <c r="K311" s="31">
        <v>0</v>
      </c>
      <c r="L311" s="29">
        <v>0</v>
      </c>
      <c r="M311" s="37">
        <v>1260</v>
      </c>
      <c r="N311" s="37">
        <v>6705665.3499999996</v>
      </c>
      <c r="O311" s="36">
        <v>0</v>
      </c>
      <c r="P311" s="36">
        <v>0</v>
      </c>
      <c r="Q311" s="29">
        <v>0</v>
      </c>
      <c r="R311" s="29">
        <v>0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  <c r="AA311" s="29">
        <v>0</v>
      </c>
      <c r="AB311" s="29">
        <v>0</v>
      </c>
      <c r="AC311" s="37">
        <v>67894.86</v>
      </c>
      <c r="AD311" s="37">
        <v>133144.44</v>
      </c>
      <c r="AE311" s="29">
        <v>0</v>
      </c>
      <c r="AF311" s="32">
        <v>2020</v>
      </c>
      <c r="AG311" s="32">
        <v>2020</v>
      </c>
      <c r="AH311" s="33">
        <v>2020</v>
      </c>
      <c r="AT311" s="18" t="e">
        <f>VLOOKUP(C311,AW:AX,2,FALSE)</f>
        <v>#N/A</v>
      </c>
      <c r="BZ311" s="61"/>
      <c r="CD311" s="18" t="e">
        <f>VLOOKUP(C311,CE:CF,2,FALSE)</f>
        <v>#N/A</v>
      </c>
    </row>
    <row r="312" spans="1:82" ht="61.5" x14ac:dyDescent="0.85">
      <c r="A312" s="18">
        <v>1</v>
      </c>
      <c r="B312" s="57">
        <f>SUBTOTAL(103,$A$22:A312)</f>
        <v>277</v>
      </c>
      <c r="C312" s="22" t="s">
        <v>655</v>
      </c>
      <c r="D312" s="29">
        <f t="shared" si="29"/>
        <v>1582418.76</v>
      </c>
      <c r="E312" s="36">
        <v>0</v>
      </c>
      <c r="F312" s="36">
        <v>0</v>
      </c>
      <c r="G312" s="29">
        <v>0</v>
      </c>
      <c r="H312" s="36">
        <v>0</v>
      </c>
      <c r="I312" s="36">
        <v>0</v>
      </c>
      <c r="J312" s="36">
        <v>0</v>
      </c>
      <c r="K312" s="31">
        <v>0</v>
      </c>
      <c r="L312" s="29">
        <v>0</v>
      </c>
      <c r="M312" s="37">
        <v>740.9</v>
      </c>
      <c r="N312" s="37">
        <v>1479456.34</v>
      </c>
      <c r="O312" s="36">
        <v>0</v>
      </c>
      <c r="P312" s="36">
        <v>0</v>
      </c>
      <c r="Q312" s="29">
        <v>0</v>
      </c>
      <c r="R312" s="29">
        <v>0</v>
      </c>
      <c r="S312" s="29">
        <v>0</v>
      </c>
      <c r="T312" s="29">
        <v>0</v>
      </c>
      <c r="U312" s="29">
        <v>0</v>
      </c>
      <c r="V312" s="29">
        <v>0</v>
      </c>
      <c r="W312" s="29">
        <v>0</v>
      </c>
      <c r="X312" s="29">
        <v>0</v>
      </c>
      <c r="Y312" s="29">
        <v>0</v>
      </c>
      <c r="Z312" s="29">
        <v>0</v>
      </c>
      <c r="AA312" s="29">
        <v>0</v>
      </c>
      <c r="AB312" s="29">
        <v>0</v>
      </c>
      <c r="AC312" s="37">
        <v>14979.5</v>
      </c>
      <c r="AD312" s="37">
        <v>87982.92</v>
      </c>
      <c r="AE312" s="29">
        <v>0</v>
      </c>
      <c r="AF312" s="32">
        <v>2020</v>
      </c>
      <c r="AG312" s="32">
        <v>2020</v>
      </c>
      <c r="AH312" s="33">
        <v>2020</v>
      </c>
      <c r="AT312" s="18" t="e">
        <f>VLOOKUP(C312,AW:AX,2,FALSE)</f>
        <v>#N/A</v>
      </c>
      <c r="BZ312" s="61"/>
      <c r="CD312" s="18">
        <f>VLOOKUP(C312,CE:CF,2,FALSE)</f>
        <v>900</v>
      </c>
    </row>
    <row r="313" spans="1:82" ht="61.5" x14ac:dyDescent="0.85">
      <c r="A313" s="18">
        <v>1</v>
      </c>
      <c r="B313" s="57">
        <f>SUBTOTAL(103,$A$22:A313)</f>
        <v>278</v>
      </c>
      <c r="C313" s="22" t="s">
        <v>656</v>
      </c>
      <c r="D313" s="29">
        <f t="shared" si="29"/>
        <v>1494720.17</v>
      </c>
      <c r="E313" s="36">
        <v>0</v>
      </c>
      <c r="F313" s="36">
        <v>0</v>
      </c>
      <c r="G313" s="29">
        <v>0</v>
      </c>
      <c r="H313" s="36">
        <v>0</v>
      </c>
      <c r="I313" s="36">
        <v>0</v>
      </c>
      <c r="J313" s="36">
        <v>0</v>
      </c>
      <c r="K313" s="31">
        <v>0</v>
      </c>
      <c r="L313" s="29">
        <v>0</v>
      </c>
      <c r="M313" s="37">
        <v>787.1</v>
      </c>
      <c r="N313" s="37">
        <v>1392636.8</v>
      </c>
      <c r="O313" s="36">
        <v>0</v>
      </c>
      <c r="P313" s="36">
        <v>0</v>
      </c>
      <c r="Q313" s="29">
        <v>0</v>
      </c>
      <c r="R313" s="29">
        <v>0</v>
      </c>
      <c r="S313" s="29">
        <v>0</v>
      </c>
      <c r="T313" s="29">
        <v>0</v>
      </c>
      <c r="U313" s="29">
        <v>0</v>
      </c>
      <c r="V313" s="29">
        <v>0</v>
      </c>
      <c r="W313" s="29">
        <v>0</v>
      </c>
      <c r="X313" s="29">
        <v>0</v>
      </c>
      <c r="Y313" s="29">
        <v>0</v>
      </c>
      <c r="Z313" s="29">
        <v>0</v>
      </c>
      <c r="AA313" s="29">
        <v>0</v>
      </c>
      <c r="AB313" s="29">
        <v>0</v>
      </c>
      <c r="AC313" s="37">
        <v>14100.45</v>
      </c>
      <c r="AD313" s="37">
        <v>87982.92</v>
      </c>
      <c r="AE313" s="29">
        <v>0</v>
      </c>
      <c r="AF313" s="32">
        <v>2020</v>
      </c>
      <c r="AG313" s="32">
        <v>2020</v>
      </c>
      <c r="AH313" s="33">
        <v>2020</v>
      </c>
      <c r="AT313" s="18" t="e">
        <f>VLOOKUP(C313,AW:AX,2,FALSE)</f>
        <v>#N/A</v>
      </c>
      <c r="BZ313" s="61"/>
      <c r="CD313" s="18">
        <f>VLOOKUP(C313,CE:CF,2,FALSE)</f>
        <v>900</v>
      </c>
    </row>
    <row r="314" spans="1:82" ht="61.5" x14ac:dyDescent="0.85">
      <c r="A314" s="18">
        <v>1</v>
      </c>
      <c r="B314" s="57">
        <f>SUBTOTAL(103,$A$22:A314)</f>
        <v>279</v>
      </c>
      <c r="C314" s="22" t="s">
        <v>657</v>
      </c>
      <c r="D314" s="29">
        <f t="shared" si="29"/>
        <v>1534580.28</v>
      </c>
      <c r="E314" s="36">
        <v>0</v>
      </c>
      <c r="F314" s="36">
        <v>0</v>
      </c>
      <c r="G314" s="29">
        <v>0</v>
      </c>
      <c r="H314" s="36">
        <v>0</v>
      </c>
      <c r="I314" s="36">
        <v>0</v>
      </c>
      <c r="J314" s="36">
        <v>0</v>
      </c>
      <c r="K314" s="31">
        <v>0</v>
      </c>
      <c r="L314" s="29">
        <v>0</v>
      </c>
      <c r="M314" s="37">
        <v>760.1</v>
      </c>
      <c r="N314" s="37">
        <v>1432097.37</v>
      </c>
      <c r="O314" s="36">
        <v>0</v>
      </c>
      <c r="P314" s="36">
        <v>0</v>
      </c>
      <c r="Q314" s="29">
        <v>0</v>
      </c>
      <c r="R314" s="29">
        <v>0</v>
      </c>
      <c r="S314" s="29">
        <v>0</v>
      </c>
      <c r="T314" s="29">
        <v>0</v>
      </c>
      <c r="U314" s="29">
        <v>0</v>
      </c>
      <c r="V314" s="29">
        <v>0</v>
      </c>
      <c r="W314" s="29">
        <v>0</v>
      </c>
      <c r="X314" s="29">
        <v>0</v>
      </c>
      <c r="Y314" s="29">
        <v>0</v>
      </c>
      <c r="Z314" s="29">
        <v>0</v>
      </c>
      <c r="AA314" s="29">
        <v>0</v>
      </c>
      <c r="AB314" s="29">
        <v>0</v>
      </c>
      <c r="AC314" s="37">
        <v>14499.99</v>
      </c>
      <c r="AD314" s="37">
        <v>87982.92</v>
      </c>
      <c r="AE314" s="29">
        <v>0</v>
      </c>
      <c r="AF314" s="32">
        <v>2020</v>
      </c>
      <c r="AG314" s="32">
        <v>2020</v>
      </c>
      <c r="AH314" s="33">
        <v>2020</v>
      </c>
      <c r="AT314" s="18" t="e">
        <f>VLOOKUP(C314,AW:AX,2,FALSE)</f>
        <v>#N/A</v>
      </c>
      <c r="BZ314" s="61"/>
      <c r="CD314" s="18">
        <f>VLOOKUP(C314,CE:CF,2,FALSE)</f>
        <v>900</v>
      </c>
    </row>
    <row r="315" spans="1:82" ht="61.5" x14ac:dyDescent="0.85">
      <c r="A315" s="18">
        <v>1</v>
      </c>
      <c r="B315" s="57">
        <f>SUBTOTAL(103,$A$22:A315)</f>
        <v>280</v>
      </c>
      <c r="C315" s="22" t="s">
        <v>650</v>
      </c>
      <c r="D315" s="29">
        <f t="shared" si="29"/>
        <v>3346564.4</v>
      </c>
      <c r="E315" s="36">
        <v>0</v>
      </c>
      <c r="F315" s="36">
        <v>0</v>
      </c>
      <c r="G315" s="29">
        <v>0</v>
      </c>
      <c r="H315" s="36">
        <v>0</v>
      </c>
      <c r="I315" s="36">
        <v>0</v>
      </c>
      <c r="J315" s="36">
        <v>0</v>
      </c>
      <c r="K315" s="64">
        <v>2</v>
      </c>
      <c r="L315" s="29">
        <f>1635186.98*2</f>
        <v>3270373.96</v>
      </c>
      <c r="M315" s="29">
        <v>0</v>
      </c>
      <c r="N315" s="29">
        <v>0</v>
      </c>
      <c r="O315" s="36">
        <v>0</v>
      </c>
      <c r="P315" s="36">
        <v>0</v>
      </c>
      <c r="Q315" s="29">
        <v>0</v>
      </c>
      <c r="R315" s="29">
        <v>0</v>
      </c>
      <c r="S315" s="29">
        <v>0</v>
      </c>
      <c r="T315" s="29">
        <v>0</v>
      </c>
      <c r="U315" s="29">
        <v>0</v>
      </c>
      <c r="V315" s="29">
        <v>0</v>
      </c>
      <c r="W315" s="29">
        <v>0</v>
      </c>
      <c r="X315" s="29">
        <v>0</v>
      </c>
      <c r="Y315" s="29">
        <v>0</v>
      </c>
      <c r="Z315" s="29">
        <v>0</v>
      </c>
      <c r="AA315" s="29">
        <v>0</v>
      </c>
      <c r="AB315" s="29">
        <v>0</v>
      </c>
      <c r="AC315" s="29">
        <v>0</v>
      </c>
      <c r="AD315" s="37">
        <v>76190.44</v>
      </c>
      <c r="AE315" s="29">
        <v>0</v>
      </c>
      <c r="AF315" s="32">
        <v>2020</v>
      </c>
      <c r="AG315" s="32">
        <v>2020</v>
      </c>
      <c r="AH315" s="33" t="s">
        <v>268</v>
      </c>
      <c r="AT315" s="18" t="e">
        <f>VLOOKUP(C315,AW:AX,2,FALSE)</f>
        <v>#N/A</v>
      </c>
      <c r="BZ315" s="61"/>
      <c r="CD315" s="18" t="e">
        <f>VLOOKUP(C315,CE:CF,2,FALSE)</f>
        <v>#N/A</v>
      </c>
    </row>
    <row r="316" spans="1:82" ht="61.5" x14ac:dyDescent="0.85">
      <c r="A316" s="18">
        <v>1</v>
      </c>
      <c r="B316" s="57">
        <f>SUBTOTAL(103,$A$22:A316)</f>
        <v>281</v>
      </c>
      <c r="C316" s="22" t="s">
        <v>663</v>
      </c>
      <c r="D316" s="29">
        <f t="shared" si="29"/>
        <v>101554.75</v>
      </c>
      <c r="E316" s="36">
        <v>0</v>
      </c>
      <c r="F316" s="36">
        <v>0</v>
      </c>
      <c r="G316" s="29">
        <v>0</v>
      </c>
      <c r="H316" s="36">
        <v>0</v>
      </c>
      <c r="I316" s="36">
        <v>0</v>
      </c>
      <c r="J316" s="36">
        <v>0</v>
      </c>
      <c r="K316" s="31">
        <v>0</v>
      </c>
      <c r="L316" s="29">
        <v>0</v>
      </c>
      <c r="M316" s="29">
        <v>0</v>
      </c>
      <c r="N316" s="29">
        <v>0</v>
      </c>
      <c r="O316" s="36">
        <v>0</v>
      </c>
      <c r="P316" s="36">
        <v>0</v>
      </c>
      <c r="Q316" s="29">
        <v>0</v>
      </c>
      <c r="R316" s="29">
        <v>0</v>
      </c>
      <c r="S316" s="29">
        <v>0</v>
      </c>
      <c r="T316" s="29">
        <v>0</v>
      </c>
      <c r="U316" s="29">
        <v>0</v>
      </c>
      <c r="V316" s="29">
        <v>0</v>
      </c>
      <c r="W316" s="29">
        <v>0</v>
      </c>
      <c r="X316" s="29">
        <v>0</v>
      </c>
      <c r="Y316" s="29">
        <v>0</v>
      </c>
      <c r="Z316" s="29">
        <v>0</v>
      </c>
      <c r="AA316" s="29">
        <v>0</v>
      </c>
      <c r="AB316" s="29">
        <v>0</v>
      </c>
      <c r="AC316" s="29">
        <f>ROUND(N316*1.5%,2)</f>
        <v>0</v>
      </c>
      <c r="AD316" s="37">
        <v>101554.75</v>
      </c>
      <c r="AE316" s="29">
        <v>0</v>
      </c>
      <c r="AF316" s="32">
        <v>2020</v>
      </c>
      <c r="AG316" s="33" t="s">
        <v>268</v>
      </c>
      <c r="AH316" s="33" t="s">
        <v>268</v>
      </c>
      <c r="AT316" s="18" t="e">
        <f>VLOOKUP(C316,AW:AX,2,FALSE)</f>
        <v>#N/A</v>
      </c>
      <c r="BZ316" s="61"/>
      <c r="CD316" s="18" t="e">
        <f>VLOOKUP(C316,CE:CF,2,FALSE)</f>
        <v>#N/A</v>
      </c>
    </row>
    <row r="317" spans="1:82" ht="61.5" x14ac:dyDescent="0.85">
      <c r="A317" s="18">
        <v>1</v>
      </c>
      <c r="B317" s="57">
        <f>SUBTOTAL(103,$A$22:A317)</f>
        <v>282</v>
      </c>
      <c r="C317" s="22" t="s">
        <v>651</v>
      </c>
      <c r="D317" s="29">
        <f t="shared" si="29"/>
        <v>104089.37</v>
      </c>
      <c r="E317" s="36">
        <v>0</v>
      </c>
      <c r="F317" s="36">
        <v>0</v>
      </c>
      <c r="G317" s="29">
        <v>0</v>
      </c>
      <c r="H317" s="36">
        <v>0</v>
      </c>
      <c r="I317" s="36">
        <v>0</v>
      </c>
      <c r="J317" s="36">
        <v>0</v>
      </c>
      <c r="K317" s="31">
        <v>0</v>
      </c>
      <c r="L317" s="29">
        <v>0</v>
      </c>
      <c r="M317" s="29">
        <v>0</v>
      </c>
      <c r="N317" s="29">
        <v>0</v>
      </c>
      <c r="O317" s="36">
        <v>0</v>
      </c>
      <c r="P317" s="36">
        <v>0</v>
      </c>
      <c r="Q317" s="29">
        <v>0</v>
      </c>
      <c r="R317" s="29">
        <v>0</v>
      </c>
      <c r="S317" s="29">
        <v>0</v>
      </c>
      <c r="T317" s="29">
        <v>0</v>
      </c>
      <c r="U317" s="29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  <c r="AA317" s="29">
        <v>0</v>
      </c>
      <c r="AB317" s="29">
        <v>0</v>
      </c>
      <c r="AC317" s="29">
        <f>ROUND(N317*1.5%,2)</f>
        <v>0</v>
      </c>
      <c r="AD317" s="37">
        <v>104089.37</v>
      </c>
      <c r="AE317" s="29">
        <v>0</v>
      </c>
      <c r="AF317" s="32">
        <v>2020</v>
      </c>
      <c r="AG317" s="33" t="s">
        <v>268</v>
      </c>
      <c r="AH317" s="33" t="s">
        <v>268</v>
      </c>
      <c r="AT317" s="18" t="e">
        <f>VLOOKUP(C317,AW:AX,2,FALSE)</f>
        <v>#N/A</v>
      </c>
      <c r="BZ317" s="61"/>
      <c r="CD317" s="18" t="e">
        <f>VLOOKUP(C317,CE:CF,2,FALSE)</f>
        <v>#N/A</v>
      </c>
    </row>
    <row r="318" spans="1:82" ht="61.5" x14ac:dyDescent="0.85">
      <c r="A318" s="18">
        <v>1</v>
      </c>
      <c r="B318" s="57">
        <f>SUBTOTAL(103,$A$22:A318)</f>
        <v>283</v>
      </c>
      <c r="C318" s="22" t="s">
        <v>1189</v>
      </c>
      <c r="D318" s="29">
        <f t="shared" si="29"/>
        <v>4230013.1300000008</v>
      </c>
      <c r="E318" s="36">
        <v>0</v>
      </c>
      <c r="F318" s="36">
        <v>0</v>
      </c>
      <c r="G318" s="29">
        <v>0</v>
      </c>
      <c r="H318" s="36">
        <v>0</v>
      </c>
      <c r="I318" s="36">
        <v>0</v>
      </c>
      <c r="J318" s="36">
        <v>0</v>
      </c>
      <c r="K318" s="31">
        <v>0</v>
      </c>
      <c r="L318" s="29">
        <v>0</v>
      </c>
      <c r="M318" s="37">
        <v>953.5</v>
      </c>
      <c r="N318" s="37">
        <v>4069118.49</v>
      </c>
      <c r="O318" s="36">
        <v>0</v>
      </c>
      <c r="P318" s="36">
        <v>0</v>
      </c>
      <c r="Q318" s="29">
        <v>0</v>
      </c>
      <c r="R318" s="29">
        <v>0</v>
      </c>
      <c r="S318" s="29">
        <v>0</v>
      </c>
      <c r="T318" s="29">
        <v>0</v>
      </c>
      <c r="U318" s="29">
        <v>0</v>
      </c>
      <c r="V318" s="29">
        <v>0</v>
      </c>
      <c r="W318" s="29">
        <v>0</v>
      </c>
      <c r="X318" s="29">
        <v>0</v>
      </c>
      <c r="Y318" s="29">
        <v>0</v>
      </c>
      <c r="Z318" s="29">
        <v>0</v>
      </c>
      <c r="AA318" s="29">
        <v>0</v>
      </c>
      <c r="AB318" s="29">
        <v>0</v>
      </c>
      <c r="AC318" s="37">
        <v>40894.639999999999</v>
      </c>
      <c r="AD318" s="29">
        <v>0</v>
      </c>
      <c r="AE318" s="29">
        <v>120000</v>
      </c>
      <c r="AF318" s="32" t="s">
        <v>268</v>
      </c>
      <c r="AG318" s="32">
        <v>2020</v>
      </c>
      <c r="AH318" s="33">
        <v>2020</v>
      </c>
      <c r="BZ318" s="61"/>
      <c r="CD318" s="18">
        <f>VLOOKUP(C318,CE:CF,2,FALSE)</f>
        <v>953.5</v>
      </c>
    </row>
    <row r="319" spans="1:82" ht="61.5" x14ac:dyDescent="0.85">
      <c r="A319" s="18">
        <v>1</v>
      </c>
      <c r="B319" s="57">
        <f>SUBTOTAL(103,$A$22:A319)</f>
        <v>284</v>
      </c>
      <c r="C319" s="22" t="s">
        <v>1194</v>
      </c>
      <c r="D319" s="29">
        <f t="shared" si="29"/>
        <v>5425723.8799999999</v>
      </c>
      <c r="E319" s="36">
        <v>0</v>
      </c>
      <c r="F319" s="36">
        <v>0</v>
      </c>
      <c r="G319" s="29">
        <v>0</v>
      </c>
      <c r="H319" s="36">
        <v>0</v>
      </c>
      <c r="I319" s="36">
        <v>0</v>
      </c>
      <c r="J319" s="36">
        <v>0</v>
      </c>
      <c r="K319" s="334">
        <v>4</v>
      </c>
      <c r="L319" s="37">
        <v>5425723.8799999999</v>
      </c>
      <c r="M319" s="29">
        <v>0</v>
      </c>
      <c r="N319" s="29">
        <v>0</v>
      </c>
      <c r="O319" s="36">
        <v>0</v>
      </c>
      <c r="P319" s="36">
        <v>0</v>
      </c>
      <c r="Q319" s="29">
        <v>0</v>
      </c>
      <c r="R319" s="29">
        <v>0</v>
      </c>
      <c r="S319" s="29">
        <v>0</v>
      </c>
      <c r="T319" s="29">
        <v>0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  <c r="AA319" s="29">
        <v>0</v>
      </c>
      <c r="AB319" s="29">
        <v>0</v>
      </c>
      <c r="AC319" s="29">
        <v>0</v>
      </c>
      <c r="AD319" s="29">
        <v>0</v>
      </c>
      <c r="AE319" s="29">
        <v>0</v>
      </c>
      <c r="AF319" s="32" t="s">
        <v>268</v>
      </c>
      <c r="AG319" s="32">
        <v>2020</v>
      </c>
      <c r="AH319" s="33" t="s">
        <v>268</v>
      </c>
      <c r="BZ319" s="61"/>
      <c r="CD319" s="18" t="e">
        <f>VLOOKUP(C319,CE:CF,2,FALSE)</f>
        <v>#N/A</v>
      </c>
    </row>
    <row r="320" spans="1:82" ht="61.5" x14ac:dyDescent="0.85">
      <c r="A320" s="18">
        <v>1</v>
      </c>
      <c r="B320" s="57">
        <f>SUBTOTAL(103,$A$22:A320)</f>
        <v>285</v>
      </c>
      <c r="C320" s="22" t="s">
        <v>1195</v>
      </c>
      <c r="D320" s="29">
        <f t="shared" si="29"/>
        <v>839027.99</v>
      </c>
      <c r="E320" s="36">
        <v>0</v>
      </c>
      <c r="F320" s="36">
        <v>0</v>
      </c>
      <c r="G320" s="29">
        <v>0</v>
      </c>
      <c r="H320" s="36">
        <v>0</v>
      </c>
      <c r="I320" s="36">
        <v>0</v>
      </c>
      <c r="J320" s="36">
        <v>0</v>
      </c>
      <c r="K320" s="31">
        <v>0</v>
      </c>
      <c r="L320" s="29">
        <v>0</v>
      </c>
      <c r="M320" s="29">
        <v>0</v>
      </c>
      <c r="N320" s="29">
        <v>0</v>
      </c>
      <c r="O320" s="36">
        <v>0</v>
      </c>
      <c r="P320" s="36">
        <v>0</v>
      </c>
      <c r="Q320" s="37">
        <v>273.98200000000003</v>
      </c>
      <c r="R320" s="37">
        <v>826689.65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37">
        <v>12338.34</v>
      </c>
      <c r="AD320" s="29">
        <v>0</v>
      </c>
      <c r="AE320" s="29">
        <v>0</v>
      </c>
      <c r="AF320" s="32" t="s">
        <v>268</v>
      </c>
      <c r="AG320" s="32">
        <v>2020</v>
      </c>
      <c r="AH320" s="33">
        <v>2020</v>
      </c>
      <c r="BZ320" s="61"/>
      <c r="CD320" s="18" t="e">
        <f>VLOOKUP(C320,CE:CF,2,FALSE)</f>
        <v>#N/A</v>
      </c>
    </row>
    <row r="321" spans="1:82" ht="61.5" x14ac:dyDescent="0.85">
      <c r="A321" s="18">
        <v>1</v>
      </c>
      <c r="B321" s="57">
        <f>SUBTOTAL(103,$A$22:A321)</f>
        <v>286</v>
      </c>
      <c r="C321" s="22" t="s">
        <v>1196</v>
      </c>
      <c r="D321" s="29">
        <f t="shared" si="29"/>
        <v>1265060.8599999999</v>
      </c>
      <c r="E321" s="36">
        <v>0</v>
      </c>
      <c r="F321" s="36">
        <v>0</v>
      </c>
      <c r="G321" s="29">
        <v>0</v>
      </c>
      <c r="H321" s="36">
        <v>0</v>
      </c>
      <c r="I321" s="36">
        <v>0</v>
      </c>
      <c r="J321" s="36">
        <v>0</v>
      </c>
      <c r="K321" s="31">
        <v>0</v>
      </c>
      <c r="L321" s="29">
        <v>0</v>
      </c>
      <c r="M321" s="29">
        <v>0</v>
      </c>
      <c r="N321" s="29">
        <v>0</v>
      </c>
      <c r="O321" s="36">
        <v>0</v>
      </c>
      <c r="P321" s="36">
        <v>0</v>
      </c>
      <c r="Q321" s="37">
        <v>390.67</v>
      </c>
      <c r="R321" s="37">
        <v>1246457.48</v>
      </c>
      <c r="S321" s="29">
        <v>0</v>
      </c>
      <c r="T321" s="29">
        <v>0</v>
      </c>
      <c r="U321" s="29">
        <v>0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  <c r="AA321" s="29">
        <v>0</v>
      </c>
      <c r="AB321" s="29">
        <v>0</v>
      </c>
      <c r="AC321" s="37">
        <v>18603.38</v>
      </c>
      <c r="AD321" s="29">
        <v>0</v>
      </c>
      <c r="AE321" s="29">
        <v>0</v>
      </c>
      <c r="AF321" s="32" t="s">
        <v>268</v>
      </c>
      <c r="AG321" s="32">
        <v>2020</v>
      </c>
      <c r="AH321" s="33">
        <v>2020</v>
      </c>
      <c r="BZ321" s="61"/>
      <c r="CD321" s="18" t="e">
        <f>VLOOKUP(C321,CE:CF,2,FALSE)</f>
        <v>#N/A</v>
      </c>
    </row>
    <row r="322" spans="1:82" ht="61.5" x14ac:dyDescent="0.85">
      <c r="A322" s="18">
        <v>1</v>
      </c>
      <c r="B322" s="57">
        <f>SUBTOTAL(103,$A$22:A322)</f>
        <v>287</v>
      </c>
      <c r="C322" s="22" t="s">
        <v>1197</v>
      </c>
      <c r="D322" s="29">
        <f t="shared" si="29"/>
        <v>73200.320000000007</v>
      </c>
      <c r="E322" s="36">
        <v>0</v>
      </c>
      <c r="F322" s="36">
        <v>0</v>
      </c>
      <c r="G322" s="29">
        <v>0</v>
      </c>
      <c r="H322" s="36">
        <v>0</v>
      </c>
      <c r="I322" s="36">
        <v>0</v>
      </c>
      <c r="J322" s="36">
        <v>0</v>
      </c>
      <c r="K322" s="31">
        <v>0</v>
      </c>
      <c r="L322" s="29">
        <v>0</v>
      </c>
      <c r="M322" s="29">
        <v>0</v>
      </c>
      <c r="N322" s="29">
        <v>0</v>
      </c>
      <c r="O322" s="36">
        <v>0</v>
      </c>
      <c r="P322" s="36">
        <v>0</v>
      </c>
      <c r="Q322" s="29">
        <v>0</v>
      </c>
      <c r="R322" s="29">
        <v>0</v>
      </c>
      <c r="S322" s="29">
        <v>0</v>
      </c>
      <c r="T322" s="29">
        <v>0</v>
      </c>
      <c r="U322" s="29">
        <v>0</v>
      </c>
      <c r="V322" s="29">
        <v>0</v>
      </c>
      <c r="W322" s="29">
        <v>0</v>
      </c>
      <c r="X322" s="29">
        <v>0</v>
      </c>
      <c r="Y322" s="29">
        <v>0</v>
      </c>
      <c r="Z322" s="29">
        <v>0</v>
      </c>
      <c r="AA322" s="29">
        <v>0</v>
      </c>
      <c r="AB322" s="29">
        <v>0</v>
      </c>
      <c r="AC322" s="29">
        <f>ROUND(N322*1.5%,2)</f>
        <v>0</v>
      </c>
      <c r="AD322" s="37">
        <v>73200.320000000007</v>
      </c>
      <c r="AE322" s="29">
        <v>0</v>
      </c>
      <c r="AF322" s="32">
        <v>2020</v>
      </c>
      <c r="AG322" s="33" t="s">
        <v>268</v>
      </c>
      <c r="AH322" s="33" t="s">
        <v>268</v>
      </c>
      <c r="BZ322" s="61"/>
      <c r="CD322" s="18">
        <f>VLOOKUP(C322,CE:CF,2,FALSE)</f>
        <v>738.92</v>
      </c>
    </row>
    <row r="323" spans="1:82" ht="61.5" x14ac:dyDescent="0.85">
      <c r="A323" s="18">
        <v>1</v>
      </c>
      <c r="B323" s="57">
        <f>SUBTOTAL(103,$A$22:A323)</f>
        <v>288</v>
      </c>
      <c r="C323" s="22" t="s">
        <v>1526</v>
      </c>
      <c r="D323" s="29">
        <f t="shared" si="29"/>
        <v>1322373.3</v>
      </c>
      <c r="E323" s="36">
        <v>0</v>
      </c>
      <c r="F323" s="36">
        <v>0</v>
      </c>
      <c r="G323" s="29">
        <v>0</v>
      </c>
      <c r="H323" s="36">
        <v>0</v>
      </c>
      <c r="I323" s="36">
        <v>0</v>
      </c>
      <c r="J323" s="36">
        <v>0</v>
      </c>
      <c r="K323" s="31">
        <v>0</v>
      </c>
      <c r="L323" s="29">
        <v>0</v>
      </c>
      <c r="M323" s="37">
        <v>292.45</v>
      </c>
      <c r="N323" s="37">
        <v>1190409.68</v>
      </c>
      <c r="O323" s="36">
        <v>0</v>
      </c>
      <c r="P323" s="36">
        <v>0</v>
      </c>
      <c r="Q323" s="29">
        <v>0</v>
      </c>
      <c r="R323" s="29">
        <v>0</v>
      </c>
      <c r="S323" s="29">
        <v>0</v>
      </c>
      <c r="T323" s="29">
        <v>0</v>
      </c>
      <c r="U323" s="29">
        <v>0</v>
      </c>
      <c r="V323" s="29">
        <v>0</v>
      </c>
      <c r="W323" s="29">
        <v>0</v>
      </c>
      <c r="X323" s="29">
        <v>0</v>
      </c>
      <c r="Y323" s="29">
        <v>0</v>
      </c>
      <c r="Z323" s="29">
        <v>0</v>
      </c>
      <c r="AA323" s="29">
        <v>0</v>
      </c>
      <c r="AB323" s="29">
        <v>0</v>
      </c>
      <c r="AC323" s="37">
        <v>11963.62</v>
      </c>
      <c r="AD323" s="29">
        <v>0</v>
      </c>
      <c r="AE323" s="29">
        <v>120000</v>
      </c>
      <c r="AF323" s="32" t="s">
        <v>268</v>
      </c>
      <c r="AG323" s="32">
        <v>2020</v>
      </c>
      <c r="AH323" s="33">
        <v>2020</v>
      </c>
      <c r="BZ323" s="61"/>
      <c r="CD323" s="18">
        <f>VLOOKUP(C323,CE:CF,2,FALSE)</f>
        <v>275.39999999999998</v>
      </c>
    </row>
    <row r="324" spans="1:82" ht="61.5" x14ac:dyDescent="0.85">
      <c r="A324" s="18">
        <v>1</v>
      </c>
      <c r="B324" s="57">
        <f>SUBTOTAL(103,$A$22:A324)</f>
        <v>289</v>
      </c>
      <c r="C324" s="22" t="s">
        <v>1536</v>
      </c>
      <c r="D324" s="29">
        <f t="shared" si="29"/>
        <v>1654546.33</v>
      </c>
      <c r="E324" s="36">
        <v>0</v>
      </c>
      <c r="F324" s="36">
        <v>0</v>
      </c>
      <c r="G324" s="29">
        <v>0</v>
      </c>
      <c r="H324" s="36">
        <v>0</v>
      </c>
      <c r="I324" s="36">
        <v>0</v>
      </c>
      <c r="J324" s="36">
        <v>0</v>
      </c>
      <c r="K324" s="31">
        <v>0</v>
      </c>
      <c r="L324" s="29">
        <v>0</v>
      </c>
      <c r="M324" s="37">
        <v>344.5</v>
      </c>
      <c r="N324" s="37">
        <v>1511980.03</v>
      </c>
      <c r="O324" s="36">
        <v>0</v>
      </c>
      <c r="P324" s="36">
        <v>0</v>
      </c>
      <c r="Q324" s="29">
        <v>0</v>
      </c>
      <c r="R324" s="29">
        <v>0</v>
      </c>
      <c r="S324" s="29">
        <v>0</v>
      </c>
      <c r="T324" s="29">
        <v>0</v>
      </c>
      <c r="U324" s="29">
        <v>0</v>
      </c>
      <c r="V324" s="29">
        <v>0</v>
      </c>
      <c r="W324" s="29">
        <v>0</v>
      </c>
      <c r="X324" s="29">
        <v>0</v>
      </c>
      <c r="Y324" s="29">
        <v>0</v>
      </c>
      <c r="Z324" s="29">
        <v>0</v>
      </c>
      <c r="AA324" s="29">
        <v>0</v>
      </c>
      <c r="AB324" s="29">
        <v>0</v>
      </c>
      <c r="AC324" s="29">
        <f>ROUND(N324*1.4925%,2)</f>
        <v>22566.3</v>
      </c>
      <c r="AD324" s="29">
        <v>0</v>
      </c>
      <c r="AE324" s="29">
        <v>120000</v>
      </c>
      <c r="AF324" s="32" t="s">
        <v>268</v>
      </c>
      <c r="AG324" s="32">
        <v>2020</v>
      </c>
      <c r="AH324" s="33">
        <v>2020</v>
      </c>
      <c r="BZ324" s="61"/>
      <c r="CD324" s="18">
        <f>VLOOKUP(C324,CE:CF,2,FALSE)</f>
        <v>344.5</v>
      </c>
    </row>
    <row r="325" spans="1:82" ht="61.5" x14ac:dyDescent="0.85">
      <c r="B325" s="22" t="s">
        <v>816</v>
      </c>
      <c r="C325" s="338"/>
      <c r="D325" s="339">
        <f t="shared" ref="D325:AE325" si="30">SUM(D326:D341)</f>
        <v>22830689.180000003</v>
      </c>
      <c r="E325" s="29">
        <f t="shared" si="30"/>
        <v>0</v>
      </c>
      <c r="F325" s="29">
        <f t="shared" si="30"/>
        <v>0</v>
      </c>
      <c r="G325" s="29">
        <f t="shared" si="30"/>
        <v>0</v>
      </c>
      <c r="H325" s="29">
        <f t="shared" si="30"/>
        <v>0</v>
      </c>
      <c r="I325" s="29">
        <f t="shared" si="30"/>
        <v>2268467.9300000002</v>
      </c>
      <c r="J325" s="29">
        <f t="shared" si="30"/>
        <v>0</v>
      </c>
      <c r="K325" s="31">
        <f t="shared" si="30"/>
        <v>0</v>
      </c>
      <c r="L325" s="29">
        <f t="shared" si="30"/>
        <v>0</v>
      </c>
      <c r="M325" s="29">
        <f t="shared" si="30"/>
        <v>3653.92</v>
      </c>
      <c r="N325" s="29">
        <f t="shared" si="30"/>
        <v>14137054.039999999</v>
      </c>
      <c r="O325" s="29">
        <f t="shared" si="30"/>
        <v>0</v>
      </c>
      <c r="P325" s="29">
        <f t="shared" si="30"/>
        <v>0</v>
      </c>
      <c r="Q325" s="29">
        <f t="shared" si="30"/>
        <v>1413.88</v>
      </c>
      <c r="R325" s="29">
        <f t="shared" si="30"/>
        <v>5539556.1299999999</v>
      </c>
      <c r="S325" s="29">
        <f t="shared" si="30"/>
        <v>0</v>
      </c>
      <c r="T325" s="29">
        <f t="shared" si="30"/>
        <v>0</v>
      </c>
      <c r="U325" s="29">
        <f t="shared" si="30"/>
        <v>0</v>
      </c>
      <c r="V325" s="29">
        <f t="shared" si="30"/>
        <v>0</v>
      </c>
      <c r="W325" s="29">
        <f t="shared" si="30"/>
        <v>0</v>
      </c>
      <c r="X325" s="29">
        <f t="shared" si="30"/>
        <v>0</v>
      </c>
      <c r="Y325" s="29">
        <f t="shared" si="30"/>
        <v>0</v>
      </c>
      <c r="Z325" s="29">
        <f t="shared" si="30"/>
        <v>0</v>
      </c>
      <c r="AA325" s="29">
        <f t="shared" si="30"/>
        <v>0</v>
      </c>
      <c r="AB325" s="29">
        <f t="shared" si="30"/>
        <v>0</v>
      </c>
      <c r="AC325" s="29">
        <f t="shared" si="30"/>
        <v>257422.68000000005</v>
      </c>
      <c r="AD325" s="29">
        <f t="shared" si="30"/>
        <v>508188.39999999997</v>
      </c>
      <c r="AE325" s="29">
        <f t="shared" si="30"/>
        <v>120000</v>
      </c>
      <c r="AF325" s="62" t="s">
        <v>743</v>
      </c>
      <c r="AG325" s="62" t="s">
        <v>743</v>
      </c>
      <c r="AH325" s="77" t="s">
        <v>743</v>
      </c>
      <c r="AT325" s="18" t="e">
        <f>VLOOKUP(C325,AW:AX,2,FALSE)</f>
        <v>#N/A</v>
      </c>
      <c r="BZ325" s="61">
        <v>38859598.050000004</v>
      </c>
      <c r="CB325" s="61">
        <f>BZ325-D325</f>
        <v>16028908.870000001</v>
      </c>
      <c r="CD325" s="18" t="e">
        <f>VLOOKUP(C325,CE:CF,2,FALSE)</f>
        <v>#N/A</v>
      </c>
    </row>
    <row r="326" spans="1:82" ht="61.5" x14ac:dyDescent="0.85">
      <c r="A326" s="18">
        <v>1</v>
      </c>
      <c r="B326" s="57">
        <f>SUBTOTAL(103,$A$22:A326)</f>
        <v>290</v>
      </c>
      <c r="C326" s="22" t="s">
        <v>231</v>
      </c>
      <c r="D326" s="29">
        <f t="shared" ref="D326:D339" si="31">E326+F326+G326+H326+I326+J326+L326+N326+P326+R326+T326+U326+V326+W326+X326+Y326+Z326+AA326+AB326+AC326+AD326+AE326</f>
        <v>1413561.06</v>
      </c>
      <c r="E326" s="29">
        <v>0</v>
      </c>
      <c r="F326" s="29">
        <v>0</v>
      </c>
      <c r="G326" s="29">
        <v>0</v>
      </c>
      <c r="H326" s="29">
        <v>0</v>
      </c>
      <c r="I326" s="29">
        <v>0</v>
      </c>
      <c r="J326" s="29">
        <v>0</v>
      </c>
      <c r="K326" s="31">
        <v>0</v>
      </c>
      <c r="L326" s="29">
        <v>0</v>
      </c>
      <c r="M326" s="37">
        <v>343</v>
      </c>
      <c r="N326" s="37">
        <v>1339821.01</v>
      </c>
      <c r="O326" s="29">
        <v>0</v>
      </c>
      <c r="P326" s="29">
        <v>0</v>
      </c>
      <c r="Q326" s="29">
        <v>0</v>
      </c>
      <c r="R326" s="29">
        <v>0</v>
      </c>
      <c r="S326" s="29">
        <v>0</v>
      </c>
      <c r="T326" s="29">
        <v>0</v>
      </c>
      <c r="U326" s="29">
        <v>0</v>
      </c>
      <c r="V326" s="29">
        <v>0</v>
      </c>
      <c r="W326" s="29">
        <v>0</v>
      </c>
      <c r="X326" s="29">
        <v>0</v>
      </c>
      <c r="Y326" s="29">
        <v>0</v>
      </c>
      <c r="Z326" s="29">
        <v>0</v>
      </c>
      <c r="AA326" s="29">
        <v>0</v>
      </c>
      <c r="AB326" s="29">
        <v>0</v>
      </c>
      <c r="AC326" s="37">
        <v>13565.69</v>
      </c>
      <c r="AD326" s="134">
        <v>60174.36</v>
      </c>
      <c r="AE326" s="29">
        <v>0</v>
      </c>
      <c r="AF326" s="32">
        <v>2020</v>
      </c>
      <c r="AG326" s="32">
        <v>2020</v>
      </c>
      <c r="AH326" s="33">
        <v>2020</v>
      </c>
      <c r="AT326" s="18" t="e">
        <f>VLOOKUP(C326,AW:AX,2,FALSE)</f>
        <v>#N/A</v>
      </c>
      <c r="BZ326" s="61"/>
      <c r="CD326" s="18" t="e">
        <f>VLOOKUP(C326,CE:CF,2,FALSE)</f>
        <v>#N/A</v>
      </c>
    </row>
    <row r="327" spans="1:82" ht="61.5" x14ac:dyDescent="0.85">
      <c r="A327" s="18">
        <v>1</v>
      </c>
      <c r="B327" s="57">
        <f>SUBTOTAL(103,$A$22:A327)</f>
        <v>291</v>
      </c>
      <c r="C327" s="22" t="s">
        <v>233</v>
      </c>
      <c r="D327" s="29">
        <f t="shared" si="31"/>
        <v>75889.97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31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0</v>
      </c>
      <c r="R327" s="29">
        <v>0</v>
      </c>
      <c r="S327" s="29">
        <v>0</v>
      </c>
      <c r="T327" s="29">
        <v>0</v>
      </c>
      <c r="U327" s="29">
        <v>0</v>
      </c>
      <c r="V327" s="29">
        <v>0</v>
      </c>
      <c r="W327" s="29">
        <v>0</v>
      </c>
      <c r="X327" s="29">
        <v>0</v>
      </c>
      <c r="Y327" s="29">
        <v>0</v>
      </c>
      <c r="Z327" s="29">
        <v>0</v>
      </c>
      <c r="AA327" s="29">
        <v>0</v>
      </c>
      <c r="AB327" s="29">
        <v>0</v>
      </c>
      <c r="AC327" s="29">
        <f>ROUND(R327*1.5%,2)</f>
        <v>0</v>
      </c>
      <c r="AD327" s="29">
        <v>75889.97</v>
      </c>
      <c r="AE327" s="29">
        <v>0</v>
      </c>
      <c r="AF327" s="32">
        <v>2020</v>
      </c>
      <c r="AG327" s="33" t="s">
        <v>268</v>
      </c>
      <c r="AH327" s="33" t="s">
        <v>268</v>
      </c>
      <c r="AT327" s="18" t="e">
        <f>VLOOKUP(C327,AW:AX,2,FALSE)</f>
        <v>#N/A</v>
      </c>
      <c r="BZ327" s="61"/>
      <c r="CD327" s="18" t="e">
        <f>VLOOKUP(C327,CE:CF,2,FALSE)</f>
        <v>#N/A</v>
      </c>
    </row>
    <row r="328" spans="1:82" ht="61.5" x14ac:dyDescent="0.85">
      <c r="A328" s="18">
        <v>1</v>
      </c>
      <c r="B328" s="57">
        <f>SUBTOTAL(103,$A$22:A328)</f>
        <v>292</v>
      </c>
      <c r="C328" s="22" t="s">
        <v>236</v>
      </c>
      <c r="D328" s="29">
        <f t="shared" si="31"/>
        <v>1769883.07</v>
      </c>
      <c r="E328" s="29">
        <v>0</v>
      </c>
      <c r="F328" s="29">
        <v>0</v>
      </c>
      <c r="G328" s="29">
        <v>0</v>
      </c>
      <c r="H328" s="29">
        <v>0</v>
      </c>
      <c r="I328" s="29">
        <v>0</v>
      </c>
      <c r="J328" s="29">
        <v>0</v>
      </c>
      <c r="K328" s="31">
        <v>0</v>
      </c>
      <c r="L328" s="29">
        <v>0</v>
      </c>
      <c r="M328" s="37">
        <v>489.14</v>
      </c>
      <c r="N328" s="37">
        <v>1682950.22</v>
      </c>
      <c r="O328" s="29">
        <v>0</v>
      </c>
      <c r="P328" s="29">
        <v>0</v>
      </c>
      <c r="Q328" s="29">
        <v>0</v>
      </c>
      <c r="R328" s="29">
        <v>0</v>
      </c>
      <c r="S328" s="29">
        <v>0</v>
      </c>
      <c r="T328" s="29">
        <v>0</v>
      </c>
      <c r="U328" s="29">
        <v>0</v>
      </c>
      <c r="V328" s="29">
        <v>0</v>
      </c>
      <c r="W328" s="29">
        <v>0</v>
      </c>
      <c r="X328" s="29">
        <v>0</v>
      </c>
      <c r="Y328" s="29">
        <v>0</v>
      </c>
      <c r="Z328" s="29">
        <v>0</v>
      </c>
      <c r="AA328" s="29">
        <v>0</v>
      </c>
      <c r="AB328" s="29">
        <v>0</v>
      </c>
      <c r="AC328" s="29">
        <v>17039.87</v>
      </c>
      <c r="AD328" s="134">
        <v>69892.98</v>
      </c>
      <c r="AE328" s="29">
        <v>0</v>
      </c>
      <c r="AF328" s="32">
        <v>2020</v>
      </c>
      <c r="AG328" s="32">
        <v>2020</v>
      </c>
      <c r="AH328" s="33">
        <v>2020</v>
      </c>
      <c r="AT328" s="18" t="e">
        <f>VLOOKUP(C328,AW:AX,2,FALSE)</f>
        <v>#N/A</v>
      </c>
      <c r="BZ328" s="61"/>
      <c r="CD328" s="18" t="e">
        <f>VLOOKUP(C328,CE:CF,2,FALSE)</f>
        <v>#N/A</v>
      </c>
    </row>
    <row r="329" spans="1:82" ht="61.5" x14ac:dyDescent="0.85">
      <c r="A329" s="18">
        <v>1</v>
      </c>
      <c r="B329" s="57">
        <f>SUBTOTAL(103,$A$22:A329)</f>
        <v>293</v>
      </c>
      <c r="C329" s="22" t="s">
        <v>237</v>
      </c>
      <c r="D329" s="29">
        <f t="shared" si="31"/>
        <v>48252.34</v>
      </c>
      <c r="E329" s="29">
        <v>0</v>
      </c>
      <c r="F329" s="29">
        <v>0</v>
      </c>
      <c r="G329" s="29">
        <v>0</v>
      </c>
      <c r="H329" s="29">
        <v>0</v>
      </c>
      <c r="I329" s="29">
        <v>0</v>
      </c>
      <c r="J329" s="29">
        <v>0</v>
      </c>
      <c r="K329" s="31">
        <v>0</v>
      </c>
      <c r="L329" s="29">
        <v>0</v>
      </c>
      <c r="M329" s="29">
        <v>0</v>
      </c>
      <c r="N329" s="29">
        <v>0</v>
      </c>
      <c r="O329" s="29">
        <v>0</v>
      </c>
      <c r="P329" s="29">
        <v>0</v>
      </c>
      <c r="Q329" s="29">
        <v>0</v>
      </c>
      <c r="R329" s="29">
        <v>0</v>
      </c>
      <c r="S329" s="29">
        <v>0</v>
      </c>
      <c r="T329" s="29">
        <v>0</v>
      </c>
      <c r="U329" s="29">
        <v>0</v>
      </c>
      <c r="V329" s="29">
        <v>0</v>
      </c>
      <c r="W329" s="29">
        <v>0</v>
      </c>
      <c r="X329" s="29">
        <v>0</v>
      </c>
      <c r="Y329" s="29">
        <v>0</v>
      </c>
      <c r="Z329" s="29">
        <v>0</v>
      </c>
      <c r="AA329" s="29">
        <v>0</v>
      </c>
      <c r="AB329" s="29">
        <v>0</v>
      </c>
      <c r="AC329" s="29">
        <f>ROUND(N329*1.5%,2)</f>
        <v>0</v>
      </c>
      <c r="AD329" s="37">
        <v>48252.34</v>
      </c>
      <c r="AE329" s="29">
        <v>0</v>
      </c>
      <c r="AF329" s="32">
        <v>2020</v>
      </c>
      <c r="AG329" s="33" t="s">
        <v>268</v>
      </c>
      <c r="AH329" s="33" t="s">
        <v>268</v>
      </c>
      <c r="AT329" s="18" t="e">
        <f>VLOOKUP(C329,AW:AX,2,FALSE)</f>
        <v>#N/A</v>
      </c>
      <c r="BZ329" s="61"/>
      <c r="CD329" s="18" t="e">
        <f>VLOOKUP(C329,CE:CF,2,FALSE)</f>
        <v>#N/A</v>
      </c>
    </row>
    <row r="330" spans="1:82" ht="61.5" x14ac:dyDescent="0.85">
      <c r="A330" s="18">
        <v>1</v>
      </c>
      <c r="B330" s="57">
        <f>SUBTOTAL(103,$A$22:A330)</f>
        <v>294</v>
      </c>
      <c r="C330" s="22" t="s">
        <v>232</v>
      </c>
      <c r="D330" s="29">
        <f t="shared" si="31"/>
        <v>1361877.77</v>
      </c>
      <c r="E330" s="29">
        <v>0</v>
      </c>
      <c r="F330" s="29">
        <v>0</v>
      </c>
      <c r="G330" s="29">
        <v>0</v>
      </c>
      <c r="H330" s="29">
        <v>0</v>
      </c>
      <c r="I330" s="29">
        <v>0</v>
      </c>
      <c r="J330" s="29">
        <v>0</v>
      </c>
      <c r="K330" s="31">
        <v>0</v>
      </c>
      <c r="L330" s="29">
        <v>0</v>
      </c>
      <c r="M330" s="37">
        <v>296.32</v>
      </c>
      <c r="N330" s="37">
        <v>1291319.8999999999</v>
      </c>
      <c r="O330" s="29">
        <v>0</v>
      </c>
      <c r="P330" s="29">
        <v>0</v>
      </c>
      <c r="Q330" s="29">
        <v>0</v>
      </c>
      <c r="R330" s="29">
        <v>0</v>
      </c>
      <c r="S330" s="29">
        <v>0</v>
      </c>
      <c r="T330" s="29">
        <v>0</v>
      </c>
      <c r="U330" s="29">
        <v>0</v>
      </c>
      <c r="V330" s="29">
        <v>0</v>
      </c>
      <c r="W330" s="29">
        <v>0</v>
      </c>
      <c r="X330" s="29">
        <v>0</v>
      </c>
      <c r="Y330" s="29">
        <v>0</v>
      </c>
      <c r="Z330" s="29">
        <v>0</v>
      </c>
      <c r="AA330" s="29">
        <v>0</v>
      </c>
      <c r="AB330" s="29">
        <v>0</v>
      </c>
      <c r="AC330" s="37">
        <v>13074.61</v>
      </c>
      <c r="AD330" s="134">
        <v>57483.26</v>
      </c>
      <c r="AE330" s="29">
        <v>0</v>
      </c>
      <c r="AF330" s="32">
        <v>2020</v>
      </c>
      <c r="AG330" s="32">
        <v>2020</v>
      </c>
      <c r="AH330" s="33">
        <v>2020</v>
      </c>
      <c r="AT330" s="18" t="e">
        <f>VLOOKUP(C330,AW:AX,2,FALSE)</f>
        <v>#N/A</v>
      </c>
      <c r="BZ330" s="61"/>
      <c r="CD330" s="18" t="e">
        <f>VLOOKUP(C330,CE:CF,2,FALSE)</f>
        <v>#N/A</v>
      </c>
    </row>
    <row r="331" spans="1:82" ht="61.5" x14ac:dyDescent="0.85">
      <c r="A331" s="18">
        <v>1</v>
      </c>
      <c r="B331" s="57">
        <f>SUBTOTAL(103,$A$22:A331)</f>
        <v>295</v>
      </c>
      <c r="C331" s="22" t="s">
        <v>239</v>
      </c>
      <c r="D331" s="29">
        <f t="shared" si="31"/>
        <v>82017.66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0</v>
      </c>
      <c r="K331" s="31">
        <v>0</v>
      </c>
      <c r="L331" s="29">
        <v>0</v>
      </c>
      <c r="M331" s="29">
        <v>0</v>
      </c>
      <c r="N331" s="29">
        <v>0</v>
      </c>
      <c r="O331" s="29">
        <v>0</v>
      </c>
      <c r="P331" s="29">
        <v>0</v>
      </c>
      <c r="Q331" s="29">
        <v>0</v>
      </c>
      <c r="R331" s="29">
        <v>0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9">
        <v>0</v>
      </c>
      <c r="Y331" s="29">
        <v>0</v>
      </c>
      <c r="Z331" s="29">
        <v>0</v>
      </c>
      <c r="AA331" s="29">
        <v>0</v>
      </c>
      <c r="AB331" s="29">
        <v>0</v>
      </c>
      <c r="AC331" s="29">
        <f>ROUND(N331*1.5%,2)</f>
        <v>0</v>
      </c>
      <c r="AD331" s="37">
        <v>82017.66</v>
      </c>
      <c r="AE331" s="29">
        <v>0</v>
      </c>
      <c r="AF331" s="32">
        <v>2020</v>
      </c>
      <c r="AG331" s="33" t="s">
        <v>268</v>
      </c>
      <c r="AH331" s="33" t="s">
        <v>268</v>
      </c>
      <c r="AT331" s="18" t="e">
        <f>VLOOKUP(C331,AW:AX,2,FALSE)</f>
        <v>#N/A</v>
      </c>
      <c r="BZ331" s="61"/>
      <c r="CD331" s="18" t="e">
        <f>VLOOKUP(C331,CE:CF,2,FALSE)</f>
        <v>#N/A</v>
      </c>
    </row>
    <row r="332" spans="1:82" ht="61.5" x14ac:dyDescent="0.85">
      <c r="A332" s="18">
        <v>1</v>
      </c>
      <c r="B332" s="57">
        <f>SUBTOTAL(103,$A$22:A332)</f>
        <v>296</v>
      </c>
      <c r="C332" s="22" t="s">
        <v>1200</v>
      </c>
      <c r="D332" s="29">
        <f t="shared" si="31"/>
        <v>2704515.35</v>
      </c>
      <c r="E332" s="36">
        <v>0</v>
      </c>
      <c r="F332" s="36">
        <v>0</v>
      </c>
      <c r="G332" s="29">
        <v>0</v>
      </c>
      <c r="H332" s="36">
        <v>0</v>
      </c>
      <c r="I332" s="36">
        <v>0</v>
      </c>
      <c r="J332" s="36">
        <v>0</v>
      </c>
      <c r="K332" s="64">
        <v>0</v>
      </c>
      <c r="L332" s="29">
        <v>0</v>
      </c>
      <c r="M332" s="29">
        <v>0</v>
      </c>
      <c r="N332" s="29">
        <v>0</v>
      </c>
      <c r="O332" s="36">
        <v>0</v>
      </c>
      <c r="P332" s="36">
        <v>0</v>
      </c>
      <c r="Q332" s="37">
        <v>658.88</v>
      </c>
      <c r="R332" s="37">
        <v>2677605.42</v>
      </c>
      <c r="S332" s="29">
        <v>0</v>
      </c>
      <c r="T332" s="29">
        <v>0</v>
      </c>
      <c r="U332" s="29">
        <v>0</v>
      </c>
      <c r="V332" s="29">
        <v>0</v>
      </c>
      <c r="W332" s="29">
        <v>0</v>
      </c>
      <c r="X332" s="29">
        <v>0</v>
      </c>
      <c r="Y332" s="29">
        <v>0</v>
      </c>
      <c r="Z332" s="29">
        <v>0</v>
      </c>
      <c r="AA332" s="29">
        <v>0</v>
      </c>
      <c r="AB332" s="29">
        <v>0</v>
      </c>
      <c r="AC332" s="29">
        <v>26909.93</v>
      </c>
      <c r="AD332" s="29">
        <v>0</v>
      </c>
      <c r="AE332" s="29">
        <v>0</v>
      </c>
      <c r="AF332" s="32" t="s">
        <v>268</v>
      </c>
      <c r="AG332" s="32">
        <v>2020</v>
      </c>
      <c r="AH332" s="33">
        <v>2020</v>
      </c>
      <c r="BZ332" s="61"/>
      <c r="CD332" s="18" t="e">
        <f>VLOOKUP(C332,CE:CF,2,FALSE)</f>
        <v>#N/A</v>
      </c>
    </row>
    <row r="333" spans="1:82" ht="61.5" x14ac:dyDescent="0.85">
      <c r="A333" s="18">
        <v>1</v>
      </c>
      <c r="B333" s="57">
        <f>SUBTOTAL(103,$A$22:A333)</f>
        <v>297</v>
      </c>
      <c r="C333" s="22" t="s">
        <v>1201</v>
      </c>
      <c r="D333" s="29">
        <f t="shared" si="31"/>
        <v>2291266.0300000003</v>
      </c>
      <c r="E333" s="36">
        <v>0</v>
      </c>
      <c r="F333" s="36">
        <v>0</v>
      </c>
      <c r="G333" s="29">
        <v>0</v>
      </c>
      <c r="H333" s="36">
        <v>0</v>
      </c>
      <c r="I333" s="37">
        <v>2268467.9300000002</v>
      </c>
      <c r="J333" s="36">
        <v>0</v>
      </c>
      <c r="K333" s="31">
        <v>0</v>
      </c>
      <c r="L333" s="29">
        <v>0</v>
      </c>
      <c r="M333" s="29">
        <v>0</v>
      </c>
      <c r="N333" s="29">
        <v>0</v>
      </c>
      <c r="O333" s="36">
        <v>0</v>
      </c>
      <c r="P333" s="36">
        <v>0</v>
      </c>
      <c r="Q333" s="29">
        <v>0</v>
      </c>
      <c r="R333" s="29">
        <v>0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9">
        <v>0</v>
      </c>
      <c r="Y333" s="29">
        <v>0</v>
      </c>
      <c r="Z333" s="29">
        <v>0</v>
      </c>
      <c r="AA333" s="29">
        <v>0</v>
      </c>
      <c r="AB333" s="29">
        <v>0</v>
      </c>
      <c r="AC333" s="29">
        <f>ROUND((E333+F333+G333+H333+I333+J333)*1.005%,2)</f>
        <v>22798.1</v>
      </c>
      <c r="AD333" s="29">
        <v>0</v>
      </c>
      <c r="AE333" s="29">
        <v>0</v>
      </c>
      <c r="AF333" s="32" t="s">
        <v>268</v>
      </c>
      <c r="AG333" s="32">
        <v>2020</v>
      </c>
      <c r="AH333" s="33">
        <v>2020</v>
      </c>
      <c r="BZ333" s="61"/>
      <c r="CD333" s="18" t="e">
        <f>VLOOKUP(C333,CE:CF,2,FALSE)</f>
        <v>#N/A</v>
      </c>
    </row>
    <row r="334" spans="1:82" ht="61.5" x14ac:dyDescent="0.85">
      <c r="A334" s="18">
        <v>1</v>
      </c>
      <c r="B334" s="57">
        <f>SUBTOTAL(103,$A$22:A334)</f>
        <v>298</v>
      </c>
      <c r="C334" s="22" t="s">
        <v>1202</v>
      </c>
      <c r="D334" s="29">
        <f t="shared" si="31"/>
        <v>2890713.31</v>
      </c>
      <c r="E334" s="36">
        <v>0</v>
      </c>
      <c r="F334" s="36">
        <v>0</v>
      </c>
      <c r="G334" s="29">
        <v>0</v>
      </c>
      <c r="H334" s="36">
        <v>0</v>
      </c>
      <c r="I334" s="36">
        <v>0</v>
      </c>
      <c r="J334" s="36">
        <v>0</v>
      </c>
      <c r="K334" s="31">
        <v>0</v>
      </c>
      <c r="L334" s="29">
        <v>0</v>
      </c>
      <c r="M334" s="29">
        <v>0</v>
      </c>
      <c r="N334" s="29">
        <v>0</v>
      </c>
      <c r="O334" s="36">
        <v>0</v>
      </c>
      <c r="P334" s="36">
        <v>0</v>
      </c>
      <c r="Q334" s="37">
        <v>755</v>
      </c>
      <c r="R334" s="37">
        <v>2861950.71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37">
        <v>28762.6</v>
      </c>
      <c r="AD334" s="29">
        <v>0</v>
      </c>
      <c r="AE334" s="29">
        <v>0</v>
      </c>
      <c r="AF334" s="32" t="s">
        <v>268</v>
      </c>
      <c r="AG334" s="32">
        <v>2020</v>
      </c>
      <c r="AH334" s="33">
        <v>2020</v>
      </c>
      <c r="BZ334" s="61"/>
      <c r="CD334" s="18" t="e">
        <f>VLOOKUP(C334,CE:CF,2,FALSE)</f>
        <v>#N/A</v>
      </c>
    </row>
    <row r="335" spans="1:82" ht="61.5" x14ac:dyDescent="0.85">
      <c r="A335" s="18">
        <v>1</v>
      </c>
      <c r="B335" s="57">
        <f>SUBTOTAL(103,$A$22:A335)</f>
        <v>299</v>
      </c>
      <c r="C335" s="22" t="s">
        <v>1205</v>
      </c>
      <c r="D335" s="29">
        <f t="shared" si="31"/>
        <v>1714543.07</v>
      </c>
      <c r="E335" s="36">
        <v>0</v>
      </c>
      <c r="F335" s="36">
        <v>0</v>
      </c>
      <c r="G335" s="29">
        <v>0</v>
      </c>
      <c r="H335" s="36">
        <v>0</v>
      </c>
      <c r="I335" s="36">
        <v>0</v>
      </c>
      <c r="J335" s="36">
        <v>0</v>
      </c>
      <c r="K335" s="31">
        <v>0</v>
      </c>
      <c r="L335" s="29">
        <v>0</v>
      </c>
      <c r="M335" s="37">
        <v>374.3</v>
      </c>
      <c r="N335" s="37">
        <v>1571094.48</v>
      </c>
      <c r="O335" s="36">
        <v>0</v>
      </c>
      <c r="P335" s="36">
        <v>0</v>
      </c>
      <c r="Q335" s="29">
        <v>0</v>
      </c>
      <c r="R335" s="29">
        <v>0</v>
      </c>
      <c r="S335" s="29">
        <v>0</v>
      </c>
      <c r="T335" s="29">
        <v>0</v>
      </c>
      <c r="U335" s="29">
        <v>0</v>
      </c>
      <c r="V335" s="29">
        <v>0</v>
      </c>
      <c r="W335" s="29">
        <v>0</v>
      </c>
      <c r="X335" s="29">
        <v>0</v>
      </c>
      <c r="Y335" s="29">
        <v>0</v>
      </c>
      <c r="Z335" s="29">
        <v>0</v>
      </c>
      <c r="AA335" s="29">
        <v>0</v>
      </c>
      <c r="AB335" s="29">
        <v>0</v>
      </c>
      <c r="AC335" s="29">
        <v>23448.59</v>
      </c>
      <c r="AD335" s="29">
        <v>0</v>
      </c>
      <c r="AE335" s="29">
        <v>120000</v>
      </c>
      <c r="AF335" s="32" t="s">
        <v>268</v>
      </c>
      <c r="AG335" s="32">
        <v>2020</v>
      </c>
      <c r="AH335" s="33">
        <v>2020</v>
      </c>
      <c r="BZ335" s="61"/>
      <c r="CD335" s="18">
        <f>VLOOKUP(C335,CE:CF,2,FALSE)</f>
        <v>374.3</v>
      </c>
    </row>
    <row r="336" spans="1:82" ht="61.5" x14ac:dyDescent="0.85">
      <c r="A336" s="18">
        <v>1</v>
      </c>
      <c r="B336" s="57">
        <f>SUBTOTAL(103,$A$22:A336)</f>
        <v>300</v>
      </c>
      <c r="C336" s="22" t="s">
        <v>1519</v>
      </c>
      <c r="D336" s="29">
        <f t="shared" si="31"/>
        <v>1422597.9100000001</v>
      </c>
      <c r="E336" s="36">
        <v>0</v>
      </c>
      <c r="F336" s="36">
        <v>0</v>
      </c>
      <c r="G336" s="29">
        <v>0</v>
      </c>
      <c r="H336" s="36">
        <v>0</v>
      </c>
      <c r="I336" s="36">
        <v>0</v>
      </c>
      <c r="J336" s="36">
        <v>0</v>
      </c>
      <c r="K336" s="31">
        <v>0</v>
      </c>
      <c r="L336" s="29">
        <v>0</v>
      </c>
      <c r="M336" s="37">
        <v>327.87</v>
      </c>
      <c r="N336" s="134">
        <v>1401677.87</v>
      </c>
      <c r="O336" s="36">
        <v>0</v>
      </c>
      <c r="P336" s="36">
        <v>0</v>
      </c>
      <c r="Q336" s="29">
        <v>0</v>
      </c>
      <c r="R336" s="29">
        <v>0</v>
      </c>
      <c r="S336" s="29">
        <v>0</v>
      </c>
      <c r="T336" s="29">
        <v>0</v>
      </c>
      <c r="U336" s="29">
        <v>0</v>
      </c>
      <c r="V336" s="29">
        <v>0</v>
      </c>
      <c r="W336" s="29">
        <v>0</v>
      </c>
      <c r="X336" s="29">
        <v>0</v>
      </c>
      <c r="Y336" s="29">
        <v>0</v>
      </c>
      <c r="Z336" s="29">
        <v>0</v>
      </c>
      <c r="AA336" s="29">
        <v>0</v>
      </c>
      <c r="AB336" s="29">
        <v>0</v>
      </c>
      <c r="AC336" s="37">
        <v>20920.04</v>
      </c>
      <c r="AD336" s="29">
        <v>0</v>
      </c>
      <c r="AE336" s="29">
        <v>0</v>
      </c>
      <c r="AF336" s="32" t="s">
        <v>268</v>
      </c>
      <c r="AG336" s="32">
        <v>2020</v>
      </c>
      <c r="AH336" s="33">
        <v>2020</v>
      </c>
      <c r="BZ336" s="61"/>
      <c r="CD336" s="18">
        <f>VLOOKUP(C336,CE:CF,2,FALSE)</f>
        <v>329.1</v>
      </c>
    </row>
    <row r="337" spans="1:82" ht="61.5" x14ac:dyDescent="0.85">
      <c r="A337" s="18">
        <v>1</v>
      </c>
      <c r="B337" s="57">
        <f>SUBTOTAL(103,$A$22:A337)</f>
        <v>301</v>
      </c>
      <c r="C337" s="22" t="s">
        <v>1520</v>
      </c>
      <c r="D337" s="29">
        <f t="shared" si="31"/>
        <v>2288055.7799999998</v>
      </c>
      <c r="E337" s="36">
        <v>0</v>
      </c>
      <c r="F337" s="36">
        <v>0</v>
      </c>
      <c r="G337" s="29">
        <v>0</v>
      </c>
      <c r="H337" s="36">
        <v>0</v>
      </c>
      <c r="I337" s="36">
        <v>0</v>
      </c>
      <c r="J337" s="36">
        <v>0</v>
      </c>
      <c r="K337" s="31">
        <v>0</v>
      </c>
      <c r="L337" s="29">
        <v>0</v>
      </c>
      <c r="M337" s="37">
        <v>600.53</v>
      </c>
      <c r="N337" s="37">
        <v>2254408.73</v>
      </c>
      <c r="O337" s="36">
        <v>0</v>
      </c>
      <c r="P337" s="36">
        <v>0</v>
      </c>
      <c r="Q337" s="29">
        <v>0</v>
      </c>
      <c r="R337" s="29">
        <v>0</v>
      </c>
      <c r="S337" s="29">
        <v>0</v>
      </c>
      <c r="T337" s="29">
        <v>0</v>
      </c>
      <c r="U337" s="29">
        <v>0</v>
      </c>
      <c r="V337" s="29">
        <v>0</v>
      </c>
      <c r="W337" s="29">
        <v>0</v>
      </c>
      <c r="X337" s="29">
        <v>0</v>
      </c>
      <c r="Y337" s="29">
        <v>0</v>
      </c>
      <c r="Z337" s="29">
        <v>0</v>
      </c>
      <c r="AA337" s="29">
        <v>0</v>
      </c>
      <c r="AB337" s="29">
        <v>0</v>
      </c>
      <c r="AC337" s="37">
        <v>33647.050000000003</v>
      </c>
      <c r="AD337" s="29">
        <v>0</v>
      </c>
      <c r="AE337" s="29">
        <v>0</v>
      </c>
      <c r="AF337" s="32" t="s">
        <v>268</v>
      </c>
      <c r="AG337" s="32">
        <v>2020</v>
      </c>
      <c r="AH337" s="33">
        <v>2020</v>
      </c>
      <c r="BZ337" s="61"/>
      <c r="CD337" s="18">
        <f>VLOOKUP(C337,CE:CF,2,FALSE)</f>
        <v>611</v>
      </c>
    </row>
    <row r="338" spans="1:82" ht="61.5" x14ac:dyDescent="0.85">
      <c r="A338" s="18">
        <v>1</v>
      </c>
      <c r="B338" s="57">
        <f>SUBTOTAL(103,$A$22:A338)</f>
        <v>302</v>
      </c>
      <c r="C338" s="22" t="s">
        <v>1534</v>
      </c>
      <c r="D338" s="29">
        <f t="shared" si="31"/>
        <v>2348671.69</v>
      </c>
      <c r="E338" s="36">
        <v>0</v>
      </c>
      <c r="F338" s="36">
        <v>0</v>
      </c>
      <c r="G338" s="29">
        <v>0</v>
      </c>
      <c r="H338" s="36">
        <v>0</v>
      </c>
      <c r="I338" s="36">
        <v>0</v>
      </c>
      <c r="J338" s="36">
        <v>0</v>
      </c>
      <c r="K338" s="31">
        <v>0</v>
      </c>
      <c r="L338" s="29">
        <v>0</v>
      </c>
      <c r="M338" s="37">
        <v>630.69000000000005</v>
      </c>
      <c r="N338" s="37">
        <v>2325302.4</v>
      </c>
      <c r="O338" s="36">
        <v>0</v>
      </c>
      <c r="P338" s="36">
        <v>0</v>
      </c>
      <c r="Q338" s="29">
        <v>0</v>
      </c>
      <c r="R338" s="29">
        <v>0</v>
      </c>
      <c r="S338" s="29">
        <v>0</v>
      </c>
      <c r="T338" s="29">
        <v>0</v>
      </c>
      <c r="U338" s="29">
        <v>0</v>
      </c>
      <c r="V338" s="29">
        <v>0</v>
      </c>
      <c r="W338" s="29">
        <v>0</v>
      </c>
      <c r="X338" s="29">
        <v>0</v>
      </c>
      <c r="Y338" s="29">
        <v>0</v>
      </c>
      <c r="Z338" s="29">
        <v>0</v>
      </c>
      <c r="AA338" s="29">
        <v>0</v>
      </c>
      <c r="AB338" s="29">
        <v>0</v>
      </c>
      <c r="AC338" s="37">
        <v>23369.29</v>
      </c>
      <c r="AD338" s="29">
        <v>0</v>
      </c>
      <c r="AE338" s="29">
        <v>0</v>
      </c>
      <c r="AF338" s="32" t="s">
        <v>268</v>
      </c>
      <c r="AG338" s="32">
        <v>2020</v>
      </c>
      <c r="AH338" s="33">
        <v>2020</v>
      </c>
      <c r="BZ338" s="61"/>
      <c r="CD338" s="18">
        <f>VLOOKUP(C338,CE:CF,2,FALSE)</f>
        <v>606</v>
      </c>
    </row>
    <row r="339" spans="1:82" ht="61.5" x14ac:dyDescent="0.85">
      <c r="A339" s="18">
        <v>1</v>
      </c>
      <c r="B339" s="57">
        <f>SUBTOTAL(103,$A$22:A339)</f>
        <v>303</v>
      </c>
      <c r="C339" s="22" t="s">
        <v>1535</v>
      </c>
      <c r="D339" s="29">
        <f t="shared" si="31"/>
        <v>2304366.3400000003</v>
      </c>
      <c r="E339" s="36">
        <v>0</v>
      </c>
      <c r="F339" s="36">
        <v>0</v>
      </c>
      <c r="G339" s="29">
        <v>0</v>
      </c>
      <c r="H339" s="36">
        <v>0</v>
      </c>
      <c r="I339" s="36">
        <v>0</v>
      </c>
      <c r="J339" s="36">
        <v>0</v>
      </c>
      <c r="K339" s="31">
        <v>0</v>
      </c>
      <c r="L339" s="29">
        <v>0</v>
      </c>
      <c r="M339" s="37">
        <v>592.07000000000005</v>
      </c>
      <c r="N339" s="37">
        <v>2270479.4300000002</v>
      </c>
      <c r="O339" s="36">
        <v>0</v>
      </c>
      <c r="P339" s="36">
        <v>0</v>
      </c>
      <c r="Q339" s="29">
        <v>0</v>
      </c>
      <c r="R339" s="29">
        <v>0</v>
      </c>
      <c r="S339" s="29">
        <v>0</v>
      </c>
      <c r="T339" s="29">
        <v>0</v>
      </c>
      <c r="U339" s="29">
        <v>0</v>
      </c>
      <c r="V339" s="29">
        <v>0</v>
      </c>
      <c r="W339" s="29">
        <v>0</v>
      </c>
      <c r="X339" s="29">
        <v>0</v>
      </c>
      <c r="Y339" s="29">
        <v>0</v>
      </c>
      <c r="Z339" s="29">
        <v>0</v>
      </c>
      <c r="AA339" s="29">
        <v>0</v>
      </c>
      <c r="AB339" s="29">
        <v>0</v>
      </c>
      <c r="AC339" s="29">
        <f>ROUND(N339*1.4925%,2)</f>
        <v>33886.910000000003</v>
      </c>
      <c r="AD339" s="29">
        <v>0</v>
      </c>
      <c r="AE339" s="29">
        <v>0</v>
      </c>
      <c r="AF339" s="32" t="s">
        <v>268</v>
      </c>
      <c r="AG339" s="32">
        <v>2020</v>
      </c>
      <c r="AH339" s="33">
        <v>2020</v>
      </c>
      <c r="BZ339" s="61"/>
      <c r="CD339" s="18">
        <f>VLOOKUP(C339,CE:CF,2,FALSE)</f>
        <v>592.07000000000005</v>
      </c>
    </row>
    <row r="340" spans="1:82" ht="61.5" x14ac:dyDescent="0.85">
      <c r="A340" s="18">
        <v>1</v>
      </c>
      <c r="B340" s="57">
        <f>SUBTOTAL(103,$A$22:A340)</f>
        <v>304</v>
      </c>
      <c r="C340" s="22" t="s">
        <v>1203</v>
      </c>
      <c r="D340" s="29">
        <f>E340+F340+G340+H340+I340+J340+L340+N340+P340+R340+T340+U340+V340+W340+X340+Y340+Z340+AA340+AB340+AC340+AD340+AE340</f>
        <v>78793.16</v>
      </c>
      <c r="E340" s="36">
        <v>0</v>
      </c>
      <c r="F340" s="36">
        <v>0</v>
      </c>
      <c r="G340" s="29">
        <v>0</v>
      </c>
      <c r="H340" s="36">
        <v>0</v>
      </c>
      <c r="I340" s="36">
        <v>0</v>
      </c>
      <c r="J340" s="36">
        <v>0</v>
      </c>
      <c r="K340" s="31">
        <v>0</v>
      </c>
      <c r="L340" s="29">
        <v>0</v>
      </c>
      <c r="M340" s="29">
        <v>0</v>
      </c>
      <c r="N340" s="29">
        <v>0</v>
      </c>
      <c r="O340" s="36">
        <v>0</v>
      </c>
      <c r="P340" s="36">
        <v>0</v>
      </c>
      <c r="Q340" s="29">
        <v>0</v>
      </c>
      <c r="R340" s="29">
        <v>0</v>
      </c>
      <c r="S340" s="29">
        <v>0</v>
      </c>
      <c r="T340" s="29">
        <v>0</v>
      </c>
      <c r="U340" s="29">
        <v>0</v>
      </c>
      <c r="V340" s="29">
        <v>0</v>
      </c>
      <c r="W340" s="29">
        <v>0</v>
      </c>
      <c r="X340" s="29">
        <v>0</v>
      </c>
      <c r="Y340" s="29">
        <v>0</v>
      </c>
      <c r="Z340" s="29">
        <v>0</v>
      </c>
      <c r="AA340" s="29">
        <v>0</v>
      </c>
      <c r="AB340" s="29">
        <v>0</v>
      </c>
      <c r="AC340" s="29">
        <f>ROUND(N340*1.26%,2)</f>
        <v>0</v>
      </c>
      <c r="AD340" s="29">
        <v>78793.16</v>
      </c>
      <c r="AE340" s="29">
        <v>0</v>
      </c>
      <c r="AF340" s="32">
        <v>2020</v>
      </c>
      <c r="AG340" s="33" t="s">
        <v>268</v>
      </c>
      <c r="AH340" s="33" t="s">
        <v>268</v>
      </c>
      <c r="BZ340" s="61"/>
      <c r="CD340" s="18" t="e">
        <f>VLOOKUP(C340,CE:CF,2,FALSE)</f>
        <v>#N/A</v>
      </c>
    </row>
    <row r="341" spans="1:82" ht="61.5" x14ac:dyDescent="0.85">
      <c r="A341" s="18">
        <v>1</v>
      </c>
      <c r="B341" s="57">
        <f>SUBTOTAL(103,$A$22:A341)</f>
        <v>305</v>
      </c>
      <c r="C341" s="22" t="s">
        <v>1570</v>
      </c>
      <c r="D341" s="29">
        <f>E341+F341+G341+H341+I341+J341+L341+N341+P341+R341+T341+U341+V341+W341+X341+Y341+Z341+AA341+AB341+AC341+AD341+AE341</f>
        <v>35684.67</v>
      </c>
      <c r="E341" s="36">
        <v>0</v>
      </c>
      <c r="F341" s="36">
        <v>0</v>
      </c>
      <c r="G341" s="29">
        <v>0</v>
      </c>
      <c r="H341" s="36">
        <v>0</v>
      </c>
      <c r="I341" s="36">
        <v>0</v>
      </c>
      <c r="J341" s="36">
        <v>0</v>
      </c>
      <c r="K341" s="31">
        <v>0</v>
      </c>
      <c r="L341" s="29">
        <v>0</v>
      </c>
      <c r="M341" s="29">
        <v>0</v>
      </c>
      <c r="N341" s="29">
        <v>0</v>
      </c>
      <c r="O341" s="36">
        <v>0</v>
      </c>
      <c r="P341" s="36">
        <v>0</v>
      </c>
      <c r="Q341" s="29">
        <v>0</v>
      </c>
      <c r="R341" s="29">
        <v>0</v>
      </c>
      <c r="S341" s="29">
        <v>0</v>
      </c>
      <c r="T341" s="29">
        <v>0</v>
      </c>
      <c r="U341" s="29">
        <v>0</v>
      </c>
      <c r="V341" s="29">
        <v>0</v>
      </c>
      <c r="W341" s="29">
        <v>0</v>
      </c>
      <c r="X341" s="29">
        <v>0</v>
      </c>
      <c r="Y341" s="29">
        <v>0</v>
      </c>
      <c r="Z341" s="29">
        <v>0</v>
      </c>
      <c r="AA341" s="29">
        <v>0</v>
      </c>
      <c r="AB341" s="29">
        <v>0</v>
      </c>
      <c r="AC341" s="29">
        <f>ROUND(R341*1.5%,2)</f>
        <v>0</v>
      </c>
      <c r="AD341" s="84">
        <v>35684.67</v>
      </c>
      <c r="AE341" s="29">
        <v>0</v>
      </c>
      <c r="AF341" s="32">
        <v>2020</v>
      </c>
      <c r="AG341" s="33" t="s">
        <v>268</v>
      </c>
      <c r="AH341" s="33" t="s">
        <v>268</v>
      </c>
      <c r="BZ341" s="61"/>
      <c r="CD341" s="18" t="e">
        <f>VLOOKUP(C341,CE:CF,2,FALSE)</f>
        <v>#N/A</v>
      </c>
    </row>
    <row r="342" spans="1:82" ht="61.5" x14ac:dyDescent="0.85">
      <c r="B342" s="22" t="s">
        <v>817</v>
      </c>
      <c r="C342" s="22"/>
      <c r="D342" s="339">
        <f t="shared" ref="D342:AE342" si="32">SUM(D343:D346)</f>
        <v>2221160.0099999998</v>
      </c>
      <c r="E342" s="29">
        <f t="shared" si="32"/>
        <v>0</v>
      </c>
      <c r="F342" s="29">
        <f t="shared" si="32"/>
        <v>0</v>
      </c>
      <c r="G342" s="29">
        <f t="shared" si="32"/>
        <v>0</v>
      </c>
      <c r="H342" s="29">
        <f t="shared" si="32"/>
        <v>0</v>
      </c>
      <c r="I342" s="29">
        <f t="shared" si="32"/>
        <v>0</v>
      </c>
      <c r="J342" s="29">
        <f t="shared" si="32"/>
        <v>0</v>
      </c>
      <c r="K342" s="31">
        <f t="shared" si="32"/>
        <v>0</v>
      </c>
      <c r="L342" s="29">
        <f t="shared" si="32"/>
        <v>0</v>
      </c>
      <c r="M342" s="29">
        <f t="shared" si="32"/>
        <v>559.91</v>
      </c>
      <c r="N342" s="29">
        <f t="shared" si="32"/>
        <v>2126707.66</v>
      </c>
      <c r="O342" s="29">
        <f t="shared" si="32"/>
        <v>0</v>
      </c>
      <c r="P342" s="29">
        <f t="shared" si="32"/>
        <v>0</v>
      </c>
      <c r="Q342" s="29">
        <f t="shared" si="32"/>
        <v>0</v>
      </c>
      <c r="R342" s="29">
        <f t="shared" si="32"/>
        <v>0</v>
      </c>
      <c r="S342" s="29">
        <f t="shared" si="32"/>
        <v>0</v>
      </c>
      <c r="T342" s="29">
        <f t="shared" si="32"/>
        <v>0</v>
      </c>
      <c r="U342" s="29">
        <f t="shared" si="32"/>
        <v>0</v>
      </c>
      <c r="V342" s="29">
        <f t="shared" si="32"/>
        <v>0</v>
      </c>
      <c r="W342" s="29">
        <f t="shared" si="32"/>
        <v>0</v>
      </c>
      <c r="X342" s="29">
        <f t="shared" si="32"/>
        <v>0</v>
      </c>
      <c r="Y342" s="29">
        <f t="shared" si="32"/>
        <v>0</v>
      </c>
      <c r="Z342" s="29">
        <f t="shared" si="32"/>
        <v>0</v>
      </c>
      <c r="AA342" s="29">
        <f t="shared" si="32"/>
        <v>0</v>
      </c>
      <c r="AB342" s="29">
        <f t="shared" si="32"/>
        <v>0</v>
      </c>
      <c r="AC342" s="29">
        <f t="shared" si="32"/>
        <v>31741.11</v>
      </c>
      <c r="AD342" s="29">
        <f t="shared" si="32"/>
        <v>62711.240000000005</v>
      </c>
      <c r="AE342" s="29">
        <f t="shared" si="32"/>
        <v>0</v>
      </c>
      <c r="AF342" s="62" t="s">
        <v>743</v>
      </c>
      <c r="AG342" s="62" t="s">
        <v>743</v>
      </c>
      <c r="AH342" s="77" t="s">
        <v>743</v>
      </c>
      <c r="AT342" s="18" t="e">
        <f>VLOOKUP(C342,AW:AX,2,FALSE)</f>
        <v>#N/A</v>
      </c>
      <c r="BZ342" s="61">
        <v>4925031.5999999996</v>
      </c>
      <c r="CB342" s="61">
        <f>BZ342-D342</f>
        <v>2703871.59</v>
      </c>
      <c r="CD342" s="18" t="e">
        <f>VLOOKUP(C342,CE:CF,2,FALSE)</f>
        <v>#N/A</v>
      </c>
    </row>
    <row r="343" spans="1:82" ht="61.5" x14ac:dyDescent="0.85">
      <c r="A343" s="18">
        <v>1</v>
      </c>
      <c r="B343" s="57">
        <f>SUBTOTAL(103,$A$22:A343)</f>
        <v>306</v>
      </c>
      <c r="C343" s="22" t="s">
        <v>246</v>
      </c>
      <c r="D343" s="29">
        <f>E343+F343+G343+H343+I343+J343+L343+N343+P343+R343+T343+U343+V343+W343+X343+Y343+Z343+AA343+AB343+AC343+AD343+AE343</f>
        <v>9547.9500000000007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9">
        <v>0</v>
      </c>
      <c r="K343" s="31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9">
        <v>0</v>
      </c>
      <c r="S343" s="29">
        <v>0</v>
      </c>
      <c r="T343" s="29">
        <v>0</v>
      </c>
      <c r="U343" s="29">
        <v>0</v>
      </c>
      <c r="V343" s="29">
        <v>0</v>
      </c>
      <c r="W343" s="29">
        <v>0</v>
      </c>
      <c r="X343" s="29">
        <v>0</v>
      </c>
      <c r="Y343" s="29">
        <v>0</v>
      </c>
      <c r="Z343" s="29">
        <v>0</v>
      </c>
      <c r="AA343" s="29">
        <v>0</v>
      </c>
      <c r="AB343" s="29">
        <v>0</v>
      </c>
      <c r="AC343" s="29">
        <f>ROUND((E343+F343+G343+H343+I343+J343)*1.5%,2)</f>
        <v>0</v>
      </c>
      <c r="AD343" s="37">
        <v>9547.9500000000007</v>
      </c>
      <c r="AE343" s="29">
        <v>0</v>
      </c>
      <c r="AF343" s="32">
        <v>2020</v>
      </c>
      <c r="AG343" s="32" t="s">
        <v>268</v>
      </c>
      <c r="AH343" s="33" t="s">
        <v>268</v>
      </c>
      <c r="AT343" s="18" t="e">
        <f>VLOOKUP(C343,AW:AX,2,FALSE)</f>
        <v>#N/A</v>
      </c>
      <c r="BZ343" s="61"/>
      <c r="CD343" s="18" t="e">
        <f>VLOOKUP(C343,CE:CF,2,FALSE)</f>
        <v>#N/A</v>
      </c>
    </row>
    <row r="344" spans="1:82" ht="61.5" x14ac:dyDescent="0.85">
      <c r="A344" s="18">
        <v>1</v>
      </c>
      <c r="B344" s="57">
        <f>SUBTOTAL(103,$A$22:A344)</f>
        <v>307</v>
      </c>
      <c r="C344" s="22" t="s">
        <v>244</v>
      </c>
      <c r="D344" s="29">
        <f>E344+F344+G344+H344+I344+J344+L344+N344+P344+R344+T344+U344+V344+W344+X344+Y344+Z344+AA344+AB344+AC344+AD344+AE344</f>
        <v>53163.29</v>
      </c>
      <c r="E344" s="29">
        <v>0</v>
      </c>
      <c r="F344" s="29">
        <v>0</v>
      </c>
      <c r="G344" s="29">
        <v>0</v>
      </c>
      <c r="H344" s="29">
        <v>0</v>
      </c>
      <c r="I344" s="29">
        <v>0</v>
      </c>
      <c r="J344" s="29">
        <v>0</v>
      </c>
      <c r="K344" s="31">
        <v>0</v>
      </c>
      <c r="L344" s="29">
        <v>0</v>
      </c>
      <c r="M344" s="29">
        <v>0</v>
      </c>
      <c r="N344" s="29">
        <v>0</v>
      </c>
      <c r="O344" s="29">
        <v>0</v>
      </c>
      <c r="P344" s="29">
        <v>0</v>
      </c>
      <c r="Q344" s="29">
        <v>0</v>
      </c>
      <c r="R344" s="29">
        <v>0</v>
      </c>
      <c r="S344" s="29">
        <v>0</v>
      </c>
      <c r="T344" s="29">
        <v>0</v>
      </c>
      <c r="U344" s="29">
        <v>0</v>
      </c>
      <c r="V344" s="29">
        <v>0</v>
      </c>
      <c r="W344" s="29">
        <v>0</v>
      </c>
      <c r="X344" s="29">
        <v>0</v>
      </c>
      <c r="Y344" s="29">
        <v>0</v>
      </c>
      <c r="Z344" s="29">
        <v>0</v>
      </c>
      <c r="AA344" s="29">
        <v>0</v>
      </c>
      <c r="AB344" s="29">
        <v>0</v>
      </c>
      <c r="AC344" s="29">
        <f>ROUND(R344*1.5%,2)</f>
        <v>0</v>
      </c>
      <c r="AD344" s="84">
        <v>53163.29</v>
      </c>
      <c r="AE344" s="29">
        <v>0</v>
      </c>
      <c r="AF344" s="32">
        <v>2020</v>
      </c>
      <c r="AG344" s="32" t="s">
        <v>268</v>
      </c>
      <c r="AH344" s="33" t="s">
        <v>268</v>
      </c>
      <c r="AT344" s="18" t="e">
        <f>VLOOKUP(C344,AW:AX,2,FALSE)</f>
        <v>#N/A</v>
      </c>
      <c r="BZ344" s="61"/>
      <c r="CD344" s="18" t="e">
        <f>VLOOKUP(C344,CE:CF,2,FALSE)</f>
        <v>#N/A</v>
      </c>
    </row>
    <row r="345" spans="1:82" ht="61.5" x14ac:dyDescent="0.85">
      <c r="A345" s="18">
        <v>1</v>
      </c>
      <c r="B345" s="57">
        <f>SUBTOTAL(103,$A$22:A345)</f>
        <v>308</v>
      </c>
      <c r="C345" s="22" t="s">
        <v>1521</v>
      </c>
      <c r="D345" s="29">
        <f>E345+F345+G345+H345+I345+J345+L345+N345+P345+R345+T345+U345+V345+W345+X345+Y345+Z345+AA345+AB345+AC345+AD345+AE345</f>
        <v>944539.29999999993</v>
      </c>
      <c r="E345" s="29">
        <v>0</v>
      </c>
      <c r="F345" s="29">
        <v>0</v>
      </c>
      <c r="G345" s="29">
        <v>0</v>
      </c>
      <c r="H345" s="29">
        <v>0</v>
      </c>
      <c r="I345" s="29">
        <v>0</v>
      </c>
      <c r="J345" s="29">
        <v>0</v>
      </c>
      <c r="K345" s="31">
        <v>0</v>
      </c>
      <c r="L345" s="29">
        <v>0</v>
      </c>
      <c r="M345" s="37">
        <v>259.76</v>
      </c>
      <c r="N345" s="37">
        <v>930649.36</v>
      </c>
      <c r="O345" s="29">
        <v>0</v>
      </c>
      <c r="P345" s="29">
        <v>0</v>
      </c>
      <c r="Q345" s="29">
        <v>0</v>
      </c>
      <c r="R345" s="29">
        <v>0</v>
      </c>
      <c r="S345" s="29">
        <v>0</v>
      </c>
      <c r="T345" s="29">
        <v>0</v>
      </c>
      <c r="U345" s="29">
        <v>0</v>
      </c>
      <c r="V345" s="29">
        <v>0</v>
      </c>
      <c r="W345" s="29">
        <v>0</v>
      </c>
      <c r="X345" s="29">
        <v>0</v>
      </c>
      <c r="Y345" s="29">
        <v>0</v>
      </c>
      <c r="Z345" s="29">
        <v>0</v>
      </c>
      <c r="AA345" s="29">
        <v>0</v>
      </c>
      <c r="AB345" s="29">
        <v>0</v>
      </c>
      <c r="AC345" s="29">
        <f>ROUND(N345*1.4925%,2)</f>
        <v>13889.94</v>
      </c>
      <c r="AD345" s="29">
        <v>0</v>
      </c>
      <c r="AE345" s="29">
        <v>0</v>
      </c>
      <c r="AF345" s="32" t="s">
        <v>268</v>
      </c>
      <c r="AG345" s="32">
        <v>2020</v>
      </c>
      <c r="AH345" s="33">
        <v>2020</v>
      </c>
      <c r="BZ345" s="61"/>
      <c r="CD345" s="18">
        <f>VLOOKUP(C345,CE:CF,2,FALSE)</f>
        <v>249</v>
      </c>
    </row>
    <row r="346" spans="1:82" ht="61.5" x14ac:dyDescent="0.85">
      <c r="A346" s="18">
        <v>1</v>
      </c>
      <c r="B346" s="57">
        <f>SUBTOTAL(103,$A$22:A346)</f>
        <v>309</v>
      </c>
      <c r="C346" s="22" t="s">
        <v>1522</v>
      </c>
      <c r="D346" s="29">
        <f>E346+F346+G346+H346+I346+J346+L346+N346+P346+R346+T346+U346+V346+W346+X346+Y346+Z346+AA346+AB346+AC346+AD346+AE346</f>
        <v>1213909.47</v>
      </c>
      <c r="E346" s="29">
        <v>0</v>
      </c>
      <c r="F346" s="29">
        <v>0</v>
      </c>
      <c r="G346" s="29">
        <v>0</v>
      </c>
      <c r="H346" s="29">
        <v>0</v>
      </c>
      <c r="I346" s="29">
        <v>0</v>
      </c>
      <c r="J346" s="29">
        <v>0</v>
      </c>
      <c r="K346" s="31">
        <v>0</v>
      </c>
      <c r="L346" s="29">
        <v>0</v>
      </c>
      <c r="M346" s="37">
        <v>300.14999999999998</v>
      </c>
      <c r="N346" s="37">
        <v>1196058.3</v>
      </c>
      <c r="O346" s="29">
        <v>0</v>
      </c>
      <c r="P346" s="29">
        <v>0</v>
      </c>
      <c r="Q346" s="29">
        <v>0</v>
      </c>
      <c r="R346" s="29">
        <v>0</v>
      </c>
      <c r="S346" s="29">
        <v>0</v>
      </c>
      <c r="T346" s="29">
        <v>0</v>
      </c>
      <c r="U346" s="29">
        <v>0</v>
      </c>
      <c r="V346" s="29">
        <v>0</v>
      </c>
      <c r="W346" s="29">
        <v>0</v>
      </c>
      <c r="X346" s="29">
        <v>0</v>
      </c>
      <c r="Y346" s="29">
        <v>0</v>
      </c>
      <c r="Z346" s="29">
        <v>0</v>
      </c>
      <c r="AA346" s="29">
        <v>0</v>
      </c>
      <c r="AB346" s="29">
        <v>0</v>
      </c>
      <c r="AC346" s="29">
        <f>ROUND(N346*1.4925%,2)</f>
        <v>17851.169999999998</v>
      </c>
      <c r="AD346" s="29">
        <v>0</v>
      </c>
      <c r="AE346" s="29">
        <v>0</v>
      </c>
      <c r="AF346" s="32" t="s">
        <v>268</v>
      </c>
      <c r="AG346" s="32">
        <v>2020</v>
      </c>
      <c r="AH346" s="33">
        <v>2020</v>
      </c>
      <c r="BZ346" s="61"/>
      <c r="CD346" s="18">
        <f>VLOOKUP(C346,CE:CF,2,FALSE)</f>
        <v>309</v>
      </c>
    </row>
    <row r="347" spans="1:82" ht="61.5" x14ac:dyDescent="0.85">
      <c r="B347" s="22" t="s">
        <v>818</v>
      </c>
      <c r="C347" s="22"/>
      <c r="D347" s="339">
        <f>SUM(D348:D349)</f>
        <v>4069083.7199999997</v>
      </c>
      <c r="E347" s="29">
        <f t="shared" ref="E347:AE347" si="33">SUM(E348:E349)</f>
        <v>0</v>
      </c>
      <c r="F347" s="29">
        <f t="shared" si="33"/>
        <v>0</v>
      </c>
      <c r="G347" s="29">
        <f t="shared" si="33"/>
        <v>0</v>
      </c>
      <c r="H347" s="29">
        <f t="shared" si="33"/>
        <v>0</v>
      </c>
      <c r="I347" s="29">
        <f t="shared" si="33"/>
        <v>0</v>
      </c>
      <c r="J347" s="29">
        <f t="shared" si="33"/>
        <v>0</v>
      </c>
      <c r="K347" s="31">
        <f t="shared" si="33"/>
        <v>0</v>
      </c>
      <c r="L347" s="29">
        <f t="shared" si="33"/>
        <v>0</v>
      </c>
      <c r="M347" s="29">
        <f t="shared" si="33"/>
        <v>0</v>
      </c>
      <c r="N347" s="29">
        <f t="shared" si="33"/>
        <v>0</v>
      </c>
      <c r="O347" s="29">
        <f t="shared" si="33"/>
        <v>0</v>
      </c>
      <c r="P347" s="29">
        <f t="shared" si="33"/>
        <v>0</v>
      </c>
      <c r="Q347" s="29">
        <f t="shared" si="33"/>
        <v>1294.5300000000002</v>
      </c>
      <c r="R347" s="29">
        <f t="shared" si="33"/>
        <v>3949594.9800000004</v>
      </c>
      <c r="S347" s="29">
        <f t="shared" si="33"/>
        <v>0</v>
      </c>
      <c r="T347" s="29">
        <f t="shared" si="33"/>
        <v>0</v>
      </c>
      <c r="U347" s="29">
        <f t="shared" si="33"/>
        <v>0</v>
      </c>
      <c r="V347" s="29">
        <f t="shared" si="33"/>
        <v>0</v>
      </c>
      <c r="W347" s="29">
        <f t="shared" si="33"/>
        <v>0</v>
      </c>
      <c r="X347" s="29">
        <f t="shared" si="33"/>
        <v>0</v>
      </c>
      <c r="Y347" s="29">
        <f t="shared" si="33"/>
        <v>0</v>
      </c>
      <c r="Z347" s="29">
        <f t="shared" si="33"/>
        <v>0</v>
      </c>
      <c r="AA347" s="29">
        <f t="shared" si="33"/>
        <v>0</v>
      </c>
      <c r="AB347" s="29">
        <f t="shared" si="33"/>
        <v>0</v>
      </c>
      <c r="AC347" s="29">
        <f t="shared" si="33"/>
        <v>39831.32</v>
      </c>
      <c r="AD347" s="29">
        <f t="shared" si="33"/>
        <v>79657.42</v>
      </c>
      <c r="AE347" s="29">
        <f t="shared" si="33"/>
        <v>0</v>
      </c>
      <c r="AF347" s="62" t="s">
        <v>743</v>
      </c>
      <c r="AG347" s="62" t="s">
        <v>743</v>
      </c>
      <c r="AH347" s="77" t="s">
        <v>743</v>
      </c>
      <c r="AT347" s="18" t="e">
        <f>VLOOKUP(C347,AW:AX,2,FALSE)</f>
        <v>#N/A</v>
      </c>
      <c r="BZ347" s="61">
        <v>5532352.54</v>
      </c>
      <c r="CB347" s="61">
        <f>BZ347-D347</f>
        <v>1463268.8200000003</v>
      </c>
      <c r="CD347" s="18" t="e">
        <f>VLOOKUP(C347,CE:CF,2,FALSE)</f>
        <v>#N/A</v>
      </c>
    </row>
    <row r="348" spans="1:82" ht="61.5" x14ac:dyDescent="0.85">
      <c r="A348" s="18">
        <v>1</v>
      </c>
      <c r="B348" s="57">
        <f>SUBTOTAL(103,$A$22:A348)</f>
        <v>310</v>
      </c>
      <c r="C348" s="22" t="s">
        <v>241</v>
      </c>
      <c r="D348" s="29">
        <f>E348+F348+G348+H348+I348+J348+L348+N348+P348+R348+T348+U348+V348+W348+X348+Y348+Z348+AA348+AB348+AC348+AD348+AE348</f>
        <v>1936809.91</v>
      </c>
      <c r="E348" s="29">
        <v>0</v>
      </c>
      <c r="F348" s="29">
        <v>0</v>
      </c>
      <c r="G348" s="29">
        <v>0</v>
      </c>
      <c r="H348" s="29">
        <v>0</v>
      </c>
      <c r="I348" s="29">
        <v>0</v>
      </c>
      <c r="J348" s="29">
        <v>0</v>
      </c>
      <c r="K348" s="31">
        <v>0</v>
      </c>
      <c r="L348" s="29">
        <v>0</v>
      </c>
      <c r="M348" s="29">
        <v>0</v>
      </c>
      <c r="N348" s="29">
        <v>0</v>
      </c>
      <c r="O348" s="29">
        <v>0</v>
      </c>
      <c r="P348" s="29">
        <v>0</v>
      </c>
      <c r="Q348" s="37">
        <v>647.46</v>
      </c>
      <c r="R348" s="37">
        <v>1838537.3</v>
      </c>
      <c r="S348" s="29">
        <v>0</v>
      </c>
      <c r="T348" s="29">
        <v>0</v>
      </c>
      <c r="U348" s="29">
        <v>0</v>
      </c>
      <c r="V348" s="29">
        <v>0</v>
      </c>
      <c r="W348" s="29">
        <v>0</v>
      </c>
      <c r="X348" s="29">
        <v>0</v>
      </c>
      <c r="Y348" s="29">
        <v>0</v>
      </c>
      <c r="Z348" s="29">
        <v>0</v>
      </c>
      <c r="AA348" s="29">
        <v>0</v>
      </c>
      <c r="AB348" s="29">
        <v>0</v>
      </c>
      <c r="AC348" s="37">
        <v>18615.189999999999</v>
      </c>
      <c r="AD348" s="37">
        <v>79657.42</v>
      </c>
      <c r="AE348" s="29">
        <v>0</v>
      </c>
      <c r="AF348" s="32">
        <v>2020</v>
      </c>
      <c r="AG348" s="32">
        <v>2020</v>
      </c>
      <c r="AH348" s="33">
        <v>2020</v>
      </c>
      <c r="AT348" s="18" t="e">
        <f>VLOOKUP(C348,AW:AX,2,FALSE)</f>
        <v>#N/A</v>
      </c>
      <c r="BZ348" s="61"/>
      <c r="CD348" s="18" t="e">
        <f>VLOOKUP(C348,CE:CF,2,FALSE)</f>
        <v>#N/A</v>
      </c>
    </row>
    <row r="349" spans="1:82" ht="61.5" x14ac:dyDescent="0.85">
      <c r="A349" s="18">
        <v>1</v>
      </c>
      <c r="B349" s="57">
        <f>SUBTOTAL(103,$A$22:A349)</f>
        <v>311</v>
      </c>
      <c r="C349" s="22" t="s">
        <v>1206</v>
      </c>
      <c r="D349" s="29">
        <f>E349+F349+G349+H349+I349+J349+L349+N349+P349+R349+T349+U349+V349+W349+X349+Y349+Z349+AA349+AB349+AC349+AD349+AE349</f>
        <v>2132273.81</v>
      </c>
      <c r="E349" s="36">
        <v>0</v>
      </c>
      <c r="F349" s="36">
        <v>0</v>
      </c>
      <c r="G349" s="29">
        <v>0</v>
      </c>
      <c r="H349" s="36">
        <v>0</v>
      </c>
      <c r="I349" s="36">
        <v>0</v>
      </c>
      <c r="J349" s="36">
        <v>0</v>
      </c>
      <c r="K349" s="31">
        <v>0</v>
      </c>
      <c r="L349" s="29">
        <v>0</v>
      </c>
      <c r="M349" s="29">
        <v>0</v>
      </c>
      <c r="N349" s="29">
        <v>0</v>
      </c>
      <c r="O349" s="36">
        <v>0</v>
      </c>
      <c r="P349" s="36">
        <v>0</v>
      </c>
      <c r="Q349" s="37">
        <v>647.07000000000005</v>
      </c>
      <c r="R349" s="37">
        <v>2111057.6800000002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37">
        <v>21216.13</v>
      </c>
      <c r="AD349" s="29">
        <v>0</v>
      </c>
      <c r="AE349" s="29">
        <v>0</v>
      </c>
      <c r="AF349" s="32" t="s">
        <v>268</v>
      </c>
      <c r="AG349" s="32">
        <v>2020</v>
      </c>
      <c r="AH349" s="33">
        <v>2020</v>
      </c>
      <c r="BZ349" s="61"/>
      <c r="CD349" s="18" t="e">
        <f>VLOOKUP(C349,CE:CF,2,FALSE)</f>
        <v>#N/A</v>
      </c>
    </row>
    <row r="350" spans="1:82" ht="61.5" x14ac:dyDescent="0.85">
      <c r="B350" s="22" t="s">
        <v>819</v>
      </c>
      <c r="C350" s="343"/>
      <c r="D350" s="329">
        <f>SUM(D351:D352)</f>
        <v>5178138.5</v>
      </c>
      <c r="E350" s="28">
        <f t="shared" ref="E350:AE350" si="34">SUM(E351:E352)</f>
        <v>0</v>
      </c>
      <c r="F350" s="28">
        <f t="shared" si="34"/>
        <v>0</v>
      </c>
      <c r="G350" s="28">
        <f t="shared" si="34"/>
        <v>0</v>
      </c>
      <c r="H350" s="28">
        <f t="shared" si="34"/>
        <v>0</v>
      </c>
      <c r="I350" s="28">
        <f t="shared" si="34"/>
        <v>0</v>
      </c>
      <c r="J350" s="28">
        <f t="shared" si="34"/>
        <v>0</v>
      </c>
      <c r="K350" s="330">
        <f t="shared" si="34"/>
        <v>0</v>
      </c>
      <c r="L350" s="28">
        <f t="shared" si="34"/>
        <v>0</v>
      </c>
      <c r="M350" s="28">
        <f t="shared" si="34"/>
        <v>1357</v>
      </c>
      <c r="N350" s="28">
        <f t="shared" si="34"/>
        <v>5163118.6400000006</v>
      </c>
      <c r="O350" s="28">
        <f t="shared" si="34"/>
        <v>0</v>
      </c>
      <c r="P350" s="28">
        <f t="shared" si="34"/>
        <v>0</v>
      </c>
      <c r="Q350" s="28">
        <f t="shared" si="34"/>
        <v>0</v>
      </c>
      <c r="R350" s="28">
        <f t="shared" si="34"/>
        <v>0</v>
      </c>
      <c r="S350" s="28">
        <f t="shared" si="34"/>
        <v>0</v>
      </c>
      <c r="T350" s="28">
        <f t="shared" si="34"/>
        <v>0</v>
      </c>
      <c r="U350" s="28">
        <f t="shared" si="34"/>
        <v>0</v>
      </c>
      <c r="V350" s="28">
        <f t="shared" si="34"/>
        <v>0</v>
      </c>
      <c r="W350" s="28">
        <f t="shared" si="34"/>
        <v>0</v>
      </c>
      <c r="X350" s="28">
        <f t="shared" si="34"/>
        <v>0</v>
      </c>
      <c r="Y350" s="28">
        <f t="shared" si="34"/>
        <v>0</v>
      </c>
      <c r="Z350" s="28">
        <f t="shared" si="34"/>
        <v>0</v>
      </c>
      <c r="AA350" s="28">
        <f t="shared" si="34"/>
        <v>0</v>
      </c>
      <c r="AB350" s="28">
        <f t="shared" si="34"/>
        <v>0</v>
      </c>
      <c r="AC350" s="28">
        <f t="shared" si="34"/>
        <v>15019.86</v>
      </c>
      <c r="AD350" s="28">
        <f t="shared" si="34"/>
        <v>0</v>
      </c>
      <c r="AE350" s="28">
        <f t="shared" si="34"/>
        <v>0</v>
      </c>
      <c r="AF350" s="62" t="s">
        <v>743</v>
      </c>
      <c r="AG350" s="62" t="s">
        <v>743</v>
      </c>
      <c r="AH350" s="77" t="s">
        <v>743</v>
      </c>
      <c r="AT350" s="18" t="e">
        <f>VLOOKUP(C350,AW:AX,2,FALSE)</f>
        <v>#N/A</v>
      </c>
      <c r="BZ350" s="61">
        <v>7838189.9699999997</v>
      </c>
      <c r="CB350" s="61">
        <f>BZ350-D350</f>
        <v>2660051.4699999997</v>
      </c>
      <c r="CD350" s="18" t="e">
        <f>VLOOKUP(C350,CE:CF,2,FALSE)</f>
        <v>#N/A</v>
      </c>
    </row>
    <row r="351" spans="1:82" ht="61.5" x14ac:dyDescent="0.85">
      <c r="A351" s="18">
        <v>1</v>
      </c>
      <c r="B351" s="57">
        <f>SUBTOTAL(103,$A$22:A351)</f>
        <v>312</v>
      </c>
      <c r="C351" s="23" t="s">
        <v>0</v>
      </c>
      <c r="D351" s="29">
        <f>E351+F351+G351+H351+I351+J351+L351+N351+P351+R351+T351+U351+V351+W351+X351+Y351+Z351+AA351+AB351+AC351+AD351+AE351</f>
        <v>2834457.48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29">
        <v>0</v>
      </c>
      <c r="K351" s="31">
        <v>0</v>
      </c>
      <c r="L351" s="29">
        <v>0</v>
      </c>
      <c r="M351" s="37">
        <v>618.1</v>
      </c>
      <c r="N351" s="37">
        <v>2834457.48</v>
      </c>
      <c r="O351" s="29">
        <v>0</v>
      </c>
      <c r="P351" s="29">
        <v>0</v>
      </c>
      <c r="Q351" s="29">
        <v>0</v>
      </c>
      <c r="R351" s="29">
        <v>0</v>
      </c>
      <c r="S351" s="29">
        <v>0</v>
      </c>
      <c r="T351" s="29">
        <v>0</v>
      </c>
      <c r="U351" s="29">
        <v>0</v>
      </c>
      <c r="V351" s="29">
        <v>0</v>
      </c>
      <c r="W351" s="29">
        <v>0</v>
      </c>
      <c r="X351" s="29">
        <v>0</v>
      </c>
      <c r="Y351" s="29">
        <v>0</v>
      </c>
      <c r="Z351" s="29">
        <v>0</v>
      </c>
      <c r="AA351" s="29">
        <v>0</v>
      </c>
      <c r="AB351" s="29">
        <v>0</v>
      </c>
      <c r="AC351" s="29">
        <v>0</v>
      </c>
      <c r="AD351" s="29">
        <v>0</v>
      </c>
      <c r="AE351" s="29">
        <v>0</v>
      </c>
      <c r="AF351" s="32" t="s">
        <v>268</v>
      </c>
      <c r="AG351" s="32">
        <v>2020</v>
      </c>
      <c r="AH351" s="33" t="s">
        <v>268</v>
      </c>
      <c r="AT351" s="18" t="e">
        <f>VLOOKUP(C351,AW:AX,2,FALSE)</f>
        <v>#N/A</v>
      </c>
      <c r="BZ351" s="61"/>
      <c r="CD351" s="18">
        <f>VLOOKUP(C351,CE:CF,2,FALSE)</f>
        <v>618.1</v>
      </c>
    </row>
    <row r="352" spans="1:82" ht="61.5" x14ac:dyDescent="0.85">
      <c r="A352" s="18">
        <v>1</v>
      </c>
      <c r="B352" s="57">
        <f>SUBTOTAL(103,$A$22:A352)</f>
        <v>313</v>
      </c>
      <c r="C352" s="22" t="s">
        <v>5</v>
      </c>
      <c r="D352" s="29">
        <f>E352+F352+G352+H352+I352+J352+L352+N352+P352+R352+T352+U352+V352+W352+X352+Y352+Z352+AA352+AB352+AC352+AD352+AE352</f>
        <v>2343681.02</v>
      </c>
      <c r="E352" s="29">
        <v>0</v>
      </c>
      <c r="F352" s="29">
        <v>0</v>
      </c>
      <c r="G352" s="29">
        <v>0</v>
      </c>
      <c r="H352" s="29">
        <v>0</v>
      </c>
      <c r="I352" s="29">
        <v>0</v>
      </c>
      <c r="J352" s="29">
        <v>0</v>
      </c>
      <c r="K352" s="31">
        <v>0</v>
      </c>
      <c r="L352" s="29">
        <v>0</v>
      </c>
      <c r="M352" s="37">
        <v>738.9</v>
      </c>
      <c r="N352" s="37">
        <v>2328661.16</v>
      </c>
      <c r="O352" s="29">
        <v>0</v>
      </c>
      <c r="P352" s="29">
        <v>0</v>
      </c>
      <c r="Q352" s="29">
        <v>0</v>
      </c>
      <c r="R352" s="29">
        <v>0</v>
      </c>
      <c r="S352" s="29">
        <v>0</v>
      </c>
      <c r="T352" s="29">
        <v>0</v>
      </c>
      <c r="U352" s="29">
        <v>0</v>
      </c>
      <c r="V352" s="29">
        <v>0</v>
      </c>
      <c r="W352" s="29">
        <v>0</v>
      </c>
      <c r="X352" s="29">
        <v>0</v>
      </c>
      <c r="Y352" s="29">
        <v>0</v>
      </c>
      <c r="Z352" s="29">
        <v>0</v>
      </c>
      <c r="AA352" s="29">
        <v>0</v>
      </c>
      <c r="AB352" s="29">
        <v>0</v>
      </c>
      <c r="AC352" s="37">
        <v>15019.86</v>
      </c>
      <c r="AD352" s="29">
        <v>0</v>
      </c>
      <c r="AE352" s="29">
        <v>0</v>
      </c>
      <c r="AF352" s="32" t="s">
        <v>268</v>
      </c>
      <c r="AG352" s="32">
        <v>2020</v>
      </c>
      <c r="AH352" s="33">
        <v>2020</v>
      </c>
      <c r="AT352" s="18" t="e">
        <f>VLOOKUP(C352,AW:AX,2,FALSE)</f>
        <v>#N/A</v>
      </c>
      <c r="BZ352" s="61"/>
      <c r="CD352" s="18">
        <f>VLOOKUP(C352,CE:CF,2,FALSE)</f>
        <v>722.14</v>
      </c>
    </row>
    <row r="353" spans="1:82" ht="61.5" x14ac:dyDescent="0.85">
      <c r="B353" s="22" t="s">
        <v>820</v>
      </c>
      <c r="C353" s="338"/>
      <c r="D353" s="339">
        <f>SUM(D354:D356)</f>
        <v>8426851.959999999</v>
      </c>
      <c r="E353" s="29">
        <f t="shared" ref="E353:AE353" si="35">SUM(E354:E356)</f>
        <v>0</v>
      </c>
      <c r="F353" s="29">
        <f t="shared" si="35"/>
        <v>0</v>
      </c>
      <c r="G353" s="29">
        <f t="shared" si="35"/>
        <v>6562845.1299999999</v>
      </c>
      <c r="H353" s="29">
        <f t="shared" si="35"/>
        <v>0</v>
      </c>
      <c r="I353" s="29">
        <f t="shared" si="35"/>
        <v>0</v>
      </c>
      <c r="J353" s="29">
        <f t="shared" si="35"/>
        <v>0</v>
      </c>
      <c r="K353" s="31">
        <f t="shared" si="35"/>
        <v>0</v>
      </c>
      <c r="L353" s="29">
        <f t="shared" si="35"/>
        <v>0</v>
      </c>
      <c r="M353" s="29">
        <f t="shared" si="35"/>
        <v>406.9</v>
      </c>
      <c r="N353" s="29">
        <f t="shared" si="35"/>
        <v>1731921.7</v>
      </c>
      <c r="O353" s="29">
        <f t="shared" si="35"/>
        <v>0</v>
      </c>
      <c r="P353" s="29">
        <f t="shared" si="35"/>
        <v>0</v>
      </c>
      <c r="Q353" s="29">
        <f t="shared" si="35"/>
        <v>0</v>
      </c>
      <c r="R353" s="29">
        <f t="shared" si="35"/>
        <v>0</v>
      </c>
      <c r="S353" s="29">
        <f t="shared" si="35"/>
        <v>0</v>
      </c>
      <c r="T353" s="29">
        <f t="shared" si="35"/>
        <v>0</v>
      </c>
      <c r="U353" s="29">
        <f t="shared" si="35"/>
        <v>0</v>
      </c>
      <c r="V353" s="29">
        <f t="shared" si="35"/>
        <v>0</v>
      </c>
      <c r="W353" s="29">
        <f t="shared" si="35"/>
        <v>0</v>
      </c>
      <c r="X353" s="29">
        <f t="shared" si="35"/>
        <v>0</v>
      </c>
      <c r="Y353" s="29">
        <f t="shared" si="35"/>
        <v>0</v>
      </c>
      <c r="Z353" s="29">
        <f t="shared" si="35"/>
        <v>0</v>
      </c>
      <c r="AA353" s="29">
        <f t="shared" si="35"/>
        <v>0</v>
      </c>
      <c r="AB353" s="29">
        <f t="shared" si="35"/>
        <v>0</v>
      </c>
      <c r="AC353" s="29">
        <f t="shared" si="35"/>
        <v>22341.79</v>
      </c>
      <c r="AD353" s="29">
        <f t="shared" si="35"/>
        <v>109743.34</v>
      </c>
      <c r="AE353" s="29">
        <f t="shared" si="35"/>
        <v>0</v>
      </c>
      <c r="AF353" s="62" t="s">
        <v>743</v>
      </c>
      <c r="AG353" s="62" t="s">
        <v>743</v>
      </c>
      <c r="AH353" s="77" t="s">
        <v>743</v>
      </c>
      <c r="AT353" s="18" t="e">
        <f>VLOOKUP(C353,AW:AX,2,FALSE)</f>
        <v>#N/A</v>
      </c>
      <c r="BZ353" s="61">
        <v>11111629.25</v>
      </c>
      <c r="CB353" s="61">
        <f>BZ353-D353</f>
        <v>2684777.290000001</v>
      </c>
      <c r="CD353" s="18" t="e">
        <f>VLOOKUP(C353,CE:CF,2,FALSE)</f>
        <v>#N/A</v>
      </c>
    </row>
    <row r="354" spans="1:82" ht="61.5" x14ac:dyDescent="0.85">
      <c r="A354" s="18">
        <v>1</v>
      </c>
      <c r="B354" s="57">
        <f>SUBTOTAL(103,$A$22:A354)</f>
        <v>314</v>
      </c>
      <c r="C354" s="22" t="s">
        <v>684</v>
      </c>
      <c r="D354" s="29">
        <f>E354+F354+G354+H354+I354+J354+L354+N354+P354+R354+T354+U354+V354+W354+X354+Y354+Z354+AA354+AB354+AC354+AD354+AE354</f>
        <v>51949.1</v>
      </c>
      <c r="E354" s="29">
        <v>0</v>
      </c>
      <c r="F354" s="29">
        <v>0</v>
      </c>
      <c r="G354" s="29">
        <v>0</v>
      </c>
      <c r="H354" s="29">
        <v>0</v>
      </c>
      <c r="I354" s="29">
        <v>0</v>
      </c>
      <c r="J354" s="29">
        <v>0</v>
      </c>
      <c r="K354" s="31">
        <v>0</v>
      </c>
      <c r="L354" s="29">
        <v>0</v>
      </c>
      <c r="M354" s="29">
        <v>0</v>
      </c>
      <c r="N354" s="29">
        <v>0</v>
      </c>
      <c r="O354" s="29">
        <v>0</v>
      </c>
      <c r="P354" s="29">
        <v>0</v>
      </c>
      <c r="Q354" s="29">
        <v>0</v>
      </c>
      <c r="R354" s="29">
        <v>0</v>
      </c>
      <c r="S354" s="29">
        <v>0</v>
      </c>
      <c r="T354" s="29">
        <v>0</v>
      </c>
      <c r="U354" s="29">
        <v>0</v>
      </c>
      <c r="V354" s="29">
        <v>0</v>
      </c>
      <c r="W354" s="29">
        <v>0</v>
      </c>
      <c r="X354" s="29">
        <v>0</v>
      </c>
      <c r="Y354" s="29">
        <v>0</v>
      </c>
      <c r="Z354" s="29">
        <v>0</v>
      </c>
      <c r="AA354" s="29">
        <v>0</v>
      </c>
      <c r="AB354" s="29">
        <v>0</v>
      </c>
      <c r="AC354" s="29">
        <f>ROUND(N354*1.5%,2)</f>
        <v>0</v>
      </c>
      <c r="AD354" s="37">
        <v>51949.1</v>
      </c>
      <c r="AE354" s="29">
        <v>0</v>
      </c>
      <c r="AF354" s="32">
        <v>2020</v>
      </c>
      <c r="AG354" s="32" t="s">
        <v>268</v>
      </c>
      <c r="AH354" s="33" t="s">
        <v>268</v>
      </c>
      <c r="AT354" s="18" t="e">
        <f>VLOOKUP(C354,AW:AX,2,FALSE)</f>
        <v>#N/A</v>
      </c>
      <c r="BZ354" s="61"/>
      <c r="CD354" s="18" t="e">
        <f>VLOOKUP(C354,CE:CF,2,FALSE)</f>
        <v>#N/A</v>
      </c>
    </row>
    <row r="355" spans="1:82" ht="61.5" x14ac:dyDescent="0.85">
      <c r="A355" s="18">
        <v>1</v>
      </c>
      <c r="B355" s="57">
        <f>SUBTOTAL(103,$A$22:A355)</f>
        <v>315</v>
      </c>
      <c r="C355" s="22" t="s">
        <v>1209</v>
      </c>
      <c r="D355" s="29">
        <f>E355+F355+G355+H355+I355+J355+L355+N355+P355+R355+T355+U355+V355+W355+X355+Y355+Z355+AA355+AB355+AC355+AD355+AE355</f>
        <v>6562845.1299999999</v>
      </c>
      <c r="E355" s="36">
        <v>0</v>
      </c>
      <c r="F355" s="36">
        <v>0</v>
      </c>
      <c r="G355" s="37">
        <v>6562845.1299999999</v>
      </c>
      <c r="H355" s="36">
        <v>0</v>
      </c>
      <c r="I355" s="36">
        <v>0</v>
      </c>
      <c r="J355" s="36">
        <v>0</v>
      </c>
      <c r="K355" s="31">
        <v>0</v>
      </c>
      <c r="L355" s="29">
        <v>0</v>
      </c>
      <c r="M355" s="29">
        <v>0</v>
      </c>
      <c r="N355" s="29">
        <v>0</v>
      </c>
      <c r="O355" s="36">
        <v>0</v>
      </c>
      <c r="P355" s="36">
        <v>0</v>
      </c>
      <c r="Q355" s="29">
        <v>0</v>
      </c>
      <c r="R355" s="29">
        <v>0</v>
      </c>
      <c r="S355" s="29">
        <v>0</v>
      </c>
      <c r="T355" s="29">
        <v>0</v>
      </c>
      <c r="U355" s="29">
        <v>0</v>
      </c>
      <c r="V355" s="29">
        <v>0</v>
      </c>
      <c r="W355" s="29">
        <v>0</v>
      </c>
      <c r="X355" s="29">
        <v>0</v>
      </c>
      <c r="Y355" s="29">
        <v>0</v>
      </c>
      <c r="Z355" s="29">
        <v>0</v>
      </c>
      <c r="AA355" s="29">
        <v>0</v>
      </c>
      <c r="AB355" s="29">
        <v>0</v>
      </c>
      <c r="AC355" s="29">
        <v>0</v>
      </c>
      <c r="AD355" s="29">
        <v>0</v>
      </c>
      <c r="AE355" s="29">
        <v>0</v>
      </c>
      <c r="AF355" s="32" t="s">
        <v>268</v>
      </c>
      <c r="AG355" s="32">
        <v>2020</v>
      </c>
      <c r="AH355" s="33" t="s">
        <v>268</v>
      </c>
      <c r="BZ355" s="61"/>
      <c r="CD355" s="18" t="e">
        <f>VLOOKUP(C355,CE:CF,2,FALSE)</f>
        <v>#N/A</v>
      </c>
    </row>
    <row r="356" spans="1:82" ht="61.5" x14ac:dyDescent="0.85">
      <c r="A356" s="18">
        <v>1</v>
      </c>
      <c r="B356" s="57">
        <f>SUBTOTAL(103,$A$22:A356)</f>
        <v>316</v>
      </c>
      <c r="C356" s="22" t="s">
        <v>1558</v>
      </c>
      <c r="D356" s="29">
        <f>E356+F356+G356+H356+I356+J356+L356+N356+P356+R356+T356+U356+V356+W356+X356+Y356+Z356+AA356+AB356+AC356+AD356+AE356</f>
        <v>1812057.73</v>
      </c>
      <c r="E356" s="36">
        <v>0</v>
      </c>
      <c r="F356" s="36">
        <v>0</v>
      </c>
      <c r="G356" s="29">
        <v>0</v>
      </c>
      <c r="H356" s="36">
        <v>0</v>
      </c>
      <c r="I356" s="36">
        <v>0</v>
      </c>
      <c r="J356" s="36">
        <v>0</v>
      </c>
      <c r="K356" s="31">
        <v>0</v>
      </c>
      <c r="L356" s="29">
        <v>0</v>
      </c>
      <c r="M356" s="37">
        <v>406.9</v>
      </c>
      <c r="N356" s="37">
        <v>1731921.7</v>
      </c>
      <c r="O356" s="36">
        <v>0</v>
      </c>
      <c r="P356" s="36">
        <v>0</v>
      </c>
      <c r="Q356" s="29">
        <v>0</v>
      </c>
      <c r="R356" s="29">
        <v>0</v>
      </c>
      <c r="S356" s="29">
        <v>0</v>
      </c>
      <c r="T356" s="29">
        <v>0</v>
      </c>
      <c r="U356" s="29">
        <v>0</v>
      </c>
      <c r="V356" s="29">
        <v>0</v>
      </c>
      <c r="W356" s="29">
        <v>0</v>
      </c>
      <c r="X356" s="29">
        <v>0</v>
      </c>
      <c r="Y356" s="29">
        <v>0</v>
      </c>
      <c r="Z356" s="29">
        <v>0</v>
      </c>
      <c r="AA356" s="29">
        <v>0</v>
      </c>
      <c r="AB356" s="29">
        <v>0</v>
      </c>
      <c r="AC356" s="37">
        <v>22341.79</v>
      </c>
      <c r="AD356" s="37">
        <v>57794.239999999998</v>
      </c>
      <c r="AE356" s="29">
        <v>0</v>
      </c>
      <c r="AF356" s="32">
        <v>2020</v>
      </c>
      <c r="AG356" s="32">
        <v>2020</v>
      </c>
      <c r="AH356" s="33">
        <v>2020</v>
      </c>
      <c r="BZ356" s="61"/>
      <c r="CD356" s="18" t="e">
        <f>VLOOKUP(C356,CE:CF,2,FALSE)</f>
        <v>#N/A</v>
      </c>
    </row>
    <row r="357" spans="1:82" ht="61.5" x14ac:dyDescent="0.85">
      <c r="B357" s="22" t="s">
        <v>821</v>
      </c>
      <c r="C357" s="22"/>
      <c r="D357" s="339">
        <f t="shared" ref="D357:AE357" si="36">SUM(D358:D359)</f>
        <v>7968708.8700000001</v>
      </c>
      <c r="E357" s="29">
        <f t="shared" si="36"/>
        <v>0</v>
      </c>
      <c r="F357" s="29">
        <f t="shared" si="36"/>
        <v>0</v>
      </c>
      <c r="G357" s="29">
        <f t="shared" si="36"/>
        <v>4236373.1399999997</v>
      </c>
      <c r="H357" s="29">
        <f t="shared" si="36"/>
        <v>474283.04</v>
      </c>
      <c r="I357" s="29">
        <f t="shared" si="36"/>
        <v>0</v>
      </c>
      <c r="J357" s="29">
        <f t="shared" si="36"/>
        <v>0</v>
      </c>
      <c r="K357" s="31">
        <f t="shared" si="36"/>
        <v>0</v>
      </c>
      <c r="L357" s="29">
        <f t="shared" si="36"/>
        <v>0</v>
      </c>
      <c r="M357" s="29">
        <f t="shared" si="36"/>
        <v>1144.52</v>
      </c>
      <c r="N357" s="29">
        <f t="shared" si="36"/>
        <v>3057208.51</v>
      </c>
      <c r="O357" s="29">
        <f t="shared" si="36"/>
        <v>0</v>
      </c>
      <c r="P357" s="29">
        <f t="shared" si="36"/>
        <v>0</v>
      </c>
      <c r="Q357" s="29">
        <f t="shared" si="36"/>
        <v>0</v>
      </c>
      <c r="R357" s="29">
        <f t="shared" si="36"/>
        <v>0</v>
      </c>
      <c r="S357" s="29">
        <f t="shared" si="36"/>
        <v>0</v>
      </c>
      <c r="T357" s="29">
        <f t="shared" si="36"/>
        <v>0</v>
      </c>
      <c r="U357" s="29">
        <f t="shared" si="36"/>
        <v>0</v>
      </c>
      <c r="V357" s="29">
        <f t="shared" si="36"/>
        <v>0</v>
      </c>
      <c r="W357" s="29">
        <f t="shared" si="36"/>
        <v>0</v>
      </c>
      <c r="X357" s="29">
        <f t="shared" si="36"/>
        <v>0</v>
      </c>
      <c r="Y357" s="29">
        <f t="shared" si="36"/>
        <v>0</v>
      </c>
      <c r="Z357" s="29">
        <f t="shared" si="36"/>
        <v>0</v>
      </c>
      <c r="AA357" s="29">
        <f t="shared" si="36"/>
        <v>0</v>
      </c>
      <c r="AB357" s="29">
        <f t="shared" si="36"/>
        <v>0</v>
      </c>
      <c r="AC357" s="29">
        <f t="shared" si="36"/>
        <v>86073.48</v>
      </c>
      <c r="AD357" s="29">
        <f t="shared" si="36"/>
        <v>114770.7</v>
      </c>
      <c r="AE357" s="29">
        <f t="shared" si="36"/>
        <v>0</v>
      </c>
      <c r="AF357" s="62" t="s">
        <v>743</v>
      </c>
      <c r="AG357" s="62" t="s">
        <v>743</v>
      </c>
      <c r="AH357" s="77" t="s">
        <v>743</v>
      </c>
      <c r="AT357" s="18" t="e">
        <f>VLOOKUP(C357,AW:AX,2,FALSE)</f>
        <v>#N/A</v>
      </c>
      <c r="BZ357" s="61">
        <v>12137858.549999999</v>
      </c>
      <c r="CB357" s="61">
        <f>BZ357-D357</f>
        <v>4169149.6799999988</v>
      </c>
      <c r="CD357" s="18" t="e">
        <f>VLOOKUP(C357,CE:CF,2,FALSE)</f>
        <v>#N/A</v>
      </c>
    </row>
    <row r="358" spans="1:82" ht="61.5" x14ac:dyDescent="0.85">
      <c r="A358" s="18">
        <v>1</v>
      </c>
      <c r="B358" s="57">
        <f>SUBTOTAL(103,$A$22:A358)</f>
        <v>317</v>
      </c>
      <c r="C358" s="22" t="s">
        <v>690</v>
      </c>
      <c r="D358" s="29">
        <f>E358+F358+G358+H358+I358+J358+L358+N358+P358+R358+T358+U358+V358+W358+X358+Y358+Z358+AA358+AB358+AC358+AD358+AE358</f>
        <v>3211417.2</v>
      </c>
      <c r="E358" s="29">
        <v>0</v>
      </c>
      <c r="F358" s="29">
        <v>0</v>
      </c>
      <c r="G358" s="29">
        <v>0</v>
      </c>
      <c r="H358" s="29">
        <v>0</v>
      </c>
      <c r="I358" s="29">
        <v>0</v>
      </c>
      <c r="J358" s="29">
        <v>0</v>
      </c>
      <c r="K358" s="31">
        <v>0</v>
      </c>
      <c r="L358" s="29">
        <v>0</v>
      </c>
      <c r="M358" s="37">
        <v>1144.52</v>
      </c>
      <c r="N358" s="37">
        <v>3057208.51</v>
      </c>
      <c r="O358" s="29">
        <v>0</v>
      </c>
      <c r="P358" s="29">
        <v>0</v>
      </c>
      <c r="Q358" s="29">
        <v>0</v>
      </c>
      <c r="R358" s="29">
        <v>0</v>
      </c>
      <c r="S358" s="29">
        <v>0</v>
      </c>
      <c r="T358" s="29">
        <v>0</v>
      </c>
      <c r="U358" s="29">
        <v>0</v>
      </c>
      <c r="V358" s="29">
        <v>0</v>
      </c>
      <c r="W358" s="29">
        <v>0</v>
      </c>
      <c r="X358" s="29">
        <v>0</v>
      </c>
      <c r="Y358" s="29">
        <v>0</v>
      </c>
      <c r="Z358" s="29">
        <v>0</v>
      </c>
      <c r="AA358" s="29">
        <v>0</v>
      </c>
      <c r="AB358" s="29">
        <v>0</v>
      </c>
      <c r="AC358" s="37">
        <v>39437.99</v>
      </c>
      <c r="AD358" s="37">
        <v>114770.7</v>
      </c>
      <c r="AE358" s="29">
        <v>0</v>
      </c>
      <c r="AF358" s="32">
        <v>2020</v>
      </c>
      <c r="AG358" s="32">
        <v>2020</v>
      </c>
      <c r="AH358" s="33">
        <v>2020</v>
      </c>
      <c r="AT358" s="18" t="e">
        <f>VLOOKUP(C358,AW:AX,2,FALSE)</f>
        <v>#N/A</v>
      </c>
      <c r="BZ358" s="61"/>
      <c r="CD358" s="18" t="e">
        <f>VLOOKUP(C358,CE:CF,2,FALSE)</f>
        <v>#N/A</v>
      </c>
    </row>
    <row r="359" spans="1:82" ht="61.5" x14ac:dyDescent="0.85">
      <c r="A359" s="18">
        <v>1</v>
      </c>
      <c r="B359" s="57">
        <f>SUBTOTAL(103,$A$22:A359)</f>
        <v>318</v>
      </c>
      <c r="C359" s="22" t="s">
        <v>1210</v>
      </c>
      <c r="D359" s="29">
        <f>E359+F359+G359+H359+I359+J359+L359+N359+P359+R359+T359+U359+V359+W359+X359+Y359+Z359+AA359+AB359+AC359+AD359+AE359</f>
        <v>4757291.67</v>
      </c>
      <c r="E359" s="29">
        <v>0</v>
      </c>
      <c r="F359" s="29">
        <v>0</v>
      </c>
      <c r="G359" s="37">
        <f>1731244.66+2505128.48</f>
        <v>4236373.1399999997</v>
      </c>
      <c r="H359" s="37">
        <v>474283.04</v>
      </c>
      <c r="I359" s="29">
        <v>0</v>
      </c>
      <c r="J359" s="29">
        <v>0</v>
      </c>
      <c r="K359" s="31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0</v>
      </c>
      <c r="R359" s="29">
        <v>0</v>
      </c>
      <c r="S359" s="29">
        <v>0</v>
      </c>
      <c r="T359" s="29">
        <v>0</v>
      </c>
      <c r="U359" s="29">
        <v>0</v>
      </c>
      <c r="V359" s="29">
        <v>0</v>
      </c>
      <c r="W359" s="29">
        <v>0</v>
      </c>
      <c r="X359" s="29">
        <v>0</v>
      </c>
      <c r="Y359" s="29">
        <v>0</v>
      </c>
      <c r="Z359" s="29">
        <v>0</v>
      </c>
      <c r="AA359" s="29">
        <v>0</v>
      </c>
      <c r="AB359" s="29">
        <v>0</v>
      </c>
      <c r="AC359" s="29">
        <v>46635.49</v>
      </c>
      <c r="AD359" s="29">
        <v>0</v>
      </c>
      <c r="AE359" s="29">
        <v>0</v>
      </c>
      <c r="AF359" s="32" t="s">
        <v>268</v>
      </c>
      <c r="AG359" s="32">
        <v>2020</v>
      </c>
      <c r="AH359" s="33">
        <v>2020</v>
      </c>
      <c r="BZ359" s="61"/>
      <c r="CD359" s="18" t="e">
        <f>VLOOKUP(C359,CE:CF,2,FALSE)</f>
        <v>#N/A</v>
      </c>
    </row>
    <row r="360" spans="1:82" ht="61.5" x14ac:dyDescent="0.85">
      <c r="B360" s="22" t="s">
        <v>822</v>
      </c>
      <c r="C360" s="22"/>
      <c r="D360" s="339">
        <f t="shared" ref="D360:AE360" si="37">D361</f>
        <v>1861701.91</v>
      </c>
      <c r="E360" s="29">
        <f t="shared" si="37"/>
        <v>0</v>
      </c>
      <c r="F360" s="29">
        <f t="shared" si="37"/>
        <v>0</v>
      </c>
      <c r="G360" s="29">
        <f t="shared" si="37"/>
        <v>0</v>
      </c>
      <c r="H360" s="29">
        <f t="shared" si="37"/>
        <v>0</v>
      </c>
      <c r="I360" s="29">
        <f t="shared" si="37"/>
        <v>0</v>
      </c>
      <c r="J360" s="29">
        <f t="shared" si="37"/>
        <v>0</v>
      </c>
      <c r="K360" s="31">
        <f t="shared" si="37"/>
        <v>0</v>
      </c>
      <c r="L360" s="29">
        <f t="shared" si="37"/>
        <v>0</v>
      </c>
      <c r="M360" s="29">
        <f t="shared" si="37"/>
        <v>570</v>
      </c>
      <c r="N360" s="29">
        <f t="shared" si="37"/>
        <v>1716738.9</v>
      </c>
      <c r="O360" s="29">
        <f t="shared" si="37"/>
        <v>0</v>
      </c>
      <c r="P360" s="29">
        <f t="shared" si="37"/>
        <v>0</v>
      </c>
      <c r="Q360" s="29">
        <f t="shared" si="37"/>
        <v>0</v>
      </c>
      <c r="R360" s="29">
        <f t="shared" si="37"/>
        <v>0</v>
      </c>
      <c r="S360" s="29">
        <f t="shared" si="37"/>
        <v>0</v>
      </c>
      <c r="T360" s="29">
        <f t="shared" si="37"/>
        <v>0</v>
      </c>
      <c r="U360" s="29">
        <f t="shared" si="37"/>
        <v>0</v>
      </c>
      <c r="V360" s="29">
        <f t="shared" si="37"/>
        <v>0</v>
      </c>
      <c r="W360" s="29">
        <f t="shared" si="37"/>
        <v>0</v>
      </c>
      <c r="X360" s="29">
        <f t="shared" si="37"/>
        <v>0</v>
      </c>
      <c r="Y360" s="29">
        <f t="shared" si="37"/>
        <v>0</v>
      </c>
      <c r="Z360" s="29">
        <f t="shared" si="37"/>
        <v>0</v>
      </c>
      <c r="AA360" s="29">
        <f t="shared" si="37"/>
        <v>0</v>
      </c>
      <c r="AB360" s="29">
        <f t="shared" si="37"/>
        <v>0</v>
      </c>
      <c r="AC360" s="29">
        <f t="shared" si="37"/>
        <v>22145.93</v>
      </c>
      <c r="AD360" s="29">
        <f t="shared" si="37"/>
        <v>122817.08</v>
      </c>
      <c r="AE360" s="29">
        <f t="shared" si="37"/>
        <v>0</v>
      </c>
      <c r="AF360" s="62" t="s">
        <v>743</v>
      </c>
      <c r="AG360" s="62" t="s">
        <v>743</v>
      </c>
      <c r="AH360" s="77" t="s">
        <v>743</v>
      </c>
      <c r="AT360" s="18" t="e">
        <f>VLOOKUP(C360,AW:AX,2,FALSE)</f>
        <v>#N/A</v>
      </c>
      <c r="BZ360" s="61">
        <v>5698132.5200000005</v>
      </c>
      <c r="CD360" s="18" t="e">
        <f>VLOOKUP(C360,CE:CF,2,FALSE)</f>
        <v>#N/A</v>
      </c>
    </row>
    <row r="361" spans="1:82" ht="61.5" x14ac:dyDescent="0.85">
      <c r="A361" s="18">
        <v>1</v>
      </c>
      <c r="B361" s="57">
        <f>SUBTOTAL(103,$A$22:A361)</f>
        <v>319</v>
      </c>
      <c r="C361" s="22" t="s">
        <v>787</v>
      </c>
      <c r="D361" s="29">
        <f>E361+F361+G361+H361+I361+J361+L361+N361+P361+R361+T361+U361+V361+W361+X361+Y361+Z361+AA361+AB361+AC361+AD361+AE361</f>
        <v>1861701.91</v>
      </c>
      <c r="E361" s="29">
        <v>0</v>
      </c>
      <c r="F361" s="29">
        <v>0</v>
      </c>
      <c r="G361" s="29">
        <v>0</v>
      </c>
      <c r="H361" s="29">
        <v>0</v>
      </c>
      <c r="I361" s="29">
        <v>0</v>
      </c>
      <c r="J361" s="29">
        <v>0</v>
      </c>
      <c r="K361" s="31">
        <v>0</v>
      </c>
      <c r="L361" s="29">
        <v>0</v>
      </c>
      <c r="M361" s="37">
        <v>570</v>
      </c>
      <c r="N361" s="37">
        <v>1716738.9</v>
      </c>
      <c r="O361" s="29">
        <v>0</v>
      </c>
      <c r="P361" s="29">
        <v>0</v>
      </c>
      <c r="Q361" s="29">
        <v>0</v>
      </c>
      <c r="R361" s="29">
        <v>0</v>
      </c>
      <c r="S361" s="29">
        <v>0</v>
      </c>
      <c r="T361" s="29">
        <v>0</v>
      </c>
      <c r="U361" s="29">
        <v>0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  <c r="AA361" s="29">
        <v>0</v>
      </c>
      <c r="AB361" s="29">
        <v>0</v>
      </c>
      <c r="AC361" s="29">
        <v>22145.93</v>
      </c>
      <c r="AD361" s="29">
        <v>122817.08</v>
      </c>
      <c r="AE361" s="29">
        <v>0</v>
      </c>
      <c r="AF361" s="32">
        <v>2020</v>
      </c>
      <c r="AG361" s="32">
        <v>2020</v>
      </c>
      <c r="AH361" s="32">
        <v>2020</v>
      </c>
      <c r="AT361" s="18" t="e">
        <f>VLOOKUP(C361,AW:AX,2,FALSE)</f>
        <v>#N/A</v>
      </c>
      <c r="BZ361" s="61"/>
      <c r="CD361" s="18" t="e">
        <f>VLOOKUP(C361,CE:CF,2,FALSE)</f>
        <v>#N/A</v>
      </c>
    </row>
    <row r="362" spans="1:82" ht="61.5" x14ac:dyDescent="0.85">
      <c r="B362" s="22" t="s">
        <v>823</v>
      </c>
      <c r="C362" s="338"/>
      <c r="D362" s="339">
        <f t="shared" ref="D362:AE362" si="38">SUM(D363:D379)</f>
        <v>44398957.329999998</v>
      </c>
      <c r="E362" s="29">
        <f t="shared" si="38"/>
        <v>117380.25</v>
      </c>
      <c r="F362" s="29">
        <f t="shared" si="38"/>
        <v>0</v>
      </c>
      <c r="G362" s="29">
        <f t="shared" si="38"/>
        <v>0</v>
      </c>
      <c r="H362" s="29">
        <f t="shared" si="38"/>
        <v>0</v>
      </c>
      <c r="I362" s="29">
        <f t="shared" si="38"/>
        <v>0</v>
      </c>
      <c r="J362" s="29">
        <f t="shared" si="38"/>
        <v>0</v>
      </c>
      <c r="K362" s="31">
        <f t="shared" si="38"/>
        <v>0</v>
      </c>
      <c r="L362" s="29">
        <f t="shared" si="38"/>
        <v>0</v>
      </c>
      <c r="M362" s="29">
        <f t="shared" si="38"/>
        <v>9873.7900000000009</v>
      </c>
      <c r="N362" s="29">
        <f t="shared" si="38"/>
        <v>37752509.329999998</v>
      </c>
      <c r="O362" s="29">
        <f t="shared" si="38"/>
        <v>0</v>
      </c>
      <c r="P362" s="29">
        <f t="shared" si="38"/>
        <v>0</v>
      </c>
      <c r="Q362" s="29">
        <f t="shared" si="38"/>
        <v>2836.8</v>
      </c>
      <c r="R362" s="29">
        <f t="shared" si="38"/>
        <v>5484510.0500000007</v>
      </c>
      <c r="S362" s="29">
        <f t="shared" si="38"/>
        <v>0</v>
      </c>
      <c r="T362" s="29">
        <f t="shared" si="38"/>
        <v>0</v>
      </c>
      <c r="U362" s="29">
        <f t="shared" si="38"/>
        <v>0</v>
      </c>
      <c r="V362" s="29">
        <f t="shared" si="38"/>
        <v>0</v>
      </c>
      <c r="W362" s="29">
        <f t="shared" si="38"/>
        <v>0</v>
      </c>
      <c r="X362" s="29">
        <f t="shared" si="38"/>
        <v>0</v>
      </c>
      <c r="Y362" s="29">
        <f t="shared" si="38"/>
        <v>0</v>
      </c>
      <c r="Z362" s="29">
        <f t="shared" si="38"/>
        <v>0</v>
      </c>
      <c r="AA362" s="29">
        <f t="shared" si="38"/>
        <v>0</v>
      </c>
      <c r="AB362" s="29">
        <f t="shared" si="38"/>
        <v>0</v>
      </c>
      <c r="AC362" s="29">
        <f t="shared" si="38"/>
        <v>441540.75</v>
      </c>
      <c r="AD362" s="29">
        <f t="shared" si="38"/>
        <v>603016.94999999995</v>
      </c>
      <c r="AE362" s="29">
        <f t="shared" si="38"/>
        <v>0</v>
      </c>
      <c r="AF362" s="62" t="s">
        <v>743</v>
      </c>
      <c r="AG362" s="62" t="s">
        <v>743</v>
      </c>
      <c r="AH362" s="77" t="s">
        <v>743</v>
      </c>
      <c r="AT362" s="18" t="e">
        <f>VLOOKUP(C362,AW:AX,2,FALSE)</f>
        <v>#N/A</v>
      </c>
      <c r="AV362" s="18">
        <v>20654065.649999999</v>
      </c>
      <c r="AW362" s="61">
        <f>AV362-D362</f>
        <v>-23744891.68</v>
      </c>
      <c r="BZ362" s="29">
        <v>56051993.530000009</v>
      </c>
      <c r="CA362" s="29"/>
      <c r="CB362" s="29">
        <f>BZ362-D362</f>
        <v>11653036.20000001</v>
      </c>
      <c r="CD362" s="18" t="e">
        <f>VLOOKUP(C362,CE:CF,2,FALSE)</f>
        <v>#N/A</v>
      </c>
    </row>
    <row r="363" spans="1:82" ht="61.5" x14ac:dyDescent="0.85">
      <c r="A363" s="18">
        <v>1</v>
      </c>
      <c r="B363" s="57">
        <f>SUBTOTAL(103,$A$22:A363)</f>
        <v>320</v>
      </c>
      <c r="C363" s="22" t="s">
        <v>114</v>
      </c>
      <c r="D363" s="29">
        <f t="shared" ref="D363:D379" si="39">E363+F363+G363+H363+I363+J363+L363+N363+P363+R363+T363+U363+V363+W363+X363+Y363+Z363+AA363+AB363+AC363+AD363+AE363</f>
        <v>54256.44</v>
      </c>
      <c r="E363" s="29">
        <v>0</v>
      </c>
      <c r="F363" s="29">
        <v>0</v>
      </c>
      <c r="G363" s="29">
        <v>0</v>
      </c>
      <c r="H363" s="29">
        <v>0</v>
      </c>
      <c r="I363" s="29">
        <v>0</v>
      </c>
      <c r="J363" s="29">
        <v>0</v>
      </c>
      <c r="K363" s="31">
        <v>0</v>
      </c>
      <c r="L363" s="29">
        <v>0</v>
      </c>
      <c r="M363" s="29">
        <v>0</v>
      </c>
      <c r="N363" s="29">
        <v>0</v>
      </c>
      <c r="O363" s="29">
        <v>0</v>
      </c>
      <c r="P363" s="29">
        <v>0</v>
      </c>
      <c r="Q363" s="29">
        <v>0</v>
      </c>
      <c r="R363" s="29">
        <v>0</v>
      </c>
      <c r="S363" s="29">
        <v>0</v>
      </c>
      <c r="T363" s="29">
        <v>0</v>
      </c>
      <c r="U363" s="29">
        <v>0</v>
      </c>
      <c r="V363" s="29">
        <v>0</v>
      </c>
      <c r="W363" s="29">
        <v>0</v>
      </c>
      <c r="X363" s="29">
        <v>0</v>
      </c>
      <c r="Y363" s="29">
        <v>0</v>
      </c>
      <c r="Z363" s="29">
        <v>0</v>
      </c>
      <c r="AA363" s="29">
        <v>0</v>
      </c>
      <c r="AB363" s="29">
        <v>0</v>
      </c>
      <c r="AC363" s="29">
        <f>ROUND(N363*1.5%,2)</f>
        <v>0</v>
      </c>
      <c r="AD363" s="29">
        <v>54256.44</v>
      </c>
      <c r="AE363" s="29">
        <v>0</v>
      </c>
      <c r="AF363" s="32">
        <v>2020</v>
      </c>
      <c r="AG363" s="32" t="s">
        <v>268</v>
      </c>
      <c r="AH363" s="32" t="s">
        <v>268</v>
      </c>
      <c r="AT363" s="18" t="e">
        <f>VLOOKUP(C363,AW:AX,2,FALSE)</f>
        <v>#N/A</v>
      </c>
      <c r="BZ363" s="61"/>
      <c r="CD363" s="18" t="e">
        <f>VLOOKUP(C363,CE:CF,2,FALSE)</f>
        <v>#N/A</v>
      </c>
    </row>
    <row r="364" spans="1:82" ht="61.5" x14ac:dyDescent="0.85">
      <c r="A364" s="18">
        <v>1</v>
      </c>
      <c r="B364" s="57">
        <f>SUBTOTAL(103,$A$22:A364)</f>
        <v>321</v>
      </c>
      <c r="C364" s="22" t="s">
        <v>117</v>
      </c>
      <c r="D364" s="29">
        <f t="shared" si="39"/>
        <v>2480548.0700000003</v>
      </c>
      <c r="E364" s="29">
        <v>0</v>
      </c>
      <c r="F364" s="29">
        <v>0</v>
      </c>
      <c r="G364" s="29">
        <v>0</v>
      </c>
      <c r="H364" s="29">
        <v>0</v>
      </c>
      <c r="I364" s="29">
        <v>0</v>
      </c>
      <c r="J364" s="29">
        <v>0</v>
      </c>
      <c r="K364" s="31">
        <v>0</v>
      </c>
      <c r="L364" s="29">
        <v>0</v>
      </c>
      <c r="M364" s="37">
        <v>616.94000000000005</v>
      </c>
      <c r="N364" s="37">
        <v>2411642.35</v>
      </c>
      <c r="O364" s="29">
        <v>0</v>
      </c>
      <c r="P364" s="29">
        <v>0</v>
      </c>
      <c r="Q364" s="29">
        <v>0</v>
      </c>
      <c r="R364" s="29">
        <v>0</v>
      </c>
      <c r="S364" s="29">
        <v>0</v>
      </c>
      <c r="T364" s="29">
        <v>0</v>
      </c>
      <c r="U364" s="29">
        <v>0</v>
      </c>
      <c r="V364" s="29">
        <v>0</v>
      </c>
      <c r="W364" s="29">
        <v>0</v>
      </c>
      <c r="X364" s="29">
        <v>0</v>
      </c>
      <c r="Y364" s="29">
        <v>0</v>
      </c>
      <c r="Z364" s="29">
        <v>0</v>
      </c>
      <c r="AA364" s="29">
        <v>0</v>
      </c>
      <c r="AB364" s="29">
        <v>0</v>
      </c>
      <c r="AC364" s="37">
        <v>14469.85</v>
      </c>
      <c r="AD364" s="29">
        <v>54435.87</v>
      </c>
      <c r="AE364" s="29">
        <v>0</v>
      </c>
      <c r="AF364" s="32">
        <v>2020</v>
      </c>
      <c r="AG364" s="32">
        <v>2020</v>
      </c>
      <c r="AH364" s="33">
        <v>2020</v>
      </c>
      <c r="AT364" s="18" t="e">
        <f>VLOOKUP(C364,AW:AX,2,FALSE)</f>
        <v>#N/A</v>
      </c>
      <c r="BZ364" s="61"/>
      <c r="CD364" s="18" t="e">
        <f>VLOOKUP(C364,CE:CF,2,FALSE)</f>
        <v>#N/A</v>
      </c>
    </row>
    <row r="365" spans="1:82" ht="61.5" x14ac:dyDescent="0.85">
      <c r="A365" s="18">
        <v>1</v>
      </c>
      <c r="B365" s="57">
        <f>SUBTOTAL(103,$A$22:A365)</f>
        <v>322</v>
      </c>
      <c r="C365" s="22" t="s">
        <v>113</v>
      </c>
      <c r="D365" s="29">
        <f t="shared" si="39"/>
        <v>1443898.48</v>
      </c>
      <c r="E365" s="29">
        <v>0</v>
      </c>
      <c r="F365" s="29">
        <v>0</v>
      </c>
      <c r="G365" s="29">
        <v>0</v>
      </c>
      <c r="H365" s="29">
        <v>0</v>
      </c>
      <c r="I365" s="29">
        <v>0</v>
      </c>
      <c r="J365" s="29">
        <v>0</v>
      </c>
      <c r="K365" s="31">
        <v>0</v>
      </c>
      <c r="L365" s="29">
        <v>0</v>
      </c>
      <c r="M365" s="37">
        <v>340.4</v>
      </c>
      <c r="N365" s="37">
        <v>1395122.85</v>
      </c>
      <c r="O365" s="29">
        <v>0</v>
      </c>
      <c r="P365" s="29">
        <v>0</v>
      </c>
      <c r="Q365" s="29">
        <v>0</v>
      </c>
      <c r="R365" s="29">
        <v>0</v>
      </c>
      <c r="S365" s="29">
        <v>0</v>
      </c>
      <c r="T365" s="29">
        <v>0</v>
      </c>
      <c r="U365" s="29">
        <v>0</v>
      </c>
      <c r="V365" s="29">
        <v>0</v>
      </c>
      <c r="W365" s="29">
        <v>0</v>
      </c>
      <c r="X365" s="29">
        <v>0</v>
      </c>
      <c r="Y365" s="29">
        <v>0</v>
      </c>
      <c r="Z365" s="29">
        <v>0</v>
      </c>
      <c r="AA365" s="29">
        <v>0</v>
      </c>
      <c r="AB365" s="29">
        <v>0</v>
      </c>
      <c r="AC365" s="29">
        <v>8370.74</v>
      </c>
      <c r="AD365" s="29">
        <v>40404.89</v>
      </c>
      <c r="AE365" s="29">
        <v>0</v>
      </c>
      <c r="AF365" s="32">
        <v>2020</v>
      </c>
      <c r="AG365" s="32">
        <v>2020</v>
      </c>
      <c r="AH365" s="33">
        <v>2020</v>
      </c>
      <c r="AT365" s="18" t="e">
        <f>VLOOKUP(C365,AW:AX,2,FALSE)</f>
        <v>#N/A</v>
      </c>
      <c r="BZ365" s="61"/>
      <c r="CD365" s="18" t="e">
        <f>VLOOKUP(C365,CE:CF,2,FALSE)</f>
        <v>#N/A</v>
      </c>
    </row>
    <row r="366" spans="1:82" ht="61.5" x14ac:dyDescent="0.85">
      <c r="A366" s="18">
        <v>1</v>
      </c>
      <c r="B366" s="57">
        <f>SUBTOTAL(103,$A$22:A366)</f>
        <v>323</v>
      </c>
      <c r="C366" s="22" t="s">
        <v>115</v>
      </c>
      <c r="D366" s="29">
        <f t="shared" si="39"/>
        <v>4557103.54</v>
      </c>
      <c r="E366" s="29">
        <v>0</v>
      </c>
      <c r="F366" s="29">
        <v>0</v>
      </c>
      <c r="G366" s="29">
        <v>0</v>
      </c>
      <c r="H366" s="29">
        <v>0</v>
      </c>
      <c r="I366" s="29">
        <v>0</v>
      </c>
      <c r="J366" s="29">
        <v>0</v>
      </c>
      <c r="K366" s="31">
        <v>0</v>
      </c>
      <c r="L366" s="29">
        <v>0</v>
      </c>
      <c r="M366" s="37">
        <v>1235.5</v>
      </c>
      <c r="N366" s="37">
        <v>4529924</v>
      </c>
      <c r="O366" s="29">
        <v>0</v>
      </c>
      <c r="P366" s="29">
        <v>0</v>
      </c>
      <c r="Q366" s="29">
        <v>0</v>
      </c>
      <c r="R366" s="29">
        <v>0</v>
      </c>
      <c r="S366" s="29">
        <v>0</v>
      </c>
      <c r="T366" s="29">
        <v>0</v>
      </c>
      <c r="U366" s="29">
        <v>0</v>
      </c>
      <c r="V366" s="29">
        <v>0</v>
      </c>
      <c r="W366" s="29">
        <v>0</v>
      </c>
      <c r="X366" s="29">
        <v>0</v>
      </c>
      <c r="Y366" s="29">
        <v>0</v>
      </c>
      <c r="Z366" s="29">
        <v>0</v>
      </c>
      <c r="AA366" s="29">
        <v>0</v>
      </c>
      <c r="AB366" s="29">
        <v>0</v>
      </c>
      <c r="AC366" s="37">
        <v>27179.54</v>
      </c>
      <c r="AD366" s="29">
        <v>0</v>
      </c>
      <c r="AE366" s="29">
        <v>0</v>
      </c>
      <c r="AF366" s="32" t="s">
        <v>268</v>
      </c>
      <c r="AG366" s="32">
        <v>2020</v>
      </c>
      <c r="AH366" s="33">
        <v>2020</v>
      </c>
      <c r="AT366" s="18" t="e">
        <f>VLOOKUP(C366,AW:AX,2,FALSE)</f>
        <v>#N/A</v>
      </c>
      <c r="BZ366" s="61"/>
      <c r="CD366" s="18">
        <f>VLOOKUP(C366,CE:CF,2,FALSE)</f>
        <v>1256.9000000000001</v>
      </c>
    </row>
    <row r="367" spans="1:82" ht="61.5" x14ac:dyDescent="0.85">
      <c r="A367" s="18">
        <v>1</v>
      </c>
      <c r="B367" s="57">
        <f>SUBTOTAL(103,$A$22:A367)</f>
        <v>324</v>
      </c>
      <c r="C367" s="22" t="s">
        <v>116</v>
      </c>
      <c r="D367" s="29">
        <f t="shared" si="39"/>
        <v>4223582.3699999992</v>
      </c>
      <c r="E367" s="29">
        <v>0</v>
      </c>
      <c r="F367" s="29">
        <v>0</v>
      </c>
      <c r="G367" s="29">
        <v>0</v>
      </c>
      <c r="H367" s="29">
        <v>0</v>
      </c>
      <c r="I367" s="29">
        <v>0</v>
      </c>
      <c r="J367" s="29">
        <v>0</v>
      </c>
      <c r="K367" s="31">
        <v>0</v>
      </c>
      <c r="L367" s="29">
        <v>0</v>
      </c>
      <c r="M367" s="37">
        <v>1109.18</v>
      </c>
      <c r="N367" s="37">
        <v>4198392.0199999996</v>
      </c>
      <c r="O367" s="29">
        <v>0</v>
      </c>
      <c r="P367" s="29">
        <v>0</v>
      </c>
      <c r="Q367" s="29">
        <v>0</v>
      </c>
      <c r="R367" s="29">
        <v>0</v>
      </c>
      <c r="S367" s="29">
        <v>0</v>
      </c>
      <c r="T367" s="29">
        <v>0</v>
      </c>
      <c r="U367" s="29">
        <v>0</v>
      </c>
      <c r="V367" s="29">
        <v>0</v>
      </c>
      <c r="W367" s="29">
        <v>0</v>
      </c>
      <c r="X367" s="29">
        <v>0</v>
      </c>
      <c r="Y367" s="29">
        <v>0</v>
      </c>
      <c r="Z367" s="29">
        <v>0</v>
      </c>
      <c r="AA367" s="29">
        <v>0</v>
      </c>
      <c r="AB367" s="29">
        <v>0</v>
      </c>
      <c r="AC367" s="37">
        <v>25190.35</v>
      </c>
      <c r="AD367" s="29">
        <v>0</v>
      </c>
      <c r="AE367" s="29">
        <v>0</v>
      </c>
      <c r="AF367" s="32" t="s">
        <v>268</v>
      </c>
      <c r="AG367" s="32">
        <v>2020</v>
      </c>
      <c r="AH367" s="33">
        <v>2020</v>
      </c>
      <c r="AT367" s="18" t="e">
        <f>VLOOKUP(C367,AW:AX,2,FALSE)</f>
        <v>#N/A</v>
      </c>
      <c r="BZ367" s="61"/>
      <c r="CD367" s="18">
        <f>VLOOKUP(C367,CE:CF,2,FALSE)</f>
        <v>1151</v>
      </c>
    </row>
    <row r="368" spans="1:82" ht="61.5" x14ac:dyDescent="0.85">
      <c r="A368" s="18">
        <v>1</v>
      </c>
      <c r="B368" s="57">
        <f>SUBTOTAL(103,$A$22:A368)</f>
        <v>325</v>
      </c>
      <c r="C368" s="22" t="s">
        <v>118</v>
      </c>
      <c r="D368" s="29">
        <f t="shared" si="39"/>
        <v>3024337.71</v>
      </c>
      <c r="E368" s="29">
        <v>0</v>
      </c>
      <c r="F368" s="29">
        <v>0</v>
      </c>
      <c r="G368" s="29">
        <v>0</v>
      </c>
      <c r="H368" s="29">
        <v>0</v>
      </c>
      <c r="I368" s="29">
        <v>0</v>
      </c>
      <c r="J368" s="29">
        <v>0</v>
      </c>
      <c r="K368" s="64">
        <v>0</v>
      </c>
      <c r="L368" s="29">
        <v>0</v>
      </c>
      <c r="M368" s="37">
        <v>638.69000000000005</v>
      </c>
      <c r="N368" s="37">
        <v>2952062.85</v>
      </c>
      <c r="O368" s="29">
        <v>0</v>
      </c>
      <c r="P368" s="29">
        <v>0</v>
      </c>
      <c r="Q368" s="29">
        <v>0</v>
      </c>
      <c r="R368" s="29">
        <v>0</v>
      </c>
      <c r="S368" s="29">
        <v>0</v>
      </c>
      <c r="T368" s="29">
        <v>0</v>
      </c>
      <c r="U368" s="29">
        <v>0</v>
      </c>
      <c r="V368" s="29">
        <v>0</v>
      </c>
      <c r="W368" s="29">
        <v>0</v>
      </c>
      <c r="X368" s="29">
        <v>0</v>
      </c>
      <c r="Y368" s="29">
        <v>0</v>
      </c>
      <c r="Z368" s="29">
        <v>0</v>
      </c>
      <c r="AA368" s="29">
        <v>0</v>
      </c>
      <c r="AB368" s="29">
        <v>0</v>
      </c>
      <c r="AC368" s="37">
        <v>17712.38</v>
      </c>
      <c r="AD368" s="29">
        <v>54562.48</v>
      </c>
      <c r="AE368" s="29">
        <v>0</v>
      </c>
      <c r="AF368" s="32">
        <v>2020</v>
      </c>
      <c r="AG368" s="32">
        <v>2020</v>
      </c>
      <c r="AH368" s="32">
        <v>2020</v>
      </c>
      <c r="AT368" s="18" t="e">
        <f>VLOOKUP(C368,AW:AX,2,FALSE)</f>
        <v>#N/A</v>
      </c>
      <c r="BZ368" s="61"/>
      <c r="CD368" s="18" t="e">
        <f>VLOOKUP(C368,CE:CF,2,FALSE)</f>
        <v>#N/A</v>
      </c>
    </row>
    <row r="369" spans="1:82" ht="61.5" x14ac:dyDescent="0.85">
      <c r="A369" s="18">
        <v>1</v>
      </c>
      <c r="B369" s="57">
        <f>SUBTOTAL(103,$A$22:A369)</f>
        <v>326</v>
      </c>
      <c r="C369" s="22" t="s">
        <v>1211</v>
      </c>
      <c r="D369" s="29">
        <f t="shared" si="39"/>
        <v>5566366.3600000003</v>
      </c>
      <c r="E369" s="29">
        <v>0</v>
      </c>
      <c r="F369" s="29">
        <v>0</v>
      </c>
      <c r="G369" s="29">
        <v>0</v>
      </c>
      <c r="H369" s="29">
        <v>0</v>
      </c>
      <c r="I369" s="29">
        <v>0</v>
      </c>
      <c r="J369" s="29">
        <v>0</v>
      </c>
      <c r="K369" s="31">
        <v>0</v>
      </c>
      <c r="L369" s="29">
        <v>0</v>
      </c>
      <c r="M369" s="29">
        <v>0</v>
      </c>
      <c r="N369" s="29">
        <v>0</v>
      </c>
      <c r="O369" s="29">
        <v>0</v>
      </c>
      <c r="P369" s="29">
        <v>0</v>
      </c>
      <c r="Q369" s="37">
        <v>2836.8</v>
      </c>
      <c r="R369" s="37">
        <f>5358277.61+126232.44</f>
        <v>5484510.0500000007</v>
      </c>
      <c r="S369" s="29">
        <v>0</v>
      </c>
      <c r="T369" s="29">
        <v>0</v>
      </c>
      <c r="U369" s="29">
        <v>0</v>
      </c>
      <c r="V369" s="29">
        <v>0</v>
      </c>
      <c r="W369" s="29">
        <v>0</v>
      </c>
      <c r="X369" s="29">
        <v>0</v>
      </c>
      <c r="Y369" s="29">
        <v>0</v>
      </c>
      <c r="Z369" s="29">
        <v>0</v>
      </c>
      <c r="AA369" s="29">
        <v>0</v>
      </c>
      <c r="AB369" s="29">
        <v>0</v>
      </c>
      <c r="AC369" s="29">
        <f>ROUND(R369*1.4925%,2)</f>
        <v>81856.31</v>
      </c>
      <c r="AD369" s="29">
        <v>0</v>
      </c>
      <c r="AE369" s="29">
        <v>0</v>
      </c>
      <c r="AF369" s="32" t="s">
        <v>268</v>
      </c>
      <c r="AG369" s="32">
        <v>2020</v>
      </c>
      <c r="AH369" s="33">
        <v>2020</v>
      </c>
      <c r="BZ369" s="61"/>
      <c r="CD369" s="18" t="e">
        <f>VLOOKUP(C369,CE:CF,2,FALSE)</f>
        <v>#N/A</v>
      </c>
    </row>
    <row r="370" spans="1:82" ht="61.5" x14ac:dyDescent="0.85">
      <c r="A370" s="18">
        <v>1</v>
      </c>
      <c r="B370" s="57">
        <f>SUBTOTAL(103,$A$22:A370)</f>
        <v>327</v>
      </c>
      <c r="C370" s="22" t="s">
        <v>1212</v>
      </c>
      <c r="D370" s="29">
        <f t="shared" si="39"/>
        <v>4137160</v>
      </c>
      <c r="E370" s="29">
        <v>0</v>
      </c>
      <c r="F370" s="29">
        <v>0</v>
      </c>
      <c r="G370" s="29">
        <v>0</v>
      </c>
      <c r="H370" s="29">
        <v>0</v>
      </c>
      <c r="I370" s="29">
        <v>0</v>
      </c>
      <c r="J370" s="29">
        <v>0</v>
      </c>
      <c r="K370" s="31">
        <v>0</v>
      </c>
      <c r="L370" s="29">
        <v>0</v>
      </c>
      <c r="M370" s="37">
        <v>1159.3699999999999</v>
      </c>
      <c r="N370" s="37">
        <v>4076320.91</v>
      </c>
      <c r="O370" s="29">
        <v>0</v>
      </c>
      <c r="P370" s="29">
        <v>0</v>
      </c>
      <c r="Q370" s="29">
        <v>0</v>
      </c>
      <c r="R370" s="29">
        <v>0</v>
      </c>
      <c r="S370" s="29">
        <v>0</v>
      </c>
      <c r="T370" s="29">
        <v>0</v>
      </c>
      <c r="U370" s="29">
        <v>0</v>
      </c>
      <c r="V370" s="29">
        <v>0</v>
      </c>
      <c r="W370" s="29">
        <v>0</v>
      </c>
      <c r="X370" s="29">
        <v>0</v>
      </c>
      <c r="Y370" s="29">
        <v>0</v>
      </c>
      <c r="Z370" s="29">
        <v>0</v>
      </c>
      <c r="AA370" s="29">
        <v>0</v>
      </c>
      <c r="AB370" s="29">
        <v>0</v>
      </c>
      <c r="AC370" s="37">
        <v>60839.09</v>
      </c>
      <c r="AD370" s="29">
        <v>0</v>
      </c>
      <c r="AE370" s="29">
        <v>0</v>
      </c>
      <c r="AF370" s="32" t="s">
        <v>268</v>
      </c>
      <c r="AG370" s="32">
        <v>2020</v>
      </c>
      <c r="AH370" s="33">
        <v>2020</v>
      </c>
      <c r="BZ370" s="61"/>
      <c r="CD370" s="18">
        <f>VLOOKUP(C370,CE:CF,2,FALSE)</f>
        <v>1150.3</v>
      </c>
    </row>
    <row r="371" spans="1:82" ht="61.5" x14ac:dyDescent="0.85">
      <c r="A371" s="18">
        <v>1</v>
      </c>
      <c r="B371" s="57">
        <f>SUBTOTAL(103,$A$22:A371)</f>
        <v>328</v>
      </c>
      <c r="C371" s="22" t="s">
        <v>1213</v>
      </c>
      <c r="D371" s="29">
        <f t="shared" si="39"/>
        <v>2786718.1</v>
      </c>
      <c r="E371" s="29">
        <v>0</v>
      </c>
      <c r="F371" s="29">
        <v>0</v>
      </c>
      <c r="G371" s="29">
        <v>0</v>
      </c>
      <c r="H371" s="29">
        <v>0</v>
      </c>
      <c r="I371" s="29">
        <v>0</v>
      </c>
      <c r="J371" s="29">
        <v>0</v>
      </c>
      <c r="K371" s="31">
        <v>0</v>
      </c>
      <c r="L371" s="29">
        <v>0</v>
      </c>
      <c r="M371" s="37">
        <v>765</v>
      </c>
      <c r="N371" s="37">
        <v>2745737.96</v>
      </c>
      <c r="O371" s="29">
        <v>0</v>
      </c>
      <c r="P371" s="29">
        <v>0</v>
      </c>
      <c r="Q371" s="29">
        <v>0</v>
      </c>
      <c r="R371" s="29">
        <v>0</v>
      </c>
      <c r="S371" s="29">
        <v>0</v>
      </c>
      <c r="T371" s="29">
        <v>0</v>
      </c>
      <c r="U371" s="29">
        <v>0</v>
      </c>
      <c r="V371" s="29">
        <v>0</v>
      </c>
      <c r="W371" s="29">
        <v>0</v>
      </c>
      <c r="X371" s="29">
        <v>0</v>
      </c>
      <c r="Y371" s="29">
        <v>0</v>
      </c>
      <c r="Z371" s="29">
        <v>0</v>
      </c>
      <c r="AA371" s="29">
        <v>0</v>
      </c>
      <c r="AB371" s="29">
        <v>0</v>
      </c>
      <c r="AC371" s="37">
        <v>40980.14</v>
      </c>
      <c r="AD371" s="29">
        <v>0</v>
      </c>
      <c r="AE371" s="29">
        <v>0</v>
      </c>
      <c r="AF371" s="32" t="s">
        <v>268</v>
      </c>
      <c r="AG371" s="32">
        <v>2020</v>
      </c>
      <c r="AH371" s="33">
        <v>2020</v>
      </c>
      <c r="BZ371" s="61"/>
      <c r="CD371" s="18">
        <f>VLOOKUP(C371,CE:CF,2,FALSE)</f>
        <v>763.8</v>
      </c>
    </row>
    <row r="372" spans="1:82" ht="61.5" x14ac:dyDescent="0.85">
      <c r="A372" s="18">
        <v>1</v>
      </c>
      <c r="B372" s="57">
        <f>SUBTOTAL(103,$A$22:A372)</f>
        <v>329</v>
      </c>
      <c r="C372" s="22" t="s">
        <v>1214</v>
      </c>
      <c r="D372" s="29">
        <f t="shared" si="39"/>
        <v>1749750.39</v>
      </c>
      <c r="E372" s="29">
        <v>0</v>
      </c>
      <c r="F372" s="29">
        <v>0</v>
      </c>
      <c r="G372" s="29">
        <v>0</v>
      </c>
      <c r="H372" s="29">
        <v>0</v>
      </c>
      <c r="I372" s="29">
        <v>0</v>
      </c>
      <c r="J372" s="29">
        <v>0</v>
      </c>
      <c r="K372" s="31">
        <v>0</v>
      </c>
      <c r="L372" s="29">
        <v>0</v>
      </c>
      <c r="M372" s="37">
        <v>456.6</v>
      </c>
      <c r="N372" s="37">
        <v>1724019.4</v>
      </c>
      <c r="O372" s="29">
        <v>0</v>
      </c>
      <c r="P372" s="29">
        <v>0</v>
      </c>
      <c r="Q372" s="29">
        <v>0</v>
      </c>
      <c r="R372" s="29">
        <v>0</v>
      </c>
      <c r="S372" s="29">
        <v>0</v>
      </c>
      <c r="T372" s="29">
        <v>0</v>
      </c>
      <c r="U372" s="29">
        <v>0</v>
      </c>
      <c r="V372" s="29">
        <v>0</v>
      </c>
      <c r="W372" s="29">
        <v>0</v>
      </c>
      <c r="X372" s="29">
        <v>0</v>
      </c>
      <c r="Y372" s="29">
        <v>0</v>
      </c>
      <c r="Z372" s="29">
        <v>0</v>
      </c>
      <c r="AA372" s="29">
        <v>0</v>
      </c>
      <c r="AB372" s="29">
        <v>0</v>
      </c>
      <c r="AC372" s="37">
        <v>25730.99</v>
      </c>
      <c r="AD372" s="29">
        <v>0</v>
      </c>
      <c r="AE372" s="29">
        <v>0</v>
      </c>
      <c r="AF372" s="32" t="s">
        <v>268</v>
      </c>
      <c r="AG372" s="32">
        <v>2020</v>
      </c>
      <c r="AH372" s="33">
        <v>2020</v>
      </c>
      <c r="BZ372" s="61"/>
      <c r="CD372" s="18">
        <f>VLOOKUP(C372,CE:CF,2,FALSE)</f>
        <v>461.1</v>
      </c>
    </row>
    <row r="373" spans="1:82" ht="61.5" x14ac:dyDescent="0.85">
      <c r="A373" s="18">
        <v>1</v>
      </c>
      <c r="B373" s="57">
        <f>SUBTOTAL(103,$A$22:A373)</f>
        <v>330</v>
      </c>
      <c r="C373" s="22" t="s">
        <v>1215</v>
      </c>
      <c r="D373" s="29">
        <f t="shared" si="39"/>
        <v>119132.15</v>
      </c>
      <c r="E373" s="37">
        <v>117380.25</v>
      </c>
      <c r="F373" s="29">
        <v>0</v>
      </c>
      <c r="G373" s="29">
        <v>0</v>
      </c>
      <c r="H373" s="29">
        <v>0</v>
      </c>
      <c r="I373" s="29">
        <v>0</v>
      </c>
      <c r="J373" s="29">
        <v>0</v>
      </c>
      <c r="K373" s="31">
        <v>0</v>
      </c>
      <c r="L373" s="29">
        <v>0</v>
      </c>
      <c r="M373" s="29">
        <v>0</v>
      </c>
      <c r="N373" s="29">
        <v>0</v>
      </c>
      <c r="O373" s="29">
        <v>0</v>
      </c>
      <c r="P373" s="29">
        <v>0</v>
      </c>
      <c r="Q373" s="29">
        <v>0</v>
      </c>
      <c r="R373" s="29">
        <v>0</v>
      </c>
      <c r="S373" s="29">
        <v>0</v>
      </c>
      <c r="T373" s="29">
        <v>0</v>
      </c>
      <c r="U373" s="29">
        <v>0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  <c r="AA373" s="29">
        <v>0</v>
      </c>
      <c r="AB373" s="29">
        <v>0</v>
      </c>
      <c r="AC373" s="29">
        <v>1751.9</v>
      </c>
      <c r="AD373" s="29">
        <v>0</v>
      </c>
      <c r="AE373" s="29">
        <v>0</v>
      </c>
      <c r="AF373" s="32" t="s">
        <v>268</v>
      </c>
      <c r="AG373" s="32">
        <v>2020</v>
      </c>
      <c r="AH373" s="33">
        <v>2020</v>
      </c>
      <c r="BZ373" s="61"/>
      <c r="CD373" s="18" t="e">
        <f>VLOOKUP(C373,CE:CF,2,FALSE)</f>
        <v>#N/A</v>
      </c>
    </row>
    <row r="374" spans="1:82" ht="61.5" x14ac:dyDescent="0.85">
      <c r="A374" s="18">
        <v>1</v>
      </c>
      <c r="B374" s="57">
        <f>SUBTOTAL(103,$A$22:A374)</f>
        <v>331</v>
      </c>
      <c r="C374" s="22" t="s">
        <v>1216</v>
      </c>
      <c r="D374" s="29">
        <f t="shared" si="39"/>
        <v>6270786.4399999995</v>
      </c>
      <c r="E374" s="29">
        <v>0</v>
      </c>
      <c r="F374" s="29">
        <v>0</v>
      </c>
      <c r="G374" s="29">
        <v>0</v>
      </c>
      <c r="H374" s="29">
        <v>0</v>
      </c>
      <c r="I374" s="29">
        <v>0</v>
      </c>
      <c r="J374" s="29">
        <v>0</v>
      </c>
      <c r="K374" s="31">
        <v>0</v>
      </c>
      <c r="L374" s="29">
        <v>0</v>
      </c>
      <c r="M374" s="37">
        <v>1532.62</v>
      </c>
      <c r="N374" s="37">
        <v>6178571.2599999998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92215.18</v>
      </c>
      <c r="AD374" s="29">
        <v>0</v>
      </c>
      <c r="AE374" s="29">
        <v>0</v>
      </c>
      <c r="AF374" s="32" t="s">
        <v>268</v>
      </c>
      <c r="AG374" s="32">
        <v>2020</v>
      </c>
      <c r="AH374" s="33">
        <v>2020</v>
      </c>
      <c r="BZ374" s="61"/>
      <c r="CD374" s="18">
        <f>VLOOKUP(C374,CE:CF,2,FALSE)</f>
        <v>1528.9</v>
      </c>
    </row>
    <row r="375" spans="1:82" ht="61.5" x14ac:dyDescent="0.85">
      <c r="A375" s="18">
        <v>1</v>
      </c>
      <c r="B375" s="57">
        <f>SUBTOTAL(103,$A$22:A375)</f>
        <v>332</v>
      </c>
      <c r="C375" s="22" t="s">
        <v>1545</v>
      </c>
      <c r="D375" s="29">
        <f t="shared" si="39"/>
        <v>3749769.7199999997</v>
      </c>
      <c r="E375" s="29">
        <v>0</v>
      </c>
      <c r="F375" s="29">
        <v>0</v>
      </c>
      <c r="G375" s="29">
        <v>0</v>
      </c>
      <c r="H375" s="29">
        <v>0</v>
      </c>
      <c r="I375" s="29">
        <v>0</v>
      </c>
      <c r="J375" s="29">
        <v>0</v>
      </c>
      <c r="K375" s="31">
        <v>0</v>
      </c>
      <c r="L375" s="29">
        <v>0</v>
      </c>
      <c r="M375" s="37">
        <v>909.07</v>
      </c>
      <c r="N375" s="37">
        <v>3634519.59</v>
      </c>
      <c r="O375" s="29">
        <v>0</v>
      </c>
      <c r="P375" s="29">
        <v>0</v>
      </c>
      <c r="Q375" s="29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W375" s="29">
        <v>0</v>
      </c>
      <c r="X375" s="29">
        <v>0</v>
      </c>
      <c r="Y375" s="29">
        <v>0</v>
      </c>
      <c r="Z375" s="29">
        <v>0</v>
      </c>
      <c r="AA375" s="29">
        <v>0</v>
      </c>
      <c r="AB375" s="29">
        <v>0</v>
      </c>
      <c r="AC375" s="37">
        <v>21807.11</v>
      </c>
      <c r="AD375" s="37">
        <v>93443.02</v>
      </c>
      <c r="AE375" s="29">
        <v>0</v>
      </c>
      <c r="AF375" s="32">
        <v>2020</v>
      </c>
      <c r="AG375" s="32">
        <v>2020</v>
      </c>
      <c r="AH375" s="33">
        <v>2020</v>
      </c>
      <c r="BZ375" s="61"/>
      <c r="CD375" s="18">
        <f>VLOOKUP(C375,CE:CF,2,FALSE)</f>
        <v>870</v>
      </c>
    </row>
    <row r="376" spans="1:82" ht="61.5" x14ac:dyDescent="0.85">
      <c r="A376" s="18">
        <v>1</v>
      </c>
      <c r="B376" s="57">
        <f>SUBTOTAL(103,$A$22:A376)</f>
        <v>333</v>
      </c>
      <c r="C376" s="91" t="s">
        <v>135</v>
      </c>
      <c r="D376" s="29">
        <f>E376+F376+G376+H376+I376+J376+L376+N376+P376+R376+T376+U376+V376+W376+X376+Y376+Z376+AA376+AB376+AC376+AD376+AE376</f>
        <v>3929633.31</v>
      </c>
      <c r="E376" s="29">
        <v>0</v>
      </c>
      <c r="F376" s="29">
        <v>0</v>
      </c>
      <c r="G376" s="29">
        <v>0</v>
      </c>
      <c r="H376" s="29">
        <v>0</v>
      </c>
      <c r="I376" s="29">
        <v>0</v>
      </c>
      <c r="J376" s="29">
        <v>0</v>
      </c>
      <c r="K376" s="31">
        <v>0</v>
      </c>
      <c r="L376" s="29">
        <v>0</v>
      </c>
      <c r="M376" s="37">
        <v>1110.42</v>
      </c>
      <c r="N376" s="134">
        <v>3906196.14</v>
      </c>
      <c r="O376" s="29">
        <v>0</v>
      </c>
      <c r="P376" s="29">
        <v>0</v>
      </c>
      <c r="Q376" s="29">
        <v>0</v>
      </c>
      <c r="R376" s="29">
        <v>0</v>
      </c>
      <c r="S376" s="29">
        <v>0</v>
      </c>
      <c r="T376" s="29">
        <v>0</v>
      </c>
      <c r="U376" s="29">
        <v>0</v>
      </c>
      <c r="V376" s="29">
        <v>0</v>
      </c>
      <c r="W376" s="29">
        <v>0</v>
      </c>
      <c r="X376" s="29">
        <v>0</v>
      </c>
      <c r="Y376" s="29">
        <v>0</v>
      </c>
      <c r="Z376" s="29">
        <v>0</v>
      </c>
      <c r="AA376" s="29">
        <v>0</v>
      </c>
      <c r="AB376" s="29">
        <v>0</v>
      </c>
      <c r="AC376" s="134">
        <v>23437.17</v>
      </c>
      <c r="AD376" s="29">
        <v>0</v>
      </c>
      <c r="AE376" s="29">
        <v>0</v>
      </c>
      <c r="AF376" s="32" t="s">
        <v>268</v>
      </c>
      <c r="AG376" s="32">
        <v>2020</v>
      </c>
      <c r="AH376" s="33">
        <v>2020</v>
      </c>
      <c r="BZ376" s="61"/>
      <c r="CD376" s="18">
        <f>VLOOKUP(C376,CE:CF,2,FALSE)</f>
        <v>1229.9000000000001</v>
      </c>
    </row>
    <row r="377" spans="1:82" ht="61.5" x14ac:dyDescent="0.85">
      <c r="A377" s="18">
        <v>1</v>
      </c>
      <c r="B377" s="57">
        <f>SUBTOTAL(103,$A377:A$553)</f>
        <v>133</v>
      </c>
      <c r="C377" s="22" t="s">
        <v>128</v>
      </c>
      <c r="D377" s="29">
        <f t="shared" si="39"/>
        <v>108615.8</v>
      </c>
      <c r="E377" s="29">
        <v>0</v>
      </c>
      <c r="F377" s="29">
        <v>0</v>
      </c>
      <c r="G377" s="29">
        <v>0</v>
      </c>
      <c r="H377" s="29">
        <v>0</v>
      </c>
      <c r="I377" s="29">
        <v>0</v>
      </c>
      <c r="J377" s="29">
        <v>0</v>
      </c>
      <c r="K377" s="64">
        <v>0</v>
      </c>
      <c r="L377" s="29">
        <v>0</v>
      </c>
      <c r="M377" s="29">
        <v>0</v>
      </c>
      <c r="N377" s="29">
        <v>0</v>
      </c>
      <c r="O377" s="29">
        <v>0</v>
      </c>
      <c r="P377" s="29">
        <v>0</v>
      </c>
      <c r="Q377" s="29">
        <v>0</v>
      </c>
      <c r="R377" s="29">
        <v>0</v>
      </c>
      <c r="S377" s="29">
        <v>0</v>
      </c>
      <c r="T377" s="29">
        <v>0</v>
      </c>
      <c r="U377" s="29">
        <v>0</v>
      </c>
      <c r="V377" s="29">
        <v>0</v>
      </c>
      <c r="W377" s="29">
        <v>0</v>
      </c>
      <c r="X377" s="29">
        <v>0</v>
      </c>
      <c r="Y377" s="29">
        <v>0</v>
      </c>
      <c r="Z377" s="29">
        <v>0</v>
      </c>
      <c r="AA377" s="29">
        <v>0</v>
      </c>
      <c r="AB377" s="29">
        <v>0</v>
      </c>
      <c r="AC377" s="29">
        <f>ROUND(U377*1.5%,2)</f>
        <v>0</v>
      </c>
      <c r="AD377" s="29">
        <v>108615.8</v>
      </c>
      <c r="AE377" s="29">
        <v>0</v>
      </c>
      <c r="AF377" s="32">
        <v>2020</v>
      </c>
      <c r="AG377" s="32" t="s">
        <v>268</v>
      </c>
      <c r="AH377" s="32" t="s">
        <v>268</v>
      </c>
      <c r="AT377" s="18" t="e">
        <f>VLOOKUP(C377,AW:AX,2,FALSE)</f>
        <v>#N/A</v>
      </c>
      <c r="BZ377" s="61"/>
      <c r="CD377" s="18" t="e">
        <f>VLOOKUP(C377,CE:CF,2,FALSE)</f>
        <v>#N/A</v>
      </c>
    </row>
    <row r="378" spans="1:82" ht="61.5" x14ac:dyDescent="0.85">
      <c r="A378" s="18">
        <v>1</v>
      </c>
      <c r="B378" s="57">
        <f>SUBTOTAL(103,$A378:A$553)</f>
        <v>132</v>
      </c>
      <c r="C378" s="22" t="s">
        <v>126</v>
      </c>
      <c r="D378" s="29">
        <f t="shared" si="39"/>
        <v>108130.57</v>
      </c>
      <c r="E378" s="29">
        <v>0</v>
      </c>
      <c r="F378" s="29">
        <v>0</v>
      </c>
      <c r="G378" s="29">
        <v>0</v>
      </c>
      <c r="H378" s="29">
        <v>0</v>
      </c>
      <c r="I378" s="29">
        <v>0</v>
      </c>
      <c r="J378" s="29">
        <v>0</v>
      </c>
      <c r="K378" s="64">
        <v>0</v>
      </c>
      <c r="L378" s="29">
        <v>0</v>
      </c>
      <c r="M378" s="29">
        <v>0</v>
      </c>
      <c r="N378" s="29">
        <v>0</v>
      </c>
      <c r="O378" s="29">
        <v>0</v>
      </c>
      <c r="P378" s="29">
        <v>0</v>
      </c>
      <c r="Q378" s="29">
        <v>0</v>
      </c>
      <c r="R378" s="29">
        <v>0</v>
      </c>
      <c r="S378" s="29">
        <v>0</v>
      </c>
      <c r="T378" s="29">
        <v>0</v>
      </c>
      <c r="U378" s="29">
        <v>0</v>
      </c>
      <c r="V378" s="29">
        <v>0</v>
      </c>
      <c r="W378" s="29">
        <v>0</v>
      </c>
      <c r="X378" s="29">
        <v>0</v>
      </c>
      <c r="Y378" s="29">
        <v>0</v>
      </c>
      <c r="Z378" s="29">
        <v>0</v>
      </c>
      <c r="AA378" s="29">
        <v>0</v>
      </c>
      <c r="AB378" s="29">
        <v>0</v>
      </c>
      <c r="AC378" s="29">
        <f>ROUND(N378*1.5%,2)</f>
        <v>0</v>
      </c>
      <c r="AD378" s="29">
        <v>108130.57</v>
      </c>
      <c r="AE378" s="29">
        <v>0</v>
      </c>
      <c r="AF378" s="32">
        <v>2020</v>
      </c>
      <c r="AG378" s="32" t="s">
        <v>268</v>
      </c>
      <c r="AH378" s="32" t="s">
        <v>268</v>
      </c>
      <c r="AT378" s="18" t="e">
        <f>VLOOKUP(C378,AW:AX,2,FALSE)</f>
        <v>#N/A</v>
      </c>
      <c r="BZ378" s="61"/>
      <c r="CD378" s="18" t="e">
        <f>VLOOKUP(C378,CE:CF,2,FALSE)</f>
        <v>#N/A</v>
      </c>
    </row>
    <row r="379" spans="1:82" ht="61.5" x14ac:dyDescent="0.85">
      <c r="A379" s="18">
        <v>1</v>
      </c>
      <c r="B379" s="57">
        <f>SUBTOTAL(103,$A379:A$553)</f>
        <v>131</v>
      </c>
      <c r="C379" s="22" t="s">
        <v>129</v>
      </c>
      <c r="D379" s="29">
        <f t="shared" si="39"/>
        <v>89167.88</v>
      </c>
      <c r="E379" s="29">
        <v>0</v>
      </c>
      <c r="F379" s="29">
        <v>0</v>
      </c>
      <c r="G379" s="29">
        <v>0</v>
      </c>
      <c r="H379" s="29">
        <v>0</v>
      </c>
      <c r="I379" s="29">
        <v>0</v>
      </c>
      <c r="J379" s="29">
        <v>0</v>
      </c>
      <c r="K379" s="64">
        <v>0</v>
      </c>
      <c r="L379" s="29">
        <v>0</v>
      </c>
      <c r="M379" s="29">
        <v>0</v>
      </c>
      <c r="N379" s="29">
        <v>0</v>
      </c>
      <c r="O379" s="29">
        <v>0</v>
      </c>
      <c r="P379" s="29">
        <v>0</v>
      </c>
      <c r="Q379" s="29">
        <v>0</v>
      </c>
      <c r="R379" s="29">
        <v>0</v>
      </c>
      <c r="S379" s="29">
        <v>0</v>
      </c>
      <c r="T379" s="29">
        <v>0</v>
      </c>
      <c r="U379" s="29">
        <v>0</v>
      </c>
      <c r="V379" s="29">
        <v>0</v>
      </c>
      <c r="W379" s="29">
        <v>0</v>
      </c>
      <c r="X379" s="29">
        <v>0</v>
      </c>
      <c r="Y379" s="29">
        <v>0</v>
      </c>
      <c r="Z379" s="29">
        <v>0</v>
      </c>
      <c r="AA379" s="29">
        <v>0</v>
      </c>
      <c r="AB379" s="29">
        <v>0</v>
      </c>
      <c r="AC379" s="29">
        <f>ROUND(N379*1.5%,2)</f>
        <v>0</v>
      </c>
      <c r="AD379" s="29">
        <v>89167.88</v>
      </c>
      <c r="AE379" s="29">
        <v>0</v>
      </c>
      <c r="AF379" s="32">
        <v>2020</v>
      </c>
      <c r="AG379" s="32" t="s">
        <v>268</v>
      </c>
      <c r="AH379" s="32" t="s">
        <v>268</v>
      </c>
      <c r="AT379" s="18">
        <f>VLOOKUP(C379,AW:AX,2,FALSE)</f>
        <v>1</v>
      </c>
      <c r="BZ379" s="61"/>
      <c r="CD379" s="18" t="e">
        <f>VLOOKUP(C379,CE:CF,2,FALSE)</f>
        <v>#N/A</v>
      </c>
    </row>
    <row r="380" spans="1:82" ht="61.5" x14ac:dyDescent="0.85">
      <c r="B380" s="22" t="s">
        <v>824</v>
      </c>
      <c r="C380" s="22"/>
      <c r="D380" s="339">
        <f>D381+D382</f>
        <v>2076549.34</v>
      </c>
      <c r="E380" s="29">
        <f t="shared" ref="E380:AE380" si="40">E381+E382</f>
        <v>39534.75</v>
      </c>
      <c r="F380" s="29">
        <f t="shared" si="40"/>
        <v>0</v>
      </c>
      <c r="G380" s="29">
        <f t="shared" si="40"/>
        <v>0</v>
      </c>
      <c r="H380" s="29">
        <f t="shared" si="40"/>
        <v>12043.62</v>
      </c>
      <c r="I380" s="29">
        <f t="shared" si="40"/>
        <v>295538.62</v>
      </c>
      <c r="J380" s="29">
        <f t="shared" si="40"/>
        <v>0</v>
      </c>
      <c r="K380" s="31">
        <f t="shared" si="40"/>
        <v>0</v>
      </c>
      <c r="L380" s="29">
        <f t="shared" si="40"/>
        <v>0</v>
      </c>
      <c r="M380" s="29">
        <f t="shared" si="40"/>
        <v>538.16</v>
      </c>
      <c r="N380" s="29">
        <f t="shared" si="40"/>
        <v>1713967.82</v>
      </c>
      <c r="O380" s="29">
        <f t="shared" si="40"/>
        <v>0</v>
      </c>
      <c r="P380" s="29">
        <f t="shared" si="40"/>
        <v>0</v>
      </c>
      <c r="Q380" s="29">
        <f t="shared" si="40"/>
        <v>0</v>
      </c>
      <c r="R380" s="29">
        <f t="shared" si="40"/>
        <v>0</v>
      </c>
      <c r="S380" s="29">
        <f t="shared" si="40"/>
        <v>0</v>
      </c>
      <c r="T380" s="29">
        <f t="shared" si="40"/>
        <v>0</v>
      </c>
      <c r="U380" s="29">
        <f t="shared" si="40"/>
        <v>0</v>
      </c>
      <c r="V380" s="29">
        <f t="shared" si="40"/>
        <v>0</v>
      </c>
      <c r="W380" s="29">
        <f t="shared" si="40"/>
        <v>0</v>
      </c>
      <c r="X380" s="29">
        <f t="shared" si="40"/>
        <v>0</v>
      </c>
      <c r="Y380" s="29">
        <f t="shared" si="40"/>
        <v>0</v>
      </c>
      <c r="Z380" s="29">
        <f t="shared" si="40"/>
        <v>0</v>
      </c>
      <c r="AA380" s="29">
        <f t="shared" si="40"/>
        <v>0</v>
      </c>
      <c r="AB380" s="29">
        <f t="shared" si="40"/>
        <v>0</v>
      </c>
      <c r="AC380" s="29">
        <f t="shared" si="40"/>
        <v>15464.529999999999</v>
      </c>
      <c r="AD380" s="29">
        <f t="shared" si="40"/>
        <v>0</v>
      </c>
      <c r="AE380" s="29">
        <f t="shared" si="40"/>
        <v>0</v>
      </c>
      <c r="AF380" s="62" t="s">
        <v>743</v>
      </c>
      <c r="AG380" s="62" t="s">
        <v>743</v>
      </c>
      <c r="AH380" s="77" t="s">
        <v>743</v>
      </c>
      <c r="AT380" s="18" t="e">
        <f>VLOOKUP(C380,AW:AX,2,FALSE)</f>
        <v>#N/A</v>
      </c>
      <c r="BZ380" s="29">
        <v>2913286.51</v>
      </c>
      <c r="CA380" s="29"/>
      <c r="CB380" s="29">
        <f>BZ380-D380</f>
        <v>836737.16999999969</v>
      </c>
      <c r="CD380" s="18" t="e">
        <f>VLOOKUP(C380,CE:CF,2,FALSE)</f>
        <v>#N/A</v>
      </c>
    </row>
    <row r="381" spans="1:82" ht="61.5" x14ac:dyDescent="0.85">
      <c r="A381" s="18">
        <v>1</v>
      </c>
      <c r="B381" s="57">
        <f>SUBTOTAL(103,$A$22:A381)</f>
        <v>337</v>
      </c>
      <c r="C381" s="22" t="s">
        <v>120</v>
      </c>
      <c r="D381" s="29">
        <f>E381+F381+G381+H381+I381+J381+L381+N381+P381+R381+T381+U381+V381+W381+X381+Y381+Z381+AA381+AB381+AC381+AD381+AE381</f>
        <v>1724251.6300000001</v>
      </c>
      <c r="E381" s="29">
        <v>0</v>
      </c>
      <c r="F381" s="29">
        <v>0</v>
      </c>
      <c r="G381" s="29">
        <v>0</v>
      </c>
      <c r="H381" s="29">
        <v>0</v>
      </c>
      <c r="I381" s="29">
        <v>0</v>
      </c>
      <c r="J381" s="29">
        <v>0</v>
      </c>
      <c r="K381" s="31">
        <v>0</v>
      </c>
      <c r="L381" s="29">
        <v>0</v>
      </c>
      <c r="M381" s="37">
        <v>538.16</v>
      </c>
      <c r="N381" s="37">
        <v>1713967.82</v>
      </c>
      <c r="O381" s="29">
        <v>0</v>
      </c>
      <c r="P381" s="29">
        <v>0</v>
      </c>
      <c r="Q381" s="29">
        <v>0</v>
      </c>
      <c r="R381" s="29">
        <v>0</v>
      </c>
      <c r="S381" s="29">
        <v>0</v>
      </c>
      <c r="T381" s="29">
        <v>0</v>
      </c>
      <c r="U381" s="29">
        <v>0</v>
      </c>
      <c r="V381" s="29">
        <v>0</v>
      </c>
      <c r="W381" s="29">
        <v>0</v>
      </c>
      <c r="X381" s="29">
        <v>0</v>
      </c>
      <c r="Y381" s="29">
        <v>0</v>
      </c>
      <c r="Z381" s="29">
        <v>0</v>
      </c>
      <c r="AA381" s="29">
        <v>0</v>
      </c>
      <c r="AB381" s="29">
        <v>0</v>
      </c>
      <c r="AC381" s="37">
        <v>10283.81</v>
      </c>
      <c r="AD381" s="29">
        <v>0</v>
      </c>
      <c r="AE381" s="29">
        <v>0</v>
      </c>
      <c r="AF381" s="32" t="s">
        <v>268</v>
      </c>
      <c r="AG381" s="32">
        <v>2020</v>
      </c>
      <c r="AH381" s="33">
        <v>2020</v>
      </c>
      <c r="AT381" s="18" t="e">
        <f>VLOOKUP(C381,AW:AX,2,FALSE)</f>
        <v>#N/A</v>
      </c>
      <c r="BZ381" s="61"/>
      <c r="CD381" s="18">
        <f>VLOOKUP(C381,CE:CF,2,FALSE)</f>
        <v>541.1</v>
      </c>
    </row>
    <row r="382" spans="1:82" ht="61.5" x14ac:dyDescent="0.85">
      <c r="A382" s="18">
        <v>1</v>
      </c>
      <c r="B382" s="57">
        <f>SUBTOTAL(103,$A$22:A382)</f>
        <v>338</v>
      </c>
      <c r="C382" s="22" t="s">
        <v>1217</v>
      </c>
      <c r="D382" s="29">
        <f>E382+F382+G382+H382+I382+J382+L382+N382+P382+R382+T382+U382+V382+W382+X382+Y382+Z382+AA382+AB382+AC382+AD382+AE382</f>
        <v>352297.70999999996</v>
      </c>
      <c r="E382" s="37">
        <v>39534.75</v>
      </c>
      <c r="F382" s="29">
        <v>0</v>
      </c>
      <c r="G382" s="29">
        <v>0</v>
      </c>
      <c r="H382" s="37">
        <v>12043.62</v>
      </c>
      <c r="I382" s="37">
        <v>295538.62</v>
      </c>
      <c r="J382" s="29">
        <v>0</v>
      </c>
      <c r="K382" s="31">
        <v>0</v>
      </c>
      <c r="L382" s="29">
        <v>0</v>
      </c>
      <c r="M382" s="29">
        <v>0</v>
      </c>
      <c r="N382" s="29">
        <v>0</v>
      </c>
      <c r="O382" s="29">
        <v>0</v>
      </c>
      <c r="P382" s="29">
        <v>0</v>
      </c>
      <c r="Q382" s="29">
        <v>0</v>
      </c>
      <c r="R382" s="29">
        <v>0</v>
      </c>
      <c r="S382" s="29">
        <v>0</v>
      </c>
      <c r="T382" s="29">
        <v>0</v>
      </c>
      <c r="U382" s="29">
        <v>0</v>
      </c>
      <c r="V382" s="29">
        <v>0</v>
      </c>
      <c r="W382" s="29">
        <v>0</v>
      </c>
      <c r="X382" s="29">
        <v>0</v>
      </c>
      <c r="Y382" s="29">
        <v>0</v>
      </c>
      <c r="Z382" s="29">
        <v>0</v>
      </c>
      <c r="AA382" s="29">
        <v>0</v>
      </c>
      <c r="AB382" s="29">
        <v>0</v>
      </c>
      <c r="AC382" s="29">
        <v>5180.72</v>
      </c>
      <c r="AD382" s="29">
        <v>0</v>
      </c>
      <c r="AE382" s="29">
        <v>0</v>
      </c>
      <c r="AF382" s="32" t="s">
        <v>268</v>
      </c>
      <c r="AG382" s="32">
        <v>2020</v>
      </c>
      <c r="AH382" s="33">
        <v>2020</v>
      </c>
      <c r="BZ382" s="61"/>
      <c r="CD382" s="18" t="e">
        <f>VLOOKUP(C382,CE:CF,2,FALSE)</f>
        <v>#N/A</v>
      </c>
    </row>
    <row r="383" spans="1:82" ht="61.5" x14ac:dyDescent="0.85">
      <c r="B383" s="22" t="s">
        <v>883</v>
      </c>
      <c r="C383" s="22"/>
      <c r="D383" s="339">
        <f t="shared" ref="D383:AE383" si="41">D384</f>
        <v>2005046.9200000002</v>
      </c>
      <c r="E383" s="29">
        <f t="shared" si="41"/>
        <v>0</v>
      </c>
      <c r="F383" s="29">
        <f t="shared" si="41"/>
        <v>0</v>
      </c>
      <c r="G383" s="29">
        <f t="shared" si="41"/>
        <v>0</v>
      </c>
      <c r="H383" s="29">
        <f t="shared" si="41"/>
        <v>0</v>
      </c>
      <c r="I383" s="29">
        <f t="shared" si="41"/>
        <v>0</v>
      </c>
      <c r="J383" s="29">
        <f t="shared" si="41"/>
        <v>0</v>
      </c>
      <c r="K383" s="31">
        <f t="shared" si="41"/>
        <v>0</v>
      </c>
      <c r="L383" s="29">
        <f t="shared" si="41"/>
        <v>0</v>
      </c>
      <c r="M383" s="29">
        <f t="shared" si="41"/>
        <v>317.68</v>
      </c>
      <c r="N383" s="29">
        <f t="shared" si="41"/>
        <v>1068295.6000000001</v>
      </c>
      <c r="O383" s="29">
        <f t="shared" si="41"/>
        <v>0</v>
      </c>
      <c r="P383" s="29">
        <f t="shared" si="41"/>
        <v>0</v>
      </c>
      <c r="Q383" s="29">
        <f t="shared" si="41"/>
        <v>364.69</v>
      </c>
      <c r="R383" s="29">
        <f t="shared" si="41"/>
        <v>915315.12</v>
      </c>
      <c r="S383" s="29">
        <f t="shared" si="41"/>
        <v>0</v>
      </c>
      <c r="T383" s="29">
        <f t="shared" si="41"/>
        <v>0</v>
      </c>
      <c r="U383" s="29">
        <f t="shared" si="41"/>
        <v>0</v>
      </c>
      <c r="V383" s="29">
        <f t="shared" si="41"/>
        <v>0</v>
      </c>
      <c r="W383" s="29">
        <f t="shared" si="41"/>
        <v>0</v>
      </c>
      <c r="X383" s="29">
        <f t="shared" si="41"/>
        <v>0</v>
      </c>
      <c r="Y383" s="29">
        <f t="shared" si="41"/>
        <v>0</v>
      </c>
      <c r="Z383" s="29">
        <f t="shared" si="41"/>
        <v>0</v>
      </c>
      <c r="AA383" s="29">
        <f t="shared" si="41"/>
        <v>0</v>
      </c>
      <c r="AB383" s="29">
        <f t="shared" si="41"/>
        <v>0</v>
      </c>
      <c r="AC383" s="29">
        <f t="shared" si="41"/>
        <v>21436.2</v>
      </c>
      <c r="AD383" s="29">
        <f t="shared" si="41"/>
        <v>0</v>
      </c>
      <c r="AE383" s="29">
        <f t="shared" si="41"/>
        <v>0</v>
      </c>
      <c r="AF383" s="62" t="s">
        <v>743</v>
      </c>
      <c r="AG383" s="62" t="s">
        <v>743</v>
      </c>
      <c r="AH383" s="77" t="s">
        <v>743</v>
      </c>
      <c r="AT383" s="18" t="e">
        <f>VLOOKUP(C383,AW:AX,2,FALSE)</f>
        <v>#N/A</v>
      </c>
      <c r="BZ383" s="61">
        <v>2727875.44</v>
      </c>
      <c r="CD383" s="18" t="e">
        <f>VLOOKUP(C383,CE:CF,2,FALSE)</f>
        <v>#N/A</v>
      </c>
    </row>
    <row r="384" spans="1:82" ht="61.5" x14ac:dyDescent="0.85">
      <c r="A384" s="18">
        <v>1</v>
      </c>
      <c r="B384" s="57">
        <f>SUBTOTAL(103,$A$22:A384)</f>
        <v>339</v>
      </c>
      <c r="C384" s="22" t="s">
        <v>121</v>
      </c>
      <c r="D384" s="29">
        <f>E384+F384+G384+H384+I384+J384+L384+N384+P384+R384+T384+U384+V384+W384+X384+Y384+Z384+AA384+AB384+AC384+AD384+AE384</f>
        <v>2005046.9200000002</v>
      </c>
      <c r="E384" s="29">
        <v>0</v>
      </c>
      <c r="F384" s="29">
        <v>0</v>
      </c>
      <c r="G384" s="29">
        <v>0</v>
      </c>
      <c r="H384" s="29">
        <v>0</v>
      </c>
      <c r="I384" s="29">
        <v>0</v>
      </c>
      <c r="J384" s="29">
        <v>0</v>
      </c>
      <c r="K384" s="31">
        <v>0</v>
      </c>
      <c r="L384" s="29">
        <v>0</v>
      </c>
      <c r="M384" s="37">
        <v>317.68</v>
      </c>
      <c r="N384" s="134">
        <v>1068295.6000000001</v>
      </c>
      <c r="O384" s="29">
        <v>0</v>
      </c>
      <c r="P384" s="29">
        <v>0</v>
      </c>
      <c r="Q384" s="37">
        <v>364.69</v>
      </c>
      <c r="R384" s="37">
        <v>915315.12</v>
      </c>
      <c r="S384" s="29">
        <v>0</v>
      </c>
      <c r="T384" s="29">
        <v>0</v>
      </c>
      <c r="U384" s="29">
        <v>0</v>
      </c>
      <c r="V384" s="29">
        <v>0</v>
      </c>
      <c r="W384" s="29">
        <v>0</v>
      </c>
      <c r="X384" s="29">
        <v>0</v>
      </c>
      <c r="Y384" s="29">
        <v>0</v>
      </c>
      <c r="Z384" s="29">
        <v>0</v>
      </c>
      <c r="AA384" s="29">
        <v>0</v>
      </c>
      <c r="AB384" s="29">
        <v>0</v>
      </c>
      <c r="AC384" s="29">
        <v>21436.2</v>
      </c>
      <c r="AD384" s="29">
        <v>0</v>
      </c>
      <c r="AE384" s="29">
        <v>0</v>
      </c>
      <c r="AF384" s="32" t="s">
        <v>268</v>
      </c>
      <c r="AG384" s="32">
        <v>2020</v>
      </c>
      <c r="AH384" s="33">
        <v>2020</v>
      </c>
      <c r="AT384" s="18" t="e">
        <f>VLOOKUP(C384,AW:AX,2,FALSE)</f>
        <v>#N/A</v>
      </c>
      <c r="BZ384" s="61"/>
      <c r="CD384" s="18">
        <f>VLOOKUP(C384,CE:CF,2,FALSE)</f>
        <v>313.10000000000002</v>
      </c>
    </row>
    <row r="385" spans="1:82" ht="61.5" x14ac:dyDescent="0.85">
      <c r="B385" s="22" t="s">
        <v>825</v>
      </c>
      <c r="C385" s="22"/>
      <c r="D385" s="339">
        <f t="shared" ref="D385:AE385" si="42">D386</f>
        <v>3682576.42</v>
      </c>
      <c r="E385" s="29">
        <f t="shared" si="42"/>
        <v>0</v>
      </c>
      <c r="F385" s="29">
        <f t="shared" si="42"/>
        <v>0</v>
      </c>
      <c r="G385" s="29">
        <f t="shared" si="42"/>
        <v>0</v>
      </c>
      <c r="H385" s="29">
        <f t="shared" si="42"/>
        <v>0</v>
      </c>
      <c r="I385" s="29">
        <f t="shared" si="42"/>
        <v>0</v>
      </c>
      <c r="J385" s="29">
        <f t="shared" si="42"/>
        <v>0</v>
      </c>
      <c r="K385" s="31">
        <f t="shared" si="42"/>
        <v>0</v>
      </c>
      <c r="L385" s="29">
        <f t="shared" si="42"/>
        <v>0</v>
      </c>
      <c r="M385" s="29">
        <f t="shared" si="42"/>
        <v>836.6</v>
      </c>
      <c r="N385" s="29">
        <f t="shared" si="42"/>
        <v>3599348.79</v>
      </c>
      <c r="O385" s="29">
        <f t="shared" si="42"/>
        <v>0</v>
      </c>
      <c r="P385" s="29">
        <f t="shared" si="42"/>
        <v>0</v>
      </c>
      <c r="Q385" s="29">
        <f t="shared" si="42"/>
        <v>0</v>
      </c>
      <c r="R385" s="29">
        <f t="shared" si="42"/>
        <v>0</v>
      </c>
      <c r="S385" s="29">
        <f t="shared" si="42"/>
        <v>0</v>
      </c>
      <c r="T385" s="29">
        <f t="shared" si="42"/>
        <v>0</v>
      </c>
      <c r="U385" s="29">
        <f t="shared" si="42"/>
        <v>0</v>
      </c>
      <c r="V385" s="29">
        <f t="shared" si="42"/>
        <v>0</v>
      </c>
      <c r="W385" s="29">
        <f t="shared" si="42"/>
        <v>0</v>
      </c>
      <c r="X385" s="29">
        <f t="shared" si="42"/>
        <v>0</v>
      </c>
      <c r="Y385" s="29">
        <f t="shared" si="42"/>
        <v>0</v>
      </c>
      <c r="Z385" s="29">
        <f t="shared" si="42"/>
        <v>0</v>
      </c>
      <c r="AA385" s="29">
        <f t="shared" si="42"/>
        <v>0</v>
      </c>
      <c r="AB385" s="29">
        <f t="shared" si="42"/>
        <v>0</v>
      </c>
      <c r="AC385" s="29">
        <f t="shared" si="42"/>
        <v>21596.100000000002</v>
      </c>
      <c r="AD385" s="29">
        <f t="shared" si="42"/>
        <v>61631.53</v>
      </c>
      <c r="AE385" s="29">
        <f t="shared" si="42"/>
        <v>0</v>
      </c>
      <c r="AF385" s="62" t="s">
        <v>743</v>
      </c>
      <c r="AG385" s="62" t="s">
        <v>743</v>
      </c>
      <c r="AH385" s="77" t="s">
        <v>743</v>
      </c>
      <c r="AT385" s="18" t="e">
        <f>VLOOKUP(C385,AW:AX,2,FALSE)</f>
        <v>#N/A</v>
      </c>
      <c r="BZ385" s="61">
        <v>3866903.76</v>
      </c>
      <c r="CD385" s="18" t="e">
        <f>VLOOKUP(C385,CE:CF,2,FALSE)</f>
        <v>#N/A</v>
      </c>
    </row>
    <row r="386" spans="1:82" ht="61.5" x14ac:dyDescent="0.85">
      <c r="A386" s="18">
        <v>1</v>
      </c>
      <c r="B386" s="57">
        <f>SUBTOTAL(103,$A$22:A386)</f>
        <v>340</v>
      </c>
      <c r="C386" s="22" t="s">
        <v>122</v>
      </c>
      <c r="D386" s="29">
        <f>E386+F386+G386+H386+I386+J386+L386+N386+P386+R386+T386+U386+V386+W386+X386+Y386+Z386+AA386+AB386+AC386+AD386+AE386</f>
        <v>3682576.42</v>
      </c>
      <c r="E386" s="29">
        <v>0</v>
      </c>
      <c r="F386" s="29">
        <v>0</v>
      </c>
      <c r="G386" s="29">
        <v>0</v>
      </c>
      <c r="H386" s="29">
        <v>0</v>
      </c>
      <c r="I386" s="29">
        <v>0</v>
      </c>
      <c r="J386" s="29">
        <v>0</v>
      </c>
      <c r="K386" s="31">
        <v>0</v>
      </c>
      <c r="L386" s="29">
        <v>0</v>
      </c>
      <c r="M386" s="37">
        <v>836.6</v>
      </c>
      <c r="N386" s="37">
        <f>3417217.79+182131</f>
        <v>3599348.79</v>
      </c>
      <c r="O386" s="29">
        <v>0</v>
      </c>
      <c r="P386" s="29">
        <v>0</v>
      </c>
      <c r="Q386" s="29">
        <v>0</v>
      </c>
      <c r="R386" s="29">
        <v>0</v>
      </c>
      <c r="S386" s="29">
        <v>0</v>
      </c>
      <c r="T386" s="29">
        <v>0</v>
      </c>
      <c r="U386" s="29">
        <v>0</v>
      </c>
      <c r="V386" s="29">
        <v>0</v>
      </c>
      <c r="W386" s="29">
        <v>0</v>
      </c>
      <c r="X386" s="29">
        <v>0</v>
      </c>
      <c r="Y386" s="29">
        <v>0</v>
      </c>
      <c r="Z386" s="29">
        <v>0</v>
      </c>
      <c r="AA386" s="29">
        <v>0</v>
      </c>
      <c r="AB386" s="29">
        <v>0</v>
      </c>
      <c r="AC386" s="37">
        <f>20503.31+1092.79</f>
        <v>21596.100000000002</v>
      </c>
      <c r="AD386" s="29">
        <v>61631.53</v>
      </c>
      <c r="AE386" s="29">
        <v>0</v>
      </c>
      <c r="AF386" s="32">
        <v>2020</v>
      </c>
      <c r="AG386" s="32">
        <v>2020</v>
      </c>
      <c r="AH386" s="32">
        <v>2020</v>
      </c>
      <c r="AT386" s="18" t="e">
        <f>VLOOKUP(C386,AW:AX,2,FALSE)</f>
        <v>#N/A</v>
      </c>
      <c r="BZ386" s="61"/>
      <c r="CD386" s="18" t="e">
        <f>VLOOKUP(C386,CE:CF,2,FALSE)</f>
        <v>#N/A</v>
      </c>
    </row>
    <row r="387" spans="1:82" ht="61.5" x14ac:dyDescent="0.85">
      <c r="B387" s="22" t="s">
        <v>826</v>
      </c>
      <c r="C387" s="338"/>
      <c r="D387" s="339">
        <f>SUM(D388:D391)</f>
        <v>4283070.8099999996</v>
      </c>
      <c r="E387" s="29">
        <f t="shared" ref="E387:AE387" si="43">SUM(E388:E391)</f>
        <v>0</v>
      </c>
      <c r="F387" s="29">
        <f t="shared" si="43"/>
        <v>0</v>
      </c>
      <c r="G387" s="29">
        <f t="shared" si="43"/>
        <v>0</v>
      </c>
      <c r="H387" s="29">
        <f t="shared" si="43"/>
        <v>0</v>
      </c>
      <c r="I387" s="29">
        <f t="shared" si="43"/>
        <v>0</v>
      </c>
      <c r="J387" s="29">
        <f t="shared" si="43"/>
        <v>0</v>
      </c>
      <c r="K387" s="31">
        <f t="shared" si="43"/>
        <v>0</v>
      </c>
      <c r="L387" s="29">
        <f t="shared" si="43"/>
        <v>0</v>
      </c>
      <c r="M387" s="29">
        <f t="shared" si="43"/>
        <v>678.3</v>
      </c>
      <c r="N387" s="29">
        <f t="shared" si="43"/>
        <v>2321700.09</v>
      </c>
      <c r="O387" s="29">
        <f t="shared" si="43"/>
        <v>0</v>
      </c>
      <c r="P387" s="29">
        <f t="shared" si="43"/>
        <v>0</v>
      </c>
      <c r="Q387" s="29">
        <f t="shared" si="43"/>
        <v>542.73</v>
      </c>
      <c r="R387" s="29">
        <f t="shared" si="43"/>
        <v>1785668.47</v>
      </c>
      <c r="S387" s="29">
        <f t="shared" si="43"/>
        <v>0</v>
      </c>
      <c r="T387" s="29">
        <f t="shared" si="43"/>
        <v>0</v>
      </c>
      <c r="U387" s="29">
        <f t="shared" si="43"/>
        <v>0</v>
      </c>
      <c r="V387" s="29">
        <f t="shared" si="43"/>
        <v>0</v>
      </c>
      <c r="W387" s="29">
        <f t="shared" si="43"/>
        <v>0</v>
      </c>
      <c r="X387" s="29">
        <f t="shared" si="43"/>
        <v>0</v>
      </c>
      <c r="Y387" s="29">
        <f t="shared" si="43"/>
        <v>0</v>
      </c>
      <c r="Z387" s="29">
        <f t="shared" si="43"/>
        <v>0</v>
      </c>
      <c r="AA387" s="29">
        <f t="shared" si="43"/>
        <v>0</v>
      </c>
      <c r="AB387" s="29">
        <f t="shared" si="43"/>
        <v>0</v>
      </c>
      <c r="AC387" s="29">
        <f t="shared" si="43"/>
        <v>23035.119999999999</v>
      </c>
      <c r="AD387" s="29">
        <f t="shared" si="43"/>
        <v>152667.13</v>
      </c>
      <c r="AE387" s="29">
        <f t="shared" si="43"/>
        <v>0</v>
      </c>
      <c r="AF387" s="62" t="s">
        <v>743</v>
      </c>
      <c r="AG387" s="62" t="s">
        <v>743</v>
      </c>
      <c r="AH387" s="77" t="s">
        <v>743</v>
      </c>
      <c r="AT387" s="18" t="e">
        <f>VLOOKUP(C387,AW:AX,2,FALSE)</f>
        <v>#N/A</v>
      </c>
      <c r="BZ387" s="61">
        <v>11389569.279999999</v>
      </c>
      <c r="CC387" s="29">
        <v>10475726.369999999</v>
      </c>
      <c r="CD387" s="18" t="e">
        <f>VLOOKUP(C387,CE:CF,2,FALSE)</f>
        <v>#N/A</v>
      </c>
    </row>
    <row r="388" spans="1:82" ht="61.5" x14ac:dyDescent="0.85">
      <c r="A388" s="18">
        <v>1</v>
      </c>
      <c r="B388" s="57">
        <f>SUBTOTAL(103,$A$22:A388)</f>
        <v>341</v>
      </c>
      <c r="C388" s="22" t="s">
        <v>170</v>
      </c>
      <c r="D388" s="29">
        <f>E388+F388+G388+H388+I388+J388+L388+N388+P388+R388+T388+U388+V388+W388+X388+Y388+Z388+AA388+AB388+AC388+AD388+AE388</f>
        <v>2321700.09</v>
      </c>
      <c r="E388" s="29">
        <v>0</v>
      </c>
      <c r="F388" s="29">
        <v>0</v>
      </c>
      <c r="G388" s="29">
        <v>0</v>
      </c>
      <c r="H388" s="29">
        <v>0</v>
      </c>
      <c r="I388" s="29">
        <v>0</v>
      </c>
      <c r="J388" s="29">
        <v>0</v>
      </c>
      <c r="K388" s="31">
        <v>0</v>
      </c>
      <c r="L388" s="29">
        <v>0</v>
      </c>
      <c r="M388" s="37">
        <v>678.3</v>
      </c>
      <c r="N388" s="37">
        <v>2321700.09</v>
      </c>
      <c r="O388" s="29">
        <v>0</v>
      </c>
      <c r="P388" s="29">
        <v>0</v>
      </c>
      <c r="Q388" s="29">
        <v>0</v>
      </c>
      <c r="R388" s="29">
        <v>0</v>
      </c>
      <c r="S388" s="29">
        <v>0</v>
      </c>
      <c r="T388" s="29">
        <v>0</v>
      </c>
      <c r="U388" s="29">
        <v>0</v>
      </c>
      <c r="V388" s="29">
        <v>0</v>
      </c>
      <c r="W388" s="29">
        <v>0</v>
      </c>
      <c r="X388" s="29">
        <v>0</v>
      </c>
      <c r="Y388" s="29">
        <v>0</v>
      </c>
      <c r="Z388" s="29">
        <v>0</v>
      </c>
      <c r="AA388" s="29">
        <v>0</v>
      </c>
      <c r="AB388" s="29">
        <v>0</v>
      </c>
      <c r="AC388" s="29">
        <v>0</v>
      </c>
      <c r="AD388" s="29">
        <v>0</v>
      </c>
      <c r="AE388" s="29">
        <v>0</v>
      </c>
      <c r="AF388" s="32" t="s">
        <v>268</v>
      </c>
      <c r="AG388" s="32">
        <v>2020</v>
      </c>
      <c r="AH388" s="33" t="s">
        <v>268</v>
      </c>
      <c r="AT388" s="18" t="e">
        <f>VLOOKUP(C388,AW:AX,2,FALSE)</f>
        <v>#N/A</v>
      </c>
      <c r="BZ388" s="61"/>
      <c r="CD388" s="18">
        <f>VLOOKUP(C388,CE:CF,2,FALSE)</f>
        <v>678.3</v>
      </c>
    </row>
    <row r="389" spans="1:82" ht="61.5" x14ac:dyDescent="0.85">
      <c r="A389" s="18">
        <v>1</v>
      </c>
      <c r="B389" s="57">
        <f>SUBTOTAL(103,$A$22:A389)</f>
        <v>342</v>
      </c>
      <c r="C389" s="22" t="s">
        <v>171</v>
      </c>
      <c r="D389" s="29">
        <f>E389+F389+G389+H389+I389+J389+L389+N389+P389+R389+T389+U389+V389+W389+X389+Y389+Z389+AA389+AB389+AC389+AD389+AE389</f>
        <v>1808703.59</v>
      </c>
      <c r="E389" s="29">
        <v>0</v>
      </c>
      <c r="F389" s="29">
        <v>0</v>
      </c>
      <c r="G389" s="29">
        <v>0</v>
      </c>
      <c r="H389" s="29">
        <v>0</v>
      </c>
      <c r="I389" s="29">
        <v>0</v>
      </c>
      <c r="J389" s="29">
        <v>0</v>
      </c>
      <c r="K389" s="31">
        <v>0</v>
      </c>
      <c r="L389" s="29">
        <v>0</v>
      </c>
      <c r="M389" s="29">
        <v>0</v>
      </c>
      <c r="N389" s="29">
        <v>0</v>
      </c>
      <c r="O389" s="29">
        <v>0</v>
      </c>
      <c r="P389" s="29">
        <v>0</v>
      </c>
      <c r="Q389" s="37">
        <v>542.73</v>
      </c>
      <c r="R389" s="37">
        <v>1785668.47</v>
      </c>
      <c r="S389" s="29">
        <v>0</v>
      </c>
      <c r="T389" s="29">
        <v>0</v>
      </c>
      <c r="U389" s="29">
        <v>0</v>
      </c>
      <c r="V389" s="29">
        <v>0</v>
      </c>
      <c r="W389" s="29">
        <v>0</v>
      </c>
      <c r="X389" s="29">
        <v>0</v>
      </c>
      <c r="Y389" s="29">
        <v>0</v>
      </c>
      <c r="Z389" s="29">
        <v>0</v>
      </c>
      <c r="AA389" s="29">
        <v>0</v>
      </c>
      <c r="AB389" s="29">
        <v>0</v>
      </c>
      <c r="AC389" s="37">
        <v>23035.119999999999</v>
      </c>
      <c r="AD389" s="29">
        <v>0</v>
      </c>
      <c r="AE389" s="29">
        <v>0</v>
      </c>
      <c r="AF389" s="32" t="s">
        <v>268</v>
      </c>
      <c r="AG389" s="32">
        <v>2020</v>
      </c>
      <c r="AH389" s="33">
        <v>2020</v>
      </c>
      <c r="AT389" s="18" t="e">
        <f>VLOOKUP(C389,AW:AX,2,FALSE)</f>
        <v>#N/A</v>
      </c>
      <c r="BZ389" s="61"/>
      <c r="CD389" s="18" t="e">
        <f>VLOOKUP(C389,CE:CF,2,FALSE)</f>
        <v>#N/A</v>
      </c>
    </row>
    <row r="390" spans="1:82" ht="61.5" x14ac:dyDescent="0.85">
      <c r="A390" s="18">
        <v>1</v>
      </c>
      <c r="B390" s="57">
        <f>SUBTOTAL(103,$A$22:A390)</f>
        <v>343</v>
      </c>
      <c r="C390" s="22" t="s">
        <v>169</v>
      </c>
      <c r="D390" s="29">
        <f>E390+F390+G390+H390+I390+J390+L390+N390+P390+R390+T390+U390+V390+W390+X390+Y390+Z390+AA390+AB390+AC390+AD390+AE390</f>
        <v>104027.61</v>
      </c>
      <c r="E390" s="29">
        <v>0</v>
      </c>
      <c r="F390" s="29">
        <v>0</v>
      </c>
      <c r="G390" s="29">
        <v>0</v>
      </c>
      <c r="H390" s="29">
        <v>0</v>
      </c>
      <c r="I390" s="29">
        <v>0</v>
      </c>
      <c r="J390" s="29">
        <v>0</v>
      </c>
      <c r="K390" s="31">
        <v>0</v>
      </c>
      <c r="L390" s="29">
        <v>0</v>
      </c>
      <c r="M390" s="29">
        <v>0</v>
      </c>
      <c r="N390" s="29">
        <v>0</v>
      </c>
      <c r="O390" s="29">
        <v>0</v>
      </c>
      <c r="P390" s="29">
        <v>0</v>
      </c>
      <c r="Q390" s="29">
        <v>0</v>
      </c>
      <c r="R390" s="29">
        <v>0</v>
      </c>
      <c r="S390" s="29">
        <v>0</v>
      </c>
      <c r="T390" s="29">
        <v>0</v>
      </c>
      <c r="U390" s="29">
        <v>0</v>
      </c>
      <c r="V390" s="29">
        <v>0</v>
      </c>
      <c r="W390" s="29">
        <v>0</v>
      </c>
      <c r="X390" s="29">
        <v>0</v>
      </c>
      <c r="Y390" s="29">
        <v>0</v>
      </c>
      <c r="Z390" s="29">
        <v>0</v>
      </c>
      <c r="AA390" s="29">
        <v>0</v>
      </c>
      <c r="AB390" s="29">
        <v>0</v>
      </c>
      <c r="AC390" s="29">
        <f>ROUND(U390*1.5%,2)</f>
        <v>0</v>
      </c>
      <c r="AD390" s="134">
        <v>104027.61</v>
      </c>
      <c r="AE390" s="29">
        <v>0</v>
      </c>
      <c r="AF390" s="32">
        <v>2020</v>
      </c>
      <c r="AG390" s="32" t="s">
        <v>268</v>
      </c>
      <c r="AH390" s="32" t="s">
        <v>268</v>
      </c>
      <c r="AT390" s="18" t="e">
        <f>VLOOKUP(C390,AW:AX,2,FALSE)</f>
        <v>#N/A</v>
      </c>
      <c r="BZ390" s="61"/>
      <c r="CD390" s="18" t="e">
        <f>VLOOKUP(C390,CE:CF,2,FALSE)</f>
        <v>#N/A</v>
      </c>
    </row>
    <row r="391" spans="1:82" ht="61.5" x14ac:dyDescent="0.85">
      <c r="A391" s="18">
        <v>1</v>
      </c>
      <c r="B391" s="57">
        <f>SUBTOTAL(103,$A$22:A391)</f>
        <v>344</v>
      </c>
      <c r="C391" s="22" t="s">
        <v>1560</v>
      </c>
      <c r="D391" s="29">
        <f>E391+F391+G391+H391+I391+J391+L391+N391+P391+R391+T391+U391+V391+W391+X391+Y391+Z391+AA391+AB391+AC391+AD391+AE391</f>
        <v>48639.519999999997</v>
      </c>
      <c r="E391" s="29">
        <v>0</v>
      </c>
      <c r="F391" s="29">
        <v>0</v>
      </c>
      <c r="G391" s="29">
        <v>0</v>
      </c>
      <c r="H391" s="29">
        <v>0</v>
      </c>
      <c r="I391" s="29">
        <v>0</v>
      </c>
      <c r="J391" s="29">
        <v>0</v>
      </c>
      <c r="K391" s="31">
        <v>0</v>
      </c>
      <c r="L391" s="29">
        <v>0</v>
      </c>
      <c r="M391" s="29">
        <v>0</v>
      </c>
      <c r="N391" s="29">
        <v>0</v>
      </c>
      <c r="O391" s="29">
        <v>0</v>
      </c>
      <c r="P391" s="29">
        <v>0</v>
      </c>
      <c r="Q391" s="29">
        <v>0</v>
      </c>
      <c r="R391" s="29">
        <v>0</v>
      </c>
      <c r="S391" s="29">
        <v>0</v>
      </c>
      <c r="T391" s="29">
        <v>0</v>
      </c>
      <c r="U391" s="29">
        <v>0</v>
      </c>
      <c r="V391" s="29">
        <v>0</v>
      </c>
      <c r="W391" s="29">
        <v>0</v>
      </c>
      <c r="X391" s="29">
        <v>0</v>
      </c>
      <c r="Y391" s="29">
        <v>0</v>
      </c>
      <c r="Z391" s="29">
        <v>0</v>
      </c>
      <c r="AA391" s="29">
        <v>0</v>
      </c>
      <c r="AB391" s="29">
        <v>0</v>
      </c>
      <c r="AC391" s="29">
        <f>ROUND(N391*1.5%,2)</f>
        <v>0</v>
      </c>
      <c r="AD391" s="37">
        <v>48639.519999999997</v>
      </c>
      <c r="AE391" s="29">
        <v>0</v>
      </c>
      <c r="AF391" s="32">
        <v>2020</v>
      </c>
      <c r="AG391" s="32" t="s">
        <v>268</v>
      </c>
      <c r="AH391" s="32" t="s">
        <v>268</v>
      </c>
      <c r="BZ391" s="61"/>
      <c r="CD391" s="18" t="e">
        <f>VLOOKUP(C391,CE:CF,2,FALSE)</f>
        <v>#N/A</v>
      </c>
    </row>
    <row r="392" spans="1:82" ht="61.5" x14ac:dyDescent="0.85">
      <c r="B392" s="22" t="s">
        <v>827</v>
      </c>
      <c r="C392" s="22"/>
      <c r="D392" s="339">
        <f>SUM(D393:D394)</f>
        <v>3114731.1799999997</v>
      </c>
      <c r="E392" s="29">
        <f t="shared" ref="E392:AE392" si="44">SUM(E393:E394)</f>
        <v>104595</v>
      </c>
      <c r="F392" s="29">
        <f t="shared" si="44"/>
        <v>0</v>
      </c>
      <c r="G392" s="29">
        <f t="shared" si="44"/>
        <v>1449470</v>
      </c>
      <c r="H392" s="29">
        <f t="shared" si="44"/>
        <v>0</v>
      </c>
      <c r="I392" s="29">
        <f t="shared" si="44"/>
        <v>215247</v>
      </c>
      <c r="J392" s="29">
        <f t="shared" si="44"/>
        <v>0</v>
      </c>
      <c r="K392" s="31">
        <f t="shared" si="44"/>
        <v>0</v>
      </c>
      <c r="L392" s="29">
        <f t="shared" si="44"/>
        <v>0</v>
      </c>
      <c r="M392" s="29">
        <f t="shared" si="44"/>
        <v>401.44</v>
      </c>
      <c r="N392" s="29">
        <f t="shared" si="44"/>
        <v>1267442.73</v>
      </c>
      <c r="O392" s="29">
        <f t="shared" si="44"/>
        <v>0</v>
      </c>
      <c r="P392" s="29">
        <f t="shared" si="44"/>
        <v>0</v>
      </c>
      <c r="Q392" s="29">
        <f t="shared" si="44"/>
        <v>0</v>
      </c>
      <c r="R392" s="29">
        <f t="shared" si="44"/>
        <v>0</v>
      </c>
      <c r="S392" s="29">
        <f t="shared" si="44"/>
        <v>0</v>
      </c>
      <c r="T392" s="29">
        <f t="shared" si="44"/>
        <v>0</v>
      </c>
      <c r="U392" s="29">
        <f t="shared" si="44"/>
        <v>0</v>
      </c>
      <c r="V392" s="29">
        <f t="shared" si="44"/>
        <v>0</v>
      </c>
      <c r="W392" s="29">
        <f t="shared" si="44"/>
        <v>0</v>
      </c>
      <c r="X392" s="29">
        <f t="shared" si="44"/>
        <v>0</v>
      </c>
      <c r="Y392" s="29">
        <f t="shared" si="44"/>
        <v>0</v>
      </c>
      <c r="Z392" s="29">
        <f t="shared" si="44"/>
        <v>0</v>
      </c>
      <c r="AA392" s="29">
        <f t="shared" si="44"/>
        <v>0</v>
      </c>
      <c r="AB392" s="29">
        <f t="shared" si="44"/>
        <v>0</v>
      </c>
      <c r="AC392" s="29">
        <f t="shared" si="44"/>
        <v>33866.199999999997</v>
      </c>
      <c r="AD392" s="29">
        <f t="shared" si="44"/>
        <v>44110.25</v>
      </c>
      <c r="AE392" s="29">
        <f t="shared" si="44"/>
        <v>0</v>
      </c>
      <c r="AF392" s="62" t="s">
        <v>743</v>
      </c>
      <c r="AG392" s="62" t="s">
        <v>743</v>
      </c>
      <c r="AH392" s="77" t="s">
        <v>743</v>
      </c>
      <c r="AT392" s="18" t="e">
        <f>VLOOKUP(C392,AW:AX,2,FALSE)</f>
        <v>#N/A</v>
      </c>
      <c r="BZ392" s="61">
        <v>4635021.79</v>
      </c>
      <c r="CC392" s="29">
        <v>3960937.4299999997</v>
      </c>
      <c r="CD392" s="18" t="e">
        <f>VLOOKUP(C392,CE:CF,2,FALSE)</f>
        <v>#N/A</v>
      </c>
    </row>
    <row r="393" spans="1:82" ht="61.5" x14ac:dyDescent="0.85">
      <c r="A393" s="18">
        <v>1</v>
      </c>
      <c r="B393" s="57">
        <f>SUBTOTAL(103,$A$22:A393)</f>
        <v>345</v>
      </c>
      <c r="C393" s="22" t="s">
        <v>168</v>
      </c>
      <c r="D393" s="29">
        <f>E393+F393+G393+H393+I393+J393+L393+N393+P393+R393+T393+U393+V393+W393+X393+Y393+Z393+AA393+AB393+AC393+AD393+AE393</f>
        <v>1327902.99</v>
      </c>
      <c r="E393" s="29">
        <v>0</v>
      </c>
      <c r="F393" s="29">
        <v>0</v>
      </c>
      <c r="G393" s="29">
        <v>0</v>
      </c>
      <c r="H393" s="29">
        <v>0</v>
      </c>
      <c r="I393" s="29">
        <v>0</v>
      </c>
      <c r="J393" s="29">
        <v>0</v>
      </c>
      <c r="K393" s="31">
        <v>0</v>
      </c>
      <c r="L393" s="29">
        <v>0</v>
      </c>
      <c r="M393" s="37">
        <v>401.44</v>
      </c>
      <c r="N393" s="134">
        <v>1267442.73</v>
      </c>
      <c r="O393" s="29">
        <v>0</v>
      </c>
      <c r="P393" s="29">
        <v>0</v>
      </c>
      <c r="Q393" s="29">
        <v>0</v>
      </c>
      <c r="R393" s="29">
        <v>0</v>
      </c>
      <c r="S393" s="29">
        <v>0</v>
      </c>
      <c r="T393" s="29">
        <v>0</v>
      </c>
      <c r="U393" s="29">
        <v>0</v>
      </c>
      <c r="V393" s="29">
        <v>0</v>
      </c>
      <c r="W393" s="29">
        <v>0</v>
      </c>
      <c r="X393" s="29">
        <v>0</v>
      </c>
      <c r="Y393" s="29">
        <v>0</v>
      </c>
      <c r="Z393" s="29">
        <v>0</v>
      </c>
      <c r="AA393" s="29">
        <v>0</v>
      </c>
      <c r="AB393" s="29">
        <v>0</v>
      </c>
      <c r="AC393" s="134">
        <v>16350.01</v>
      </c>
      <c r="AD393" s="37">
        <v>44110.25</v>
      </c>
      <c r="AE393" s="29">
        <v>0</v>
      </c>
      <c r="AF393" s="32">
        <v>2020</v>
      </c>
      <c r="AG393" s="32">
        <v>2020</v>
      </c>
      <c r="AH393" s="33">
        <v>2020</v>
      </c>
      <c r="AT393" s="18" t="e">
        <f>VLOOKUP(C393,AW:AX,2,FALSE)</f>
        <v>#N/A</v>
      </c>
      <c r="BZ393" s="61"/>
      <c r="CD393" s="18">
        <f>VLOOKUP(C393,CE:CF,2,FALSE)</f>
        <v>412.82</v>
      </c>
    </row>
    <row r="394" spans="1:82" ht="61.5" x14ac:dyDescent="0.85">
      <c r="A394" s="18">
        <v>1</v>
      </c>
      <c r="B394" s="57">
        <f>SUBTOTAL(103,$A$22:A394)</f>
        <v>346</v>
      </c>
      <c r="C394" s="22" t="s">
        <v>1220</v>
      </c>
      <c r="D394" s="29">
        <f>E394+F394+G394+H394+I394+J394+L394+N394+P394+R394+T394+U394+V394+W394+X394+Y394+Z394+AA394+AB394+AC394+AD394+AE394</f>
        <v>1786828.19</v>
      </c>
      <c r="E394" s="335">
        <v>104595</v>
      </c>
      <c r="F394" s="29">
        <v>0</v>
      </c>
      <c r="G394" s="335">
        <v>1449470</v>
      </c>
      <c r="H394" s="29">
        <v>0</v>
      </c>
      <c r="I394" s="335">
        <v>215247</v>
      </c>
      <c r="J394" s="29">
        <v>0</v>
      </c>
      <c r="K394" s="31">
        <v>0</v>
      </c>
      <c r="L394" s="29">
        <v>0</v>
      </c>
      <c r="M394" s="29">
        <v>0</v>
      </c>
      <c r="N394" s="29">
        <v>0</v>
      </c>
      <c r="O394" s="29">
        <v>0</v>
      </c>
      <c r="P394" s="29">
        <v>0</v>
      </c>
      <c r="Q394" s="29">
        <v>0</v>
      </c>
      <c r="R394" s="29">
        <v>0</v>
      </c>
      <c r="S394" s="29">
        <v>0</v>
      </c>
      <c r="T394" s="29">
        <v>0</v>
      </c>
      <c r="U394" s="29">
        <v>0</v>
      </c>
      <c r="V394" s="29">
        <v>0</v>
      </c>
      <c r="W394" s="29">
        <v>0</v>
      </c>
      <c r="X394" s="29">
        <v>0</v>
      </c>
      <c r="Y394" s="29">
        <v>0</v>
      </c>
      <c r="Z394" s="29">
        <v>0</v>
      </c>
      <c r="AA394" s="29">
        <v>0</v>
      </c>
      <c r="AB394" s="29">
        <v>0</v>
      </c>
      <c r="AC394" s="29">
        <v>17516.189999999999</v>
      </c>
      <c r="AD394" s="29">
        <v>0</v>
      </c>
      <c r="AE394" s="29">
        <v>0</v>
      </c>
      <c r="AF394" s="32" t="s">
        <v>268</v>
      </c>
      <c r="AG394" s="32">
        <v>2020</v>
      </c>
      <c r="AH394" s="33">
        <v>2020</v>
      </c>
      <c r="BZ394" s="61"/>
      <c r="CD394" s="18" t="e">
        <f>VLOOKUP(C394,CE:CF,2,FALSE)</f>
        <v>#N/A</v>
      </c>
    </row>
    <row r="395" spans="1:82" ht="61.5" x14ac:dyDescent="0.85">
      <c r="B395" s="22" t="s">
        <v>829</v>
      </c>
      <c r="C395" s="22"/>
      <c r="D395" s="339">
        <f>D396</f>
        <v>43566.44</v>
      </c>
      <c r="E395" s="29">
        <f t="shared" ref="E395:AE395" si="45">E396</f>
        <v>0</v>
      </c>
      <c r="F395" s="29">
        <f t="shared" si="45"/>
        <v>0</v>
      </c>
      <c r="G395" s="29">
        <f t="shared" si="45"/>
        <v>0</v>
      </c>
      <c r="H395" s="29">
        <f t="shared" si="45"/>
        <v>0</v>
      </c>
      <c r="I395" s="29">
        <f t="shared" si="45"/>
        <v>0</v>
      </c>
      <c r="J395" s="29">
        <f t="shared" si="45"/>
        <v>0</v>
      </c>
      <c r="K395" s="31">
        <f t="shared" si="45"/>
        <v>0</v>
      </c>
      <c r="L395" s="29">
        <f t="shared" si="45"/>
        <v>0</v>
      </c>
      <c r="M395" s="29">
        <f t="shared" si="45"/>
        <v>0</v>
      </c>
      <c r="N395" s="29">
        <f t="shared" si="45"/>
        <v>0</v>
      </c>
      <c r="O395" s="29">
        <f t="shared" si="45"/>
        <v>0</v>
      </c>
      <c r="P395" s="29">
        <f t="shared" si="45"/>
        <v>0</v>
      </c>
      <c r="Q395" s="29">
        <f t="shared" si="45"/>
        <v>0</v>
      </c>
      <c r="R395" s="29">
        <f t="shared" si="45"/>
        <v>0</v>
      </c>
      <c r="S395" s="29">
        <f t="shared" si="45"/>
        <v>0</v>
      </c>
      <c r="T395" s="29">
        <f t="shared" si="45"/>
        <v>0</v>
      </c>
      <c r="U395" s="29">
        <f t="shared" si="45"/>
        <v>0</v>
      </c>
      <c r="V395" s="29">
        <f t="shared" si="45"/>
        <v>0</v>
      </c>
      <c r="W395" s="29">
        <f t="shared" si="45"/>
        <v>0</v>
      </c>
      <c r="X395" s="29">
        <f t="shared" si="45"/>
        <v>0</v>
      </c>
      <c r="Y395" s="29">
        <f t="shared" si="45"/>
        <v>0</v>
      </c>
      <c r="Z395" s="29">
        <f t="shared" si="45"/>
        <v>0</v>
      </c>
      <c r="AA395" s="29">
        <f t="shared" si="45"/>
        <v>0</v>
      </c>
      <c r="AB395" s="29">
        <f t="shared" si="45"/>
        <v>0</v>
      </c>
      <c r="AC395" s="29">
        <f t="shared" si="45"/>
        <v>0</v>
      </c>
      <c r="AD395" s="29">
        <f t="shared" si="45"/>
        <v>43566.44</v>
      </c>
      <c r="AE395" s="29">
        <f t="shared" si="45"/>
        <v>0</v>
      </c>
      <c r="AF395" s="62" t="s">
        <v>743</v>
      </c>
      <c r="AG395" s="62" t="s">
        <v>743</v>
      </c>
      <c r="AH395" s="77" t="s">
        <v>743</v>
      </c>
      <c r="AT395" s="18" t="e">
        <f>VLOOKUP(C395,AW:AX,2,FALSE)</f>
        <v>#N/A</v>
      </c>
      <c r="BZ395" s="61">
        <v>1547699.36</v>
      </c>
      <c r="CD395" s="18" t="e">
        <f>VLOOKUP(C395,CE:CF,2,FALSE)</f>
        <v>#N/A</v>
      </c>
    </row>
    <row r="396" spans="1:82" s="144" customFormat="1" ht="123" x14ac:dyDescent="0.85">
      <c r="A396" s="144">
        <v>1</v>
      </c>
      <c r="B396" s="57">
        <f>SUBTOTAL(103,$A$22:A396)</f>
        <v>347</v>
      </c>
      <c r="C396" s="145" t="s">
        <v>167</v>
      </c>
      <c r="D396" s="106">
        <f>E396+F396+G396+H396+I396+J396+L396+N396+P396+R396+T396+U396+V396+W396+X396+Y396+Z396+AA396+AB396+AC396+AD396+AE396</f>
        <v>43566.44</v>
      </c>
      <c r="E396" s="106">
        <v>0</v>
      </c>
      <c r="F396" s="106">
        <v>0</v>
      </c>
      <c r="G396" s="106">
        <v>0</v>
      </c>
      <c r="H396" s="106">
        <v>0</v>
      </c>
      <c r="I396" s="106">
        <v>0</v>
      </c>
      <c r="J396" s="106">
        <v>0</v>
      </c>
      <c r="K396" s="146">
        <v>0</v>
      </c>
      <c r="L396" s="106">
        <v>0</v>
      </c>
      <c r="M396" s="106">
        <v>0</v>
      </c>
      <c r="N396" s="106">
        <v>0</v>
      </c>
      <c r="O396" s="106">
        <v>0</v>
      </c>
      <c r="P396" s="106">
        <v>0</v>
      </c>
      <c r="Q396" s="106">
        <v>0</v>
      </c>
      <c r="R396" s="106">
        <v>0</v>
      </c>
      <c r="S396" s="106">
        <v>0</v>
      </c>
      <c r="T396" s="106">
        <v>0</v>
      </c>
      <c r="U396" s="106">
        <v>0</v>
      </c>
      <c r="V396" s="106">
        <v>0</v>
      </c>
      <c r="W396" s="106">
        <v>0</v>
      </c>
      <c r="X396" s="106">
        <v>0</v>
      </c>
      <c r="Y396" s="106">
        <v>0</v>
      </c>
      <c r="Z396" s="106">
        <v>0</v>
      </c>
      <c r="AA396" s="106">
        <v>0</v>
      </c>
      <c r="AB396" s="106">
        <v>0</v>
      </c>
      <c r="AC396" s="106">
        <f>ROUND(N396*1.5%,2)</f>
        <v>0</v>
      </c>
      <c r="AD396" s="106">
        <v>43566.44</v>
      </c>
      <c r="AE396" s="106">
        <v>0</v>
      </c>
      <c r="AF396" s="147">
        <v>2020</v>
      </c>
      <c r="AG396" s="147" t="s">
        <v>268</v>
      </c>
      <c r="AH396" s="147" t="s">
        <v>268</v>
      </c>
      <c r="AT396" s="144" t="e">
        <f>VLOOKUP(C396,AW:AX,2,FALSE)</f>
        <v>#N/A</v>
      </c>
      <c r="BZ396" s="149"/>
      <c r="CD396" s="144">
        <f>VLOOKUP(C396,CE:CF,2,FALSE)</f>
        <v>336.14</v>
      </c>
    </row>
    <row r="397" spans="1:82" ht="61.5" x14ac:dyDescent="0.85">
      <c r="B397" s="22" t="s">
        <v>828</v>
      </c>
      <c r="C397" s="22"/>
      <c r="D397" s="339">
        <f>SUM(D398:D401)</f>
        <v>4166442.5</v>
      </c>
      <c r="E397" s="29">
        <f t="shared" ref="E397:AE397" si="46">SUM(E398:E401)</f>
        <v>0</v>
      </c>
      <c r="F397" s="29">
        <f t="shared" si="46"/>
        <v>0</v>
      </c>
      <c r="G397" s="29">
        <f t="shared" si="46"/>
        <v>0</v>
      </c>
      <c r="H397" s="29">
        <f t="shared" si="46"/>
        <v>0</v>
      </c>
      <c r="I397" s="29">
        <f t="shared" si="46"/>
        <v>0</v>
      </c>
      <c r="J397" s="29">
        <f t="shared" si="46"/>
        <v>0</v>
      </c>
      <c r="K397" s="31">
        <f t="shared" si="46"/>
        <v>0</v>
      </c>
      <c r="L397" s="29">
        <f t="shared" si="46"/>
        <v>0</v>
      </c>
      <c r="M397" s="29">
        <f t="shared" si="46"/>
        <v>542.66</v>
      </c>
      <c r="N397" s="29">
        <f t="shared" si="46"/>
        <v>2207932.36</v>
      </c>
      <c r="O397" s="29">
        <f t="shared" si="46"/>
        <v>0</v>
      </c>
      <c r="P397" s="29">
        <f t="shared" si="46"/>
        <v>0</v>
      </c>
      <c r="Q397" s="29">
        <f t="shared" si="46"/>
        <v>437.5</v>
      </c>
      <c r="R397" s="29">
        <f t="shared" si="46"/>
        <v>1813992.23</v>
      </c>
      <c r="S397" s="29">
        <f t="shared" si="46"/>
        <v>0</v>
      </c>
      <c r="T397" s="29">
        <f t="shared" si="46"/>
        <v>0</v>
      </c>
      <c r="U397" s="29">
        <f t="shared" si="46"/>
        <v>0</v>
      </c>
      <c r="V397" s="29">
        <f t="shared" si="46"/>
        <v>0</v>
      </c>
      <c r="W397" s="29">
        <f t="shared" si="46"/>
        <v>0</v>
      </c>
      <c r="X397" s="29">
        <f t="shared" si="46"/>
        <v>0</v>
      </c>
      <c r="Y397" s="29">
        <f t="shared" si="46"/>
        <v>0</v>
      </c>
      <c r="Z397" s="29">
        <f t="shared" si="46"/>
        <v>0</v>
      </c>
      <c r="AA397" s="29">
        <f t="shared" si="46"/>
        <v>0</v>
      </c>
      <c r="AB397" s="29">
        <f t="shared" si="46"/>
        <v>0</v>
      </c>
      <c r="AC397" s="29">
        <f t="shared" si="46"/>
        <v>17958.52</v>
      </c>
      <c r="AD397" s="29">
        <f t="shared" si="46"/>
        <v>126559.39</v>
      </c>
      <c r="AE397" s="29">
        <f t="shared" si="46"/>
        <v>0</v>
      </c>
      <c r="AF397" s="62" t="s">
        <v>743</v>
      </c>
      <c r="AG397" s="62" t="s">
        <v>743</v>
      </c>
      <c r="AH397" s="77" t="s">
        <v>743</v>
      </c>
      <c r="AT397" s="18" t="e">
        <f>VLOOKUP(C397,AW:AX,2,FALSE)</f>
        <v>#N/A</v>
      </c>
      <c r="BZ397" s="61">
        <v>7290181.6600000001</v>
      </c>
      <c r="CC397" s="29">
        <v>6271514.3100000005</v>
      </c>
      <c r="CD397" s="18" t="e">
        <f>VLOOKUP(C397,CE:CF,2,FALSE)</f>
        <v>#N/A</v>
      </c>
    </row>
    <row r="398" spans="1:82" ht="61.5" x14ac:dyDescent="0.85">
      <c r="A398" s="18">
        <v>1</v>
      </c>
      <c r="B398" s="57">
        <f>SUBTOTAL(103,$A$22:A398)</f>
        <v>348</v>
      </c>
      <c r="C398" s="22" t="s">
        <v>181</v>
      </c>
      <c r="D398" s="29">
        <f>E398+F398+G398+H398+I398+J398+L398+N398+P398+R398+T398+U398+V398+W398+X398+Y398+Z398+AA398+AB398+AC398+AD398+AE398</f>
        <v>71741.72</v>
      </c>
      <c r="E398" s="29">
        <v>0</v>
      </c>
      <c r="F398" s="29">
        <v>0</v>
      </c>
      <c r="G398" s="29">
        <v>0</v>
      </c>
      <c r="H398" s="29">
        <v>0</v>
      </c>
      <c r="I398" s="29">
        <v>0</v>
      </c>
      <c r="J398" s="29">
        <v>0</v>
      </c>
      <c r="K398" s="31">
        <v>0</v>
      </c>
      <c r="L398" s="29">
        <v>0</v>
      </c>
      <c r="M398" s="29">
        <v>0</v>
      </c>
      <c r="N398" s="29">
        <v>0</v>
      </c>
      <c r="O398" s="29">
        <v>0</v>
      </c>
      <c r="P398" s="29">
        <v>0</v>
      </c>
      <c r="Q398" s="29">
        <v>0</v>
      </c>
      <c r="R398" s="29">
        <v>0</v>
      </c>
      <c r="S398" s="29">
        <v>0</v>
      </c>
      <c r="T398" s="29">
        <v>0</v>
      </c>
      <c r="U398" s="29">
        <v>0</v>
      </c>
      <c r="V398" s="29">
        <v>0</v>
      </c>
      <c r="W398" s="29">
        <v>0</v>
      </c>
      <c r="X398" s="29">
        <v>0</v>
      </c>
      <c r="Y398" s="29">
        <v>0</v>
      </c>
      <c r="Z398" s="29">
        <v>0</v>
      </c>
      <c r="AA398" s="29">
        <v>0</v>
      </c>
      <c r="AB398" s="29">
        <v>0</v>
      </c>
      <c r="AC398" s="29">
        <f>ROUND(R398*1.5%,2)</f>
        <v>0</v>
      </c>
      <c r="AD398" s="37">
        <v>71741.72</v>
      </c>
      <c r="AE398" s="29">
        <v>0</v>
      </c>
      <c r="AF398" s="32">
        <v>2020</v>
      </c>
      <c r="AG398" s="32" t="s">
        <v>268</v>
      </c>
      <c r="AH398" s="32" t="s">
        <v>268</v>
      </c>
      <c r="AT398" s="18" t="e">
        <f>VLOOKUP(C398,AW:AX,2,FALSE)</f>
        <v>#N/A</v>
      </c>
      <c r="BZ398" s="61"/>
      <c r="CD398" s="18" t="e">
        <f>VLOOKUP(C398,CE:CF,2,FALSE)</f>
        <v>#N/A</v>
      </c>
    </row>
    <row r="399" spans="1:82" ht="61.5" x14ac:dyDescent="0.85">
      <c r="A399" s="18">
        <v>1</v>
      </c>
      <c r="B399" s="57">
        <f>SUBTOTAL(103,$A$22:A399)</f>
        <v>349</v>
      </c>
      <c r="C399" s="22" t="s">
        <v>1218</v>
      </c>
      <c r="D399" s="29">
        <f>E399+F399+G399+H399+I399+J399+L399+N399+P399+R399+T399+U399+V399+W399+X399+Y399+Z399+AA399+AB399+AC399+AD399+AE399</f>
        <v>1831950.75</v>
      </c>
      <c r="E399" s="29">
        <v>0</v>
      </c>
      <c r="F399" s="29">
        <v>0</v>
      </c>
      <c r="G399" s="29">
        <v>0</v>
      </c>
      <c r="H399" s="29">
        <v>0</v>
      </c>
      <c r="I399" s="29">
        <v>0</v>
      </c>
      <c r="J399" s="29">
        <v>0</v>
      </c>
      <c r="K399" s="31">
        <v>0</v>
      </c>
      <c r="L399" s="29">
        <v>0</v>
      </c>
      <c r="M399" s="29">
        <v>0</v>
      </c>
      <c r="N399" s="29">
        <v>0</v>
      </c>
      <c r="O399" s="29">
        <v>0</v>
      </c>
      <c r="P399" s="29">
        <v>0</v>
      </c>
      <c r="Q399" s="37">
        <v>437.5</v>
      </c>
      <c r="R399" s="37">
        <v>1813992.23</v>
      </c>
      <c r="S399" s="29">
        <v>0</v>
      </c>
      <c r="T399" s="29">
        <v>0</v>
      </c>
      <c r="U399" s="29">
        <v>0</v>
      </c>
      <c r="V399" s="29">
        <v>0</v>
      </c>
      <c r="W399" s="29">
        <v>0</v>
      </c>
      <c r="X399" s="29">
        <v>0</v>
      </c>
      <c r="Y399" s="29">
        <v>0</v>
      </c>
      <c r="Z399" s="29">
        <v>0</v>
      </c>
      <c r="AA399" s="29">
        <v>0</v>
      </c>
      <c r="AB399" s="29">
        <v>0</v>
      </c>
      <c r="AC399" s="37">
        <v>17958.52</v>
      </c>
      <c r="AD399" s="29">
        <v>0</v>
      </c>
      <c r="AE399" s="29">
        <v>0</v>
      </c>
      <c r="AF399" s="32" t="s">
        <v>268</v>
      </c>
      <c r="AG399" s="32">
        <v>2020</v>
      </c>
      <c r="AH399" s="33">
        <v>2020</v>
      </c>
      <c r="BZ399" s="61"/>
      <c r="CD399" s="18" t="e">
        <f>VLOOKUP(C399,CE:CF,2,FALSE)</f>
        <v>#N/A</v>
      </c>
    </row>
    <row r="400" spans="1:82" ht="61.5" x14ac:dyDescent="0.85">
      <c r="A400" s="18">
        <v>1</v>
      </c>
      <c r="B400" s="57">
        <f>SUBTOTAL(103,$A$22:A400)</f>
        <v>350</v>
      </c>
      <c r="C400" s="22" t="s">
        <v>1219</v>
      </c>
      <c r="D400" s="29">
        <f>E400+F400+G400+H400+I400+J400+L400+N400+P400+R400+T400+U400+V400+W400+X400+Y400+Z400+AA400+AB400+AC400+AD400+AE400</f>
        <v>2207932.36</v>
      </c>
      <c r="E400" s="29">
        <v>0</v>
      </c>
      <c r="F400" s="29">
        <v>0</v>
      </c>
      <c r="G400" s="29">
        <v>0</v>
      </c>
      <c r="H400" s="29">
        <v>0</v>
      </c>
      <c r="I400" s="29">
        <v>0</v>
      </c>
      <c r="J400" s="29">
        <v>0</v>
      </c>
      <c r="K400" s="31">
        <v>0</v>
      </c>
      <c r="L400" s="29">
        <v>0</v>
      </c>
      <c r="M400" s="37">
        <v>542.66</v>
      </c>
      <c r="N400" s="37">
        <v>2207932.36</v>
      </c>
      <c r="O400" s="29">
        <v>0</v>
      </c>
      <c r="P400" s="29">
        <v>0</v>
      </c>
      <c r="Q400" s="29">
        <v>0</v>
      </c>
      <c r="R400" s="29">
        <v>0</v>
      </c>
      <c r="S400" s="29">
        <v>0</v>
      </c>
      <c r="T400" s="29">
        <v>0</v>
      </c>
      <c r="U400" s="29">
        <v>0</v>
      </c>
      <c r="V400" s="29">
        <v>0</v>
      </c>
      <c r="W400" s="29">
        <v>0</v>
      </c>
      <c r="X400" s="29">
        <v>0</v>
      </c>
      <c r="Y400" s="29">
        <v>0</v>
      </c>
      <c r="Z400" s="29">
        <v>0</v>
      </c>
      <c r="AA400" s="29">
        <v>0</v>
      </c>
      <c r="AB400" s="29">
        <v>0</v>
      </c>
      <c r="AC400" s="29">
        <v>0</v>
      </c>
      <c r="AD400" s="29">
        <v>0</v>
      </c>
      <c r="AE400" s="29">
        <v>0</v>
      </c>
      <c r="AF400" s="32" t="s">
        <v>268</v>
      </c>
      <c r="AG400" s="32">
        <v>2020</v>
      </c>
      <c r="AH400" s="33" t="s">
        <v>268</v>
      </c>
      <c r="BZ400" s="61"/>
      <c r="CD400" s="18">
        <f>VLOOKUP(C400,CE:CF,2,FALSE)</f>
        <v>542.66</v>
      </c>
    </row>
    <row r="401" spans="1:82" ht="61.5" x14ac:dyDescent="0.85">
      <c r="A401" s="18">
        <v>1</v>
      </c>
      <c r="B401" s="57">
        <f>SUBTOTAL(103,$A$22:A401)</f>
        <v>351</v>
      </c>
      <c r="C401" s="22" t="s">
        <v>1559</v>
      </c>
      <c r="D401" s="29">
        <f>E401+F401+G401+H401+I401+J401+L401+N401+P401+R401+T401+U401+V401+W401+X401+Y401+Z401+AA401+AB401+AC401+AD401+AE401</f>
        <v>54817.67</v>
      </c>
      <c r="E401" s="29">
        <v>0</v>
      </c>
      <c r="F401" s="29">
        <v>0</v>
      </c>
      <c r="G401" s="29">
        <v>0</v>
      </c>
      <c r="H401" s="29">
        <v>0</v>
      </c>
      <c r="I401" s="29">
        <v>0</v>
      </c>
      <c r="J401" s="29">
        <v>0</v>
      </c>
      <c r="K401" s="31">
        <v>0</v>
      </c>
      <c r="L401" s="29">
        <v>0</v>
      </c>
      <c r="M401" s="29">
        <v>0</v>
      </c>
      <c r="N401" s="29">
        <v>0</v>
      </c>
      <c r="O401" s="29">
        <v>0</v>
      </c>
      <c r="P401" s="29">
        <v>0</v>
      </c>
      <c r="Q401" s="29">
        <v>0</v>
      </c>
      <c r="R401" s="29">
        <v>0</v>
      </c>
      <c r="S401" s="29">
        <v>0</v>
      </c>
      <c r="T401" s="29">
        <v>0</v>
      </c>
      <c r="U401" s="29">
        <v>0</v>
      </c>
      <c r="V401" s="29">
        <v>0</v>
      </c>
      <c r="W401" s="29">
        <v>0</v>
      </c>
      <c r="X401" s="29">
        <v>0</v>
      </c>
      <c r="Y401" s="29">
        <v>0</v>
      </c>
      <c r="Z401" s="29">
        <v>0</v>
      </c>
      <c r="AA401" s="29">
        <v>0</v>
      </c>
      <c r="AB401" s="29">
        <v>0</v>
      </c>
      <c r="AC401" s="29">
        <f>ROUND(U401*1.5%,2)</f>
        <v>0</v>
      </c>
      <c r="AD401" s="37">
        <v>54817.67</v>
      </c>
      <c r="AE401" s="29">
        <v>0</v>
      </c>
      <c r="AF401" s="32">
        <v>2020</v>
      </c>
      <c r="AG401" s="32" t="s">
        <v>268</v>
      </c>
      <c r="AH401" s="32" t="s">
        <v>268</v>
      </c>
      <c r="BZ401" s="61"/>
      <c r="CD401" s="18" t="e">
        <f>VLOOKUP(C401,CE:CF,2,FALSE)</f>
        <v>#N/A</v>
      </c>
    </row>
    <row r="402" spans="1:82" ht="61.5" x14ac:dyDescent="0.85">
      <c r="B402" s="22" t="s">
        <v>863</v>
      </c>
      <c r="C402" s="22"/>
      <c r="D402" s="339">
        <f>D403</f>
        <v>2786770.47</v>
      </c>
      <c r="E402" s="29">
        <f t="shared" ref="E402:AE402" si="47">E403</f>
        <v>0</v>
      </c>
      <c r="F402" s="29">
        <f t="shared" si="47"/>
        <v>0</v>
      </c>
      <c r="G402" s="29">
        <f t="shared" si="47"/>
        <v>0</v>
      </c>
      <c r="H402" s="29">
        <f t="shared" si="47"/>
        <v>0</v>
      </c>
      <c r="I402" s="29">
        <f t="shared" si="47"/>
        <v>0</v>
      </c>
      <c r="J402" s="29">
        <f t="shared" si="47"/>
        <v>0</v>
      </c>
      <c r="K402" s="31">
        <f t="shared" si="47"/>
        <v>0</v>
      </c>
      <c r="L402" s="29">
        <f t="shared" si="47"/>
        <v>0</v>
      </c>
      <c r="M402" s="29">
        <f t="shared" si="47"/>
        <v>0</v>
      </c>
      <c r="N402" s="29">
        <f t="shared" si="47"/>
        <v>0</v>
      </c>
      <c r="O402" s="29">
        <f t="shared" si="47"/>
        <v>0</v>
      </c>
      <c r="P402" s="29">
        <f t="shared" si="47"/>
        <v>0</v>
      </c>
      <c r="Q402" s="29">
        <f t="shared" si="47"/>
        <v>818.41</v>
      </c>
      <c r="R402" s="29">
        <f t="shared" si="47"/>
        <v>2759451.89</v>
      </c>
      <c r="S402" s="29">
        <f t="shared" si="47"/>
        <v>0</v>
      </c>
      <c r="T402" s="29">
        <f t="shared" si="47"/>
        <v>0</v>
      </c>
      <c r="U402" s="29">
        <f t="shared" si="47"/>
        <v>0</v>
      </c>
      <c r="V402" s="29">
        <f t="shared" si="47"/>
        <v>0</v>
      </c>
      <c r="W402" s="29">
        <f t="shared" si="47"/>
        <v>0</v>
      </c>
      <c r="X402" s="29">
        <f t="shared" si="47"/>
        <v>0</v>
      </c>
      <c r="Y402" s="29">
        <f t="shared" si="47"/>
        <v>0</v>
      </c>
      <c r="Z402" s="29">
        <f t="shared" si="47"/>
        <v>0</v>
      </c>
      <c r="AA402" s="29">
        <f t="shared" si="47"/>
        <v>0</v>
      </c>
      <c r="AB402" s="29">
        <f t="shared" si="47"/>
        <v>0</v>
      </c>
      <c r="AC402" s="29">
        <f t="shared" si="47"/>
        <v>27318.58</v>
      </c>
      <c r="AD402" s="29">
        <f t="shared" si="47"/>
        <v>0</v>
      </c>
      <c r="AE402" s="29">
        <f t="shared" si="47"/>
        <v>0</v>
      </c>
      <c r="AF402" s="62" t="s">
        <v>743</v>
      </c>
      <c r="AG402" s="62" t="s">
        <v>743</v>
      </c>
      <c r="AH402" s="77" t="s">
        <v>743</v>
      </c>
      <c r="BZ402" s="61">
        <v>3230853.85</v>
      </c>
      <c r="CC402" s="29">
        <v>3334643.9899999998</v>
      </c>
      <c r="CD402" s="18" t="e">
        <f>VLOOKUP(C402,CE:CF,2,FALSE)</f>
        <v>#N/A</v>
      </c>
    </row>
    <row r="403" spans="1:82" ht="61.5" x14ac:dyDescent="0.85">
      <c r="A403" s="18">
        <v>1</v>
      </c>
      <c r="B403" s="57">
        <f>SUBTOTAL(103,$A$22:A403)</f>
        <v>352</v>
      </c>
      <c r="C403" s="22" t="s">
        <v>1221</v>
      </c>
      <c r="D403" s="29">
        <f>E403+F403+G403+H403+I403+J403+L403+N403+P403+R403+T403+U403+V403+W403+X403+Y403+Z403+AA403+AB403+AC403+AD403+AE403</f>
        <v>2786770.47</v>
      </c>
      <c r="E403" s="29">
        <v>0</v>
      </c>
      <c r="F403" s="29">
        <v>0</v>
      </c>
      <c r="G403" s="29">
        <v>0</v>
      </c>
      <c r="H403" s="29">
        <v>0</v>
      </c>
      <c r="I403" s="29">
        <v>0</v>
      </c>
      <c r="J403" s="29">
        <v>0</v>
      </c>
      <c r="K403" s="31">
        <v>0</v>
      </c>
      <c r="L403" s="29">
        <v>0</v>
      </c>
      <c r="M403" s="29">
        <v>0</v>
      </c>
      <c r="N403" s="29">
        <v>0</v>
      </c>
      <c r="O403" s="29">
        <v>0</v>
      </c>
      <c r="P403" s="29">
        <v>0</v>
      </c>
      <c r="Q403" s="37">
        <v>818.41</v>
      </c>
      <c r="R403" s="37">
        <v>2759451.89</v>
      </c>
      <c r="S403" s="29">
        <v>0</v>
      </c>
      <c r="T403" s="29">
        <v>0</v>
      </c>
      <c r="U403" s="29">
        <v>0</v>
      </c>
      <c r="V403" s="29">
        <v>0</v>
      </c>
      <c r="W403" s="29">
        <v>0</v>
      </c>
      <c r="X403" s="29">
        <v>0</v>
      </c>
      <c r="Y403" s="29">
        <v>0</v>
      </c>
      <c r="Z403" s="29">
        <v>0</v>
      </c>
      <c r="AA403" s="29">
        <v>0</v>
      </c>
      <c r="AB403" s="29">
        <v>0</v>
      </c>
      <c r="AC403" s="37">
        <v>27318.58</v>
      </c>
      <c r="AD403" s="29">
        <v>0</v>
      </c>
      <c r="AE403" s="29">
        <v>0</v>
      </c>
      <c r="AF403" s="32" t="s">
        <v>268</v>
      </c>
      <c r="AG403" s="32">
        <v>2020</v>
      </c>
      <c r="AH403" s="33">
        <v>2020</v>
      </c>
      <c r="BZ403" s="61"/>
      <c r="CD403" s="18" t="e">
        <f>VLOOKUP(C403,CE:CF,2,FALSE)</f>
        <v>#N/A</v>
      </c>
    </row>
    <row r="404" spans="1:82" ht="61.5" x14ac:dyDescent="0.85">
      <c r="B404" s="22" t="s">
        <v>830</v>
      </c>
      <c r="C404" s="338"/>
      <c r="D404" s="339">
        <f t="shared" ref="D404:AE404" si="48">SUM(D405:D411)</f>
        <v>8480737.0799999982</v>
      </c>
      <c r="E404" s="29">
        <f t="shared" si="48"/>
        <v>0</v>
      </c>
      <c r="F404" s="29">
        <f t="shared" si="48"/>
        <v>0</v>
      </c>
      <c r="G404" s="29">
        <f t="shared" si="48"/>
        <v>0</v>
      </c>
      <c r="H404" s="29">
        <f t="shared" si="48"/>
        <v>0</v>
      </c>
      <c r="I404" s="29">
        <f t="shared" si="48"/>
        <v>0</v>
      </c>
      <c r="J404" s="29">
        <f t="shared" si="48"/>
        <v>0</v>
      </c>
      <c r="K404" s="31">
        <f t="shared" si="48"/>
        <v>0</v>
      </c>
      <c r="L404" s="29">
        <f t="shared" si="48"/>
        <v>0</v>
      </c>
      <c r="M404" s="29">
        <f t="shared" si="48"/>
        <v>2092.46</v>
      </c>
      <c r="N404" s="29">
        <f t="shared" si="48"/>
        <v>7827572.0800000001</v>
      </c>
      <c r="O404" s="29">
        <f t="shared" si="48"/>
        <v>0</v>
      </c>
      <c r="P404" s="29">
        <f t="shared" si="48"/>
        <v>0</v>
      </c>
      <c r="Q404" s="29">
        <f t="shared" si="48"/>
        <v>0</v>
      </c>
      <c r="R404" s="29">
        <f t="shared" si="48"/>
        <v>0</v>
      </c>
      <c r="S404" s="29">
        <f t="shared" si="48"/>
        <v>0</v>
      </c>
      <c r="T404" s="29">
        <f t="shared" si="48"/>
        <v>0</v>
      </c>
      <c r="U404" s="29">
        <f t="shared" si="48"/>
        <v>0</v>
      </c>
      <c r="V404" s="29">
        <f t="shared" si="48"/>
        <v>0</v>
      </c>
      <c r="W404" s="29">
        <f t="shared" si="48"/>
        <v>0</v>
      </c>
      <c r="X404" s="29">
        <f t="shared" si="48"/>
        <v>0</v>
      </c>
      <c r="Y404" s="29">
        <f t="shared" si="48"/>
        <v>0</v>
      </c>
      <c r="Z404" s="29">
        <f t="shared" si="48"/>
        <v>0</v>
      </c>
      <c r="AA404" s="29">
        <f t="shared" si="48"/>
        <v>0</v>
      </c>
      <c r="AB404" s="29">
        <f t="shared" si="48"/>
        <v>0</v>
      </c>
      <c r="AC404" s="29">
        <f t="shared" si="48"/>
        <v>75981.540000000008</v>
      </c>
      <c r="AD404" s="29">
        <f t="shared" si="48"/>
        <v>577183.46</v>
      </c>
      <c r="AE404" s="29">
        <f t="shared" si="48"/>
        <v>0</v>
      </c>
      <c r="AF404" s="62" t="s">
        <v>743</v>
      </c>
      <c r="AG404" s="62" t="s">
        <v>743</v>
      </c>
      <c r="AH404" s="77" t="s">
        <v>743</v>
      </c>
      <c r="AT404" s="18" t="e">
        <f>VLOOKUP(C404,AW:AX,2,FALSE)</f>
        <v>#N/A</v>
      </c>
      <c r="BZ404" s="61">
        <v>22440468.149999999</v>
      </c>
      <c r="CD404" s="18" t="e">
        <f>VLOOKUP(C404,CE:CF,2,FALSE)</f>
        <v>#N/A</v>
      </c>
    </row>
    <row r="405" spans="1:82" ht="61.5" x14ac:dyDescent="0.85">
      <c r="A405" s="18">
        <v>1</v>
      </c>
      <c r="B405" s="57">
        <f>SUBTOTAL(103,$A$22:A405)</f>
        <v>353</v>
      </c>
      <c r="C405" s="22" t="s">
        <v>75</v>
      </c>
      <c r="D405" s="29">
        <f t="shared" ref="D405:D411" si="49">E405+F405+G405+H405+I405+J405+L405+N405+P405+R405+T405+U405+V405+W405+X405+Y405+Z405+AA405+AB405+AC405+AD405+AE405</f>
        <v>2519278.3999999994</v>
      </c>
      <c r="E405" s="29">
        <v>0</v>
      </c>
      <c r="F405" s="29">
        <v>0</v>
      </c>
      <c r="G405" s="29">
        <v>0</v>
      </c>
      <c r="H405" s="29">
        <v>0</v>
      </c>
      <c r="I405" s="29">
        <v>0</v>
      </c>
      <c r="J405" s="29">
        <v>0</v>
      </c>
      <c r="K405" s="31">
        <v>0</v>
      </c>
      <c r="L405" s="29">
        <v>0</v>
      </c>
      <c r="M405" s="37">
        <v>625</v>
      </c>
      <c r="N405" s="37">
        <v>2404974.7999999998</v>
      </c>
      <c r="O405" s="29">
        <v>0</v>
      </c>
      <c r="P405" s="29">
        <v>0</v>
      </c>
      <c r="Q405" s="29">
        <v>0</v>
      </c>
      <c r="R405" s="29">
        <v>0</v>
      </c>
      <c r="S405" s="29">
        <v>0</v>
      </c>
      <c r="T405" s="29">
        <v>0</v>
      </c>
      <c r="U405" s="29">
        <v>0</v>
      </c>
      <c r="V405" s="29">
        <v>0</v>
      </c>
      <c r="W405" s="29">
        <v>0</v>
      </c>
      <c r="X405" s="29">
        <v>0</v>
      </c>
      <c r="Y405" s="29">
        <v>0</v>
      </c>
      <c r="Z405" s="29">
        <v>0</v>
      </c>
      <c r="AA405" s="29">
        <v>0</v>
      </c>
      <c r="AB405" s="29">
        <v>0</v>
      </c>
      <c r="AC405" s="37">
        <v>14429.84</v>
      </c>
      <c r="AD405" s="37">
        <v>99873.76</v>
      </c>
      <c r="AE405" s="29">
        <v>0</v>
      </c>
      <c r="AF405" s="32">
        <v>2020</v>
      </c>
      <c r="AG405" s="32">
        <v>2020</v>
      </c>
      <c r="AH405" s="33">
        <v>2020</v>
      </c>
      <c r="AT405" s="18" t="e">
        <f>VLOOKUP(C405,AW:AX,2,FALSE)</f>
        <v>#N/A</v>
      </c>
      <c r="BZ405" s="61"/>
      <c r="CD405" s="18" t="e">
        <f>VLOOKUP(C405,CE:CF,2,FALSE)</f>
        <v>#N/A</v>
      </c>
    </row>
    <row r="406" spans="1:82" ht="61.5" x14ac:dyDescent="0.85">
      <c r="A406" s="18">
        <v>1</v>
      </c>
      <c r="B406" s="57">
        <f>SUBTOTAL(103,$A$22:A406)</f>
        <v>354</v>
      </c>
      <c r="C406" s="22" t="s">
        <v>74</v>
      </c>
      <c r="D406" s="29">
        <f t="shared" si="49"/>
        <v>2316768.9099999997</v>
      </c>
      <c r="E406" s="29">
        <v>0</v>
      </c>
      <c r="F406" s="29">
        <v>0</v>
      </c>
      <c r="G406" s="29">
        <v>0</v>
      </c>
      <c r="H406" s="29">
        <v>0</v>
      </c>
      <c r="I406" s="29">
        <v>0</v>
      </c>
      <c r="J406" s="29">
        <v>0</v>
      </c>
      <c r="K406" s="31">
        <v>0</v>
      </c>
      <c r="L406" s="29">
        <v>0</v>
      </c>
      <c r="M406" s="37">
        <v>492.3</v>
      </c>
      <c r="N406" s="134">
        <v>2171491.13</v>
      </c>
      <c r="O406" s="29">
        <v>0</v>
      </c>
      <c r="P406" s="29">
        <v>0</v>
      </c>
      <c r="Q406" s="29">
        <v>0</v>
      </c>
      <c r="R406" s="29">
        <v>0</v>
      </c>
      <c r="S406" s="29">
        <v>0</v>
      </c>
      <c r="T406" s="29">
        <v>0</v>
      </c>
      <c r="U406" s="29">
        <v>0</v>
      </c>
      <c r="V406" s="29">
        <v>0</v>
      </c>
      <c r="W406" s="29">
        <v>0</v>
      </c>
      <c r="X406" s="29">
        <v>0</v>
      </c>
      <c r="Y406" s="29">
        <v>0</v>
      </c>
      <c r="Z406" s="29">
        <v>0</v>
      </c>
      <c r="AA406" s="29">
        <v>0</v>
      </c>
      <c r="AB406" s="29">
        <v>0</v>
      </c>
      <c r="AC406" s="37">
        <v>13028.94</v>
      </c>
      <c r="AD406" s="37">
        <v>132248.84</v>
      </c>
      <c r="AE406" s="29">
        <v>0</v>
      </c>
      <c r="AF406" s="32">
        <v>2020</v>
      </c>
      <c r="AG406" s="32">
        <v>2020</v>
      </c>
      <c r="AH406" s="33">
        <v>2020</v>
      </c>
      <c r="AT406" s="18" t="e">
        <f>VLOOKUP(C406,AW:AX,2,FALSE)</f>
        <v>#N/A</v>
      </c>
      <c r="BZ406" s="61"/>
      <c r="CD406" s="18" t="e">
        <f>VLOOKUP(C406,CE:CF,2,FALSE)</f>
        <v>#N/A</v>
      </c>
    </row>
    <row r="407" spans="1:82" ht="61.5" x14ac:dyDescent="0.85">
      <c r="A407" s="18">
        <v>1</v>
      </c>
      <c r="B407" s="57">
        <f>SUBTOTAL(103,$A$22:A407)</f>
        <v>355</v>
      </c>
      <c r="C407" s="22" t="s">
        <v>76</v>
      </c>
      <c r="D407" s="29">
        <f t="shared" si="49"/>
        <v>132502.74</v>
      </c>
      <c r="E407" s="29">
        <v>0</v>
      </c>
      <c r="F407" s="29">
        <v>0</v>
      </c>
      <c r="G407" s="29">
        <v>0</v>
      </c>
      <c r="H407" s="29">
        <v>0</v>
      </c>
      <c r="I407" s="29">
        <v>0</v>
      </c>
      <c r="J407" s="29">
        <v>0</v>
      </c>
      <c r="K407" s="31">
        <v>0</v>
      </c>
      <c r="L407" s="29">
        <v>0</v>
      </c>
      <c r="M407" s="29">
        <v>0</v>
      </c>
      <c r="N407" s="29">
        <v>0</v>
      </c>
      <c r="O407" s="29">
        <v>0</v>
      </c>
      <c r="P407" s="29">
        <v>0</v>
      </c>
      <c r="Q407" s="29">
        <v>0</v>
      </c>
      <c r="R407" s="29">
        <v>0</v>
      </c>
      <c r="S407" s="29">
        <v>0</v>
      </c>
      <c r="T407" s="29">
        <v>0</v>
      </c>
      <c r="U407" s="29">
        <v>0</v>
      </c>
      <c r="V407" s="29">
        <v>0</v>
      </c>
      <c r="W407" s="29">
        <v>0</v>
      </c>
      <c r="X407" s="29">
        <v>0</v>
      </c>
      <c r="Y407" s="29">
        <v>0</v>
      </c>
      <c r="Z407" s="29">
        <v>0</v>
      </c>
      <c r="AA407" s="29">
        <v>0</v>
      </c>
      <c r="AB407" s="29">
        <v>0</v>
      </c>
      <c r="AC407" s="29">
        <f>ROUND(N407*1.5%,2)</f>
        <v>0</v>
      </c>
      <c r="AD407" s="37">
        <v>132502.74</v>
      </c>
      <c r="AE407" s="29">
        <v>0</v>
      </c>
      <c r="AF407" s="32">
        <v>2020</v>
      </c>
      <c r="AG407" s="32" t="s">
        <v>268</v>
      </c>
      <c r="AH407" s="32" t="s">
        <v>268</v>
      </c>
      <c r="AT407" s="18" t="e">
        <f>VLOOKUP(C407,AW:AX,2,FALSE)</f>
        <v>#N/A</v>
      </c>
      <c r="BZ407" s="61"/>
      <c r="CD407" s="18" t="e">
        <f>VLOOKUP(C407,CE:CF,2,FALSE)</f>
        <v>#N/A</v>
      </c>
    </row>
    <row r="408" spans="1:82" ht="61.5" x14ac:dyDescent="0.85">
      <c r="A408" s="18">
        <v>1</v>
      </c>
      <c r="B408" s="57">
        <f>SUBTOTAL(103,$A$22:A408)</f>
        <v>356</v>
      </c>
      <c r="C408" s="22" t="s">
        <v>1222</v>
      </c>
      <c r="D408" s="29">
        <f t="shared" si="49"/>
        <v>3299628.9099999997</v>
      </c>
      <c r="E408" s="29">
        <v>0</v>
      </c>
      <c r="F408" s="29">
        <v>0</v>
      </c>
      <c r="G408" s="29">
        <v>0</v>
      </c>
      <c r="H408" s="29">
        <v>0</v>
      </c>
      <c r="I408" s="29">
        <v>0</v>
      </c>
      <c r="J408" s="29">
        <v>0</v>
      </c>
      <c r="K408" s="31">
        <v>0</v>
      </c>
      <c r="L408" s="29">
        <v>0</v>
      </c>
      <c r="M408" s="37">
        <v>975.16</v>
      </c>
      <c r="N408" s="37">
        <v>3251106.15</v>
      </c>
      <c r="O408" s="29">
        <v>0</v>
      </c>
      <c r="P408" s="29">
        <v>0</v>
      </c>
      <c r="Q408" s="29">
        <v>0</v>
      </c>
      <c r="R408" s="29">
        <v>0</v>
      </c>
      <c r="S408" s="29">
        <v>0</v>
      </c>
      <c r="T408" s="29">
        <v>0</v>
      </c>
      <c r="U408" s="29">
        <v>0</v>
      </c>
      <c r="V408" s="29">
        <v>0</v>
      </c>
      <c r="W408" s="29">
        <v>0</v>
      </c>
      <c r="X408" s="29">
        <v>0</v>
      </c>
      <c r="Y408" s="29">
        <v>0</v>
      </c>
      <c r="Z408" s="29">
        <v>0</v>
      </c>
      <c r="AA408" s="29">
        <v>0</v>
      </c>
      <c r="AB408" s="29">
        <v>0</v>
      </c>
      <c r="AC408" s="29">
        <f>ROUND(N408*1.4925%,2)</f>
        <v>48522.76</v>
      </c>
      <c r="AD408" s="29">
        <v>0</v>
      </c>
      <c r="AE408" s="29">
        <v>0</v>
      </c>
      <c r="AF408" s="32" t="s">
        <v>268</v>
      </c>
      <c r="AG408" s="32">
        <v>2020</v>
      </c>
      <c r="AH408" s="33">
        <v>2020</v>
      </c>
      <c r="BZ408" s="61"/>
      <c r="CD408" s="18">
        <f>VLOOKUP(C408,CE:CF,2,FALSE)</f>
        <v>975.2</v>
      </c>
    </row>
    <row r="409" spans="1:82" ht="61.5" x14ac:dyDescent="0.85">
      <c r="A409" s="18">
        <v>1</v>
      </c>
      <c r="B409" s="57">
        <f>SUBTOTAL(103,$A$22:A409)</f>
        <v>357</v>
      </c>
      <c r="C409" s="22" t="s">
        <v>79</v>
      </c>
      <c r="D409" s="29">
        <f t="shared" si="49"/>
        <v>60672.79</v>
      </c>
      <c r="E409" s="29">
        <v>0</v>
      </c>
      <c r="F409" s="29">
        <v>0</v>
      </c>
      <c r="G409" s="29">
        <v>0</v>
      </c>
      <c r="H409" s="29">
        <v>0</v>
      </c>
      <c r="I409" s="29">
        <v>0</v>
      </c>
      <c r="J409" s="29">
        <v>0</v>
      </c>
      <c r="K409" s="64">
        <v>0</v>
      </c>
      <c r="L409" s="29">
        <v>0</v>
      </c>
      <c r="M409" s="29">
        <v>0</v>
      </c>
      <c r="N409" s="29">
        <v>0</v>
      </c>
      <c r="O409" s="29">
        <v>0</v>
      </c>
      <c r="P409" s="29">
        <v>0</v>
      </c>
      <c r="Q409" s="29">
        <v>0</v>
      </c>
      <c r="R409" s="29">
        <v>0</v>
      </c>
      <c r="S409" s="29">
        <v>0</v>
      </c>
      <c r="T409" s="29">
        <v>0</v>
      </c>
      <c r="U409" s="29">
        <v>0</v>
      </c>
      <c r="V409" s="29">
        <v>0</v>
      </c>
      <c r="W409" s="29">
        <v>0</v>
      </c>
      <c r="X409" s="29">
        <v>0</v>
      </c>
      <c r="Y409" s="29">
        <v>0</v>
      </c>
      <c r="Z409" s="29">
        <v>0</v>
      </c>
      <c r="AA409" s="29">
        <v>0</v>
      </c>
      <c r="AB409" s="29">
        <v>0</v>
      </c>
      <c r="AC409" s="29">
        <f>ROUND(N409*1.5%,2)</f>
        <v>0</v>
      </c>
      <c r="AD409" s="29">
        <v>60672.79</v>
      </c>
      <c r="AE409" s="29">
        <v>0</v>
      </c>
      <c r="AF409" s="32">
        <v>2020</v>
      </c>
      <c r="AG409" s="32" t="s">
        <v>268</v>
      </c>
      <c r="AH409" s="32" t="s">
        <v>268</v>
      </c>
      <c r="AT409" s="18" t="e">
        <v>#N/A</v>
      </c>
      <c r="BZ409" s="61"/>
      <c r="CD409" s="18" t="e">
        <v>#N/A</v>
      </c>
    </row>
    <row r="410" spans="1:82" ht="61.5" x14ac:dyDescent="0.85">
      <c r="A410" s="18">
        <v>1</v>
      </c>
      <c r="B410" s="57">
        <f>SUBTOTAL(103,$A$22:A410)</f>
        <v>358</v>
      </c>
      <c r="C410" s="22" t="s">
        <v>80</v>
      </c>
      <c r="D410" s="29">
        <f t="shared" si="49"/>
        <v>60672.79</v>
      </c>
      <c r="E410" s="29">
        <v>0</v>
      </c>
      <c r="F410" s="29">
        <v>0</v>
      </c>
      <c r="G410" s="29">
        <v>0</v>
      </c>
      <c r="H410" s="29">
        <v>0</v>
      </c>
      <c r="I410" s="29">
        <v>0</v>
      </c>
      <c r="J410" s="29">
        <v>0</v>
      </c>
      <c r="K410" s="64">
        <v>0</v>
      </c>
      <c r="L410" s="29">
        <v>0</v>
      </c>
      <c r="M410" s="29">
        <v>0</v>
      </c>
      <c r="N410" s="29">
        <v>0</v>
      </c>
      <c r="O410" s="29">
        <v>0</v>
      </c>
      <c r="P410" s="29">
        <v>0</v>
      </c>
      <c r="Q410" s="29">
        <v>0</v>
      </c>
      <c r="R410" s="29">
        <v>0</v>
      </c>
      <c r="S410" s="29">
        <v>0</v>
      </c>
      <c r="T410" s="29">
        <v>0</v>
      </c>
      <c r="U410" s="29">
        <v>0</v>
      </c>
      <c r="V410" s="29">
        <v>0</v>
      </c>
      <c r="W410" s="29">
        <v>0</v>
      </c>
      <c r="X410" s="29">
        <v>0</v>
      </c>
      <c r="Y410" s="29">
        <v>0</v>
      </c>
      <c r="Z410" s="29">
        <v>0</v>
      </c>
      <c r="AA410" s="29">
        <v>0</v>
      </c>
      <c r="AB410" s="29">
        <v>0</v>
      </c>
      <c r="AC410" s="29">
        <f>ROUND(N410*1.5%,2)</f>
        <v>0</v>
      </c>
      <c r="AD410" s="29">
        <v>60672.79</v>
      </c>
      <c r="AE410" s="29">
        <v>0</v>
      </c>
      <c r="AF410" s="32">
        <v>2020</v>
      </c>
      <c r="AG410" s="32" t="s">
        <v>268</v>
      </c>
      <c r="AH410" s="32" t="s">
        <v>268</v>
      </c>
      <c r="AT410" s="18" t="e">
        <v>#N/A</v>
      </c>
      <c r="BZ410" s="61"/>
      <c r="CD410" s="18" t="e">
        <v>#N/A</v>
      </c>
    </row>
    <row r="411" spans="1:82" ht="61.5" x14ac:dyDescent="0.85">
      <c r="A411" s="18">
        <v>1</v>
      </c>
      <c r="B411" s="57">
        <f>SUBTOTAL(103,$A$22:A411)</f>
        <v>359</v>
      </c>
      <c r="C411" s="22" t="s">
        <v>1664</v>
      </c>
      <c r="D411" s="29">
        <f t="shared" si="49"/>
        <v>91212.54</v>
      </c>
      <c r="E411" s="29">
        <v>0</v>
      </c>
      <c r="F411" s="29">
        <v>0</v>
      </c>
      <c r="G411" s="29">
        <v>0</v>
      </c>
      <c r="H411" s="29">
        <v>0</v>
      </c>
      <c r="I411" s="29">
        <v>0</v>
      </c>
      <c r="J411" s="29">
        <v>0</v>
      </c>
      <c r="K411" s="64">
        <v>0</v>
      </c>
      <c r="L411" s="29">
        <v>0</v>
      </c>
      <c r="M411" s="29">
        <v>0</v>
      </c>
      <c r="N411" s="29">
        <v>0</v>
      </c>
      <c r="O411" s="29">
        <v>0</v>
      </c>
      <c r="P411" s="29">
        <v>0</v>
      </c>
      <c r="Q411" s="29">
        <v>0</v>
      </c>
      <c r="R411" s="29">
        <v>0</v>
      </c>
      <c r="S411" s="29">
        <v>0</v>
      </c>
      <c r="T411" s="29">
        <v>0</v>
      </c>
      <c r="U411" s="29">
        <v>0</v>
      </c>
      <c r="V411" s="29">
        <v>0</v>
      </c>
      <c r="W411" s="29">
        <v>0</v>
      </c>
      <c r="X411" s="29">
        <v>0</v>
      </c>
      <c r="Y411" s="29">
        <v>0</v>
      </c>
      <c r="Z411" s="29">
        <v>0</v>
      </c>
      <c r="AA411" s="29">
        <v>0</v>
      </c>
      <c r="AB411" s="29">
        <v>0</v>
      </c>
      <c r="AC411" s="29">
        <f>ROUND(N411*1.5%,2)</f>
        <v>0</v>
      </c>
      <c r="AD411" s="29">
        <v>91212.54</v>
      </c>
      <c r="AE411" s="29">
        <v>0</v>
      </c>
      <c r="AF411" s="32">
        <v>2020</v>
      </c>
      <c r="AG411" s="32" t="s">
        <v>268</v>
      </c>
      <c r="AH411" s="32" t="s">
        <v>268</v>
      </c>
      <c r="BZ411" s="61"/>
      <c r="CD411" s="18" t="e">
        <v>#N/A</v>
      </c>
    </row>
    <row r="412" spans="1:82" ht="61.5" x14ac:dyDescent="0.85">
      <c r="B412" s="22" t="s">
        <v>831</v>
      </c>
      <c r="C412" s="22"/>
      <c r="D412" s="339">
        <f>D413</f>
        <v>2358530.46</v>
      </c>
      <c r="E412" s="29">
        <f t="shared" ref="E412:AE412" si="50">E413</f>
        <v>0</v>
      </c>
      <c r="F412" s="29">
        <f t="shared" si="50"/>
        <v>0</v>
      </c>
      <c r="G412" s="29">
        <f t="shared" si="50"/>
        <v>0</v>
      </c>
      <c r="H412" s="29">
        <f t="shared" si="50"/>
        <v>0</v>
      </c>
      <c r="I412" s="29">
        <f t="shared" si="50"/>
        <v>0</v>
      </c>
      <c r="J412" s="29">
        <f t="shared" si="50"/>
        <v>0</v>
      </c>
      <c r="K412" s="31">
        <f t="shared" si="50"/>
        <v>0</v>
      </c>
      <c r="L412" s="29">
        <f t="shared" si="50"/>
        <v>0</v>
      </c>
      <c r="M412" s="29">
        <f t="shared" si="50"/>
        <v>540.25</v>
      </c>
      <c r="N412" s="29">
        <f t="shared" si="50"/>
        <v>2261640.71</v>
      </c>
      <c r="O412" s="29">
        <f t="shared" si="50"/>
        <v>0</v>
      </c>
      <c r="P412" s="29">
        <f t="shared" si="50"/>
        <v>0</v>
      </c>
      <c r="Q412" s="29">
        <f t="shared" si="50"/>
        <v>0</v>
      </c>
      <c r="R412" s="29">
        <f t="shared" si="50"/>
        <v>0</v>
      </c>
      <c r="S412" s="29">
        <f t="shared" si="50"/>
        <v>0</v>
      </c>
      <c r="T412" s="29">
        <f t="shared" si="50"/>
        <v>0</v>
      </c>
      <c r="U412" s="29">
        <f t="shared" si="50"/>
        <v>0</v>
      </c>
      <c r="V412" s="29">
        <f t="shared" si="50"/>
        <v>0</v>
      </c>
      <c r="W412" s="29">
        <f t="shared" si="50"/>
        <v>0</v>
      </c>
      <c r="X412" s="29">
        <f t="shared" si="50"/>
        <v>0</v>
      </c>
      <c r="Y412" s="29">
        <f t="shared" si="50"/>
        <v>0</v>
      </c>
      <c r="Z412" s="29">
        <f t="shared" si="50"/>
        <v>0</v>
      </c>
      <c r="AA412" s="29">
        <f t="shared" si="50"/>
        <v>0</v>
      </c>
      <c r="AB412" s="29">
        <f t="shared" si="50"/>
        <v>0</v>
      </c>
      <c r="AC412" s="29">
        <f t="shared" si="50"/>
        <v>13569.84</v>
      </c>
      <c r="AD412" s="29">
        <f t="shared" si="50"/>
        <v>83319.91</v>
      </c>
      <c r="AE412" s="29">
        <f t="shared" si="50"/>
        <v>0</v>
      </c>
      <c r="AF412" s="62" t="s">
        <v>743</v>
      </c>
      <c r="AG412" s="62" t="s">
        <v>743</v>
      </c>
      <c r="AH412" s="77" t="s">
        <v>743</v>
      </c>
      <c r="AT412" s="18" t="e">
        <f>VLOOKUP(C412,AW:AX,2,FALSE)</f>
        <v>#N/A</v>
      </c>
      <c r="BZ412" s="61">
        <v>3182125.2199999997</v>
      </c>
      <c r="CD412" s="18" t="e">
        <f>VLOOKUP(C412,CE:CF,2,FALSE)</f>
        <v>#N/A</v>
      </c>
    </row>
    <row r="413" spans="1:82" ht="61.5" x14ac:dyDescent="0.85">
      <c r="A413" s="18">
        <v>1</v>
      </c>
      <c r="B413" s="57">
        <f>SUBTOTAL(103,$A$22:A413)</f>
        <v>360</v>
      </c>
      <c r="C413" s="22" t="s">
        <v>77</v>
      </c>
      <c r="D413" s="29">
        <f>E413+F413+G413+H413+I413+J413+L413+N413+P413+R413+T413+U413+V413+W413+X413+Y413+Z413+AA413+AB413+AC413+AD413+AE413</f>
        <v>2358530.46</v>
      </c>
      <c r="E413" s="29">
        <v>0</v>
      </c>
      <c r="F413" s="29">
        <v>0</v>
      </c>
      <c r="G413" s="29">
        <v>0</v>
      </c>
      <c r="H413" s="29">
        <v>0</v>
      </c>
      <c r="I413" s="29">
        <v>0</v>
      </c>
      <c r="J413" s="29">
        <v>0</v>
      </c>
      <c r="K413" s="31">
        <v>0</v>
      </c>
      <c r="L413" s="29">
        <v>0</v>
      </c>
      <c r="M413" s="37">
        <v>540.25</v>
      </c>
      <c r="N413" s="37">
        <v>2261640.71</v>
      </c>
      <c r="O413" s="29">
        <v>0</v>
      </c>
      <c r="P413" s="29">
        <v>0</v>
      </c>
      <c r="Q413" s="29">
        <v>0</v>
      </c>
      <c r="R413" s="29">
        <v>0</v>
      </c>
      <c r="S413" s="29">
        <v>0</v>
      </c>
      <c r="T413" s="29">
        <v>0</v>
      </c>
      <c r="U413" s="29">
        <v>0</v>
      </c>
      <c r="V413" s="29">
        <v>0</v>
      </c>
      <c r="W413" s="29">
        <v>0</v>
      </c>
      <c r="X413" s="29">
        <v>0</v>
      </c>
      <c r="Y413" s="29">
        <v>0</v>
      </c>
      <c r="Z413" s="29">
        <v>0</v>
      </c>
      <c r="AA413" s="29">
        <v>0</v>
      </c>
      <c r="AB413" s="29">
        <v>0</v>
      </c>
      <c r="AC413" s="37">
        <v>13569.84</v>
      </c>
      <c r="AD413" s="37">
        <v>83319.91</v>
      </c>
      <c r="AE413" s="29">
        <v>0</v>
      </c>
      <c r="AF413" s="32">
        <v>2020</v>
      </c>
      <c r="AG413" s="32">
        <v>2020</v>
      </c>
      <c r="AH413" s="33">
        <v>2020</v>
      </c>
      <c r="AT413" s="18" t="e">
        <f>VLOOKUP(C413,AW:AX,2,FALSE)</f>
        <v>#N/A</v>
      </c>
      <c r="BZ413" s="61"/>
      <c r="CD413" s="18" t="e">
        <f>VLOOKUP(C413,CE:CF,2,FALSE)</f>
        <v>#N/A</v>
      </c>
    </row>
    <row r="414" spans="1:82" ht="61.5" x14ac:dyDescent="0.85">
      <c r="B414" s="22" t="s">
        <v>864</v>
      </c>
      <c r="C414" s="22"/>
      <c r="D414" s="339">
        <f>SUM(D415:D417)</f>
        <v>178408.21000000002</v>
      </c>
      <c r="E414" s="29">
        <f t="shared" ref="E414:AE414" si="51">SUM(E415:E417)</f>
        <v>0</v>
      </c>
      <c r="F414" s="29">
        <f t="shared" si="51"/>
        <v>0</v>
      </c>
      <c r="G414" s="29">
        <f t="shared" si="51"/>
        <v>0</v>
      </c>
      <c r="H414" s="29">
        <f t="shared" si="51"/>
        <v>86514.08</v>
      </c>
      <c r="I414" s="29">
        <f t="shared" si="51"/>
        <v>0</v>
      </c>
      <c r="J414" s="29">
        <f t="shared" si="51"/>
        <v>0</v>
      </c>
      <c r="K414" s="31">
        <f t="shared" si="51"/>
        <v>0</v>
      </c>
      <c r="L414" s="29">
        <f t="shared" si="51"/>
        <v>0</v>
      </c>
      <c r="M414" s="29">
        <f t="shared" si="51"/>
        <v>0</v>
      </c>
      <c r="N414" s="29">
        <f t="shared" si="51"/>
        <v>0</v>
      </c>
      <c r="O414" s="29">
        <f t="shared" si="51"/>
        <v>0</v>
      </c>
      <c r="P414" s="29">
        <f t="shared" si="51"/>
        <v>0</v>
      </c>
      <c r="Q414" s="29">
        <f t="shared" si="51"/>
        <v>0</v>
      </c>
      <c r="R414" s="29">
        <f t="shared" si="51"/>
        <v>0</v>
      </c>
      <c r="S414" s="29">
        <f t="shared" si="51"/>
        <v>0</v>
      </c>
      <c r="T414" s="29">
        <f t="shared" si="51"/>
        <v>0</v>
      </c>
      <c r="U414" s="29">
        <f t="shared" si="51"/>
        <v>0</v>
      </c>
      <c r="V414" s="29">
        <f t="shared" si="51"/>
        <v>0</v>
      </c>
      <c r="W414" s="29">
        <f t="shared" si="51"/>
        <v>0</v>
      </c>
      <c r="X414" s="29">
        <f t="shared" si="51"/>
        <v>0</v>
      </c>
      <c r="Y414" s="29">
        <f t="shared" si="51"/>
        <v>0</v>
      </c>
      <c r="Z414" s="29">
        <f t="shared" si="51"/>
        <v>0</v>
      </c>
      <c r="AA414" s="29">
        <f t="shared" si="51"/>
        <v>0</v>
      </c>
      <c r="AB414" s="29">
        <f t="shared" si="51"/>
        <v>0</v>
      </c>
      <c r="AC414" s="29">
        <f t="shared" si="51"/>
        <v>1291.22</v>
      </c>
      <c r="AD414" s="29">
        <f t="shared" si="51"/>
        <v>90602.91</v>
      </c>
      <c r="AE414" s="29">
        <f t="shared" si="51"/>
        <v>0</v>
      </c>
      <c r="AF414" s="62" t="s">
        <v>743</v>
      </c>
      <c r="AG414" s="62" t="s">
        <v>743</v>
      </c>
      <c r="AH414" s="77" t="s">
        <v>743</v>
      </c>
      <c r="BZ414" s="61">
        <v>522383.64</v>
      </c>
      <c r="CD414" s="18" t="e">
        <f>VLOOKUP(C414,CE:CF,2,FALSE)</f>
        <v>#N/A</v>
      </c>
    </row>
    <row r="415" spans="1:82" ht="61.5" x14ac:dyDescent="0.85">
      <c r="A415" s="18">
        <v>1</v>
      </c>
      <c r="B415" s="57">
        <f>SUBTOTAL(103,$A$22:A415)</f>
        <v>361</v>
      </c>
      <c r="C415" s="22" t="s">
        <v>1224</v>
      </c>
      <c r="D415" s="29">
        <f>E415+F415+G415+H415+I415+J415+L415+N415+P415+R415+T415+U415+V415+W415+X415+Y415+Z415+AA415+AB415+AC415+AD415+AE415</f>
        <v>87805.3</v>
      </c>
      <c r="E415" s="29">
        <v>0</v>
      </c>
      <c r="F415" s="29">
        <v>0</v>
      </c>
      <c r="G415" s="29">
        <v>0</v>
      </c>
      <c r="H415" s="37">
        <v>86514.08</v>
      </c>
      <c r="I415" s="29">
        <v>0</v>
      </c>
      <c r="J415" s="29">
        <v>0</v>
      </c>
      <c r="K415" s="31">
        <v>0</v>
      </c>
      <c r="L415" s="29">
        <v>0</v>
      </c>
      <c r="M415" s="29">
        <v>0</v>
      </c>
      <c r="N415" s="29">
        <v>0</v>
      </c>
      <c r="O415" s="29">
        <v>0</v>
      </c>
      <c r="P415" s="29">
        <v>0</v>
      </c>
      <c r="Q415" s="29">
        <v>0</v>
      </c>
      <c r="R415" s="29">
        <v>0</v>
      </c>
      <c r="S415" s="29">
        <v>0</v>
      </c>
      <c r="T415" s="29">
        <v>0</v>
      </c>
      <c r="U415" s="29">
        <v>0</v>
      </c>
      <c r="V415" s="29">
        <v>0</v>
      </c>
      <c r="W415" s="29">
        <v>0</v>
      </c>
      <c r="X415" s="29">
        <v>0</v>
      </c>
      <c r="Y415" s="29">
        <v>0</v>
      </c>
      <c r="Z415" s="29">
        <v>0</v>
      </c>
      <c r="AA415" s="29">
        <v>0</v>
      </c>
      <c r="AB415" s="29">
        <v>0</v>
      </c>
      <c r="AC415" s="29">
        <f>ROUND((E415+F415+G415+H415+I415+J415)*1.4925%,2)</f>
        <v>1291.22</v>
      </c>
      <c r="AD415" s="29">
        <v>0</v>
      </c>
      <c r="AE415" s="29">
        <v>0</v>
      </c>
      <c r="AF415" s="32" t="s">
        <v>268</v>
      </c>
      <c r="AG415" s="32">
        <v>2020</v>
      </c>
      <c r="AH415" s="33">
        <v>2020</v>
      </c>
      <c r="BZ415" s="61"/>
      <c r="CD415" s="18" t="e">
        <f>VLOOKUP(C415,CE:CF,2,FALSE)</f>
        <v>#N/A</v>
      </c>
    </row>
    <row r="416" spans="1:82" ht="61.5" x14ac:dyDescent="0.85">
      <c r="A416" s="18">
        <v>1</v>
      </c>
      <c r="B416" s="57">
        <f>SUBTOTAL(103,$A$22:A416)</f>
        <v>362</v>
      </c>
      <c r="C416" s="22" t="s">
        <v>81</v>
      </c>
      <c r="D416" s="29">
        <f>E416+F416+G416+H416+I416+J416+L416+N416+P416+R416+T416+U416+V416+W416+X416+Y416+Z416+AA416+AB416+AC416+AD416+AE416</f>
        <v>50003.71</v>
      </c>
      <c r="E416" s="29">
        <v>0</v>
      </c>
      <c r="F416" s="29">
        <v>0</v>
      </c>
      <c r="G416" s="29">
        <v>0</v>
      </c>
      <c r="H416" s="29">
        <v>0</v>
      </c>
      <c r="I416" s="29">
        <v>0</v>
      </c>
      <c r="J416" s="29">
        <v>0</v>
      </c>
      <c r="K416" s="64">
        <v>0</v>
      </c>
      <c r="L416" s="29">
        <v>0</v>
      </c>
      <c r="M416" s="29">
        <v>0</v>
      </c>
      <c r="N416" s="29">
        <v>0</v>
      </c>
      <c r="O416" s="29">
        <v>0</v>
      </c>
      <c r="P416" s="29">
        <v>0</v>
      </c>
      <c r="Q416" s="29">
        <v>0</v>
      </c>
      <c r="R416" s="29">
        <v>0</v>
      </c>
      <c r="S416" s="29">
        <v>0</v>
      </c>
      <c r="T416" s="29">
        <v>0</v>
      </c>
      <c r="U416" s="29">
        <v>0</v>
      </c>
      <c r="V416" s="29">
        <v>0</v>
      </c>
      <c r="W416" s="29">
        <v>0</v>
      </c>
      <c r="X416" s="29">
        <v>0</v>
      </c>
      <c r="Y416" s="29">
        <v>0</v>
      </c>
      <c r="Z416" s="29">
        <v>0</v>
      </c>
      <c r="AA416" s="29">
        <v>0</v>
      </c>
      <c r="AB416" s="29">
        <v>0</v>
      </c>
      <c r="AC416" s="29">
        <f>ROUND(N416*1.5%,2)</f>
        <v>0</v>
      </c>
      <c r="AD416" s="29">
        <v>50003.71</v>
      </c>
      <c r="AE416" s="29">
        <v>0</v>
      </c>
      <c r="AF416" s="32">
        <v>2020</v>
      </c>
      <c r="AG416" s="32" t="s">
        <v>268</v>
      </c>
      <c r="AH416" s="32" t="s">
        <v>268</v>
      </c>
      <c r="AT416" s="18" t="e">
        <f>VLOOKUP(C416,AW:AX,2,FALSE)</f>
        <v>#N/A</v>
      </c>
      <c r="BZ416" s="61"/>
      <c r="CD416" s="18" t="e">
        <f>VLOOKUP(C416,CE:CF,2,FALSE)</f>
        <v>#N/A</v>
      </c>
    </row>
    <row r="417" spans="1:82" ht="61.5" x14ac:dyDescent="0.85">
      <c r="A417" s="18">
        <v>1</v>
      </c>
      <c r="B417" s="57">
        <f>SUBTOTAL(103,$A$22:A417)</f>
        <v>363</v>
      </c>
      <c r="C417" s="22" t="s">
        <v>82</v>
      </c>
      <c r="D417" s="29">
        <f>E417+F417+G417+H417+I417+J417+L417+N417+P417+R417+T417+U417+V417+W417+X417+Y417+Z417+AA417+AB417+AC417+AD417+AE417</f>
        <v>40599.199999999997</v>
      </c>
      <c r="E417" s="29">
        <v>0</v>
      </c>
      <c r="F417" s="29">
        <v>0</v>
      </c>
      <c r="G417" s="29">
        <v>0</v>
      </c>
      <c r="H417" s="29">
        <v>0</v>
      </c>
      <c r="I417" s="29">
        <v>0</v>
      </c>
      <c r="J417" s="29">
        <v>0</v>
      </c>
      <c r="K417" s="64">
        <v>0</v>
      </c>
      <c r="L417" s="29">
        <v>0</v>
      </c>
      <c r="M417" s="29">
        <v>0</v>
      </c>
      <c r="N417" s="29">
        <v>0</v>
      </c>
      <c r="O417" s="29">
        <v>0</v>
      </c>
      <c r="P417" s="29">
        <v>0</v>
      </c>
      <c r="Q417" s="29">
        <v>0</v>
      </c>
      <c r="R417" s="29">
        <v>0</v>
      </c>
      <c r="S417" s="29">
        <v>0</v>
      </c>
      <c r="T417" s="29">
        <v>0</v>
      </c>
      <c r="U417" s="29">
        <v>0</v>
      </c>
      <c r="V417" s="29">
        <v>0</v>
      </c>
      <c r="W417" s="29">
        <v>0</v>
      </c>
      <c r="X417" s="29">
        <v>0</v>
      </c>
      <c r="Y417" s="29">
        <v>0</v>
      </c>
      <c r="Z417" s="29">
        <v>0</v>
      </c>
      <c r="AA417" s="29">
        <v>0</v>
      </c>
      <c r="AB417" s="29">
        <v>0</v>
      </c>
      <c r="AC417" s="29">
        <f>ROUND(N417*1.5%,2)</f>
        <v>0</v>
      </c>
      <c r="AD417" s="29">
        <v>40599.199999999997</v>
      </c>
      <c r="AE417" s="29">
        <v>0</v>
      </c>
      <c r="AF417" s="32">
        <v>2020</v>
      </c>
      <c r="AG417" s="32" t="s">
        <v>268</v>
      </c>
      <c r="AH417" s="32" t="s">
        <v>268</v>
      </c>
      <c r="AT417" s="18" t="e">
        <f>VLOOKUP(C417,AW:AX,2,FALSE)</f>
        <v>#N/A</v>
      </c>
      <c r="BZ417" s="61"/>
      <c r="CD417" s="18" t="e">
        <f>VLOOKUP(C417,CE:CF,2,FALSE)</f>
        <v>#N/A</v>
      </c>
    </row>
    <row r="418" spans="1:82" ht="61.5" x14ac:dyDescent="0.85">
      <c r="B418" s="22" t="s">
        <v>832</v>
      </c>
      <c r="C418" s="338"/>
      <c r="D418" s="339">
        <f t="shared" ref="D418:AE418" si="52">SUM(D419:D421)</f>
        <v>8700170.3300000001</v>
      </c>
      <c r="E418" s="29">
        <f t="shared" si="52"/>
        <v>0</v>
      </c>
      <c r="F418" s="29">
        <f t="shared" si="52"/>
        <v>0</v>
      </c>
      <c r="G418" s="29">
        <f t="shared" si="52"/>
        <v>0</v>
      </c>
      <c r="H418" s="29">
        <f t="shared" si="52"/>
        <v>0</v>
      </c>
      <c r="I418" s="29">
        <f t="shared" si="52"/>
        <v>0</v>
      </c>
      <c r="J418" s="29">
        <f t="shared" si="52"/>
        <v>0</v>
      </c>
      <c r="K418" s="31">
        <f t="shared" si="52"/>
        <v>0</v>
      </c>
      <c r="L418" s="29">
        <f t="shared" si="52"/>
        <v>0</v>
      </c>
      <c r="M418" s="29">
        <f t="shared" si="52"/>
        <v>2296.96</v>
      </c>
      <c r="N418" s="29">
        <f t="shared" si="52"/>
        <v>8569425.0999999996</v>
      </c>
      <c r="O418" s="29">
        <f t="shared" si="52"/>
        <v>0</v>
      </c>
      <c r="P418" s="29">
        <f t="shared" si="52"/>
        <v>0</v>
      </c>
      <c r="Q418" s="29">
        <f t="shared" si="52"/>
        <v>0</v>
      </c>
      <c r="R418" s="29">
        <f t="shared" si="52"/>
        <v>0</v>
      </c>
      <c r="S418" s="29">
        <f t="shared" si="52"/>
        <v>0</v>
      </c>
      <c r="T418" s="29">
        <f t="shared" si="52"/>
        <v>0</v>
      </c>
      <c r="U418" s="29">
        <f t="shared" si="52"/>
        <v>0</v>
      </c>
      <c r="V418" s="29">
        <f t="shared" si="52"/>
        <v>0</v>
      </c>
      <c r="W418" s="29">
        <f t="shared" si="52"/>
        <v>0</v>
      </c>
      <c r="X418" s="29">
        <f t="shared" si="52"/>
        <v>0</v>
      </c>
      <c r="Y418" s="29">
        <f t="shared" si="52"/>
        <v>0</v>
      </c>
      <c r="Z418" s="29">
        <f t="shared" si="52"/>
        <v>0</v>
      </c>
      <c r="AA418" s="29">
        <f t="shared" si="52"/>
        <v>0</v>
      </c>
      <c r="AB418" s="29">
        <f t="shared" si="52"/>
        <v>0</v>
      </c>
      <c r="AC418" s="29">
        <f t="shared" si="52"/>
        <v>46312.56</v>
      </c>
      <c r="AD418" s="29">
        <f t="shared" si="52"/>
        <v>84432.67</v>
      </c>
      <c r="AE418" s="29">
        <f t="shared" si="52"/>
        <v>0</v>
      </c>
      <c r="AF418" s="62" t="s">
        <v>743</v>
      </c>
      <c r="AG418" s="62" t="s">
        <v>743</v>
      </c>
      <c r="AH418" s="77" t="s">
        <v>743</v>
      </c>
      <c r="AT418" s="18" t="e">
        <f>VLOOKUP(C418,AW:AX,2,FALSE)</f>
        <v>#N/A</v>
      </c>
      <c r="BZ418" s="61">
        <v>18514841.960000001</v>
      </c>
      <c r="CD418" s="18" t="e">
        <f>VLOOKUP(C418,CE:CF,2,FALSE)</f>
        <v>#N/A</v>
      </c>
    </row>
    <row r="419" spans="1:82" ht="61.5" x14ac:dyDescent="0.85">
      <c r="A419" s="18">
        <v>1</v>
      </c>
      <c r="B419" s="57">
        <f>SUBTOTAL(103,$A$22:A419)</f>
        <v>364</v>
      </c>
      <c r="C419" s="22" t="s">
        <v>107</v>
      </c>
      <c r="D419" s="29">
        <f>E419+F419+G419+H419+I419+J419+L419+N419+P419+R419+T419+U419+V419+W419+X419+Y419+Z419+AA419+AB419+AC419+AD419+AE419</f>
        <v>1877560.0999999999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0</v>
      </c>
      <c r="K419" s="31">
        <v>0</v>
      </c>
      <c r="L419" s="29">
        <v>0</v>
      </c>
      <c r="M419" s="37">
        <v>549.33000000000004</v>
      </c>
      <c r="N419" s="134">
        <v>1871524.43</v>
      </c>
      <c r="O419" s="29">
        <v>0</v>
      </c>
      <c r="P419" s="29">
        <v>0</v>
      </c>
      <c r="Q419" s="29">
        <v>0</v>
      </c>
      <c r="R419" s="29">
        <v>0</v>
      </c>
      <c r="S419" s="29">
        <v>0</v>
      </c>
      <c r="T419" s="29">
        <v>0</v>
      </c>
      <c r="U419" s="29">
        <v>0</v>
      </c>
      <c r="V419" s="29">
        <v>0</v>
      </c>
      <c r="W419" s="29">
        <v>0</v>
      </c>
      <c r="X419" s="29">
        <v>0</v>
      </c>
      <c r="Y419" s="29">
        <v>0</v>
      </c>
      <c r="Z419" s="29">
        <v>0</v>
      </c>
      <c r="AA419" s="29">
        <v>0</v>
      </c>
      <c r="AB419" s="29">
        <v>0</v>
      </c>
      <c r="AC419" s="37">
        <v>6035.67</v>
      </c>
      <c r="AD419" s="29">
        <v>0</v>
      </c>
      <c r="AE419" s="29">
        <v>0</v>
      </c>
      <c r="AF419" s="32" t="s">
        <v>268</v>
      </c>
      <c r="AG419" s="32">
        <v>2020</v>
      </c>
      <c r="AH419" s="33">
        <v>2020</v>
      </c>
      <c r="AT419" s="18" t="e">
        <f>VLOOKUP(C419,AW:AX,2,FALSE)</f>
        <v>#N/A</v>
      </c>
      <c r="BZ419" s="61"/>
      <c r="CD419" s="18">
        <f>VLOOKUP(C419,CE:CF,2,FALSE)</f>
        <v>596.4</v>
      </c>
    </row>
    <row r="420" spans="1:82" ht="61.5" x14ac:dyDescent="0.85">
      <c r="A420" s="18">
        <v>1</v>
      </c>
      <c r="B420" s="57">
        <f>SUBTOTAL(103,$A$22:A420)</f>
        <v>365</v>
      </c>
      <c r="C420" s="22" t="s">
        <v>109</v>
      </c>
      <c r="D420" s="29">
        <f>E420+F420+G420+H420+I420+J420+L420+N420+P420+R420+T420+U420+V420+W420+X420+Y420+Z420+AA420+AB420+AC420+AD420+AE420</f>
        <v>3555061.2899999996</v>
      </c>
      <c r="E420" s="29">
        <v>0</v>
      </c>
      <c r="F420" s="29">
        <v>0</v>
      </c>
      <c r="G420" s="29">
        <v>0</v>
      </c>
      <c r="H420" s="29">
        <v>0</v>
      </c>
      <c r="I420" s="29">
        <v>0</v>
      </c>
      <c r="J420" s="29">
        <v>0</v>
      </c>
      <c r="K420" s="31">
        <v>0</v>
      </c>
      <c r="L420" s="29">
        <v>0</v>
      </c>
      <c r="M420" s="37">
        <v>940.23</v>
      </c>
      <c r="N420" s="37">
        <v>3448386.53</v>
      </c>
      <c r="O420" s="29">
        <v>0</v>
      </c>
      <c r="P420" s="29">
        <v>0</v>
      </c>
      <c r="Q420" s="29">
        <v>0</v>
      </c>
      <c r="R420" s="29">
        <v>0</v>
      </c>
      <c r="S420" s="29">
        <v>0</v>
      </c>
      <c r="T420" s="29">
        <v>0</v>
      </c>
      <c r="U420" s="29">
        <v>0</v>
      </c>
      <c r="V420" s="29">
        <v>0</v>
      </c>
      <c r="W420" s="29">
        <v>0</v>
      </c>
      <c r="X420" s="29">
        <v>0</v>
      </c>
      <c r="Y420" s="29">
        <v>0</v>
      </c>
      <c r="Z420" s="29">
        <v>0</v>
      </c>
      <c r="AA420" s="29">
        <v>0</v>
      </c>
      <c r="AB420" s="29">
        <v>0</v>
      </c>
      <c r="AC420" s="37">
        <v>22242.09</v>
      </c>
      <c r="AD420" s="37">
        <v>84432.67</v>
      </c>
      <c r="AE420" s="29">
        <v>0</v>
      </c>
      <c r="AF420" s="32">
        <v>2020</v>
      </c>
      <c r="AG420" s="32">
        <v>2020</v>
      </c>
      <c r="AH420" s="33">
        <v>2020</v>
      </c>
      <c r="AT420" s="18" t="e">
        <f>VLOOKUP(C420,AW:AX,2,FALSE)</f>
        <v>#N/A</v>
      </c>
      <c r="BZ420" s="61"/>
      <c r="CD420" s="18">
        <f>VLOOKUP(C420,CE:CF,2,FALSE)</f>
        <v>936.1</v>
      </c>
    </row>
    <row r="421" spans="1:82" ht="61.5" x14ac:dyDescent="0.85">
      <c r="A421" s="18">
        <v>1</v>
      </c>
      <c r="B421" s="57">
        <f>SUBTOTAL(103,$A$22:A421)</f>
        <v>366</v>
      </c>
      <c r="C421" s="22" t="s">
        <v>1225</v>
      </c>
      <c r="D421" s="29">
        <f>E421+F421+G421+H421+I421+J421+L421+N421+P421+R421+T421+U421+V421+W421+X421+Y421+Z421+AA421+AB421+AC421+AD421+AE421</f>
        <v>3267548.94</v>
      </c>
      <c r="E421" s="29">
        <v>0</v>
      </c>
      <c r="F421" s="29">
        <v>0</v>
      </c>
      <c r="G421" s="29">
        <v>0</v>
      </c>
      <c r="H421" s="29">
        <v>0</v>
      </c>
      <c r="I421" s="29">
        <v>0</v>
      </c>
      <c r="J421" s="29">
        <v>0</v>
      </c>
      <c r="K421" s="31">
        <v>0</v>
      </c>
      <c r="L421" s="29">
        <v>0</v>
      </c>
      <c r="M421" s="37">
        <v>807.4</v>
      </c>
      <c r="N421" s="37">
        <v>3249514.14</v>
      </c>
      <c r="O421" s="29">
        <v>0</v>
      </c>
      <c r="P421" s="29">
        <v>0</v>
      </c>
      <c r="Q421" s="29">
        <v>0</v>
      </c>
      <c r="R421" s="29">
        <v>0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9">
        <v>0</v>
      </c>
      <c r="Y421" s="29">
        <v>0</v>
      </c>
      <c r="Z421" s="29">
        <v>0</v>
      </c>
      <c r="AA421" s="29">
        <v>0</v>
      </c>
      <c r="AB421" s="29">
        <v>0</v>
      </c>
      <c r="AC421" s="37">
        <v>18034.8</v>
      </c>
      <c r="AD421" s="29">
        <v>0</v>
      </c>
      <c r="AE421" s="29">
        <v>0</v>
      </c>
      <c r="AF421" s="32" t="s">
        <v>268</v>
      </c>
      <c r="AG421" s="32">
        <v>2020</v>
      </c>
      <c r="AH421" s="33">
        <v>2020</v>
      </c>
      <c r="BZ421" s="61"/>
      <c r="CD421" s="18">
        <f>VLOOKUP(C421,CE:CF,2,FALSE)</f>
        <v>807.4</v>
      </c>
    </row>
    <row r="422" spans="1:82" ht="61.5" x14ac:dyDescent="0.85">
      <c r="B422" s="22" t="s">
        <v>833</v>
      </c>
      <c r="C422" s="338"/>
      <c r="D422" s="339">
        <f>D423</f>
        <v>4281723.32</v>
      </c>
      <c r="E422" s="29">
        <f t="shared" ref="E422:AE422" si="53">E423</f>
        <v>0</v>
      </c>
      <c r="F422" s="29">
        <f t="shared" si="53"/>
        <v>0</v>
      </c>
      <c r="G422" s="29">
        <f t="shared" si="53"/>
        <v>0</v>
      </c>
      <c r="H422" s="29">
        <f t="shared" si="53"/>
        <v>0</v>
      </c>
      <c r="I422" s="29">
        <f t="shared" si="53"/>
        <v>0</v>
      </c>
      <c r="J422" s="29">
        <f t="shared" si="53"/>
        <v>0</v>
      </c>
      <c r="K422" s="31">
        <f t="shared" si="53"/>
        <v>0</v>
      </c>
      <c r="L422" s="29">
        <f t="shared" si="53"/>
        <v>0</v>
      </c>
      <c r="M422" s="29">
        <f t="shared" si="53"/>
        <v>965.75</v>
      </c>
      <c r="N422" s="29">
        <f t="shared" si="53"/>
        <v>4066944.18</v>
      </c>
      <c r="O422" s="29">
        <f t="shared" si="53"/>
        <v>0</v>
      </c>
      <c r="P422" s="29">
        <f t="shared" si="53"/>
        <v>0</v>
      </c>
      <c r="Q422" s="29">
        <f t="shared" si="53"/>
        <v>0</v>
      </c>
      <c r="R422" s="29">
        <f t="shared" si="53"/>
        <v>0</v>
      </c>
      <c r="S422" s="29">
        <f t="shared" si="53"/>
        <v>0</v>
      </c>
      <c r="T422" s="29">
        <f t="shared" si="53"/>
        <v>0</v>
      </c>
      <c r="U422" s="29">
        <f t="shared" si="53"/>
        <v>0</v>
      </c>
      <c r="V422" s="29">
        <f t="shared" si="53"/>
        <v>0</v>
      </c>
      <c r="W422" s="29">
        <f t="shared" si="53"/>
        <v>0</v>
      </c>
      <c r="X422" s="29">
        <f t="shared" si="53"/>
        <v>0</v>
      </c>
      <c r="Y422" s="29">
        <f t="shared" si="53"/>
        <v>0</v>
      </c>
      <c r="Z422" s="29">
        <f t="shared" si="53"/>
        <v>0</v>
      </c>
      <c r="AA422" s="29">
        <f t="shared" si="53"/>
        <v>0</v>
      </c>
      <c r="AB422" s="29">
        <f t="shared" si="53"/>
        <v>0</v>
      </c>
      <c r="AC422" s="29">
        <f t="shared" si="53"/>
        <v>57038.89</v>
      </c>
      <c r="AD422" s="29">
        <f t="shared" si="53"/>
        <v>157740.25</v>
      </c>
      <c r="AE422" s="29">
        <f t="shared" si="53"/>
        <v>0</v>
      </c>
      <c r="AF422" s="62" t="s">
        <v>743</v>
      </c>
      <c r="AG422" s="62" t="s">
        <v>743</v>
      </c>
      <c r="AH422" s="77" t="s">
        <v>743</v>
      </c>
      <c r="AT422" s="18" t="e">
        <f>VLOOKUP(C422,AW:AX,2,FALSE)</f>
        <v>#N/A</v>
      </c>
      <c r="BZ422" s="61">
        <v>5141890.2</v>
      </c>
      <c r="CD422" s="18" t="e">
        <f>VLOOKUP(C422,CE:CF,2,FALSE)</f>
        <v>#N/A</v>
      </c>
    </row>
    <row r="423" spans="1:82" ht="61.5" x14ac:dyDescent="0.85">
      <c r="A423" s="18">
        <v>1</v>
      </c>
      <c r="B423" s="57">
        <f>SUBTOTAL(103,$A$22:A423)</f>
        <v>367</v>
      </c>
      <c r="C423" s="22" t="s">
        <v>40</v>
      </c>
      <c r="D423" s="29">
        <f>E423+F423+G423+H423+I423+J423+L423+N423+P423+R423+T423+U423+V423+W423+X423+Y423+Z423+AA423+AB423+AC423+AD423+AE423</f>
        <v>4281723.32</v>
      </c>
      <c r="E423" s="29">
        <v>0</v>
      </c>
      <c r="F423" s="29">
        <v>0</v>
      </c>
      <c r="G423" s="29">
        <v>0</v>
      </c>
      <c r="H423" s="29">
        <v>0</v>
      </c>
      <c r="I423" s="29">
        <v>0</v>
      </c>
      <c r="J423" s="29">
        <v>0</v>
      </c>
      <c r="K423" s="31">
        <v>0</v>
      </c>
      <c r="L423" s="29">
        <v>0</v>
      </c>
      <c r="M423" s="37">
        <v>965.75</v>
      </c>
      <c r="N423" s="37">
        <v>4066944.18</v>
      </c>
      <c r="O423" s="29">
        <v>0</v>
      </c>
      <c r="P423" s="29">
        <v>0</v>
      </c>
      <c r="Q423" s="29">
        <v>0</v>
      </c>
      <c r="R423" s="29">
        <v>0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  <c r="Z423" s="29">
        <v>0</v>
      </c>
      <c r="AA423" s="29">
        <v>0</v>
      </c>
      <c r="AB423" s="29">
        <v>0</v>
      </c>
      <c r="AC423" s="37">
        <v>57038.89</v>
      </c>
      <c r="AD423" s="37">
        <v>157740.25</v>
      </c>
      <c r="AE423" s="29">
        <v>0</v>
      </c>
      <c r="AF423" s="32">
        <v>2020</v>
      </c>
      <c r="AG423" s="32">
        <v>2020</v>
      </c>
      <c r="AH423" s="33">
        <v>2020</v>
      </c>
      <c r="AT423" s="18" t="e">
        <f>VLOOKUP(C423,AW:AX,2,FALSE)</f>
        <v>#N/A</v>
      </c>
      <c r="BZ423" s="61"/>
      <c r="CD423" s="18" t="e">
        <f>VLOOKUP(C423,CE:CF,2,FALSE)</f>
        <v>#N/A</v>
      </c>
    </row>
    <row r="424" spans="1:82" ht="61.5" x14ac:dyDescent="0.85">
      <c r="B424" s="22" t="s">
        <v>834</v>
      </c>
      <c r="C424" s="22"/>
      <c r="D424" s="339">
        <f>SUM(D425:D427)</f>
        <v>2434186.5899999994</v>
      </c>
      <c r="E424" s="29">
        <f t="shared" ref="E424:AE424" si="54">SUM(E425:E427)</f>
        <v>226701.24</v>
      </c>
      <c r="F424" s="29">
        <f t="shared" si="54"/>
        <v>164883.43</v>
      </c>
      <c r="G424" s="29">
        <f t="shared" si="54"/>
        <v>1350679.88</v>
      </c>
      <c r="H424" s="29">
        <f t="shared" si="54"/>
        <v>377296.73</v>
      </c>
      <c r="I424" s="29">
        <f t="shared" si="54"/>
        <v>0</v>
      </c>
      <c r="J424" s="29">
        <f t="shared" si="54"/>
        <v>0</v>
      </c>
      <c r="K424" s="31">
        <f t="shared" si="54"/>
        <v>0</v>
      </c>
      <c r="L424" s="29">
        <f t="shared" si="54"/>
        <v>0</v>
      </c>
      <c r="M424" s="29">
        <f t="shared" si="54"/>
        <v>0</v>
      </c>
      <c r="N424" s="29">
        <f t="shared" si="54"/>
        <v>0</v>
      </c>
      <c r="O424" s="29">
        <f t="shared" si="54"/>
        <v>0</v>
      </c>
      <c r="P424" s="29">
        <f t="shared" si="54"/>
        <v>0</v>
      </c>
      <c r="Q424" s="29">
        <f t="shared" si="54"/>
        <v>0</v>
      </c>
      <c r="R424" s="29">
        <f t="shared" si="54"/>
        <v>0</v>
      </c>
      <c r="S424" s="29">
        <f t="shared" si="54"/>
        <v>0</v>
      </c>
      <c r="T424" s="29">
        <f t="shared" si="54"/>
        <v>0</v>
      </c>
      <c r="U424" s="29">
        <f t="shared" si="54"/>
        <v>0</v>
      </c>
      <c r="V424" s="29">
        <f t="shared" si="54"/>
        <v>0</v>
      </c>
      <c r="W424" s="29">
        <f t="shared" si="54"/>
        <v>0</v>
      </c>
      <c r="X424" s="29">
        <f t="shared" si="54"/>
        <v>0</v>
      </c>
      <c r="Y424" s="29">
        <f t="shared" si="54"/>
        <v>0</v>
      </c>
      <c r="Z424" s="29">
        <f t="shared" si="54"/>
        <v>0</v>
      </c>
      <c r="AA424" s="29">
        <f t="shared" si="54"/>
        <v>0</v>
      </c>
      <c r="AB424" s="29">
        <f t="shared" si="54"/>
        <v>0</v>
      </c>
      <c r="AC424" s="29">
        <f t="shared" si="54"/>
        <v>31634.46</v>
      </c>
      <c r="AD424" s="29">
        <f t="shared" si="54"/>
        <v>282990.84999999998</v>
      </c>
      <c r="AE424" s="29">
        <f t="shared" si="54"/>
        <v>0</v>
      </c>
      <c r="AF424" s="62" t="s">
        <v>743</v>
      </c>
      <c r="AG424" s="62" t="s">
        <v>743</v>
      </c>
      <c r="AH424" s="77" t="s">
        <v>743</v>
      </c>
      <c r="AT424" s="18" t="e">
        <f>VLOOKUP(C424,AW:AX,2,FALSE)</f>
        <v>#N/A</v>
      </c>
      <c r="BZ424" s="61">
        <v>21864677.539999999</v>
      </c>
      <c r="CD424" s="18" t="e">
        <f>VLOOKUP(C424,CE:CF,2,FALSE)</f>
        <v>#N/A</v>
      </c>
    </row>
    <row r="425" spans="1:82" ht="61.5" x14ac:dyDescent="0.85">
      <c r="A425" s="18">
        <v>1</v>
      </c>
      <c r="B425" s="57">
        <f>SUBTOTAL(103,$A$22:A425)</f>
        <v>368</v>
      </c>
      <c r="C425" s="22" t="s">
        <v>63</v>
      </c>
      <c r="D425" s="29">
        <f>E425+F425+G425+H425+I425+J425+L425+N425+P425+R425+T425+U425+V425+W425+X425+Y425+Z425+AA425+AB425+AC425+AD425+AE425</f>
        <v>158769.03</v>
      </c>
      <c r="E425" s="29">
        <v>0</v>
      </c>
      <c r="F425" s="29">
        <v>0</v>
      </c>
      <c r="G425" s="29">
        <v>0</v>
      </c>
      <c r="H425" s="29">
        <v>0</v>
      </c>
      <c r="I425" s="29">
        <v>0</v>
      </c>
      <c r="J425" s="29">
        <v>0</v>
      </c>
      <c r="K425" s="31">
        <v>0</v>
      </c>
      <c r="L425" s="29">
        <v>0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9">
        <v>0</v>
      </c>
      <c r="S425" s="29">
        <v>0</v>
      </c>
      <c r="T425" s="29">
        <v>0</v>
      </c>
      <c r="U425" s="29">
        <v>0</v>
      </c>
      <c r="V425" s="29">
        <v>0</v>
      </c>
      <c r="W425" s="29">
        <v>0</v>
      </c>
      <c r="X425" s="29">
        <v>0</v>
      </c>
      <c r="Y425" s="29">
        <v>0</v>
      </c>
      <c r="Z425" s="29">
        <v>0</v>
      </c>
      <c r="AA425" s="29">
        <v>0</v>
      </c>
      <c r="AB425" s="29">
        <v>0</v>
      </c>
      <c r="AC425" s="29">
        <f>ROUND(N425*1.5%,2)</f>
        <v>0</v>
      </c>
      <c r="AD425" s="37">
        <v>158769.03</v>
      </c>
      <c r="AE425" s="29">
        <v>0</v>
      </c>
      <c r="AF425" s="32">
        <v>2020</v>
      </c>
      <c r="AG425" s="32" t="s">
        <v>268</v>
      </c>
      <c r="AH425" s="32" t="s">
        <v>268</v>
      </c>
      <c r="AT425" s="18" t="e">
        <f>VLOOKUP(C425,AW:AX,2,FALSE)</f>
        <v>#N/A</v>
      </c>
      <c r="BZ425" s="61"/>
      <c r="CD425" s="18" t="e">
        <f>VLOOKUP(C425,CE:CF,2,FALSE)</f>
        <v>#N/A</v>
      </c>
    </row>
    <row r="426" spans="1:82" ht="61.5" x14ac:dyDescent="0.85">
      <c r="A426" s="18">
        <v>1</v>
      </c>
      <c r="B426" s="57">
        <f>SUBTOTAL(103,$A$22:A426)</f>
        <v>369</v>
      </c>
      <c r="C426" s="22" t="s">
        <v>1240</v>
      </c>
      <c r="D426" s="29">
        <f>E426+F426+G426+H426+I426+J426+L426+N426+P426+R426+T426+U426+V426+W426+X426+Y426+Z426+AA426+AB426+AC426+AD426+AE426</f>
        <v>2151195.7399999998</v>
      </c>
      <c r="E426" s="37">
        <v>226701.24</v>
      </c>
      <c r="F426" s="37">
        <v>164883.43</v>
      </c>
      <c r="G426" s="37">
        <v>1350679.88</v>
      </c>
      <c r="H426" s="37">
        <v>377296.73</v>
      </c>
      <c r="I426" s="29">
        <v>0</v>
      </c>
      <c r="J426" s="29">
        <v>0</v>
      </c>
      <c r="K426" s="31">
        <v>0</v>
      </c>
      <c r="L426" s="29">
        <v>0</v>
      </c>
      <c r="M426" s="29">
        <v>0</v>
      </c>
      <c r="N426" s="29">
        <v>0</v>
      </c>
      <c r="O426" s="29">
        <v>0</v>
      </c>
      <c r="P426" s="29">
        <v>0</v>
      </c>
      <c r="Q426" s="29">
        <v>0</v>
      </c>
      <c r="R426" s="29">
        <v>0</v>
      </c>
      <c r="S426" s="29">
        <v>0</v>
      </c>
      <c r="T426" s="29">
        <v>0</v>
      </c>
      <c r="U426" s="29">
        <v>0</v>
      </c>
      <c r="V426" s="29">
        <v>0</v>
      </c>
      <c r="W426" s="29">
        <v>0</v>
      </c>
      <c r="X426" s="29">
        <v>0</v>
      </c>
      <c r="Y426" s="29">
        <v>0</v>
      </c>
      <c r="Z426" s="29">
        <v>0</v>
      </c>
      <c r="AA426" s="29">
        <v>0</v>
      </c>
      <c r="AB426" s="29">
        <v>0</v>
      </c>
      <c r="AC426" s="29">
        <f>ROUND(E426*1.4925%,2)+ROUND(F426*1.4925%,2)+ROUND(G426*1.4925%,2)+ROUND(H426*1.4925%,2)+ROUND(I426*1.4925%,2)+ROUND(J426*1.4925%,2)</f>
        <v>31634.46</v>
      </c>
      <c r="AD426" s="29">
        <v>0</v>
      </c>
      <c r="AE426" s="29">
        <v>0</v>
      </c>
      <c r="AF426" s="32" t="s">
        <v>268</v>
      </c>
      <c r="AG426" s="32">
        <v>2020</v>
      </c>
      <c r="AH426" s="33">
        <v>2020</v>
      </c>
      <c r="BZ426" s="61"/>
      <c r="CD426" s="18" t="e">
        <f>VLOOKUP(C426,CE:CF,2,FALSE)</f>
        <v>#N/A</v>
      </c>
    </row>
    <row r="427" spans="1:82" ht="61.5" x14ac:dyDescent="0.85">
      <c r="A427" s="18">
        <v>1</v>
      </c>
      <c r="B427" s="57">
        <f>SUBTOTAL(103,$A$22:A427)</f>
        <v>370</v>
      </c>
      <c r="C427" s="22" t="s">
        <v>52</v>
      </c>
      <c r="D427" s="29">
        <f>E427+F427+G427+H427+I427+J427+L427+N427+P427+R427+T427+U427+V427+W427+X427+Y427+Z427+AA427+AB427+AC427+AD427+AE427</f>
        <v>124221.82</v>
      </c>
      <c r="E427" s="29">
        <v>0</v>
      </c>
      <c r="F427" s="29">
        <v>0</v>
      </c>
      <c r="G427" s="29">
        <v>0</v>
      </c>
      <c r="H427" s="29">
        <v>0</v>
      </c>
      <c r="I427" s="29">
        <v>0</v>
      </c>
      <c r="J427" s="29">
        <v>0</v>
      </c>
      <c r="K427" s="31">
        <v>0</v>
      </c>
      <c r="L427" s="29">
        <v>0</v>
      </c>
      <c r="M427" s="29">
        <v>0</v>
      </c>
      <c r="N427" s="29">
        <v>0</v>
      </c>
      <c r="O427" s="29">
        <v>0</v>
      </c>
      <c r="P427" s="29">
        <v>0</v>
      </c>
      <c r="Q427" s="29">
        <v>0</v>
      </c>
      <c r="R427" s="29">
        <v>0</v>
      </c>
      <c r="S427" s="29">
        <v>0</v>
      </c>
      <c r="T427" s="29">
        <v>0</v>
      </c>
      <c r="U427" s="29">
        <v>0</v>
      </c>
      <c r="V427" s="29">
        <v>0</v>
      </c>
      <c r="W427" s="29">
        <v>0</v>
      </c>
      <c r="X427" s="29">
        <v>0</v>
      </c>
      <c r="Y427" s="29">
        <v>0</v>
      </c>
      <c r="Z427" s="29">
        <v>0</v>
      </c>
      <c r="AA427" s="29">
        <v>0</v>
      </c>
      <c r="AB427" s="29">
        <v>0</v>
      </c>
      <c r="AC427" s="29">
        <f>ROUND(N427*1.5%,2)</f>
        <v>0</v>
      </c>
      <c r="AD427" s="37">
        <v>124221.82</v>
      </c>
      <c r="AE427" s="29">
        <v>0</v>
      </c>
      <c r="AF427" s="32">
        <v>2020</v>
      </c>
      <c r="AG427" s="32" t="s">
        <v>268</v>
      </c>
      <c r="AH427" s="32" t="s">
        <v>268</v>
      </c>
      <c r="AT427" s="18" t="e">
        <f>VLOOKUP(C427,AW:AX,2,FALSE)</f>
        <v>#N/A</v>
      </c>
      <c r="BZ427" s="61"/>
      <c r="CD427" s="18" t="e">
        <f>VLOOKUP(C427,CE:CF,2,FALSE)</f>
        <v>#N/A</v>
      </c>
    </row>
    <row r="428" spans="1:82" ht="61.5" x14ac:dyDescent="0.85">
      <c r="B428" s="22" t="s">
        <v>835</v>
      </c>
      <c r="C428" s="22"/>
      <c r="D428" s="339">
        <f t="shared" ref="D428:AE428" si="55">SUM(D429:D434)</f>
        <v>19736488.859999999</v>
      </c>
      <c r="E428" s="29">
        <f t="shared" si="55"/>
        <v>1000351.54</v>
      </c>
      <c r="F428" s="29">
        <f t="shared" si="55"/>
        <v>1810542.37</v>
      </c>
      <c r="G428" s="29">
        <f t="shared" si="55"/>
        <v>9395223.0500000007</v>
      </c>
      <c r="H428" s="29">
        <f t="shared" si="55"/>
        <v>986303.66</v>
      </c>
      <c r="I428" s="29">
        <f t="shared" si="55"/>
        <v>0</v>
      </c>
      <c r="J428" s="29">
        <f t="shared" si="55"/>
        <v>0</v>
      </c>
      <c r="K428" s="31">
        <f t="shared" si="55"/>
        <v>0</v>
      </c>
      <c r="L428" s="29">
        <f t="shared" si="55"/>
        <v>0</v>
      </c>
      <c r="M428" s="29">
        <f t="shared" si="55"/>
        <v>619</v>
      </c>
      <c r="N428" s="29">
        <f t="shared" si="55"/>
        <v>2465528.8199999998</v>
      </c>
      <c r="O428" s="29">
        <f t="shared" si="55"/>
        <v>0</v>
      </c>
      <c r="P428" s="29">
        <f t="shared" si="55"/>
        <v>0</v>
      </c>
      <c r="Q428" s="29">
        <f t="shared" si="55"/>
        <v>858.98</v>
      </c>
      <c r="R428" s="29">
        <f t="shared" si="55"/>
        <v>3617645.64</v>
      </c>
      <c r="S428" s="29">
        <f t="shared" si="55"/>
        <v>0</v>
      </c>
      <c r="T428" s="29">
        <f t="shared" si="55"/>
        <v>0</v>
      </c>
      <c r="U428" s="29">
        <f t="shared" si="55"/>
        <v>0</v>
      </c>
      <c r="V428" s="29">
        <f t="shared" si="55"/>
        <v>0</v>
      </c>
      <c r="W428" s="29">
        <f t="shared" si="55"/>
        <v>0</v>
      </c>
      <c r="X428" s="29">
        <f t="shared" si="55"/>
        <v>0</v>
      </c>
      <c r="Y428" s="29">
        <f t="shared" si="55"/>
        <v>0</v>
      </c>
      <c r="Z428" s="29">
        <f t="shared" si="55"/>
        <v>0</v>
      </c>
      <c r="AA428" s="29">
        <f t="shared" si="55"/>
        <v>0</v>
      </c>
      <c r="AB428" s="29">
        <f t="shared" si="55"/>
        <v>0</v>
      </c>
      <c r="AC428" s="29">
        <f t="shared" si="55"/>
        <v>247715.52000000002</v>
      </c>
      <c r="AD428" s="29">
        <f t="shared" si="55"/>
        <v>213178.26</v>
      </c>
      <c r="AE428" s="29">
        <f t="shared" si="55"/>
        <v>0</v>
      </c>
      <c r="AF428" s="62" t="s">
        <v>743</v>
      </c>
      <c r="AG428" s="62" t="s">
        <v>743</v>
      </c>
      <c r="AH428" s="77" t="s">
        <v>743</v>
      </c>
      <c r="AT428" s="18" t="e">
        <f>VLOOKUP(C428,AW:AX,2,FALSE)</f>
        <v>#N/A</v>
      </c>
      <c r="BZ428" s="61">
        <v>34570625.039999999</v>
      </c>
      <c r="CD428" s="18" t="e">
        <f>VLOOKUP(C428,CE:CF,2,FALSE)</f>
        <v>#N/A</v>
      </c>
    </row>
    <row r="429" spans="1:82" ht="61.5" x14ac:dyDescent="0.85">
      <c r="A429" s="18">
        <v>1</v>
      </c>
      <c r="B429" s="57">
        <f>SUBTOTAL(103,$A$22:A429)</f>
        <v>371</v>
      </c>
      <c r="C429" s="22" t="s">
        <v>47</v>
      </c>
      <c r="D429" s="29">
        <f t="shared" ref="D429:D434" si="56">E429+F429+G429+H429+I429+J429+L429+N429+P429+R429+T429+U429+V429+W429+X429+Y429+Z429+AA429+AB429+AC429+AD429+AE429</f>
        <v>106790.64</v>
      </c>
      <c r="E429" s="29">
        <v>0</v>
      </c>
      <c r="F429" s="29">
        <v>0</v>
      </c>
      <c r="G429" s="29">
        <v>0</v>
      </c>
      <c r="H429" s="29">
        <v>0</v>
      </c>
      <c r="I429" s="29">
        <v>0</v>
      </c>
      <c r="J429" s="29">
        <v>0</v>
      </c>
      <c r="K429" s="31">
        <v>0</v>
      </c>
      <c r="L429" s="29">
        <v>0</v>
      </c>
      <c r="M429" s="29">
        <v>0</v>
      </c>
      <c r="N429" s="29">
        <v>0</v>
      </c>
      <c r="O429" s="29">
        <v>0</v>
      </c>
      <c r="P429" s="29">
        <v>0</v>
      </c>
      <c r="Q429" s="29">
        <v>0</v>
      </c>
      <c r="R429" s="29">
        <v>0</v>
      </c>
      <c r="S429" s="29">
        <v>0</v>
      </c>
      <c r="T429" s="29">
        <v>0</v>
      </c>
      <c r="U429" s="29">
        <v>0</v>
      </c>
      <c r="V429" s="29">
        <v>0</v>
      </c>
      <c r="W429" s="29">
        <v>0</v>
      </c>
      <c r="X429" s="29">
        <v>0</v>
      </c>
      <c r="Y429" s="29">
        <v>0</v>
      </c>
      <c r="Z429" s="29">
        <v>0</v>
      </c>
      <c r="AA429" s="29">
        <v>0</v>
      </c>
      <c r="AB429" s="29">
        <v>0</v>
      </c>
      <c r="AC429" s="29">
        <f>ROUND(N429*1.5%,2)</f>
        <v>0</v>
      </c>
      <c r="AD429" s="37">
        <v>106790.64</v>
      </c>
      <c r="AE429" s="29">
        <v>0</v>
      </c>
      <c r="AF429" s="32">
        <v>2020</v>
      </c>
      <c r="AG429" s="32" t="s">
        <v>268</v>
      </c>
      <c r="AH429" s="32" t="s">
        <v>268</v>
      </c>
      <c r="AT429" s="18" t="e">
        <f>VLOOKUP(C429,AW:AX,2,FALSE)</f>
        <v>#N/A</v>
      </c>
      <c r="BZ429" s="61"/>
      <c r="CD429" s="18" t="e">
        <f>VLOOKUP(C429,CE:CF,2,FALSE)</f>
        <v>#N/A</v>
      </c>
    </row>
    <row r="430" spans="1:82" ht="61.5" x14ac:dyDescent="0.85">
      <c r="A430" s="18">
        <v>1</v>
      </c>
      <c r="B430" s="57">
        <f>SUBTOTAL(103,$A$22:A430)</f>
        <v>372</v>
      </c>
      <c r="C430" s="22" t="s">
        <v>788</v>
      </c>
      <c r="D430" s="29">
        <f t="shared" si="56"/>
        <v>2606495.48</v>
      </c>
      <c r="E430" s="29">
        <v>0</v>
      </c>
      <c r="F430" s="29">
        <v>0</v>
      </c>
      <c r="G430" s="29">
        <v>0</v>
      </c>
      <c r="H430" s="29">
        <v>0</v>
      </c>
      <c r="I430" s="29">
        <v>0</v>
      </c>
      <c r="J430" s="29">
        <v>0</v>
      </c>
      <c r="K430" s="31">
        <v>0</v>
      </c>
      <c r="L430" s="29">
        <v>0</v>
      </c>
      <c r="M430" s="37">
        <v>619</v>
      </c>
      <c r="N430" s="37">
        <v>2465528.8199999998</v>
      </c>
      <c r="O430" s="29">
        <v>0</v>
      </c>
      <c r="P430" s="29">
        <v>0</v>
      </c>
      <c r="Q430" s="29">
        <v>0</v>
      </c>
      <c r="R430" s="29">
        <v>0</v>
      </c>
      <c r="S430" s="29">
        <v>0</v>
      </c>
      <c r="T430" s="29">
        <v>0</v>
      </c>
      <c r="U430" s="29">
        <v>0</v>
      </c>
      <c r="V430" s="29">
        <v>0</v>
      </c>
      <c r="W430" s="29">
        <v>0</v>
      </c>
      <c r="X430" s="29">
        <v>0</v>
      </c>
      <c r="Y430" s="29">
        <v>0</v>
      </c>
      <c r="Z430" s="29">
        <v>0</v>
      </c>
      <c r="AA430" s="29">
        <v>0</v>
      </c>
      <c r="AB430" s="29">
        <v>0</v>
      </c>
      <c r="AC430" s="29">
        <v>34579.040000000001</v>
      </c>
      <c r="AD430" s="37">
        <v>106387.62</v>
      </c>
      <c r="AE430" s="29">
        <v>0</v>
      </c>
      <c r="AF430" s="32">
        <v>2020</v>
      </c>
      <c r="AG430" s="32">
        <v>2020</v>
      </c>
      <c r="AH430" s="33">
        <v>2020</v>
      </c>
      <c r="AT430" s="18" t="e">
        <f>VLOOKUP(C430,AW:AX,2,FALSE)</f>
        <v>#N/A</v>
      </c>
      <c r="BZ430" s="61"/>
      <c r="CD430" s="18" t="e">
        <f>VLOOKUP(C430,CE:CF,2,FALSE)</f>
        <v>#N/A</v>
      </c>
    </row>
    <row r="431" spans="1:82" ht="61.5" x14ac:dyDescent="0.85">
      <c r="A431" s="18">
        <v>1</v>
      </c>
      <c r="B431" s="57">
        <f>SUBTOTAL(103,$A$22:A431)</f>
        <v>373</v>
      </c>
      <c r="C431" s="22" t="s">
        <v>1228</v>
      </c>
      <c r="D431" s="29">
        <f t="shared" si="56"/>
        <v>5055398.58</v>
      </c>
      <c r="E431" s="37">
        <v>420192.57</v>
      </c>
      <c r="F431" s="37">
        <v>698894.43</v>
      </c>
      <c r="G431" s="37">
        <v>3335941.54</v>
      </c>
      <c r="H431" s="37">
        <v>526027.78</v>
      </c>
      <c r="I431" s="29">
        <v>0</v>
      </c>
      <c r="J431" s="29">
        <v>0</v>
      </c>
      <c r="K431" s="31">
        <v>0</v>
      </c>
      <c r="L431" s="29">
        <v>0</v>
      </c>
      <c r="M431" s="29">
        <v>0</v>
      </c>
      <c r="N431" s="29">
        <v>0</v>
      </c>
      <c r="O431" s="29">
        <v>0</v>
      </c>
      <c r="P431" s="29">
        <v>0</v>
      </c>
      <c r="Q431" s="29">
        <v>0</v>
      </c>
      <c r="R431" s="29">
        <v>0</v>
      </c>
      <c r="S431" s="29">
        <v>0</v>
      </c>
      <c r="T431" s="29">
        <v>0</v>
      </c>
      <c r="U431" s="29">
        <v>0</v>
      </c>
      <c r="V431" s="29">
        <v>0</v>
      </c>
      <c r="W431" s="29">
        <v>0</v>
      </c>
      <c r="X431" s="29">
        <v>0</v>
      </c>
      <c r="Y431" s="29">
        <v>0</v>
      </c>
      <c r="Z431" s="29">
        <v>0</v>
      </c>
      <c r="AA431" s="29">
        <v>0</v>
      </c>
      <c r="AB431" s="29">
        <v>0</v>
      </c>
      <c r="AC431" s="29">
        <f t="shared" ref="AC431:AC433" si="57">ROUND(E431*1.4925%,2)+ROUND(F431*1.4925%,2)+ROUND(G431*1.4925%,2)+ROUND(H431*1.4925%,2)+ROUND(I431*1.4925%,2)+ROUND(J431*1.4925%,2)</f>
        <v>74342.260000000009</v>
      </c>
      <c r="AD431" s="29">
        <v>0</v>
      </c>
      <c r="AE431" s="29">
        <v>0</v>
      </c>
      <c r="AF431" s="32" t="s">
        <v>268</v>
      </c>
      <c r="AG431" s="32">
        <v>2020</v>
      </c>
      <c r="AH431" s="33">
        <v>2020</v>
      </c>
      <c r="BZ431" s="61"/>
      <c r="CD431" s="18" t="e">
        <f>VLOOKUP(C431,CE:CF,2,FALSE)</f>
        <v>#N/A</v>
      </c>
    </row>
    <row r="432" spans="1:82" ht="61.5" x14ac:dyDescent="0.85">
      <c r="A432" s="18">
        <v>1</v>
      </c>
      <c r="B432" s="57">
        <f>SUBTOTAL(103,$A$22:A432)</f>
        <v>374</v>
      </c>
      <c r="C432" s="22" t="s">
        <v>1229</v>
      </c>
      <c r="D432" s="29">
        <f t="shared" si="56"/>
        <v>5685725.29</v>
      </c>
      <c r="E432" s="37">
        <v>580158.97</v>
      </c>
      <c r="F432" s="37">
        <v>1111647.94</v>
      </c>
      <c r="G432" s="37">
        <v>3450030.95</v>
      </c>
      <c r="H432" s="37">
        <v>460275.88</v>
      </c>
      <c r="I432" s="29">
        <v>0</v>
      </c>
      <c r="J432" s="29">
        <v>0</v>
      </c>
      <c r="K432" s="31">
        <v>0</v>
      </c>
      <c r="L432" s="29">
        <v>0</v>
      </c>
      <c r="M432" s="29">
        <v>0</v>
      </c>
      <c r="N432" s="29">
        <v>0</v>
      </c>
      <c r="O432" s="29">
        <v>0</v>
      </c>
      <c r="P432" s="29">
        <v>0</v>
      </c>
      <c r="Q432" s="29">
        <v>0</v>
      </c>
      <c r="R432" s="29">
        <v>0</v>
      </c>
      <c r="S432" s="29">
        <v>0</v>
      </c>
      <c r="T432" s="29">
        <v>0</v>
      </c>
      <c r="U432" s="29">
        <v>0</v>
      </c>
      <c r="V432" s="29">
        <v>0</v>
      </c>
      <c r="W432" s="29">
        <v>0</v>
      </c>
      <c r="X432" s="29">
        <v>0</v>
      </c>
      <c r="Y432" s="29">
        <v>0</v>
      </c>
      <c r="Z432" s="29">
        <v>0</v>
      </c>
      <c r="AA432" s="29">
        <v>0</v>
      </c>
      <c r="AB432" s="29">
        <v>0</v>
      </c>
      <c r="AC432" s="29">
        <f t="shared" si="57"/>
        <v>83611.549999999988</v>
      </c>
      <c r="AD432" s="29">
        <v>0</v>
      </c>
      <c r="AE432" s="29">
        <v>0</v>
      </c>
      <c r="AF432" s="32" t="s">
        <v>268</v>
      </c>
      <c r="AG432" s="32">
        <v>2020</v>
      </c>
      <c r="AH432" s="33">
        <v>2020</v>
      </c>
      <c r="BZ432" s="61"/>
      <c r="CD432" s="18" t="e">
        <f>VLOOKUP(C432,CE:CF,2,FALSE)</f>
        <v>#N/A</v>
      </c>
    </row>
    <row r="433" spans="1:82" ht="61.5" x14ac:dyDescent="0.85">
      <c r="A433" s="18">
        <v>1</v>
      </c>
      <c r="B433" s="57">
        <f>SUBTOTAL(103,$A$22:A433)</f>
        <v>375</v>
      </c>
      <c r="C433" s="22" t="s">
        <v>1230</v>
      </c>
      <c r="D433" s="29">
        <f t="shared" si="56"/>
        <v>2648193.62</v>
      </c>
      <c r="E433" s="29">
        <v>0</v>
      </c>
      <c r="F433" s="29">
        <v>0</v>
      </c>
      <c r="G433" s="134">
        <v>2609250.56</v>
      </c>
      <c r="H433" s="29">
        <v>0</v>
      </c>
      <c r="I433" s="29">
        <v>0</v>
      </c>
      <c r="J433" s="29">
        <v>0</v>
      </c>
      <c r="K433" s="31">
        <v>0</v>
      </c>
      <c r="L433" s="29">
        <v>0</v>
      </c>
      <c r="M433" s="29">
        <v>0</v>
      </c>
      <c r="N433" s="29">
        <v>0</v>
      </c>
      <c r="O433" s="29">
        <v>0</v>
      </c>
      <c r="P433" s="29">
        <v>0</v>
      </c>
      <c r="Q433" s="29">
        <v>0</v>
      </c>
      <c r="R433" s="29">
        <v>0</v>
      </c>
      <c r="S433" s="29">
        <v>0</v>
      </c>
      <c r="T433" s="29">
        <v>0</v>
      </c>
      <c r="U433" s="29">
        <v>0</v>
      </c>
      <c r="V433" s="29">
        <v>0</v>
      </c>
      <c r="W433" s="29">
        <v>0</v>
      </c>
      <c r="X433" s="29">
        <v>0</v>
      </c>
      <c r="Y433" s="29">
        <v>0</v>
      </c>
      <c r="Z433" s="29">
        <v>0</v>
      </c>
      <c r="AA433" s="29">
        <v>0</v>
      </c>
      <c r="AB433" s="29">
        <v>0</v>
      </c>
      <c r="AC433" s="29">
        <f t="shared" si="57"/>
        <v>38943.06</v>
      </c>
      <c r="AD433" s="29">
        <v>0</v>
      </c>
      <c r="AE433" s="29">
        <v>0</v>
      </c>
      <c r="AF433" s="32" t="s">
        <v>268</v>
      </c>
      <c r="AG433" s="32">
        <v>2020</v>
      </c>
      <c r="AH433" s="33">
        <v>2020</v>
      </c>
      <c r="BZ433" s="61"/>
      <c r="CD433" s="18" t="e">
        <f>VLOOKUP(C433,CE:CF,2,FALSE)</f>
        <v>#N/A</v>
      </c>
    </row>
    <row r="434" spans="1:82" ht="61.5" x14ac:dyDescent="0.85">
      <c r="A434" s="18">
        <v>1</v>
      </c>
      <c r="B434" s="57">
        <f>SUBTOTAL(103,$A$22:A434)</f>
        <v>376</v>
      </c>
      <c r="C434" s="22" t="s">
        <v>1232</v>
      </c>
      <c r="D434" s="29">
        <f t="shared" si="56"/>
        <v>3633885.25</v>
      </c>
      <c r="E434" s="29">
        <v>0</v>
      </c>
      <c r="F434" s="29">
        <v>0</v>
      </c>
      <c r="G434" s="29">
        <v>0</v>
      </c>
      <c r="H434" s="29">
        <v>0</v>
      </c>
      <c r="I434" s="29">
        <v>0</v>
      </c>
      <c r="J434" s="29">
        <v>0</v>
      </c>
      <c r="K434" s="31">
        <v>0</v>
      </c>
      <c r="L434" s="29">
        <v>0</v>
      </c>
      <c r="M434" s="29">
        <v>0</v>
      </c>
      <c r="N434" s="29">
        <v>0</v>
      </c>
      <c r="O434" s="29">
        <v>0</v>
      </c>
      <c r="P434" s="29">
        <v>0</v>
      </c>
      <c r="Q434" s="37">
        <v>858.98</v>
      </c>
      <c r="R434" s="37">
        <v>3617645.64</v>
      </c>
      <c r="S434" s="29">
        <v>0</v>
      </c>
      <c r="T434" s="29">
        <v>0</v>
      </c>
      <c r="U434" s="29">
        <v>0</v>
      </c>
      <c r="V434" s="29">
        <v>0</v>
      </c>
      <c r="W434" s="29">
        <v>0</v>
      </c>
      <c r="X434" s="29">
        <v>0</v>
      </c>
      <c r="Y434" s="29">
        <v>0</v>
      </c>
      <c r="Z434" s="29">
        <v>0</v>
      </c>
      <c r="AA434" s="29">
        <v>0</v>
      </c>
      <c r="AB434" s="29">
        <v>0</v>
      </c>
      <c r="AC434" s="29">
        <f>ROUND(R434*0.4489%,2)</f>
        <v>16239.61</v>
      </c>
      <c r="AD434" s="29">
        <v>0</v>
      </c>
      <c r="AE434" s="29">
        <v>0</v>
      </c>
      <c r="AF434" s="32" t="s">
        <v>268</v>
      </c>
      <c r="AG434" s="32">
        <v>2020</v>
      </c>
      <c r="AH434" s="33">
        <v>2020</v>
      </c>
      <c r="BZ434" s="61"/>
      <c r="CD434" s="18" t="e">
        <f>VLOOKUP(C434,CE:CF,2,FALSE)</f>
        <v>#N/A</v>
      </c>
    </row>
    <row r="435" spans="1:82" ht="61.5" x14ac:dyDescent="0.85">
      <c r="B435" s="22" t="s">
        <v>836</v>
      </c>
      <c r="C435" s="22"/>
      <c r="D435" s="339">
        <f>SUM(D436:D440)</f>
        <v>9389545.5499999989</v>
      </c>
      <c r="E435" s="29">
        <f t="shared" ref="E435:AE435" si="58">SUM(E436:E440)</f>
        <v>167835.45</v>
      </c>
      <c r="F435" s="29">
        <f t="shared" si="58"/>
        <v>0</v>
      </c>
      <c r="G435" s="29">
        <f t="shared" si="58"/>
        <v>658789.53</v>
      </c>
      <c r="H435" s="29">
        <f t="shared" si="58"/>
        <v>0</v>
      </c>
      <c r="I435" s="29">
        <f t="shared" si="58"/>
        <v>618954.18000000005</v>
      </c>
      <c r="J435" s="29">
        <f t="shared" si="58"/>
        <v>0</v>
      </c>
      <c r="K435" s="31">
        <f t="shared" si="58"/>
        <v>0</v>
      </c>
      <c r="L435" s="29">
        <f t="shared" si="58"/>
        <v>0</v>
      </c>
      <c r="M435" s="29">
        <f t="shared" si="58"/>
        <v>2187.2200000000003</v>
      </c>
      <c r="N435" s="29">
        <f t="shared" si="58"/>
        <v>7825011.9399999995</v>
      </c>
      <c r="O435" s="29">
        <f t="shared" si="58"/>
        <v>0</v>
      </c>
      <c r="P435" s="29">
        <f t="shared" si="58"/>
        <v>0</v>
      </c>
      <c r="Q435" s="29">
        <f t="shared" si="58"/>
        <v>0</v>
      </c>
      <c r="R435" s="29">
        <f t="shared" si="58"/>
        <v>0</v>
      </c>
      <c r="S435" s="29">
        <f t="shared" si="58"/>
        <v>0</v>
      </c>
      <c r="T435" s="29">
        <f t="shared" si="58"/>
        <v>0</v>
      </c>
      <c r="U435" s="29">
        <f t="shared" si="58"/>
        <v>0</v>
      </c>
      <c r="V435" s="29">
        <f t="shared" si="58"/>
        <v>0</v>
      </c>
      <c r="W435" s="29">
        <f t="shared" si="58"/>
        <v>0</v>
      </c>
      <c r="X435" s="29">
        <f t="shared" si="58"/>
        <v>0</v>
      </c>
      <c r="Y435" s="29">
        <f t="shared" si="58"/>
        <v>0</v>
      </c>
      <c r="Z435" s="29">
        <f t="shared" si="58"/>
        <v>0</v>
      </c>
      <c r="AA435" s="29">
        <f t="shared" si="58"/>
        <v>0</v>
      </c>
      <c r="AB435" s="29">
        <f t="shared" si="58"/>
        <v>0</v>
      </c>
      <c r="AC435" s="29">
        <f t="shared" si="58"/>
        <v>118954.45</v>
      </c>
      <c r="AD435" s="29">
        <f t="shared" si="58"/>
        <v>0</v>
      </c>
      <c r="AE435" s="29">
        <f t="shared" si="58"/>
        <v>0</v>
      </c>
      <c r="AF435" s="62" t="s">
        <v>743</v>
      </c>
      <c r="AG435" s="62" t="s">
        <v>743</v>
      </c>
      <c r="AH435" s="77" t="s">
        <v>743</v>
      </c>
      <c r="AT435" s="18" t="e">
        <f>VLOOKUP(C435,AW:AX,2,FALSE)</f>
        <v>#N/A</v>
      </c>
      <c r="BZ435" s="61">
        <v>12742956.99</v>
      </c>
      <c r="CB435" s="61">
        <f>BZ435-D435</f>
        <v>3353411.4400000013</v>
      </c>
      <c r="CD435" s="18" t="e">
        <f>VLOOKUP(C435,CE:CF,2,FALSE)</f>
        <v>#N/A</v>
      </c>
    </row>
    <row r="436" spans="1:82" ht="61.5" x14ac:dyDescent="0.85">
      <c r="A436" s="18">
        <v>1</v>
      </c>
      <c r="B436" s="57">
        <f>SUBTOTAL(103,$A$22:A436)</f>
        <v>377</v>
      </c>
      <c r="C436" s="22" t="s">
        <v>44</v>
      </c>
      <c r="D436" s="29">
        <f>E436+F436+G436+H436+I436+J436+L436+N436+P436+R436+T436+U436+V436+W436+X436+Y436+Z436+AA436+AB436+AC436+AD436+AE436</f>
        <v>2250143.48</v>
      </c>
      <c r="E436" s="29">
        <v>0</v>
      </c>
      <c r="F436" s="29">
        <v>0</v>
      </c>
      <c r="G436" s="29">
        <v>0</v>
      </c>
      <c r="H436" s="29">
        <v>0</v>
      </c>
      <c r="I436" s="29">
        <v>0</v>
      </c>
      <c r="J436" s="29">
        <v>0</v>
      </c>
      <c r="K436" s="31">
        <v>0</v>
      </c>
      <c r="L436" s="29">
        <v>0</v>
      </c>
      <c r="M436" s="37">
        <v>631</v>
      </c>
      <c r="N436" s="37">
        <v>2219021.7000000002</v>
      </c>
      <c r="O436" s="29">
        <v>0</v>
      </c>
      <c r="P436" s="29">
        <v>0</v>
      </c>
      <c r="Q436" s="29">
        <v>0</v>
      </c>
      <c r="R436" s="29">
        <v>0</v>
      </c>
      <c r="S436" s="29">
        <v>0</v>
      </c>
      <c r="T436" s="29">
        <v>0</v>
      </c>
      <c r="U436" s="29">
        <v>0</v>
      </c>
      <c r="V436" s="29">
        <v>0</v>
      </c>
      <c r="W436" s="29">
        <v>0</v>
      </c>
      <c r="X436" s="29">
        <v>0</v>
      </c>
      <c r="Y436" s="29">
        <v>0</v>
      </c>
      <c r="Z436" s="29">
        <v>0</v>
      </c>
      <c r="AA436" s="29">
        <v>0</v>
      </c>
      <c r="AB436" s="29">
        <v>0</v>
      </c>
      <c r="AC436" s="37">
        <v>31121.78</v>
      </c>
      <c r="AD436" s="29">
        <v>0</v>
      </c>
      <c r="AE436" s="29">
        <v>0</v>
      </c>
      <c r="AF436" s="32" t="s">
        <v>268</v>
      </c>
      <c r="AG436" s="32">
        <v>2020</v>
      </c>
      <c r="AH436" s="33">
        <v>2020</v>
      </c>
      <c r="AT436" s="18" t="e">
        <f>VLOOKUP(C436,AW:AX,2,FALSE)</f>
        <v>#N/A</v>
      </c>
      <c r="BZ436" s="61"/>
      <c r="CD436" s="18">
        <f>VLOOKUP(C436,CE:CF,2,FALSE)</f>
        <v>631</v>
      </c>
    </row>
    <row r="437" spans="1:82" ht="61.5" x14ac:dyDescent="0.85">
      <c r="A437" s="18">
        <v>1</v>
      </c>
      <c r="B437" s="57">
        <f>SUBTOTAL(103,$A$22:A437)</f>
        <v>378</v>
      </c>
      <c r="C437" s="22" t="s">
        <v>43</v>
      </c>
      <c r="D437" s="29">
        <f>E437+F437+G437+H437+I437+J437+L437+N437+P437+R437+T437+U437+V437+W437+X437+Y437+Z437+AA437+AB437+AC437+AD437+AE437</f>
        <v>2167263.7000000002</v>
      </c>
      <c r="E437" s="29">
        <v>0</v>
      </c>
      <c r="F437" s="29">
        <v>0</v>
      </c>
      <c r="G437" s="29">
        <v>0</v>
      </c>
      <c r="H437" s="29">
        <v>0</v>
      </c>
      <c r="I437" s="29">
        <v>0</v>
      </c>
      <c r="J437" s="29">
        <v>0</v>
      </c>
      <c r="K437" s="31">
        <v>0</v>
      </c>
      <c r="L437" s="29">
        <v>0</v>
      </c>
      <c r="M437" s="37">
        <v>554.9</v>
      </c>
      <c r="N437" s="37">
        <v>2137288.23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9">
        <v>0</v>
      </c>
      <c r="Y437" s="29">
        <v>0</v>
      </c>
      <c r="Z437" s="29">
        <v>0</v>
      </c>
      <c r="AA437" s="29">
        <v>0</v>
      </c>
      <c r="AB437" s="29">
        <v>0</v>
      </c>
      <c r="AC437" s="37">
        <v>29975.47</v>
      </c>
      <c r="AD437" s="29">
        <v>0</v>
      </c>
      <c r="AE437" s="29">
        <v>0</v>
      </c>
      <c r="AF437" s="32" t="s">
        <v>268</v>
      </c>
      <c r="AG437" s="32">
        <v>2020</v>
      </c>
      <c r="AH437" s="33">
        <v>2020</v>
      </c>
      <c r="AT437" s="18" t="e">
        <f>VLOOKUP(C437,AW:AX,2,FALSE)</f>
        <v>#N/A</v>
      </c>
      <c r="BZ437" s="61"/>
      <c r="CD437" s="18">
        <f>VLOOKUP(C437,CE:CF,2,FALSE)</f>
        <v>566</v>
      </c>
    </row>
    <row r="438" spans="1:82" ht="61.5" x14ac:dyDescent="0.85">
      <c r="A438" s="18">
        <v>1</v>
      </c>
      <c r="B438" s="57">
        <f>SUBTOTAL(103,$A$22:A438)</f>
        <v>379</v>
      </c>
      <c r="C438" s="22" t="s">
        <v>45</v>
      </c>
      <c r="D438" s="29">
        <f>E438+F438+G438+H438+I438+J438+L438+N438+P438+R438+T438+U438+V438+W438+X438+Y438+Z438+AA438+AB438+AC438+AD438+AE438</f>
        <v>2202329.54</v>
      </c>
      <c r="E438" s="29">
        <v>0</v>
      </c>
      <c r="F438" s="29">
        <v>0</v>
      </c>
      <c r="G438" s="29">
        <v>0</v>
      </c>
      <c r="H438" s="29">
        <v>0</v>
      </c>
      <c r="I438" s="29">
        <v>0</v>
      </c>
      <c r="J438" s="29">
        <v>0</v>
      </c>
      <c r="K438" s="31">
        <v>0</v>
      </c>
      <c r="L438" s="29">
        <v>0</v>
      </c>
      <c r="M438" s="37">
        <v>562</v>
      </c>
      <c r="N438" s="37">
        <v>2171869.08</v>
      </c>
      <c r="O438" s="29">
        <v>0</v>
      </c>
      <c r="P438" s="29">
        <v>0</v>
      </c>
      <c r="Q438" s="29">
        <v>0</v>
      </c>
      <c r="R438" s="29">
        <v>0</v>
      </c>
      <c r="S438" s="29">
        <v>0</v>
      </c>
      <c r="T438" s="29">
        <v>0</v>
      </c>
      <c r="U438" s="29">
        <v>0</v>
      </c>
      <c r="V438" s="29">
        <v>0</v>
      </c>
      <c r="W438" s="29">
        <v>0</v>
      </c>
      <c r="X438" s="29">
        <v>0</v>
      </c>
      <c r="Y438" s="29">
        <v>0</v>
      </c>
      <c r="Z438" s="29">
        <v>0</v>
      </c>
      <c r="AA438" s="29">
        <v>0</v>
      </c>
      <c r="AB438" s="29">
        <v>0</v>
      </c>
      <c r="AC438" s="37">
        <v>30460.46</v>
      </c>
      <c r="AD438" s="29">
        <v>0</v>
      </c>
      <c r="AE438" s="29">
        <v>0</v>
      </c>
      <c r="AF438" s="32" t="s">
        <v>268</v>
      </c>
      <c r="AG438" s="32">
        <v>2020</v>
      </c>
      <c r="AH438" s="33">
        <v>2020</v>
      </c>
      <c r="AT438" s="18" t="e">
        <f>VLOOKUP(C438,AW:AX,2,FALSE)</f>
        <v>#N/A</v>
      </c>
      <c r="BZ438" s="61"/>
      <c r="CD438" s="18">
        <f>VLOOKUP(C438,CE:CF,2,FALSE)</f>
        <v>562</v>
      </c>
    </row>
    <row r="439" spans="1:82" ht="61.5" x14ac:dyDescent="0.85">
      <c r="A439" s="18">
        <v>1</v>
      </c>
      <c r="B439" s="57">
        <f>SUBTOTAL(103,$A$22:A439)</f>
        <v>380</v>
      </c>
      <c r="C439" s="22" t="s">
        <v>1238</v>
      </c>
      <c r="D439" s="29">
        <f>E439+F439+G439+H439+I439+J439+L439+N439+P439+R439+T439+U439+V439+W439+X439+Y439+Z439+AA439+AB439+AC439+AD439+AE439</f>
        <v>1467154.4200000002</v>
      </c>
      <c r="E439" s="37">
        <v>167835.45</v>
      </c>
      <c r="F439" s="29">
        <v>0</v>
      </c>
      <c r="G439" s="37">
        <v>658789.53</v>
      </c>
      <c r="H439" s="29">
        <v>0</v>
      </c>
      <c r="I439" s="37">
        <v>618954.18000000005</v>
      </c>
      <c r="J439" s="29">
        <v>0</v>
      </c>
      <c r="K439" s="31">
        <v>0</v>
      </c>
      <c r="L439" s="29">
        <v>0</v>
      </c>
      <c r="M439" s="37">
        <v>0</v>
      </c>
      <c r="N439" s="37">
        <v>0</v>
      </c>
      <c r="O439" s="29">
        <v>0</v>
      </c>
      <c r="P439" s="29">
        <v>0</v>
      </c>
      <c r="Q439" s="29">
        <v>0</v>
      </c>
      <c r="R439" s="29">
        <v>0</v>
      </c>
      <c r="S439" s="29">
        <v>0</v>
      </c>
      <c r="T439" s="29">
        <v>0</v>
      </c>
      <c r="U439" s="29">
        <v>0</v>
      </c>
      <c r="V439" s="29">
        <v>0</v>
      </c>
      <c r="W439" s="29">
        <v>0</v>
      </c>
      <c r="X439" s="29">
        <v>0</v>
      </c>
      <c r="Y439" s="29">
        <v>0</v>
      </c>
      <c r="Z439" s="29">
        <v>0</v>
      </c>
      <c r="AA439" s="29">
        <v>0</v>
      </c>
      <c r="AB439" s="29">
        <v>0</v>
      </c>
      <c r="AC439" s="29">
        <f>ROUND(E439*1.4925%,2)+ROUND(F439*1.4925%,2)+ROUND(G439*1.4925%,2)+ROUND(H439*1.4925%,2)+ROUND(I439*1.4925%,2)+ROUND(J439*1.4925%,2)</f>
        <v>21575.260000000002</v>
      </c>
      <c r="AD439" s="29">
        <v>0</v>
      </c>
      <c r="AE439" s="29">
        <v>0</v>
      </c>
      <c r="AF439" s="32" t="s">
        <v>268</v>
      </c>
      <c r="AG439" s="32">
        <v>2020</v>
      </c>
      <c r="AH439" s="33">
        <v>2020</v>
      </c>
      <c r="BZ439" s="61"/>
      <c r="CD439" s="18" t="e">
        <f>VLOOKUP(C439,CE:CF,2,FALSE)</f>
        <v>#N/A</v>
      </c>
    </row>
    <row r="440" spans="1:82" ht="61.5" x14ac:dyDescent="0.85">
      <c r="A440" s="18">
        <v>1</v>
      </c>
      <c r="B440" s="57">
        <f>SUBTOTAL(103,$A$22:A440)</f>
        <v>381</v>
      </c>
      <c r="C440" s="22" t="s">
        <v>1239</v>
      </c>
      <c r="D440" s="29">
        <f>E440+F440+G440+H440+I440+J440+L440+N440+P440+R440+T440+U440+V440+W440+X440+Y440+Z440+AA440+AB440+AC440+AD440+AE440</f>
        <v>1302654.4099999999</v>
      </c>
      <c r="E440" s="29">
        <v>0</v>
      </c>
      <c r="F440" s="29">
        <v>0</v>
      </c>
      <c r="G440" s="29">
        <v>0</v>
      </c>
      <c r="H440" s="29">
        <v>0</v>
      </c>
      <c r="I440" s="29">
        <v>0</v>
      </c>
      <c r="J440" s="29">
        <v>0</v>
      </c>
      <c r="K440" s="31">
        <v>0</v>
      </c>
      <c r="L440" s="29">
        <v>0</v>
      </c>
      <c r="M440" s="37">
        <v>439.32</v>
      </c>
      <c r="N440" s="37">
        <v>1296832.93</v>
      </c>
      <c r="O440" s="29">
        <v>0</v>
      </c>
      <c r="P440" s="29">
        <v>0</v>
      </c>
      <c r="Q440" s="29">
        <v>0</v>
      </c>
      <c r="R440" s="29">
        <v>0</v>
      </c>
      <c r="S440" s="29">
        <v>0</v>
      </c>
      <c r="T440" s="29">
        <v>0</v>
      </c>
      <c r="U440" s="29">
        <v>0</v>
      </c>
      <c r="V440" s="29">
        <v>0</v>
      </c>
      <c r="W440" s="29">
        <v>0</v>
      </c>
      <c r="X440" s="29">
        <v>0</v>
      </c>
      <c r="Y440" s="29">
        <v>0</v>
      </c>
      <c r="Z440" s="29">
        <v>0</v>
      </c>
      <c r="AA440" s="29">
        <v>0</v>
      </c>
      <c r="AB440" s="29">
        <v>0</v>
      </c>
      <c r="AC440" s="29">
        <f>ROUND(N440*0.4489%,2)</f>
        <v>5821.48</v>
      </c>
      <c r="AD440" s="29">
        <v>0</v>
      </c>
      <c r="AE440" s="29">
        <v>0</v>
      </c>
      <c r="AF440" s="32" t="s">
        <v>268</v>
      </c>
      <c r="AG440" s="32">
        <v>2020</v>
      </c>
      <c r="AH440" s="33">
        <v>2020</v>
      </c>
      <c r="BZ440" s="61"/>
      <c r="CD440" s="18">
        <f>VLOOKUP(C440,CE:CF,2,FALSE)</f>
        <v>454</v>
      </c>
    </row>
    <row r="441" spans="1:82" ht="61.5" x14ac:dyDescent="0.85">
      <c r="B441" s="22" t="s">
        <v>837</v>
      </c>
      <c r="C441" s="22"/>
      <c r="D441" s="339">
        <f>D442+D443</f>
        <v>5138784.57</v>
      </c>
      <c r="E441" s="29">
        <f t="shared" ref="E441:AE441" si="59">E442+E443</f>
        <v>0</v>
      </c>
      <c r="F441" s="29">
        <f t="shared" si="59"/>
        <v>0</v>
      </c>
      <c r="G441" s="29">
        <f t="shared" si="59"/>
        <v>0</v>
      </c>
      <c r="H441" s="29">
        <f t="shared" si="59"/>
        <v>0</v>
      </c>
      <c r="I441" s="29">
        <f t="shared" si="59"/>
        <v>0</v>
      </c>
      <c r="J441" s="29">
        <f t="shared" si="59"/>
        <v>0</v>
      </c>
      <c r="K441" s="31">
        <f t="shared" si="59"/>
        <v>0</v>
      </c>
      <c r="L441" s="29">
        <f t="shared" si="59"/>
        <v>0</v>
      </c>
      <c r="M441" s="29">
        <f t="shared" si="59"/>
        <v>1371.3600000000001</v>
      </c>
      <c r="N441" s="29">
        <f t="shared" si="59"/>
        <v>5095125.3600000003</v>
      </c>
      <c r="O441" s="29">
        <f t="shared" si="59"/>
        <v>0</v>
      </c>
      <c r="P441" s="29">
        <f t="shared" si="59"/>
        <v>0</v>
      </c>
      <c r="Q441" s="29">
        <f t="shared" si="59"/>
        <v>0</v>
      </c>
      <c r="R441" s="29">
        <f t="shared" si="59"/>
        <v>0</v>
      </c>
      <c r="S441" s="29">
        <f t="shared" si="59"/>
        <v>0</v>
      </c>
      <c r="T441" s="29">
        <f t="shared" si="59"/>
        <v>0</v>
      </c>
      <c r="U441" s="29">
        <f t="shared" si="59"/>
        <v>0</v>
      </c>
      <c r="V441" s="29">
        <f t="shared" si="59"/>
        <v>0</v>
      </c>
      <c r="W441" s="29">
        <f t="shared" si="59"/>
        <v>0</v>
      </c>
      <c r="X441" s="29">
        <f t="shared" si="59"/>
        <v>0</v>
      </c>
      <c r="Y441" s="29">
        <f t="shared" si="59"/>
        <v>0</v>
      </c>
      <c r="Z441" s="29">
        <f t="shared" si="59"/>
        <v>0</v>
      </c>
      <c r="AA441" s="29">
        <f t="shared" si="59"/>
        <v>0</v>
      </c>
      <c r="AB441" s="29">
        <f t="shared" si="59"/>
        <v>0</v>
      </c>
      <c r="AC441" s="29">
        <f t="shared" si="59"/>
        <v>43659.21</v>
      </c>
      <c r="AD441" s="29">
        <f t="shared" si="59"/>
        <v>0</v>
      </c>
      <c r="AE441" s="29">
        <f t="shared" si="59"/>
        <v>0</v>
      </c>
      <c r="AF441" s="62" t="s">
        <v>743</v>
      </c>
      <c r="AG441" s="62" t="s">
        <v>743</v>
      </c>
      <c r="AH441" s="77" t="s">
        <v>743</v>
      </c>
      <c r="AT441" s="18" t="e">
        <f>VLOOKUP(C441,AW:AX,2,FALSE)</f>
        <v>#N/A</v>
      </c>
      <c r="BZ441" s="61">
        <v>6025381.3300000001</v>
      </c>
      <c r="CD441" s="18" t="e">
        <f>VLOOKUP(C441,CE:CF,2,FALSE)</f>
        <v>#N/A</v>
      </c>
    </row>
    <row r="442" spans="1:82" ht="61.5" x14ac:dyDescent="0.85">
      <c r="A442" s="18">
        <v>1</v>
      </c>
      <c r="B442" s="57">
        <f>SUBTOTAL(103,$A$22:A442)</f>
        <v>382</v>
      </c>
      <c r="C442" s="22" t="s">
        <v>42</v>
      </c>
      <c r="D442" s="29">
        <f>E442+F442+G442+H442+I442+J442+L442+N442+P442+R442+T442+U442+V442+W442+X442+Y442+Z442+AA442+AB442+AC442+AD442+AE442</f>
        <v>2210436.8400000003</v>
      </c>
      <c r="E442" s="29">
        <v>0</v>
      </c>
      <c r="F442" s="29">
        <v>0</v>
      </c>
      <c r="G442" s="29">
        <v>0</v>
      </c>
      <c r="H442" s="29">
        <v>0</v>
      </c>
      <c r="I442" s="29">
        <v>0</v>
      </c>
      <c r="J442" s="29">
        <v>0</v>
      </c>
      <c r="K442" s="31">
        <v>0</v>
      </c>
      <c r="L442" s="29">
        <v>0</v>
      </c>
      <c r="M442" s="37">
        <v>595.09</v>
      </c>
      <c r="N442" s="37">
        <v>2179864.2400000002</v>
      </c>
      <c r="O442" s="29">
        <v>0</v>
      </c>
      <c r="P442" s="29">
        <v>0</v>
      </c>
      <c r="Q442" s="29">
        <v>0</v>
      </c>
      <c r="R442" s="29">
        <v>0</v>
      </c>
      <c r="S442" s="29">
        <v>0</v>
      </c>
      <c r="T442" s="29">
        <v>0</v>
      </c>
      <c r="U442" s="29">
        <v>0</v>
      </c>
      <c r="V442" s="29">
        <v>0</v>
      </c>
      <c r="W442" s="29">
        <v>0</v>
      </c>
      <c r="X442" s="29">
        <v>0</v>
      </c>
      <c r="Y442" s="29">
        <v>0</v>
      </c>
      <c r="Z442" s="29">
        <v>0</v>
      </c>
      <c r="AA442" s="29">
        <v>0</v>
      </c>
      <c r="AB442" s="29">
        <v>0</v>
      </c>
      <c r="AC442" s="37">
        <v>30572.6</v>
      </c>
      <c r="AD442" s="29">
        <v>0</v>
      </c>
      <c r="AE442" s="29">
        <v>0</v>
      </c>
      <c r="AF442" s="32" t="s">
        <v>268</v>
      </c>
      <c r="AG442" s="32">
        <v>2020</v>
      </c>
      <c r="AH442" s="33">
        <v>2020</v>
      </c>
      <c r="AT442" s="18" t="e">
        <f>VLOOKUP(C442,AW:AX,2,FALSE)</f>
        <v>#N/A</v>
      </c>
      <c r="BZ442" s="61"/>
      <c r="CD442" s="18">
        <f>VLOOKUP(C442,CE:CF,2,FALSE)</f>
        <v>595</v>
      </c>
    </row>
    <row r="443" spans="1:82" ht="61.5" x14ac:dyDescent="0.85">
      <c r="A443" s="18">
        <v>1</v>
      </c>
      <c r="B443" s="57">
        <f>SUBTOTAL(103,$A$22:A443)</f>
        <v>383</v>
      </c>
      <c r="C443" s="22" t="s">
        <v>1540</v>
      </c>
      <c r="D443" s="29">
        <f>E443+F443+G443+H443+I443+J443+L443+N443+P443+R443+T443+U443+V443+W443+X443+Y443+Z443+AA443+AB443+AC443+AD443+AE443</f>
        <v>2928347.73</v>
      </c>
      <c r="E443" s="29">
        <v>0</v>
      </c>
      <c r="F443" s="29">
        <v>0</v>
      </c>
      <c r="G443" s="29">
        <v>0</v>
      </c>
      <c r="H443" s="29">
        <v>0</v>
      </c>
      <c r="I443" s="29">
        <v>0</v>
      </c>
      <c r="J443" s="29">
        <v>0</v>
      </c>
      <c r="K443" s="31">
        <v>0</v>
      </c>
      <c r="L443" s="29">
        <v>0</v>
      </c>
      <c r="M443" s="37">
        <v>776.27</v>
      </c>
      <c r="N443" s="37">
        <v>2915261.12</v>
      </c>
      <c r="O443" s="29">
        <v>0</v>
      </c>
      <c r="P443" s="29">
        <v>0</v>
      </c>
      <c r="Q443" s="29">
        <v>0</v>
      </c>
      <c r="R443" s="29">
        <v>0</v>
      </c>
      <c r="S443" s="29">
        <v>0</v>
      </c>
      <c r="T443" s="29">
        <v>0</v>
      </c>
      <c r="U443" s="29">
        <v>0</v>
      </c>
      <c r="V443" s="29">
        <v>0</v>
      </c>
      <c r="W443" s="29">
        <v>0</v>
      </c>
      <c r="X443" s="29">
        <v>0</v>
      </c>
      <c r="Y443" s="29">
        <v>0</v>
      </c>
      <c r="Z443" s="29">
        <v>0</v>
      </c>
      <c r="AA443" s="29">
        <v>0</v>
      </c>
      <c r="AB443" s="29">
        <v>0</v>
      </c>
      <c r="AC443" s="29">
        <f>ROUND(N443*0.4489%,2)</f>
        <v>13086.61</v>
      </c>
      <c r="AD443" s="29">
        <v>0</v>
      </c>
      <c r="AE443" s="29">
        <v>0</v>
      </c>
      <c r="AF443" s="32" t="s">
        <v>268</v>
      </c>
      <c r="AG443" s="32">
        <v>2020</v>
      </c>
      <c r="AH443" s="33">
        <v>2020</v>
      </c>
      <c r="BZ443" s="61"/>
      <c r="CD443" s="18">
        <f>VLOOKUP(C443,CE:CF,2,FALSE)</f>
        <v>747.3</v>
      </c>
    </row>
    <row r="444" spans="1:82" ht="61.5" x14ac:dyDescent="0.85">
      <c r="B444" s="22" t="s">
        <v>838</v>
      </c>
      <c r="C444" s="22"/>
      <c r="D444" s="339">
        <f t="shared" ref="D444:AE444" si="60">SUM(D445:D454)</f>
        <v>17752085.210000001</v>
      </c>
      <c r="E444" s="29">
        <f t="shared" si="60"/>
        <v>0</v>
      </c>
      <c r="F444" s="29">
        <f t="shared" si="60"/>
        <v>0</v>
      </c>
      <c r="G444" s="29">
        <f t="shared" si="60"/>
        <v>0</v>
      </c>
      <c r="H444" s="29">
        <f t="shared" si="60"/>
        <v>0</v>
      </c>
      <c r="I444" s="29">
        <f t="shared" si="60"/>
        <v>0</v>
      </c>
      <c r="J444" s="29">
        <f t="shared" si="60"/>
        <v>0</v>
      </c>
      <c r="K444" s="31">
        <f t="shared" si="60"/>
        <v>0</v>
      </c>
      <c r="L444" s="29">
        <f t="shared" si="60"/>
        <v>0</v>
      </c>
      <c r="M444" s="29">
        <f t="shared" si="60"/>
        <v>4633.74</v>
      </c>
      <c r="N444" s="29">
        <f t="shared" si="60"/>
        <v>16944207.860000003</v>
      </c>
      <c r="O444" s="29">
        <f t="shared" si="60"/>
        <v>0</v>
      </c>
      <c r="P444" s="29">
        <f t="shared" si="60"/>
        <v>0</v>
      </c>
      <c r="Q444" s="29">
        <f t="shared" si="60"/>
        <v>0</v>
      </c>
      <c r="R444" s="29">
        <f t="shared" si="60"/>
        <v>0</v>
      </c>
      <c r="S444" s="29">
        <f t="shared" si="60"/>
        <v>0</v>
      </c>
      <c r="T444" s="29">
        <f t="shared" si="60"/>
        <v>0</v>
      </c>
      <c r="U444" s="29">
        <f t="shared" si="60"/>
        <v>0</v>
      </c>
      <c r="V444" s="29">
        <f t="shared" si="60"/>
        <v>0</v>
      </c>
      <c r="W444" s="29">
        <f t="shared" si="60"/>
        <v>0</v>
      </c>
      <c r="X444" s="29">
        <f t="shared" si="60"/>
        <v>0</v>
      </c>
      <c r="Y444" s="29">
        <f t="shared" si="60"/>
        <v>0</v>
      </c>
      <c r="Z444" s="29">
        <f t="shared" si="60"/>
        <v>0</v>
      </c>
      <c r="AA444" s="29">
        <f t="shared" si="60"/>
        <v>0</v>
      </c>
      <c r="AB444" s="29">
        <f t="shared" si="60"/>
        <v>0</v>
      </c>
      <c r="AC444" s="29">
        <f t="shared" si="60"/>
        <v>223043.93000000002</v>
      </c>
      <c r="AD444" s="29">
        <f t="shared" si="60"/>
        <v>584833.42000000004</v>
      </c>
      <c r="AE444" s="29">
        <f t="shared" si="60"/>
        <v>0</v>
      </c>
      <c r="AF444" s="62" t="s">
        <v>743</v>
      </c>
      <c r="AG444" s="62" t="s">
        <v>743</v>
      </c>
      <c r="AH444" s="77" t="s">
        <v>743</v>
      </c>
      <c r="AT444" s="18" t="e">
        <f>VLOOKUP(C444,AW:AX,2,FALSE)</f>
        <v>#N/A</v>
      </c>
      <c r="BZ444" s="61">
        <v>29961094.709999993</v>
      </c>
      <c r="CD444" s="18" t="e">
        <f>VLOOKUP(C444,CE:CF,2,FALSE)</f>
        <v>#N/A</v>
      </c>
    </row>
    <row r="445" spans="1:82" ht="61.5" x14ac:dyDescent="0.85">
      <c r="A445" s="18">
        <v>1</v>
      </c>
      <c r="B445" s="57">
        <f>SUBTOTAL(103,$A$22:A445)</f>
        <v>384</v>
      </c>
      <c r="C445" s="22" t="s">
        <v>50</v>
      </c>
      <c r="D445" s="29">
        <f t="shared" ref="D445:D451" si="61">E445+F445+G445+H445+I445+J445+L445+N445+P445+R445+T445+U445+V445+W445+X445+Y445+Z445+AA445+AB445+AC445+AD445+AE445</f>
        <v>4771616.71</v>
      </c>
      <c r="E445" s="29">
        <v>0</v>
      </c>
      <c r="F445" s="29">
        <v>0</v>
      </c>
      <c r="G445" s="29">
        <v>0</v>
      </c>
      <c r="H445" s="29">
        <v>0</v>
      </c>
      <c r="I445" s="29">
        <v>0</v>
      </c>
      <c r="J445" s="29">
        <v>0</v>
      </c>
      <c r="K445" s="64">
        <v>0</v>
      </c>
      <c r="L445" s="29">
        <v>0</v>
      </c>
      <c r="M445" s="37">
        <v>766.79</v>
      </c>
      <c r="N445" s="37">
        <v>4576340</v>
      </c>
      <c r="O445" s="29">
        <v>0</v>
      </c>
      <c r="P445" s="29">
        <v>0</v>
      </c>
      <c r="Q445" s="29">
        <v>0</v>
      </c>
      <c r="R445" s="29">
        <v>0</v>
      </c>
      <c r="S445" s="29">
        <v>0</v>
      </c>
      <c r="T445" s="29">
        <v>0</v>
      </c>
      <c r="U445" s="29">
        <v>0</v>
      </c>
      <c r="V445" s="29">
        <v>0</v>
      </c>
      <c r="W445" s="29">
        <v>0</v>
      </c>
      <c r="X445" s="29">
        <v>0</v>
      </c>
      <c r="Y445" s="29">
        <v>0</v>
      </c>
      <c r="Z445" s="29">
        <v>0</v>
      </c>
      <c r="AA445" s="29">
        <v>0</v>
      </c>
      <c r="AB445" s="29">
        <v>0</v>
      </c>
      <c r="AC445" s="29">
        <v>64183.17</v>
      </c>
      <c r="AD445" s="37">
        <v>131093.54</v>
      </c>
      <c r="AE445" s="29">
        <v>0</v>
      </c>
      <c r="AF445" s="32">
        <v>2020</v>
      </c>
      <c r="AG445" s="32">
        <v>2020</v>
      </c>
      <c r="AH445" s="33">
        <v>2020</v>
      </c>
      <c r="AT445" s="18" t="e">
        <v>#N/A</v>
      </c>
      <c r="BZ445" s="61"/>
      <c r="CD445" s="18" t="e">
        <v>#N/A</v>
      </c>
    </row>
    <row r="446" spans="1:82" ht="61.5" x14ac:dyDescent="0.85">
      <c r="A446" s="18">
        <v>1</v>
      </c>
      <c r="B446" s="57">
        <f>SUBTOTAL(103,$A$22:A446)</f>
        <v>385</v>
      </c>
      <c r="C446" s="22" t="s">
        <v>48</v>
      </c>
      <c r="D446" s="29">
        <f t="shared" si="61"/>
        <v>2810575.6300000004</v>
      </c>
      <c r="E446" s="29">
        <v>0</v>
      </c>
      <c r="F446" s="29">
        <v>0</v>
      </c>
      <c r="G446" s="29">
        <v>0</v>
      </c>
      <c r="H446" s="29">
        <v>0</v>
      </c>
      <c r="I446" s="29">
        <v>0</v>
      </c>
      <c r="J446" s="29">
        <v>0</v>
      </c>
      <c r="K446" s="31">
        <v>0</v>
      </c>
      <c r="L446" s="29">
        <v>0</v>
      </c>
      <c r="M446" s="37">
        <v>653</v>
      </c>
      <c r="N446" s="37">
        <v>2689261</v>
      </c>
      <c r="O446" s="29">
        <v>0</v>
      </c>
      <c r="P446" s="29">
        <v>0</v>
      </c>
      <c r="Q446" s="29">
        <v>0</v>
      </c>
      <c r="R446" s="29">
        <v>0</v>
      </c>
      <c r="S446" s="29">
        <v>0</v>
      </c>
      <c r="T446" s="29">
        <v>0</v>
      </c>
      <c r="U446" s="29">
        <v>0</v>
      </c>
      <c r="V446" s="29">
        <v>0</v>
      </c>
      <c r="W446" s="29">
        <v>0</v>
      </c>
      <c r="X446" s="29">
        <v>0</v>
      </c>
      <c r="Y446" s="29">
        <v>0</v>
      </c>
      <c r="Z446" s="29">
        <v>0</v>
      </c>
      <c r="AA446" s="29">
        <v>0</v>
      </c>
      <c r="AB446" s="29">
        <v>0</v>
      </c>
      <c r="AC446" s="37">
        <v>37716.89</v>
      </c>
      <c r="AD446" s="37">
        <v>83597.740000000005</v>
      </c>
      <c r="AE446" s="29">
        <v>0</v>
      </c>
      <c r="AF446" s="32">
        <v>2020</v>
      </c>
      <c r="AG446" s="32">
        <v>2020</v>
      </c>
      <c r="AH446" s="33">
        <v>2020</v>
      </c>
      <c r="AT446" s="18" t="e">
        <f>VLOOKUP(C446,AW:AX,2,FALSE)</f>
        <v>#N/A</v>
      </c>
      <c r="BZ446" s="61"/>
      <c r="CD446" s="18" t="e">
        <f>VLOOKUP(C446,CE:CF,2,FALSE)</f>
        <v>#N/A</v>
      </c>
    </row>
    <row r="447" spans="1:82" ht="61.5" x14ac:dyDescent="0.85">
      <c r="A447" s="18">
        <v>1</v>
      </c>
      <c r="B447" s="57">
        <f>SUBTOTAL(103,$A$22:A447)</f>
        <v>386</v>
      </c>
      <c r="C447" s="22" t="s">
        <v>49</v>
      </c>
      <c r="D447" s="29">
        <f t="shared" si="61"/>
        <v>131037.61</v>
      </c>
      <c r="E447" s="29">
        <v>0</v>
      </c>
      <c r="F447" s="29">
        <v>0</v>
      </c>
      <c r="G447" s="29">
        <v>0</v>
      </c>
      <c r="H447" s="29">
        <v>0</v>
      </c>
      <c r="I447" s="29">
        <v>0</v>
      </c>
      <c r="J447" s="29">
        <v>0</v>
      </c>
      <c r="K447" s="31">
        <v>0</v>
      </c>
      <c r="L447" s="29">
        <v>0</v>
      </c>
      <c r="M447" s="29">
        <v>0</v>
      </c>
      <c r="N447" s="29">
        <v>0</v>
      </c>
      <c r="O447" s="29">
        <v>0</v>
      </c>
      <c r="P447" s="29">
        <v>0</v>
      </c>
      <c r="Q447" s="29">
        <v>0</v>
      </c>
      <c r="R447" s="29">
        <v>0</v>
      </c>
      <c r="S447" s="29">
        <v>0</v>
      </c>
      <c r="T447" s="29">
        <v>0</v>
      </c>
      <c r="U447" s="29">
        <v>0</v>
      </c>
      <c r="V447" s="29">
        <v>0</v>
      </c>
      <c r="W447" s="29">
        <v>0</v>
      </c>
      <c r="X447" s="29">
        <v>0</v>
      </c>
      <c r="Y447" s="29">
        <v>0</v>
      </c>
      <c r="Z447" s="29">
        <v>0</v>
      </c>
      <c r="AA447" s="29">
        <v>0</v>
      </c>
      <c r="AB447" s="29">
        <v>0</v>
      </c>
      <c r="AC447" s="29">
        <f>ROUND(N447*1.5%,2)</f>
        <v>0</v>
      </c>
      <c r="AD447" s="37">
        <v>131037.61</v>
      </c>
      <c r="AE447" s="29">
        <v>0</v>
      </c>
      <c r="AF447" s="32">
        <v>2020</v>
      </c>
      <c r="AG447" s="32" t="s">
        <v>268</v>
      </c>
      <c r="AH447" s="32" t="s">
        <v>268</v>
      </c>
      <c r="AT447" s="18">
        <f>VLOOKUP(C447,AW:AX,2,FALSE)</f>
        <v>1</v>
      </c>
      <c r="BZ447" s="61"/>
      <c r="CD447" s="18" t="e">
        <f>VLOOKUP(C447,CE:CF,2,FALSE)</f>
        <v>#N/A</v>
      </c>
    </row>
    <row r="448" spans="1:82" ht="61.5" x14ac:dyDescent="0.85">
      <c r="A448" s="18">
        <v>1</v>
      </c>
      <c r="B448" s="57">
        <f>SUBTOTAL(103,$A$22:A448)</f>
        <v>387</v>
      </c>
      <c r="C448" s="22" t="s">
        <v>51</v>
      </c>
      <c r="D448" s="29">
        <f t="shared" si="61"/>
        <v>2938871.62</v>
      </c>
      <c r="E448" s="29">
        <v>0</v>
      </c>
      <c r="F448" s="29">
        <v>0</v>
      </c>
      <c r="G448" s="29">
        <v>0</v>
      </c>
      <c r="H448" s="29">
        <v>0</v>
      </c>
      <c r="I448" s="29">
        <v>0</v>
      </c>
      <c r="J448" s="29">
        <v>0</v>
      </c>
      <c r="K448" s="31">
        <v>0</v>
      </c>
      <c r="L448" s="29">
        <v>0</v>
      </c>
      <c r="M448" s="37">
        <v>680</v>
      </c>
      <c r="N448" s="37">
        <v>2814506</v>
      </c>
      <c r="O448" s="29">
        <v>0</v>
      </c>
      <c r="P448" s="29">
        <v>0</v>
      </c>
      <c r="Q448" s="29">
        <v>0</v>
      </c>
      <c r="R448" s="29">
        <v>0</v>
      </c>
      <c r="S448" s="29">
        <v>0</v>
      </c>
      <c r="T448" s="29">
        <v>0</v>
      </c>
      <c r="U448" s="29">
        <v>0</v>
      </c>
      <c r="V448" s="29">
        <v>0</v>
      </c>
      <c r="W448" s="29">
        <v>0</v>
      </c>
      <c r="X448" s="29">
        <v>0</v>
      </c>
      <c r="Y448" s="29">
        <v>0</v>
      </c>
      <c r="Z448" s="29">
        <v>0</v>
      </c>
      <c r="AA448" s="29">
        <v>0</v>
      </c>
      <c r="AB448" s="29">
        <v>0</v>
      </c>
      <c r="AC448" s="37">
        <v>39473.449999999997</v>
      </c>
      <c r="AD448" s="37">
        <v>84892.17</v>
      </c>
      <c r="AE448" s="29">
        <v>0</v>
      </c>
      <c r="AF448" s="32">
        <v>2020</v>
      </c>
      <c r="AG448" s="32">
        <v>2020</v>
      </c>
      <c r="AH448" s="33">
        <v>2020</v>
      </c>
      <c r="AT448" s="18" t="e">
        <f>VLOOKUP(C448,AW:AX,2,FALSE)</f>
        <v>#N/A</v>
      </c>
      <c r="BZ448" s="61"/>
      <c r="CD448" s="18" t="e">
        <f>VLOOKUP(C448,CE:CF,2,FALSE)</f>
        <v>#N/A</v>
      </c>
    </row>
    <row r="449" spans="1:82" ht="61.5" x14ac:dyDescent="0.85">
      <c r="A449" s="18">
        <v>1</v>
      </c>
      <c r="B449" s="57">
        <f>SUBTOTAL(103,$A$22:A449)</f>
        <v>388</v>
      </c>
      <c r="C449" s="22" t="s">
        <v>1233</v>
      </c>
      <c r="D449" s="29">
        <f t="shared" si="61"/>
        <v>2250237.6300000004</v>
      </c>
      <c r="E449" s="29">
        <v>0</v>
      </c>
      <c r="F449" s="29">
        <v>0</v>
      </c>
      <c r="G449" s="29">
        <v>0</v>
      </c>
      <c r="H449" s="29">
        <v>0</v>
      </c>
      <c r="I449" s="29">
        <v>0</v>
      </c>
      <c r="J449" s="29">
        <v>0</v>
      </c>
      <c r="K449" s="31">
        <v>0</v>
      </c>
      <c r="L449" s="29">
        <v>0</v>
      </c>
      <c r="M449" s="37">
        <v>678.5</v>
      </c>
      <c r="N449" s="37">
        <v>2217146.7200000002</v>
      </c>
      <c r="O449" s="29">
        <v>0</v>
      </c>
      <c r="P449" s="29">
        <v>0</v>
      </c>
      <c r="Q449" s="29">
        <v>0</v>
      </c>
      <c r="R449" s="29">
        <v>0</v>
      </c>
      <c r="S449" s="29">
        <v>0</v>
      </c>
      <c r="T449" s="29">
        <v>0</v>
      </c>
      <c r="U449" s="29">
        <v>0</v>
      </c>
      <c r="V449" s="29">
        <v>0</v>
      </c>
      <c r="W449" s="29">
        <v>0</v>
      </c>
      <c r="X449" s="29">
        <v>0</v>
      </c>
      <c r="Y449" s="29">
        <v>0</v>
      </c>
      <c r="Z449" s="29">
        <v>0</v>
      </c>
      <c r="AA449" s="29">
        <v>0</v>
      </c>
      <c r="AB449" s="29">
        <v>0</v>
      </c>
      <c r="AC449" s="29">
        <f>ROUND(N449*1.4925%,2)</f>
        <v>33090.910000000003</v>
      </c>
      <c r="AD449" s="29">
        <v>0</v>
      </c>
      <c r="AE449" s="29">
        <v>0</v>
      </c>
      <c r="AF449" s="32" t="s">
        <v>268</v>
      </c>
      <c r="AG449" s="32">
        <v>2020</v>
      </c>
      <c r="AH449" s="33">
        <v>2020</v>
      </c>
      <c r="BZ449" s="61"/>
      <c r="CD449" s="18">
        <f>VLOOKUP(C449,CE:CF,2,FALSE)</f>
        <v>678.5</v>
      </c>
    </row>
    <row r="450" spans="1:82" ht="61.5" x14ac:dyDescent="0.85">
      <c r="A450" s="18">
        <v>1</v>
      </c>
      <c r="B450" s="57">
        <f>SUBTOTAL(103,$A$22:A450)</f>
        <v>389</v>
      </c>
      <c r="C450" s="22" t="s">
        <v>1234</v>
      </c>
      <c r="D450" s="29">
        <f t="shared" si="61"/>
        <v>2695769.57</v>
      </c>
      <c r="E450" s="29">
        <v>0</v>
      </c>
      <c r="F450" s="29">
        <v>0</v>
      </c>
      <c r="G450" s="29">
        <v>0</v>
      </c>
      <c r="H450" s="29">
        <v>0</v>
      </c>
      <c r="I450" s="29">
        <v>0</v>
      </c>
      <c r="J450" s="29">
        <v>0</v>
      </c>
      <c r="K450" s="31">
        <v>0</v>
      </c>
      <c r="L450" s="29">
        <v>0</v>
      </c>
      <c r="M450" s="37">
        <v>1273.99</v>
      </c>
      <c r="N450" s="37">
        <v>2656126.88</v>
      </c>
      <c r="O450" s="29">
        <v>0</v>
      </c>
      <c r="P450" s="29">
        <v>0</v>
      </c>
      <c r="Q450" s="29">
        <v>0</v>
      </c>
      <c r="R450" s="29">
        <v>0</v>
      </c>
      <c r="S450" s="29">
        <v>0</v>
      </c>
      <c r="T450" s="29">
        <v>0</v>
      </c>
      <c r="U450" s="29">
        <v>0</v>
      </c>
      <c r="V450" s="29">
        <v>0</v>
      </c>
      <c r="W450" s="29">
        <v>0</v>
      </c>
      <c r="X450" s="29">
        <v>0</v>
      </c>
      <c r="Y450" s="29">
        <v>0</v>
      </c>
      <c r="Z450" s="29">
        <v>0</v>
      </c>
      <c r="AA450" s="29">
        <v>0</v>
      </c>
      <c r="AB450" s="29">
        <v>0</v>
      </c>
      <c r="AC450" s="29">
        <f>ROUND(N450*1.4925%,2)</f>
        <v>39642.69</v>
      </c>
      <c r="AD450" s="29">
        <v>0</v>
      </c>
      <c r="AE450" s="29">
        <v>0</v>
      </c>
      <c r="AF450" s="32" t="s">
        <v>268</v>
      </c>
      <c r="AG450" s="32">
        <v>2020</v>
      </c>
      <c r="AH450" s="33">
        <v>2020</v>
      </c>
      <c r="BZ450" s="61"/>
      <c r="CD450" s="18">
        <f>VLOOKUP(C450,CE:CF,2,FALSE)</f>
        <v>1278.8</v>
      </c>
    </row>
    <row r="451" spans="1:82" ht="61.5" x14ac:dyDescent="0.85">
      <c r="A451" s="18">
        <v>1</v>
      </c>
      <c r="B451" s="57">
        <f>SUBTOTAL(103,$A$22:A451)</f>
        <v>390</v>
      </c>
      <c r="C451" s="22" t="s">
        <v>1236</v>
      </c>
      <c r="D451" s="29">
        <f t="shared" si="61"/>
        <v>791834.9</v>
      </c>
      <c r="E451" s="29">
        <v>0</v>
      </c>
      <c r="F451" s="29">
        <v>0</v>
      </c>
      <c r="G451" s="29">
        <v>0</v>
      </c>
      <c r="H451" s="29">
        <v>0</v>
      </c>
      <c r="I451" s="29">
        <v>0</v>
      </c>
      <c r="J451" s="29">
        <v>0</v>
      </c>
      <c r="K451" s="31">
        <v>0</v>
      </c>
      <c r="L451" s="29">
        <v>0</v>
      </c>
      <c r="M451" s="37">
        <v>234</v>
      </c>
      <c r="N451" s="37">
        <v>788296.24</v>
      </c>
      <c r="O451" s="29">
        <v>0</v>
      </c>
      <c r="P451" s="29">
        <v>0</v>
      </c>
      <c r="Q451" s="29">
        <v>0</v>
      </c>
      <c r="R451" s="29">
        <v>0</v>
      </c>
      <c r="S451" s="29">
        <v>0</v>
      </c>
      <c r="T451" s="29">
        <v>0</v>
      </c>
      <c r="U451" s="29">
        <v>0</v>
      </c>
      <c r="V451" s="29">
        <v>0</v>
      </c>
      <c r="W451" s="29">
        <v>0</v>
      </c>
      <c r="X451" s="29">
        <v>0</v>
      </c>
      <c r="Y451" s="29">
        <v>0</v>
      </c>
      <c r="Z451" s="29">
        <v>0</v>
      </c>
      <c r="AA451" s="29">
        <v>0</v>
      </c>
      <c r="AB451" s="29">
        <v>0</v>
      </c>
      <c r="AC451" s="29">
        <f>ROUND(N451*0.4489%,2)</f>
        <v>3538.66</v>
      </c>
      <c r="AD451" s="29">
        <v>0</v>
      </c>
      <c r="AE451" s="29">
        <v>0</v>
      </c>
      <c r="AF451" s="32" t="s">
        <v>268</v>
      </c>
      <c r="AG451" s="32">
        <v>2020</v>
      </c>
      <c r="AH451" s="33">
        <v>2020</v>
      </c>
      <c r="BZ451" s="61"/>
      <c r="CD451" s="18">
        <f>VLOOKUP(C451,CE:CF,2,FALSE)</f>
        <v>225.04</v>
      </c>
    </row>
    <row r="452" spans="1:82" ht="61.5" x14ac:dyDescent="0.85">
      <c r="A452" s="18">
        <v>1</v>
      </c>
      <c r="B452" s="57">
        <f>SUBTOTAL(103,$A$22:A452)</f>
        <v>391</v>
      </c>
      <c r="C452" s="22" t="s">
        <v>1237</v>
      </c>
      <c r="D452" s="29">
        <f>E452+F452+G452+H452+I452+J452+L452+N452+P452+R452+T452+U452+V452+W452+X452+Y452+Z452+AA452+AB452+AC452+AD452+AE452</f>
        <v>1207929.18</v>
      </c>
      <c r="E452" s="29">
        <v>0</v>
      </c>
      <c r="F452" s="29">
        <v>0</v>
      </c>
      <c r="G452" s="29">
        <v>0</v>
      </c>
      <c r="H452" s="29">
        <v>0</v>
      </c>
      <c r="I452" s="29">
        <v>0</v>
      </c>
      <c r="J452" s="29">
        <v>0</v>
      </c>
      <c r="K452" s="31">
        <v>0</v>
      </c>
      <c r="L452" s="29">
        <v>0</v>
      </c>
      <c r="M452" s="37">
        <v>347.46</v>
      </c>
      <c r="N452" s="37">
        <v>1202531.02</v>
      </c>
      <c r="O452" s="29">
        <v>0</v>
      </c>
      <c r="P452" s="29">
        <v>0</v>
      </c>
      <c r="Q452" s="29">
        <v>0</v>
      </c>
      <c r="R452" s="29">
        <v>0</v>
      </c>
      <c r="S452" s="29">
        <v>0</v>
      </c>
      <c r="T452" s="29">
        <v>0</v>
      </c>
      <c r="U452" s="29">
        <v>0</v>
      </c>
      <c r="V452" s="29">
        <v>0</v>
      </c>
      <c r="W452" s="29">
        <v>0</v>
      </c>
      <c r="X452" s="29">
        <v>0</v>
      </c>
      <c r="Y452" s="29">
        <v>0</v>
      </c>
      <c r="Z452" s="29">
        <v>0</v>
      </c>
      <c r="AA452" s="29">
        <v>0</v>
      </c>
      <c r="AB452" s="29">
        <v>0</v>
      </c>
      <c r="AC452" s="29">
        <f>ROUND(N452*0.4489%,2)</f>
        <v>5398.16</v>
      </c>
      <c r="AD452" s="29">
        <v>0</v>
      </c>
      <c r="AE452" s="29">
        <v>0</v>
      </c>
      <c r="AF452" s="32" t="s">
        <v>268</v>
      </c>
      <c r="AG452" s="32">
        <v>2020</v>
      </c>
      <c r="AH452" s="33">
        <v>2020</v>
      </c>
      <c r="BZ452" s="61"/>
      <c r="CD452" s="18">
        <f>VLOOKUP(C452,CE:CF,2,FALSE)</f>
        <v>337</v>
      </c>
    </row>
    <row r="453" spans="1:82" ht="61.5" x14ac:dyDescent="0.85">
      <c r="A453" s="18">
        <v>1</v>
      </c>
      <c r="B453" s="57">
        <f>SUBTOTAL(103,$A$22:A453)</f>
        <v>392</v>
      </c>
      <c r="C453" s="22" t="s">
        <v>58</v>
      </c>
      <c r="D453" s="29">
        <f>E453+F453+G453+H453+I453+J453+L453+N453+P453+R453+T453+U453+V453+W453+X453+Y453+Z453+AA453+AB453+AC453+AD453+AE453</f>
        <v>77311.89</v>
      </c>
      <c r="E453" s="29">
        <v>0</v>
      </c>
      <c r="F453" s="29">
        <v>0</v>
      </c>
      <c r="G453" s="29">
        <v>0</v>
      </c>
      <c r="H453" s="29">
        <v>0</v>
      </c>
      <c r="I453" s="29">
        <v>0</v>
      </c>
      <c r="J453" s="29">
        <v>0</v>
      </c>
      <c r="K453" s="64">
        <v>0</v>
      </c>
      <c r="L453" s="29">
        <v>0</v>
      </c>
      <c r="M453" s="29">
        <v>0</v>
      </c>
      <c r="N453" s="29">
        <v>0</v>
      </c>
      <c r="O453" s="29">
        <v>0</v>
      </c>
      <c r="P453" s="29">
        <v>0</v>
      </c>
      <c r="Q453" s="29">
        <v>0</v>
      </c>
      <c r="R453" s="29">
        <v>0</v>
      </c>
      <c r="S453" s="29">
        <v>0</v>
      </c>
      <c r="T453" s="29">
        <v>0</v>
      </c>
      <c r="U453" s="29">
        <v>0</v>
      </c>
      <c r="V453" s="29">
        <v>0</v>
      </c>
      <c r="W453" s="29">
        <v>0</v>
      </c>
      <c r="X453" s="29">
        <v>0</v>
      </c>
      <c r="Y453" s="29">
        <v>0</v>
      </c>
      <c r="Z453" s="29">
        <v>0</v>
      </c>
      <c r="AA453" s="29">
        <v>0</v>
      </c>
      <c r="AB453" s="29">
        <v>0</v>
      </c>
      <c r="AC453" s="29">
        <f>ROUND(N453*1.5%,2)</f>
        <v>0</v>
      </c>
      <c r="AD453" s="29">
        <v>77311.89</v>
      </c>
      <c r="AE453" s="29">
        <v>0</v>
      </c>
      <c r="AF453" s="32">
        <v>2020</v>
      </c>
      <c r="AG453" s="32" t="s">
        <v>268</v>
      </c>
      <c r="AH453" s="32" t="s">
        <v>268</v>
      </c>
      <c r="AT453" s="18" t="e">
        <f>VLOOKUP(C453,AW:AX,2,FALSE)</f>
        <v>#N/A</v>
      </c>
      <c r="BZ453" s="61"/>
      <c r="CD453" s="18" t="e">
        <f>VLOOKUP(C453,CE:CF,2,FALSE)</f>
        <v>#N/A</v>
      </c>
    </row>
    <row r="454" spans="1:82" ht="61.5" x14ac:dyDescent="0.85">
      <c r="A454" s="18">
        <v>1</v>
      </c>
      <c r="B454" s="57">
        <f>SUBTOTAL(103,$A$22:A454)</f>
        <v>393</v>
      </c>
      <c r="C454" s="22" t="s">
        <v>59</v>
      </c>
      <c r="D454" s="29">
        <f>E454+F454+G454+H454+I454+J454+L454+N454+P454+R454+T454+U454+V454+W454+X454+Y454+Z454+AA454+AB454+AC454+AD454+AE454</f>
        <v>76900.47</v>
      </c>
      <c r="E454" s="29">
        <v>0</v>
      </c>
      <c r="F454" s="29">
        <v>0</v>
      </c>
      <c r="G454" s="29">
        <v>0</v>
      </c>
      <c r="H454" s="29">
        <v>0</v>
      </c>
      <c r="I454" s="29">
        <v>0</v>
      </c>
      <c r="J454" s="29">
        <v>0</v>
      </c>
      <c r="K454" s="64">
        <v>0</v>
      </c>
      <c r="L454" s="29">
        <v>0</v>
      </c>
      <c r="M454" s="29">
        <v>0</v>
      </c>
      <c r="N454" s="29">
        <v>0</v>
      </c>
      <c r="O454" s="29">
        <v>0</v>
      </c>
      <c r="P454" s="29">
        <v>0</v>
      </c>
      <c r="Q454" s="29">
        <v>0</v>
      </c>
      <c r="R454" s="29">
        <v>0</v>
      </c>
      <c r="S454" s="29">
        <v>0</v>
      </c>
      <c r="T454" s="29">
        <v>0</v>
      </c>
      <c r="U454" s="29">
        <v>0</v>
      </c>
      <c r="V454" s="29">
        <v>0</v>
      </c>
      <c r="W454" s="29">
        <v>0</v>
      </c>
      <c r="X454" s="29">
        <v>0</v>
      </c>
      <c r="Y454" s="29">
        <v>0</v>
      </c>
      <c r="Z454" s="29">
        <v>0</v>
      </c>
      <c r="AA454" s="29">
        <v>0</v>
      </c>
      <c r="AB454" s="29">
        <v>0</v>
      </c>
      <c r="AC454" s="29">
        <f>ROUND(N454*1.5%,2)</f>
        <v>0</v>
      </c>
      <c r="AD454" s="29">
        <v>76900.47</v>
      </c>
      <c r="AE454" s="29">
        <v>0</v>
      </c>
      <c r="AF454" s="32">
        <v>2020</v>
      </c>
      <c r="AG454" s="32" t="s">
        <v>268</v>
      </c>
      <c r="AH454" s="32" t="s">
        <v>268</v>
      </c>
      <c r="AT454" s="18" t="e">
        <f>VLOOKUP(C454,AW:AX,2,FALSE)</f>
        <v>#N/A</v>
      </c>
      <c r="BZ454" s="61"/>
      <c r="CD454" s="18" t="e">
        <f>VLOOKUP(C454,CE:CF,2,FALSE)</f>
        <v>#N/A</v>
      </c>
    </row>
    <row r="455" spans="1:82" ht="61.5" x14ac:dyDescent="0.85">
      <c r="B455" s="22" t="s">
        <v>875</v>
      </c>
      <c r="C455" s="22"/>
      <c r="D455" s="339">
        <f>D456</f>
        <v>3622790.6399999997</v>
      </c>
      <c r="E455" s="29">
        <f t="shared" ref="E455:AE455" si="62">E456</f>
        <v>0</v>
      </c>
      <c r="F455" s="29">
        <f t="shared" si="62"/>
        <v>0</v>
      </c>
      <c r="G455" s="29">
        <f t="shared" si="62"/>
        <v>0</v>
      </c>
      <c r="H455" s="29">
        <f t="shared" si="62"/>
        <v>0</v>
      </c>
      <c r="I455" s="29">
        <f t="shared" si="62"/>
        <v>0</v>
      </c>
      <c r="J455" s="29">
        <f t="shared" si="62"/>
        <v>0</v>
      </c>
      <c r="K455" s="31">
        <f t="shared" si="62"/>
        <v>0</v>
      </c>
      <c r="L455" s="29">
        <f t="shared" si="62"/>
        <v>0</v>
      </c>
      <c r="M455" s="29">
        <f t="shared" si="62"/>
        <v>837.3</v>
      </c>
      <c r="N455" s="29">
        <f t="shared" si="62"/>
        <v>3606600.61</v>
      </c>
      <c r="O455" s="29">
        <f t="shared" si="62"/>
        <v>0</v>
      </c>
      <c r="P455" s="29">
        <f t="shared" si="62"/>
        <v>0</v>
      </c>
      <c r="Q455" s="29">
        <f t="shared" si="62"/>
        <v>0</v>
      </c>
      <c r="R455" s="29">
        <f t="shared" si="62"/>
        <v>0</v>
      </c>
      <c r="S455" s="29">
        <f t="shared" si="62"/>
        <v>0</v>
      </c>
      <c r="T455" s="29">
        <f t="shared" si="62"/>
        <v>0</v>
      </c>
      <c r="U455" s="29">
        <f t="shared" si="62"/>
        <v>0</v>
      </c>
      <c r="V455" s="29">
        <f t="shared" si="62"/>
        <v>0</v>
      </c>
      <c r="W455" s="29">
        <f t="shared" si="62"/>
        <v>0</v>
      </c>
      <c r="X455" s="29">
        <f t="shared" si="62"/>
        <v>0</v>
      </c>
      <c r="Y455" s="29">
        <f t="shared" si="62"/>
        <v>0</v>
      </c>
      <c r="Z455" s="29">
        <f t="shared" si="62"/>
        <v>0</v>
      </c>
      <c r="AA455" s="29">
        <f t="shared" si="62"/>
        <v>0</v>
      </c>
      <c r="AB455" s="29">
        <f t="shared" si="62"/>
        <v>0</v>
      </c>
      <c r="AC455" s="29">
        <f t="shared" si="62"/>
        <v>16190.03</v>
      </c>
      <c r="AD455" s="29">
        <f t="shared" si="62"/>
        <v>0</v>
      </c>
      <c r="AE455" s="29">
        <f t="shared" si="62"/>
        <v>0</v>
      </c>
      <c r="AF455" s="62" t="s">
        <v>743</v>
      </c>
      <c r="AG455" s="62" t="s">
        <v>743</v>
      </c>
      <c r="AH455" s="77" t="s">
        <v>743</v>
      </c>
      <c r="AT455" s="18" t="e">
        <f>VLOOKUP(C455,AW:AX,2,FALSE)</f>
        <v>#N/A</v>
      </c>
      <c r="BZ455" s="61">
        <v>3726576.42</v>
      </c>
      <c r="CD455" s="18" t="e">
        <f>VLOOKUP(C455,CE:CF,2,FALSE)</f>
        <v>#N/A</v>
      </c>
    </row>
    <row r="456" spans="1:82" ht="61.5" x14ac:dyDescent="0.85">
      <c r="A456" s="18">
        <v>1</v>
      </c>
      <c r="B456" s="57">
        <f>SUBTOTAL(103,$A$22:A456)</f>
        <v>394</v>
      </c>
      <c r="C456" s="22" t="s">
        <v>1539</v>
      </c>
      <c r="D456" s="29">
        <f>E456+F456+G456+H456+I456+J456+L456+N456+P456+R456+T456+U456+V456+W456+X456+Y456+Z456+AA456+AB456+AC456+AD456+AE456</f>
        <v>3622790.6399999997</v>
      </c>
      <c r="E456" s="29">
        <v>0</v>
      </c>
      <c r="F456" s="29">
        <v>0</v>
      </c>
      <c r="G456" s="29">
        <v>0</v>
      </c>
      <c r="H456" s="29">
        <v>0</v>
      </c>
      <c r="I456" s="29">
        <v>0</v>
      </c>
      <c r="J456" s="29">
        <v>0</v>
      </c>
      <c r="K456" s="31">
        <v>0</v>
      </c>
      <c r="L456" s="29">
        <v>0</v>
      </c>
      <c r="M456" s="37">
        <v>837.3</v>
      </c>
      <c r="N456" s="37">
        <v>3606600.61</v>
      </c>
      <c r="O456" s="29">
        <v>0</v>
      </c>
      <c r="P456" s="29">
        <v>0</v>
      </c>
      <c r="Q456" s="29">
        <v>0</v>
      </c>
      <c r="R456" s="29">
        <v>0</v>
      </c>
      <c r="S456" s="29">
        <v>0</v>
      </c>
      <c r="T456" s="29">
        <v>0</v>
      </c>
      <c r="U456" s="29">
        <v>0</v>
      </c>
      <c r="V456" s="29">
        <v>0</v>
      </c>
      <c r="W456" s="29">
        <v>0</v>
      </c>
      <c r="X456" s="29">
        <v>0</v>
      </c>
      <c r="Y456" s="29">
        <v>0</v>
      </c>
      <c r="Z456" s="29">
        <v>0</v>
      </c>
      <c r="AA456" s="29">
        <v>0</v>
      </c>
      <c r="AB456" s="29">
        <v>0</v>
      </c>
      <c r="AC456" s="29">
        <f>ROUND(N456*0.4489%,2)</f>
        <v>16190.03</v>
      </c>
      <c r="AD456" s="29">
        <v>0</v>
      </c>
      <c r="AE456" s="29">
        <v>0</v>
      </c>
      <c r="AF456" s="32" t="s">
        <v>268</v>
      </c>
      <c r="AG456" s="32">
        <v>2020</v>
      </c>
      <c r="AH456" s="33">
        <v>2020</v>
      </c>
      <c r="BZ456" s="61"/>
      <c r="CD456" s="18">
        <f>VLOOKUP(C456,CE:CF,2,FALSE)</f>
        <v>837.3</v>
      </c>
    </row>
    <row r="457" spans="1:82" ht="61.5" x14ac:dyDescent="0.85">
      <c r="B457" s="22" t="s">
        <v>839</v>
      </c>
      <c r="C457" s="338"/>
      <c r="D457" s="339">
        <f>D458</f>
        <v>3515825.94</v>
      </c>
      <c r="E457" s="29">
        <f t="shared" ref="E457:AE457" si="63">E458</f>
        <v>0</v>
      </c>
      <c r="F457" s="29">
        <f t="shared" si="63"/>
        <v>0</v>
      </c>
      <c r="G457" s="29">
        <f t="shared" si="63"/>
        <v>0</v>
      </c>
      <c r="H457" s="29">
        <f t="shared" si="63"/>
        <v>0</v>
      </c>
      <c r="I457" s="29">
        <f t="shared" si="63"/>
        <v>0</v>
      </c>
      <c r="J457" s="29">
        <f t="shared" si="63"/>
        <v>0</v>
      </c>
      <c r="K457" s="31">
        <f t="shared" si="63"/>
        <v>0</v>
      </c>
      <c r="L457" s="29">
        <f t="shared" si="63"/>
        <v>0</v>
      </c>
      <c r="M457" s="29">
        <f t="shared" si="63"/>
        <v>806.42</v>
      </c>
      <c r="N457" s="29">
        <f t="shared" si="63"/>
        <v>3418104.51</v>
      </c>
      <c r="O457" s="29">
        <f t="shared" si="63"/>
        <v>0</v>
      </c>
      <c r="P457" s="29">
        <f t="shared" si="63"/>
        <v>0</v>
      </c>
      <c r="Q457" s="29">
        <f t="shared" si="63"/>
        <v>0</v>
      </c>
      <c r="R457" s="29">
        <f t="shared" si="63"/>
        <v>0</v>
      </c>
      <c r="S457" s="29">
        <f t="shared" si="63"/>
        <v>0</v>
      </c>
      <c r="T457" s="29">
        <f t="shared" si="63"/>
        <v>0</v>
      </c>
      <c r="U457" s="29">
        <f t="shared" si="63"/>
        <v>0</v>
      </c>
      <c r="V457" s="29">
        <f t="shared" si="63"/>
        <v>0</v>
      </c>
      <c r="W457" s="29">
        <f t="shared" si="63"/>
        <v>0</v>
      </c>
      <c r="X457" s="29">
        <f t="shared" si="63"/>
        <v>0</v>
      </c>
      <c r="Y457" s="29">
        <f t="shared" si="63"/>
        <v>0</v>
      </c>
      <c r="Z457" s="29">
        <f t="shared" si="63"/>
        <v>0</v>
      </c>
      <c r="AA457" s="29">
        <f t="shared" si="63"/>
        <v>0</v>
      </c>
      <c r="AB457" s="29">
        <f t="shared" si="63"/>
        <v>0</v>
      </c>
      <c r="AC457" s="29">
        <f t="shared" si="63"/>
        <v>34608.31</v>
      </c>
      <c r="AD457" s="29">
        <f t="shared" si="63"/>
        <v>63113.120000000003</v>
      </c>
      <c r="AE457" s="29">
        <f t="shared" si="63"/>
        <v>0</v>
      </c>
      <c r="AF457" s="62" t="s">
        <v>743</v>
      </c>
      <c r="AG457" s="62" t="s">
        <v>743</v>
      </c>
      <c r="AH457" s="77" t="s">
        <v>743</v>
      </c>
      <c r="AT457" s="18" t="e">
        <f>VLOOKUP(C457,AW:AX,2,FALSE)</f>
        <v>#N/A</v>
      </c>
      <c r="BZ457" s="61">
        <v>5198352.66</v>
      </c>
      <c r="CD457" s="18" t="e">
        <f>VLOOKUP(C457,CE:CF,2,FALSE)</f>
        <v>#N/A</v>
      </c>
    </row>
    <row r="458" spans="1:82" ht="61.5" x14ac:dyDescent="0.85">
      <c r="A458" s="18">
        <v>1</v>
      </c>
      <c r="B458" s="57">
        <f>SUBTOTAL(103,$A$22:A458)</f>
        <v>395</v>
      </c>
      <c r="C458" s="22" t="s">
        <v>227</v>
      </c>
      <c r="D458" s="29">
        <f>E458+F458+G458+H458+I458+J458+L458+N458+P458+R458+T458+U458+V458+W458+X458+Y458+Z458+AA458+AB458+AC458+AD458+AE458</f>
        <v>3515825.94</v>
      </c>
      <c r="E458" s="29">
        <v>0</v>
      </c>
      <c r="F458" s="29">
        <v>0</v>
      </c>
      <c r="G458" s="29">
        <v>0</v>
      </c>
      <c r="H458" s="29">
        <v>0</v>
      </c>
      <c r="I458" s="29">
        <v>0</v>
      </c>
      <c r="J458" s="29">
        <v>0</v>
      </c>
      <c r="K458" s="31">
        <v>0</v>
      </c>
      <c r="L458" s="29">
        <v>0</v>
      </c>
      <c r="M458" s="37">
        <v>806.42</v>
      </c>
      <c r="N458" s="134">
        <v>3418104.51</v>
      </c>
      <c r="O458" s="29">
        <v>0</v>
      </c>
      <c r="P458" s="29">
        <v>0</v>
      </c>
      <c r="Q458" s="29">
        <v>0</v>
      </c>
      <c r="R458" s="29">
        <v>0</v>
      </c>
      <c r="S458" s="29">
        <v>0</v>
      </c>
      <c r="T458" s="29">
        <v>0</v>
      </c>
      <c r="U458" s="29">
        <v>0</v>
      </c>
      <c r="V458" s="29">
        <v>0</v>
      </c>
      <c r="W458" s="29">
        <v>0</v>
      </c>
      <c r="X458" s="29">
        <v>0</v>
      </c>
      <c r="Y458" s="29">
        <v>0</v>
      </c>
      <c r="Z458" s="29">
        <v>0</v>
      </c>
      <c r="AA458" s="29">
        <v>0</v>
      </c>
      <c r="AB458" s="29">
        <v>0</v>
      </c>
      <c r="AC458" s="37">
        <v>34608.31</v>
      </c>
      <c r="AD458" s="37">
        <v>63113.120000000003</v>
      </c>
      <c r="AE458" s="29">
        <v>0</v>
      </c>
      <c r="AF458" s="32">
        <v>2020</v>
      </c>
      <c r="AG458" s="32">
        <v>2020</v>
      </c>
      <c r="AH458" s="33">
        <v>2020</v>
      </c>
      <c r="AT458" s="18" t="e">
        <f>VLOOKUP(C458,AW:AX,2,FALSE)</f>
        <v>#N/A</v>
      </c>
      <c r="BZ458" s="61"/>
      <c r="CD458" s="18">
        <f>VLOOKUP(C458,CE:CF,2,FALSE)</f>
        <v>806.38</v>
      </c>
    </row>
    <row r="459" spans="1:82" ht="61.5" x14ac:dyDescent="0.85">
      <c r="B459" s="22" t="s">
        <v>840</v>
      </c>
      <c r="C459" s="22"/>
      <c r="D459" s="339">
        <f t="shared" ref="D459:AE459" si="64">D460</f>
        <v>1371104.41</v>
      </c>
      <c r="E459" s="29">
        <f t="shared" si="64"/>
        <v>0</v>
      </c>
      <c r="F459" s="29">
        <f t="shared" si="64"/>
        <v>0</v>
      </c>
      <c r="G459" s="29">
        <f t="shared" si="64"/>
        <v>0</v>
      </c>
      <c r="H459" s="29">
        <f t="shared" si="64"/>
        <v>0</v>
      </c>
      <c r="I459" s="29">
        <f t="shared" si="64"/>
        <v>0</v>
      </c>
      <c r="J459" s="29">
        <f t="shared" si="64"/>
        <v>0</v>
      </c>
      <c r="K459" s="31">
        <f t="shared" si="64"/>
        <v>0</v>
      </c>
      <c r="L459" s="29">
        <f t="shared" si="64"/>
        <v>0</v>
      </c>
      <c r="M459" s="29">
        <f t="shared" si="64"/>
        <v>302</v>
      </c>
      <c r="N459" s="29">
        <f t="shared" si="64"/>
        <v>1318463.79</v>
      </c>
      <c r="O459" s="29">
        <f t="shared" si="64"/>
        <v>0</v>
      </c>
      <c r="P459" s="29">
        <f t="shared" si="64"/>
        <v>0</v>
      </c>
      <c r="Q459" s="29">
        <f t="shared" si="64"/>
        <v>0</v>
      </c>
      <c r="R459" s="29">
        <f t="shared" si="64"/>
        <v>0</v>
      </c>
      <c r="S459" s="29">
        <f t="shared" si="64"/>
        <v>0</v>
      </c>
      <c r="T459" s="29">
        <f t="shared" si="64"/>
        <v>0</v>
      </c>
      <c r="U459" s="29">
        <f t="shared" si="64"/>
        <v>0</v>
      </c>
      <c r="V459" s="29">
        <f t="shared" si="64"/>
        <v>0</v>
      </c>
      <c r="W459" s="29">
        <f t="shared" si="64"/>
        <v>0</v>
      </c>
      <c r="X459" s="29">
        <f t="shared" si="64"/>
        <v>0</v>
      </c>
      <c r="Y459" s="29">
        <f t="shared" si="64"/>
        <v>0</v>
      </c>
      <c r="Z459" s="29">
        <f t="shared" si="64"/>
        <v>0</v>
      </c>
      <c r="AA459" s="29">
        <f t="shared" si="64"/>
        <v>0</v>
      </c>
      <c r="AB459" s="29">
        <f t="shared" si="64"/>
        <v>0</v>
      </c>
      <c r="AC459" s="29">
        <f t="shared" si="64"/>
        <v>13349.45</v>
      </c>
      <c r="AD459" s="29">
        <f t="shared" si="64"/>
        <v>39291.17</v>
      </c>
      <c r="AE459" s="29">
        <f t="shared" si="64"/>
        <v>0</v>
      </c>
      <c r="AF459" s="62" t="s">
        <v>743</v>
      </c>
      <c r="AG459" s="62" t="s">
        <v>743</v>
      </c>
      <c r="AH459" s="77" t="s">
        <v>743</v>
      </c>
      <c r="AT459" s="18" t="e">
        <f>VLOOKUP(C459,AW:AX,2,FALSE)</f>
        <v>#N/A</v>
      </c>
      <c r="BZ459" s="61">
        <v>1821119.2799999998</v>
      </c>
      <c r="CD459" s="18" t="e">
        <f>VLOOKUP(C459,CE:CF,2,FALSE)</f>
        <v>#N/A</v>
      </c>
    </row>
    <row r="460" spans="1:82" ht="61.5" x14ac:dyDescent="0.85">
      <c r="A460" s="18">
        <v>1</v>
      </c>
      <c r="B460" s="57">
        <f>SUBTOTAL(103,$A$22:A460)</f>
        <v>396</v>
      </c>
      <c r="C460" s="22" t="s">
        <v>230</v>
      </c>
      <c r="D460" s="29">
        <f>E460+F460+G460+H460+I460+J460+L460+N460+P460+R460+T460+U460+V460+W460+X460+Y460+Z460+AA460+AB460+AC460+AD460+AE460</f>
        <v>1371104.41</v>
      </c>
      <c r="E460" s="29">
        <v>0</v>
      </c>
      <c r="F460" s="29">
        <v>0</v>
      </c>
      <c r="G460" s="29">
        <v>0</v>
      </c>
      <c r="H460" s="29">
        <v>0</v>
      </c>
      <c r="I460" s="29">
        <v>0</v>
      </c>
      <c r="J460" s="29">
        <v>0</v>
      </c>
      <c r="K460" s="31">
        <v>0</v>
      </c>
      <c r="L460" s="29">
        <v>0</v>
      </c>
      <c r="M460" s="37">
        <v>302</v>
      </c>
      <c r="N460" s="37">
        <v>1318463.79</v>
      </c>
      <c r="O460" s="29">
        <v>0</v>
      </c>
      <c r="P460" s="29">
        <v>0</v>
      </c>
      <c r="Q460" s="29">
        <v>0</v>
      </c>
      <c r="R460" s="29">
        <v>0</v>
      </c>
      <c r="S460" s="29">
        <v>0</v>
      </c>
      <c r="T460" s="29">
        <v>0</v>
      </c>
      <c r="U460" s="29">
        <v>0</v>
      </c>
      <c r="V460" s="29">
        <v>0</v>
      </c>
      <c r="W460" s="29">
        <v>0</v>
      </c>
      <c r="X460" s="29">
        <v>0</v>
      </c>
      <c r="Y460" s="29">
        <v>0</v>
      </c>
      <c r="Z460" s="29">
        <v>0</v>
      </c>
      <c r="AA460" s="29">
        <v>0</v>
      </c>
      <c r="AB460" s="29">
        <v>0</v>
      </c>
      <c r="AC460" s="134">
        <v>13349.45</v>
      </c>
      <c r="AD460" s="37">
        <v>39291.17</v>
      </c>
      <c r="AE460" s="29">
        <v>0</v>
      </c>
      <c r="AF460" s="32">
        <v>2020</v>
      </c>
      <c r="AG460" s="32">
        <v>2020</v>
      </c>
      <c r="AH460" s="33">
        <v>2020</v>
      </c>
      <c r="AT460" s="18" t="e">
        <f>VLOOKUP(C460,AW:AX,2,FALSE)</f>
        <v>#N/A</v>
      </c>
      <c r="BZ460" s="61"/>
      <c r="CD460" s="18">
        <f>VLOOKUP(C460,CE:CF,2,FALSE)</f>
        <v>308.60000000000002</v>
      </c>
    </row>
    <row r="461" spans="1:82" ht="61.5" x14ac:dyDescent="0.85">
      <c r="B461" s="22" t="s">
        <v>1279</v>
      </c>
      <c r="C461" s="22"/>
      <c r="D461" s="339">
        <f>D462</f>
        <v>40161.910000000003</v>
      </c>
      <c r="E461" s="29">
        <f t="shared" ref="E461:AE461" si="65">E462</f>
        <v>0</v>
      </c>
      <c r="F461" s="29">
        <f t="shared" si="65"/>
        <v>0</v>
      </c>
      <c r="G461" s="29">
        <f t="shared" si="65"/>
        <v>0</v>
      </c>
      <c r="H461" s="29">
        <f t="shared" si="65"/>
        <v>0</v>
      </c>
      <c r="I461" s="29">
        <f t="shared" si="65"/>
        <v>0</v>
      </c>
      <c r="J461" s="29">
        <f t="shared" si="65"/>
        <v>0</v>
      </c>
      <c r="K461" s="31">
        <f t="shared" si="65"/>
        <v>0</v>
      </c>
      <c r="L461" s="29">
        <f t="shared" si="65"/>
        <v>0</v>
      </c>
      <c r="M461" s="29">
        <f t="shared" si="65"/>
        <v>0</v>
      </c>
      <c r="N461" s="29">
        <f t="shared" si="65"/>
        <v>0</v>
      </c>
      <c r="O461" s="29">
        <f t="shared" si="65"/>
        <v>0</v>
      </c>
      <c r="P461" s="29">
        <f t="shared" si="65"/>
        <v>0</v>
      </c>
      <c r="Q461" s="29">
        <f t="shared" si="65"/>
        <v>0</v>
      </c>
      <c r="R461" s="29">
        <f t="shared" si="65"/>
        <v>0</v>
      </c>
      <c r="S461" s="29">
        <f t="shared" si="65"/>
        <v>0</v>
      </c>
      <c r="T461" s="29">
        <f t="shared" si="65"/>
        <v>0</v>
      </c>
      <c r="U461" s="29">
        <f t="shared" si="65"/>
        <v>0</v>
      </c>
      <c r="V461" s="29">
        <f t="shared" si="65"/>
        <v>0</v>
      </c>
      <c r="W461" s="29">
        <f t="shared" si="65"/>
        <v>0</v>
      </c>
      <c r="X461" s="29">
        <f t="shared" si="65"/>
        <v>0</v>
      </c>
      <c r="Y461" s="29">
        <f t="shared" si="65"/>
        <v>0</v>
      </c>
      <c r="Z461" s="29">
        <f t="shared" si="65"/>
        <v>0</v>
      </c>
      <c r="AA461" s="29">
        <f t="shared" si="65"/>
        <v>0</v>
      </c>
      <c r="AB461" s="29">
        <f t="shared" si="65"/>
        <v>0</v>
      </c>
      <c r="AC461" s="29">
        <f t="shared" si="65"/>
        <v>0</v>
      </c>
      <c r="AD461" s="29">
        <f t="shared" si="65"/>
        <v>40161.910000000003</v>
      </c>
      <c r="AE461" s="29">
        <f t="shared" si="65"/>
        <v>0</v>
      </c>
      <c r="AF461" s="62" t="s">
        <v>743</v>
      </c>
      <c r="AG461" s="62" t="s">
        <v>743</v>
      </c>
      <c r="AH461" s="77" t="s">
        <v>743</v>
      </c>
      <c r="BZ461" s="61">
        <v>4609049.76</v>
      </c>
      <c r="CD461" s="18" t="e">
        <f>VLOOKUP(C461,CE:CF,2,FALSE)</f>
        <v>#N/A</v>
      </c>
    </row>
    <row r="462" spans="1:82" ht="61.5" x14ac:dyDescent="0.85">
      <c r="A462" s="18">
        <v>1</v>
      </c>
      <c r="B462" s="57">
        <f>SUBTOTAL(103,$A$22:A462)</f>
        <v>397</v>
      </c>
      <c r="C462" s="22" t="s">
        <v>1280</v>
      </c>
      <c r="D462" s="29">
        <f>E462+F462+G462+H462+I462+J462+L462+N462+P462+R462+T462+U462+V462+W462+X462+Y462+Z462+AA462+AB462+AC462+AD462+AE462</f>
        <v>40161.910000000003</v>
      </c>
      <c r="E462" s="29">
        <v>0</v>
      </c>
      <c r="F462" s="29">
        <v>0</v>
      </c>
      <c r="G462" s="29">
        <v>0</v>
      </c>
      <c r="H462" s="29">
        <v>0</v>
      </c>
      <c r="I462" s="29">
        <v>0</v>
      </c>
      <c r="J462" s="29">
        <v>0</v>
      </c>
      <c r="K462" s="31">
        <v>0</v>
      </c>
      <c r="L462" s="29">
        <v>0</v>
      </c>
      <c r="M462" s="29">
        <v>0</v>
      </c>
      <c r="N462" s="29">
        <v>0</v>
      </c>
      <c r="O462" s="29">
        <v>0</v>
      </c>
      <c r="P462" s="29">
        <v>0</v>
      </c>
      <c r="Q462" s="29">
        <v>0</v>
      </c>
      <c r="R462" s="29">
        <v>0</v>
      </c>
      <c r="S462" s="29">
        <v>0</v>
      </c>
      <c r="T462" s="29">
        <v>0</v>
      </c>
      <c r="U462" s="29">
        <v>0</v>
      </c>
      <c r="V462" s="29">
        <v>0</v>
      </c>
      <c r="W462" s="29">
        <v>0</v>
      </c>
      <c r="X462" s="29">
        <v>0</v>
      </c>
      <c r="Y462" s="29">
        <v>0</v>
      </c>
      <c r="Z462" s="29">
        <v>0</v>
      </c>
      <c r="AA462" s="29">
        <v>0</v>
      </c>
      <c r="AB462" s="29">
        <v>0</v>
      </c>
      <c r="AC462" s="29">
        <f>ROUND(N462*1.5%,2)</f>
        <v>0</v>
      </c>
      <c r="AD462" s="37">
        <v>40161.910000000003</v>
      </c>
      <c r="AE462" s="29">
        <v>0</v>
      </c>
      <c r="AF462" s="32">
        <v>2020</v>
      </c>
      <c r="AG462" s="32" t="s">
        <v>268</v>
      </c>
      <c r="AH462" s="32" t="s">
        <v>268</v>
      </c>
      <c r="BZ462" s="61"/>
      <c r="CD462" s="18">
        <f>VLOOKUP(C462,CE:CF,2,FALSE)</f>
        <v>735</v>
      </c>
    </row>
    <row r="463" spans="1:82" ht="61.5" x14ac:dyDescent="0.85">
      <c r="B463" s="22" t="s">
        <v>841</v>
      </c>
      <c r="C463" s="338"/>
      <c r="D463" s="339">
        <f t="shared" ref="D463:AE463" si="66">D464</f>
        <v>127877.6</v>
      </c>
      <c r="E463" s="29">
        <f t="shared" si="66"/>
        <v>0</v>
      </c>
      <c r="F463" s="29">
        <f t="shared" si="66"/>
        <v>0</v>
      </c>
      <c r="G463" s="29">
        <f t="shared" si="66"/>
        <v>0</v>
      </c>
      <c r="H463" s="29">
        <f t="shared" si="66"/>
        <v>0</v>
      </c>
      <c r="I463" s="29">
        <f t="shared" si="66"/>
        <v>0</v>
      </c>
      <c r="J463" s="29">
        <f t="shared" si="66"/>
        <v>0</v>
      </c>
      <c r="K463" s="31">
        <f t="shared" si="66"/>
        <v>0</v>
      </c>
      <c r="L463" s="29">
        <f t="shared" si="66"/>
        <v>0</v>
      </c>
      <c r="M463" s="29">
        <f t="shared" si="66"/>
        <v>0</v>
      </c>
      <c r="N463" s="29">
        <f t="shared" si="66"/>
        <v>0</v>
      </c>
      <c r="O463" s="29">
        <f t="shared" si="66"/>
        <v>0</v>
      </c>
      <c r="P463" s="29">
        <f t="shared" si="66"/>
        <v>0</v>
      </c>
      <c r="Q463" s="29">
        <f t="shared" si="66"/>
        <v>0</v>
      </c>
      <c r="R463" s="29">
        <f t="shared" si="66"/>
        <v>0</v>
      </c>
      <c r="S463" s="29">
        <f t="shared" si="66"/>
        <v>0</v>
      </c>
      <c r="T463" s="29">
        <f t="shared" si="66"/>
        <v>0</v>
      </c>
      <c r="U463" s="29">
        <f t="shared" si="66"/>
        <v>0</v>
      </c>
      <c r="V463" s="29">
        <f t="shared" si="66"/>
        <v>0</v>
      </c>
      <c r="W463" s="29">
        <f t="shared" si="66"/>
        <v>0</v>
      </c>
      <c r="X463" s="29">
        <f t="shared" si="66"/>
        <v>0</v>
      </c>
      <c r="Y463" s="29">
        <f t="shared" si="66"/>
        <v>0</v>
      </c>
      <c r="Z463" s="29">
        <f t="shared" si="66"/>
        <v>0</v>
      </c>
      <c r="AA463" s="29">
        <f t="shared" si="66"/>
        <v>0</v>
      </c>
      <c r="AB463" s="29">
        <f t="shared" si="66"/>
        <v>0</v>
      </c>
      <c r="AC463" s="29">
        <f t="shared" si="66"/>
        <v>0</v>
      </c>
      <c r="AD463" s="29">
        <f t="shared" si="66"/>
        <v>127877.6</v>
      </c>
      <c r="AE463" s="29">
        <f t="shared" si="66"/>
        <v>0</v>
      </c>
      <c r="AF463" s="62" t="s">
        <v>743</v>
      </c>
      <c r="AG463" s="62" t="s">
        <v>743</v>
      </c>
      <c r="AH463" s="77" t="s">
        <v>743</v>
      </c>
      <c r="AT463" s="18" t="e">
        <f>VLOOKUP(C463,AW:AX,2,FALSE)</f>
        <v>#N/A</v>
      </c>
      <c r="BZ463" s="61">
        <v>5368567.4000000004</v>
      </c>
      <c r="CD463" s="18" t="e">
        <f>VLOOKUP(C463,CE:CF,2,FALSE)</f>
        <v>#N/A</v>
      </c>
    </row>
    <row r="464" spans="1:82" ht="61.5" x14ac:dyDescent="0.85">
      <c r="A464" s="18">
        <v>1</v>
      </c>
      <c r="B464" s="57">
        <f>SUBTOTAL(103,$A$22:A464)</f>
        <v>398</v>
      </c>
      <c r="C464" s="22" t="s">
        <v>139</v>
      </c>
      <c r="D464" s="29">
        <f>E464+F464+G464+H464+I464+J464+L464+N464+P464+R464+T464+U464+V464+W464+X464+Y464+Z464+AA464+AB464+AC464+AD464+AE464</f>
        <v>127877.6</v>
      </c>
      <c r="E464" s="29">
        <v>0</v>
      </c>
      <c r="F464" s="29">
        <v>0</v>
      </c>
      <c r="G464" s="29">
        <v>0</v>
      </c>
      <c r="H464" s="29">
        <v>0</v>
      </c>
      <c r="I464" s="29">
        <v>0</v>
      </c>
      <c r="J464" s="29">
        <v>0</v>
      </c>
      <c r="K464" s="31">
        <v>0</v>
      </c>
      <c r="L464" s="29">
        <v>0</v>
      </c>
      <c r="M464" s="29">
        <v>0</v>
      </c>
      <c r="N464" s="29">
        <v>0</v>
      </c>
      <c r="O464" s="29">
        <v>0</v>
      </c>
      <c r="P464" s="29">
        <v>0</v>
      </c>
      <c r="Q464" s="29">
        <v>0</v>
      </c>
      <c r="R464" s="29">
        <v>0</v>
      </c>
      <c r="S464" s="29">
        <v>0</v>
      </c>
      <c r="T464" s="29">
        <v>0</v>
      </c>
      <c r="U464" s="29">
        <v>0</v>
      </c>
      <c r="V464" s="29">
        <v>0</v>
      </c>
      <c r="W464" s="29">
        <v>0</v>
      </c>
      <c r="X464" s="29">
        <v>0</v>
      </c>
      <c r="Y464" s="29">
        <v>0</v>
      </c>
      <c r="Z464" s="29">
        <v>0</v>
      </c>
      <c r="AA464" s="29">
        <v>0</v>
      </c>
      <c r="AB464" s="29">
        <v>0</v>
      </c>
      <c r="AC464" s="29">
        <f>ROUND(N464*1.5%,2)</f>
        <v>0</v>
      </c>
      <c r="AD464" s="134">
        <v>127877.6</v>
      </c>
      <c r="AE464" s="29">
        <v>0</v>
      </c>
      <c r="AF464" s="32">
        <v>2020</v>
      </c>
      <c r="AG464" s="32" t="s">
        <v>268</v>
      </c>
      <c r="AH464" s="32" t="s">
        <v>268</v>
      </c>
      <c r="AT464" s="18" t="e">
        <f>VLOOKUP(C464,AW:AX,2,FALSE)</f>
        <v>#N/A</v>
      </c>
      <c r="BZ464" s="61"/>
      <c r="CD464" s="18" t="e">
        <f>VLOOKUP(C464,CE:CF,2,FALSE)</f>
        <v>#N/A</v>
      </c>
    </row>
    <row r="465" spans="1:82" ht="61.5" x14ac:dyDescent="0.85">
      <c r="B465" s="22" t="s">
        <v>842</v>
      </c>
      <c r="C465" s="22"/>
      <c r="D465" s="339">
        <f t="shared" ref="D465:AE465" si="67">D466</f>
        <v>87573.72</v>
      </c>
      <c r="E465" s="29">
        <f t="shared" si="67"/>
        <v>0</v>
      </c>
      <c r="F465" s="29">
        <f t="shared" si="67"/>
        <v>0</v>
      </c>
      <c r="G465" s="29">
        <f t="shared" si="67"/>
        <v>0</v>
      </c>
      <c r="H465" s="29">
        <f t="shared" si="67"/>
        <v>0</v>
      </c>
      <c r="I465" s="29">
        <f t="shared" si="67"/>
        <v>0</v>
      </c>
      <c r="J465" s="29">
        <f t="shared" si="67"/>
        <v>0</v>
      </c>
      <c r="K465" s="31">
        <f t="shared" si="67"/>
        <v>0</v>
      </c>
      <c r="L465" s="29">
        <f t="shared" si="67"/>
        <v>0</v>
      </c>
      <c r="M465" s="29">
        <f t="shared" si="67"/>
        <v>0</v>
      </c>
      <c r="N465" s="29">
        <f t="shared" si="67"/>
        <v>0</v>
      </c>
      <c r="O465" s="29">
        <f t="shared" si="67"/>
        <v>0</v>
      </c>
      <c r="P465" s="29">
        <f t="shared" si="67"/>
        <v>0</v>
      </c>
      <c r="Q465" s="29">
        <f t="shared" si="67"/>
        <v>0</v>
      </c>
      <c r="R465" s="29">
        <f t="shared" si="67"/>
        <v>0</v>
      </c>
      <c r="S465" s="29">
        <f t="shared" si="67"/>
        <v>0</v>
      </c>
      <c r="T465" s="29">
        <f t="shared" si="67"/>
        <v>0</v>
      </c>
      <c r="U465" s="29">
        <f t="shared" si="67"/>
        <v>0</v>
      </c>
      <c r="V465" s="29">
        <f t="shared" si="67"/>
        <v>0</v>
      </c>
      <c r="W465" s="29">
        <f t="shared" si="67"/>
        <v>0</v>
      </c>
      <c r="X465" s="29">
        <f t="shared" si="67"/>
        <v>0</v>
      </c>
      <c r="Y465" s="29">
        <f t="shared" si="67"/>
        <v>0</v>
      </c>
      <c r="Z465" s="29">
        <f t="shared" si="67"/>
        <v>0</v>
      </c>
      <c r="AA465" s="29">
        <f t="shared" si="67"/>
        <v>0</v>
      </c>
      <c r="AB465" s="29">
        <f t="shared" si="67"/>
        <v>0</v>
      </c>
      <c r="AC465" s="29">
        <f t="shared" si="67"/>
        <v>0</v>
      </c>
      <c r="AD465" s="29">
        <f t="shared" si="67"/>
        <v>87573.72</v>
      </c>
      <c r="AE465" s="29">
        <f t="shared" si="67"/>
        <v>0</v>
      </c>
      <c r="AF465" s="62" t="s">
        <v>743</v>
      </c>
      <c r="AG465" s="62" t="s">
        <v>743</v>
      </c>
      <c r="AH465" s="77" t="s">
        <v>743</v>
      </c>
      <c r="AT465" s="18" t="e">
        <f>VLOOKUP(C465,AW:AX,2,FALSE)</f>
        <v>#N/A</v>
      </c>
      <c r="BZ465" s="61">
        <v>2682382.0500000003</v>
      </c>
      <c r="CD465" s="18" t="e">
        <f>VLOOKUP(C465,CE:CF,2,FALSE)</f>
        <v>#N/A</v>
      </c>
    </row>
    <row r="466" spans="1:82" ht="61.5" x14ac:dyDescent="0.85">
      <c r="A466" s="18">
        <v>1</v>
      </c>
      <c r="B466" s="57">
        <f>SUBTOTAL(103,$A$22:A466)</f>
        <v>399</v>
      </c>
      <c r="C466" s="22" t="s">
        <v>144</v>
      </c>
      <c r="D466" s="29">
        <f>E466+F466+G466+H466+I466+J466+L466+N466+P466+R466+T466+U466+V466+W466+X466+Y466+Z466+AA466+AB466+AC466+AD466+AE466</f>
        <v>87573.72</v>
      </c>
      <c r="E466" s="29">
        <v>0</v>
      </c>
      <c r="F466" s="29">
        <v>0</v>
      </c>
      <c r="G466" s="29">
        <v>0</v>
      </c>
      <c r="H466" s="29">
        <v>0</v>
      </c>
      <c r="I466" s="29">
        <v>0</v>
      </c>
      <c r="J466" s="29">
        <v>0</v>
      </c>
      <c r="K466" s="31">
        <v>0</v>
      </c>
      <c r="L466" s="29">
        <v>0</v>
      </c>
      <c r="M466" s="29">
        <v>0</v>
      </c>
      <c r="N466" s="29">
        <v>0</v>
      </c>
      <c r="O466" s="29">
        <v>0</v>
      </c>
      <c r="P466" s="29">
        <v>0</v>
      </c>
      <c r="Q466" s="29">
        <v>0</v>
      </c>
      <c r="R466" s="29">
        <v>0</v>
      </c>
      <c r="S466" s="29">
        <v>0</v>
      </c>
      <c r="T466" s="29">
        <v>0</v>
      </c>
      <c r="U466" s="29">
        <v>0</v>
      </c>
      <c r="V466" s="29">
        <v>0</v>
      </c>
      <c r="W466" s="29">
        <v>0</v>
      </c>
      <c r="X466" s="29">
        <v>0</v>
      </c>
      <c r="Y466" s="29">
        <v>0</v>
      </c>
      <c r="Z466" s="29">
        <v>0</v>
      </c>
      <c r="AA466" s="29">
        <v>0</v>
      </c>
      <c r="AB466" s="29">
        <v>0</v>
      </c>
      <c r="AC466" s="29">
        <f>ROUND(N466*1.5%,2)</f>
        <v>0</v>
      </c>
      <c r="AD466" s="134">
        <v>87573.72</v>
      </c>
      <c r="AE466" s="29">
        <v>0</v>
      </c>
      <c r="AF466" s="32">
        <v>2020</v>
      </c>
      <c r="AG466" s="32" t="s">
        <v>268</v>
      </c>
      <c r="AH466" s="32" t="s">
        <v>268</v>
      </c>
      <c r="AT466" s="18" t="e">
        <f>VLOOKUP(C466,AW:AX,2,FALSE)</f>
        <v>#N/A</v>
      </c>
      <c r="BZ466" s="61"/>
      <c r="CD466" s="18" t="e">
        <f>VLOOKUP(C466,CE:CF,2,FALSE)</f>
        <v>#N/A</v>
      </c>
    </row>
    <row r="467" spans="1:82" ht="61.5" x14ac:dyDescent="0.85">
      <c r="B467" s="22" t="s">
        <v>843</v>
      </c>
      <c r="C467" s="22"/>
      <c r="D467" s="339">
        <f t="shared" ref="D467:AE467" si="68">SUM(D468:D472)</f>
        <v>3911488.5799999996</v>
      </c>
      <c r="E467" s="29">
        <f t="shared" si="68"/>
        <v>0</v>
      </c>
      <c r="F467" s="29">
        <f t="shared" si="68"/>
        <v>0</v>
      </c>
      <c r="G467" s="29">
        <f t="shared" si="68"/>
        <v>0</v>
      </c>
      <c r="H467" s="29">
        <f t="shared" si="68"/>
        <v>0</v>
      </c>
      <c r="I467" s="29">
        <f t="shared" si="68"/>
        <v>0</v>
      </c>
      <c r="J467" s="29">
        <f t="shared" si="68"/>
        <v>0</v>
      </c>
      <c r="K467" s="31">
        <f t="shared" si="68"/>
        <v>0</v>
      </c>
      <c r="L467" s="29">
        <f t="shared" si="68"/>
        <v>0</v>
      </c>
      <c r="M467" s="29">
        <f t="shared" si="68"/>
        <v>507</v>
      </c>
      <c r="N467" s="29">
        <f t="shared" si="68"/>
        <v>1983449.08</v>
      </c>
      <c r="O467" s="29">
        <f t="shared" si="68"/>
        <v>0</v>
      </c>
      <c r="P467" s="29">
        <f t="shared" si="68"/>
        <v>0</v>
      </c>
      <c r="Q467" s="29">
        <f t="shared" si="68"/>
        <v>478</v>
      </c>
      <c r="R467" s="29">
        <f t="shared" si="68"/>
        <v>1520049.06</v>
      </c>
      <c r="S467" s="29">
        <f t="shared" si="68"/>
        <v>0</v>
      </c>
      <c r="T467" s="29">
        <f t="shared" si="68"/>
        <v>0</v>
      </c>
      <c r="U467" s="29">
        <f t="shared" si="68"/>
        <v>0</v>
      </c>
      <c r="V467" s="29">
        <f t="shared" si="68"/>
        <v>0</v>
      </c>
      <c r="W467" s="29">
        <f t="shared" si="68"/>
        <v>0</v>
      </c>
      <c r="X467" s="29">
        <f t="shared" si="68"/>
        <v>0</v>
      </c>
      <c r="Y467" s="29">
        <f t="shared" si="68"/>
        <v>0</v>
      </c>
      <c r="Z467" s="29">
        <f t="shared" si="68"/>
        <v>0</v>
      </c>
      <c r="AA467" s="29">
        <f t="shared" si="68"/>
        <v>0</v>
      </c>
      <c r="AB467" s="29">
        <f t="shared" si="68"/>
        <v>0</v>
      </c>
      <c r="AC467" s="29">
        <f t="shared" si="68"/>
        <v>10266.08</v>
      </c>
      <c r="AD467" s="29">
        <f t="shared" si="68"/>
        <v>277724.36</v>
      </c>
      <c r="AE467" s="29">
        <f t="shared" si="68"/>
        <v>120000</v>
      </c>
      <c r="AF467" s="62" t="s">
        <v>743</v>
      </c>
      <c r="AG467" s="62" t="s">
        <v>743</v>
      </c>
      <c r="AH467" s="77" t="s">
        <v>743</v>
      </c>
      <c r="AT467" s="18" t="e">
        <f>VLOOKUP(C467,AW:AX,2,FALSE)</f>
        <v>#N/A</v>
      </c>
      <c r="BZ467" s="29">
        <v>11742480.740000002</v>
      </c>
      <c r="CA467" s="29"/>
      <c r="CB467" s="29">
        <f>BZ467-D467</f>
        <v>7830992.160000002</v>
      </c>
      <c r="CD467" s="18" t="e">
        <f>VLOOKUP(C467,CE:CF,2,FALSE)</f>
        <v>#N/A</v>
      </c>
    </row>
    <row r="468" spans="1:82" ht="61.5" x14ac:dyDescent="0.85">
      <c r="A468" s="18">
        <v>1</v>
      </c>
      <c r="B468" s="57">
        <f>SUBTOTAL(103,$A$22:A468)</f>
        <v>400</v>
      </c>
      <c r="C468" s="22" t="s">
        <v>142</v>
      </c>
      <c r="D468" s="29">
        <f>E468+F468+G468+H468+I468+J468+L468+N468+P468+R468+T468+U468+V468+W468+X468+Y468+Z468+AA468+AB468+AC468+AD468+AE468</f>
        <v>141265.9</v>
      </c>
      <c r="E468" s="29">
        <v>0</v>
      </c>
      <c r="F468" s="29">
        <v>0</v>
      </c>
      <c r="G468" s="29">
        <v>0</v>
      </c>
      <c r="H468" s="29">
        <v>0</v>
      </c>
      <c r="I468" s="29">
        <v>0</v>
      </c>
      <c r="J468" s="29">
        <v>0</v>
      </c>
      <c r="K468" s="31">
        <v>0</v>
      </c>
      <c r="L468" s="29">
        <v>0</v>
      </c>
      <c r="M468" s="29">
        <v>0</v>
      </c>
      <c r="N468" s="29">
        <v>0</v>
      </c>
      <c r="O468" s="29">
        <v>0</v>
      </c>
      <c r="P468" s="29">
        <v>0</v>
      </c>
      <c r="Q468" s="29">
        <v>0</v>
      </c>
      <c r="R468" s="29">
        <v>0</v>
      </c>
      <c r="S468" s="29">
        <v>0</v>
      </c>
      <c r="T468" s="29">
        <v>0</v>
      </c>
      <c r="U468" s="29">
        <v>0</v>
      </c>
      <c r="V468" s="29">
        <v>0</v>
      </c>
      <c r="W468" s="29">
        <v>0</v>
      </c>
      <c r="X468" s="29">
        <v>0</v>
      </c>
      <c r="Y468" s="29">
        <v>0</v>
      </c>
      <c r="Z468" s="29">
        <v>0</v>
      </c>
      <c r="AA468" s="29">
        <v>0</v>
      </c>
      <c r="AB468" s="29">
        <v>0</v>
      </c>
      <c r="AC468" s="29">
        <f>ROUND(U468*1.5%,2)</f>
        <v>0</v>
      </c>
      <c r="AD468" s="134">
        <v>141265.9</v>
      </c>
      <c r="AE468" s="29">
        <v>0</v>
      </c>
      <c r="AF468" s="32">
        <v>2020</v>
      </c>
      <c r="AG468" s="32" t="s">
        <v>268</v>
      </c>
      <c r="AH468" s="32" t="s">
        <v>268</v>
      </c>
      <c r="AT468" s="18" t="e">
        <f>VLOOKUP(C468,AW:AX,2,FALSE)</f>
        <v>#N/A</v>
      </c>
      <c r="BZ468" s="61"/>
      <c r="CD468" s="18" t="e">
        <f>VLOOKUP(C468,CE:CF,2,FALSE)</f>
        <v>#N/A</v>
      </c>
    </row>
    <row r="469" spans="1:82" ht="61.5" x14ac:dyDescent="0.85">
      <c r="A469" s="18">
        <v>1</v>
      </c>
      <c r="B469" s="57">
        <f>SUBTOTAL(103,$A$22:A469)</f>
        <v>401</v>
      </c>
      <c r="C469" s="22" t="s">
        <v>143</v>
      </c>
      <c r="D469" s="29">
        <f>E469+F469+G469+H469+I469+J469+L469+N469+P469+R469+T469+U469+V469+W469+X469+Y469+Z469+AA469+AB469+AC469+AD469+AE469</f>
        <v>1216558.3500000001</v>
      </c>
      <c r="E469" s="29">
        <v>0</v>
      </c>
      <c r="F469" s="29">
        <v>0</v>
      </c>
      <c r="G469" s="29">
        <v>0</v>
      </c>
      <c r="H469" s="29">
        <v>0</v>
      </c>
      <c r="I469" s="29">
        <v>0</v>
      </c>
      <c r="J469" s="29">
        <v>0</v>
      </c>
      <c r="K469" s="31">
        <v>0</v>
      </c>
      <c r="L469" s="29">
        <v>0</v>
      </c>
      <c r="M469" s="37">
        <v>317.8</v>
      </c>
      <c r="N469" s="37">
        <v>1216558.3500000001</v>
      </c>
      <c r="O469" s="29">
        <v>0</v>
      </c>
      <c r="P469" s="29">
        <v>0</v>
      </c>
      <c r="Q469" s="29">
        <v>0</v>
      </c>
      <c r="R469" s="29">
        <v>0</v>
      </c>
      <c r="S469" s="29">
        <v>0</v>
      </c>
      <c r="T469" s="29">
        <v>0</v>
      </c>
      <c r="U469" s="29">
        <v>0</v>
      </c>
      <c r="V469" s="29">
        <v>0</v>
      </c>
      <c r="W469" s="29">
        <v>0</v>
      </c>
      <c r="X469" s="29">
        <v>0</v>
      </c>
      <c r="Y469" s="29">
        <v>0</v>
      </c>
      <c r="Z469" s="29">
        <v>0</v>
      </c>
      <c r="AA469" s="29">
        <v>0</v>
      </c>
      <c r="AB469" s="29">
        <v>0</v>
      </c>
      <c r="AC469" s="29">
        <v>0</v>
      </c>
      <c r="AD469" s="29">
        <v>0</v>
      </c>
      <c r="AE469" s="29">
        <v>0</v>
      </c>
      <c r="AF469" s="32" t="s">
        <v>268</v>
      </c>
      <c r="AG469" s="32">
        <v>2020</v>
      </c>
      <c r="AH469" s="33" t="s">
        <v>268</v>
      </c>
      <c r="AT469" s="18" t="e">
        <f>VLOOKUP(C469,AW:AX,2,FALSE)</f>
        <v>#N/A</v>
      </c>
      <c r="BZ469" s="61"/>
      <c r="CD469" s="18">
        <f>VLOOKUP(C469,CE:CF,2,FALSE)</f>
        <v>317.8</v>
      </c>
    </row>
    <row r="470" spans="1:82" ht="61.5" x14ac:dyDescent="0.85">
      <c r="A470" s="18">
        <v>1</v>
      </c>
      <c r="B470" s="57">
        <f>SUBTOTAL(103,$A$22:A470)</f>
        <v>402</v>
      </c>
      <c r="C470" s="22" t="s">
        <v>1250</v>
      </c>
      <c r="D470" s="29">
        <f>E470+F470+G470+H470+I470+J470+L470+N470+P470+R470+T470+U470+V470+W470+X470+Y470+Z470+AA470+AB470+AC470+AD470+AE470</f>
        <v>1576619.73</v>
      </c>
      <c r="E470" s="29">
        <v>0</v>
      </c>
      <c r="F470" s="29">
        <v>0</v>
      </c>
      <c r="G470" s="29">
        <v>0</v>
      </c>
      <c r="H470" s="29">
        <v>0</v>
      </c>
      <c r="I470" s="29">
        <v>0</v>
      </c>
      <c r="J470" s="29">
        <v>0</v>
      </c>
      <c r="K470" s="31">
        <v>0</v>
      </c>
      <c r="L470" s="29">
        <v>0</v>
      </c>
      <c r="M470" s="29">
        <v>0</v>
      </c>
      <c r="N470" s="29">
        <v>0</v>
      </c>
      <c r="O470" s="29">
        <v>0</v>
      </c>
      <c r="P470" s="29">
        <v>0</v>
      </c>
      <c r="Q470" s="37">
        <v>478</v>
      </c>
      <c r="R470" s="37">
        <v>1520049.06</v>
      </c>
      <c r="S470" s="29">
        <v>0</v>
      </c>
      <c r="T470" s="29">
        <v>0</v>
      </c>
      <c r="U470" s="29">
        <v>0</v>
      </c>
      <c r="V470" s="29">
        <v>0</v>
      </c>
      <c r="W470" s="29">
        <v>0</v>
      </c>
      <c r="X470" s="29">
        <v>0</v>
      </c>
      <c r="Y470" s="29">
        <v>0</v>
      </c>
      <c r="Z470" s="29">
        <v>0</v>
      </c>
      <c r="AA470" s="29">
        <v>0</v>
      </c>
      <c r="AB470" s="29">
        <v>0</v>
      </c>
      <c r="AC470" s="29">
        <v>6823.51</v>
      </c>
      <c r="AD470" s="37">
        <v>49747.16</v>
      </c>
      <c r="AE470" s="29">
        <v>0</v>
      </c>
      <c r="AF470" s="32">
        <v>2020</v>
      </c>
      <c r="AG470" s="32">
        <v>2020</v>
      </c>
      <c r="AH470" s="33">
        <v>2020</v>
      </c>
      <c r="BZ470" s="61"/>
      <c r="CD470" s="18" t="e">
        <f>VLOOKUP(C470,CE:CF,2,FALSE)</f>
        <v>#N/A</v>
      </c>
    </row>
    <row r="471" spans="1:82" ht="61.5" x14ac:dyDescent="0.85">
      <c r="A471" s="18">
        <v>1</v>
      </c>
      <c r="B471" s="57">
        <f>SUBTOTAL(103,$A$22:A471)</f>
        <v>403</v>
      </c>
      <c r="C471" s="22" t="s">
        <v>1251</v>
      </c>
      <c r="D471" s="29">
        <f>E471+F471+G471+H471+I471+J471+L471+N471+P471+R471+T471+U471+V471+W471+X471+Y471+Z471+AA471+AB471+AC471+AD471+AE471</f>
        <v>890333.29999999993</v>
      </c>
      <c r="E471" s="29">
        <v>0</v>
      </c>
      <c r="F471" s="29">
        <v>0</v>
      </c>
      <c r="G471" s="29">
        <v>0</v>
      </c>
      <c r="H471" s="29">
        <v>0</v>
      </c>
      <c r="I471" s="29">
        <v>0</v>
      </c>
      <c r="J471" s="29">
        <v>0</v>
      </c>
      <c r="K471" s="31">
        <v>0</v>
      </c>
      <c r="L471" s="29">
        <v>0</v>
      </c>
      <c r="M471" s="37">
        <v>189.2</v>
      </c>
      <c r="N471" s="37">
        <v>766890.73</v>
      </c>
      <c r="O471" s="29">
        <v>0</v>
      </c>
      <c r="P471" s="29">
        <v>0</v>
      </c>
      <c r="Q471" s="29">
        <v>0</v>
      </c>
      <c r="R471" s="29">
        <v>0</v>
      </c>
      <c r="S471" s="29">
        <v>0</v>
      </c>
      <c r="T471" s="29">
        <v>0</v>
      </c>
      <c r="U471" s="29">
        <v>0</v>
      </c>
      <c r="V471" s="29">
        <v>0</v>
      </c>
      <c r="W471" s="29">
        <v>0</v>
      </c>
      <c r="X471" s="29">
        <v>0</v>
      </c>
      <c r="Y471" s="29">
        <v>0</v>
      </c>
      <c r="Z471" s="29">
        <v>0</v>
      </c>
      <c r="AA471" s="29">
        <v>0</v>
      </c>
      <c r="AB471" s="29">
        <v>0</v>
      </c>
      <c r="AC471" s="29">
        <v>3442.57</v>
      </c>
      <c r="AD471" s="29">
        <v>0</v>
      </c>
      <c r="AE471" s="29">
        <v>120000</v>
      </c>
      <c r="AF471" s="32" t="s">
        <v>268</v>
      </c>
      <c r="AG471" s="32">
        <v>2020</v>
      </c>
      <c r="AH471" s="33">
        <v>2020</v>
      </c>
      <c r="BZ471" s="61"/>
      <c r="CD471" s="18">
        <f>VLOOKUP(C471,CE:CF,2,FALSE)</f>
        <v>189.8</v>
      </c>
    </row>
    <row r="472" spans="1:82" ht="61.5" x14ac:dyDescent="0.85">
      <c r="A472" s="18">
        <v>1</v>
      </c>
      <c r="B472" s="57">
        <f>SUBTOTAL(103,$A$22:A472)</f>
        <v>404</v>
      </c>
      <c r="C472" s="22" t="s">
        <v>1286</v>
      </c>
      <c r="D472" s="29">
        <f>E472+F472+G472+H472+I472+J472+L472+N472+P472+R472+T472+U472+V472+W472+X472+Y472+Z472+AA472+AB472+AC472+AD472+AE472</f>
        <v>86711.3</v>
      </c>
      <c r="E472" s="29">
        <v>0</v>
      </c>
      <c r="F472" s="29">
        <v>0</v>
      </c>
      <c r="G472" s="29">
        <v>0</v>
      </c>
      <c r="H472" s="29">
        <v>0</v>
      </c>
      <c r="I472" s="29">
        <v>0</v>
      </c>
      <c r="J472" s="29">
        <v>0</v>
      </c>
      <c r="K472" s="31">
        <v>0</v>
      </c>
      <c r="L472" s="29">
        <v>0</v>
      </c>
      <c r="M472" s="29">
        <v>0</v>
      </c>
      <c r="N472" s="29">
        <v>0</v>
      </c>
      <c r="O472" s="29">
        <v>0</v>
      </c>
      <c r="P472" s="29">
        <v>0</v>
      </c>
      <c r="Q472" s="29">
        <v>0</v>
      </c>
      <c r="R472" s="29">
        <v>0</v>
      </c>
      <c r="S472" s="29">
        <v>0</v>
      </c>
      <c r="T472" s="29">
        <v>0</v>
      </c>
      <c r="U472" s="29">
        <v>0</v>
      </c>
      <c r="V472" s="29">
        <v>0</v>
      </c>
      <c r="W472" s="29">
        <v>0</v>
      </c>
      <c r="X472" s="29">
        <v>0</v>
      </c>
      <c r="Y472" s="29">
        <v>0</v>
      </c>
      <c r="Z472" s="29">
        <v>0</v>
      </c>
      <c r="AA472" s="29">
        <v>0</v>
      </c>
      <c r="AB472" s="29">
        <v>0</v>
      </c>
      <c r="AC472" s="29">
        <f>ROUND(N472*1.5%,2)</f>
        <v>0</v>
      </c>
      <c r="AD472" s="134">
        <v>86711.3</v>
      </c>
      <c r="AE472" s="29">
        <v>0</v>
      </c>
      <c r="AF472" s="32">
        <v>2020</v>
      </c>
      <c r="AG472" s="32" t="s">
        <v>268</v>
      </c>
      <c r="AH472" s="32" t="s">
        <v>268</v>
      </c>
      <c r="BZ472" s="61"/>
      <c r="CD472" s="18" t="e">
        <f>VLOOKUP(C472,CE:CF,2,FALSE)</f>
        <v>#N/A</v>
      </c>
    </row>
    <row r="473" spans="1:82" ht="61.5" x14ac:dyDescent="0.85">
      <c r="B473" s="22" t="s">
        <v>844</v>
      </c>
      <c r="C473" s="22"/>
      <c r="D473" s="339">
        <f>D474+D475+D476+D477+D478+D479+D480+D481+D482+D483+D484</f>
        <v>23897111.18</v>
      </c>
      <c r="E473" s="29">
        <f t="shared" ref="E473:AE473" si="69">E474+E475+E476+E477+E478+E479+E480+E481+E482+E483+E484</f>
        <v>217243.21000000002</v>
      </c>
      <c r="F473" s="29">
        <f t="shared" si="69"/>
        <v>0</v>
      </c>
      <c r="G473" s="29">
        <f t="shared" si="69"/>
        <v>2010723.97</v>
      </c>
      <c r="H473" s="29">
        <f t="shared" si="69"/>
        <v>280774.89</v>
      </c>
      <c r="I473" s="29">
        <f t="shared" si="69"/>
        <v>730380.2</v>
      </c>
      <c r="J473" s="29">
        <f t="shared" si="69"/>
        <v>0</v>
      </c>
      <c r="K473" s="31">
        <f t="shared" si="69"/>
        <v>0</v>
      </c>
      <c r="L473" s="29">
        <f t="shared" si="69"/>
        <v>0</v>
      </c>
      <c r="M473" s="29">
        <f t="shared" si="69"/>
        <v>6175.74</v>
      </c>
      <c r="N473" s="29">
        <f t="shared" si="69"/>
        <v>20114074.100000001</v>
      </c>
      <c r="O473" s="29">
        <f t="shared" si="69"/>
        <v>0</v>
      </c>
      <c r="P473" s="29">
        <f t="shared" si="69"/>
        <v>0</v>
      </c>
      <c r="Q473" s="29">
        <f t="shared" si="69"/>
        <v>0</v>
      </c>
      <c r="R473" s="29">
        <f t="shared" si="69"/>
        <v>0</v>
      </c>
      <c r="S473" s="29">
        <f t="shared" si="69"/>
        <v>0</v>
      </c>
      <c r="T473" s="29">
        <f t="shared" si="69"/>
        <v>0</v>
      </c>
      <c r="U473" s="29">
        <f t="shared" si="69"/>
        <v>0</v>
      </c>
      <c r="V473" s="29">
        <f t="shared" si="69"/>
        <v>0</v>
      </c>
      <c r="W473" s="29">
        <f t="shared" si="69"/>
        <v>0</v>
      </c>
      <c r="X473" s="29">
        <f t="shared" si="69"/>
        <v>0</v>
      </c>
      <c r="Y473" s="29">
        <f t="shared" si="69"/>
        <v>0</v>
      </c>
      <c r="Z473" s="29">
        <f t="shared" si="69"/>
        <v>0</v>
      </c>
      <c r="AA473" s="29">
        <f t="shared" si="69"/>
        <v>0</v>
      </c>
      <c r="AB473" s="29">
        <f t="shared" si="69"/>
        <v>0</v>
      </c>
      <c r="AC473" s="29">
        <f t="shared" si="69"/>
        <v>330443.81999999995</v>
      </c>
      <c r="AD473" s="29">
        <f t="shared" si="69"/>
        <v>213470.99</v>
      </c>
      <c r="AE473" s="29">
        <f t="shared" si="69"/>
        <v>0</v>
      </c>
      <c r="AF473" s="62" t="s">
        <v>743</v>
      </c>
      <c r="AG473" s="62" t="s">
        <v>743</v>
      </c>
      <c r="AH473" s="77" t="s">
        <v>743</v>
      </c>
      <c r="AT473" s="18" t="e">
        <f>VLOOKUP(C473,AW:AX,2,FALSE)</f>
        <v>#N/A</v>
      </c>
      <c r="BZ473" s="29">
        <v>43274846.739999995</v>
      </c>
      <c r="CA473" s="29"/>
      <c r="CB473" s="29">
        <f>BZ473-D473</f>
        <v>19377735.559999995</v>
      </c>
      <c r="CD473" s="18" t="e">
        <f>VLOOKUP(C473,CE:CF,2,FALSE)</f>
        <v>#N/A</v>
      </c>
    </row>
    <row r="474" spans="1:82" ht="61.5" x14ac:dyDescent="0.85">
      <c r="A474" s="18">
        <v>1</v>
      </c>
      <c r="B474" s="57">
        <f>SUBTOTAL(103,$A$22:A474)</f>
        <v>405</v>
      </c>
      <c r="C474" s="22" t="s">
        <v>145</v>
      </c>
      <c r="D474" s="29">
        <f t="shared" ref="D474:D480" si="70">E474+F474+G474+H474+I474+J474+L474+N474+P474+R474+T474+U474+V474+W474+X474+Y474+Z474+AA474+AB474+AC474+AD474+AE474</f>
        <v>4629120.46</v>
      </c>
      <c r="E474" s="29">
        <v>0</v>
      </c>
      <c r="F474" s="29">
        <v>0</v>
      </c>
      <c r="G474" s="29">
        <v>0</v>
      </c>
      <c r="H474" s="29">
        <v>0</v>
      </c>
      <c r="I474" s="29">
        <v>0</v>
      </c>
      <c r="J474" s="29">
        <v>0</v>
      </c>
      <c r="K474" s="31">
        <v>0</v>
      </c>
      <c r="L474" s="29">
        <v>0</v>
      </c>
      <c r="M474" s="37">
        <v>1538.84</v>
      </c>
      <c r="N474" s="37">
        <v>4565095</v>
      </c>
      <c r="O474" s="29">
        <v>0</v>
      </c>
      <c r="P474" s="29">
        <v>0</v>
      </c>
      <c r="Q474" s="29">
        <v>0</v>
      </c>
      <c r="R474" s="29">
        <v>0</v>
      </c>
      <c r="S474" s="29">
        <v>0</v>
      </c>
      <c r="T474" s="29">
        <v>0</v>
      </c>
      <c r="U474" s="29">
        <v>0</v>
      </c>
      <c r="V474" s="29">
        <v>0</v>
      </c>
      <c r="W474" s="29">
        <v>0</v>
      </c>
      <c r="X474" s="29">
        <v>0</v>
      </c>
      <c r="Y474" s="29">
        <v>0</v>
      </c>
      <c r="Z474" s="29">
        <v>0</v>
      </c>
      <c r="AA474" s="29">
        <v>0</v>
      </c>
      <c r="AB474" s="29">
        <v>0</v>
      </c>
      <c r="AC474" s="37">
        <v>64025.46</v>
      </c>
      <c r="AD474" s="29">
        <v>0</v>
      </c>
      <c r="AE474" s="29">
        <v>0</v>
      </c>
      <c r="AF474" s="32" t="s">
        <v>268</v>
      </c>
      <c r="AG474" s="32">
        <v>2020</v>
      </c>
      <c r="AH474" s="33">
        <v>2020</v>
      </c>
      <c r="AT474" s="18" t="e">
        <f>VLOOKUP(C474,AW:AX,2,FALSE)</f>
        <v>#N/A</v>
      </c>
      <c r="BZ474" s="61"/>
      <c r="CD474" s="18">
        <f>VLOOKUP(C474,CE:CF,2,FALSE)</f>
        <v>1525.2</v>
      </c>
    </row>
    <row r="475" spans="1:82" ht="61.5" x14ac:dyDescent="0.85">
      <c r="A475" s="18">
        <v>1</v>
      </c>
      <c r="B475" s="57">
        <f>SUBTOTAL(103,$A$22:A475)</f>
        <v>406</v>
      </c>
      <c r="C475" s="22" t="s">
        <v>140</v>
      </c>
      <c r="D475" s="29">
        <f t="shared" si="70"/>
        <v>3488886.51</v>
      </c>
      <c r="E475" s="29">
        <v>0</v>
      </c>
      <c r="F475" s="29">
        <v>0</v>
      </c>
      <c r="G475" s="29">
        <v>0</v>
      </c>
      <c r="H475" s="29">
        <v>0</v>
      </c>
      <c r="I475" s="29">
        <v>0</v>
      </c>
      <c r="J475" s="29">
        <v>0</v>
      </c>
      <c r="K475" s="31">
        <v>0</v>
      </c>
      <c r="L475" s="29">
        <v>0</v>
      </c>
      <c r="M475" s="37">
        <v>1004.6</v>
      </c>
      <c r="N475" s="37">
        <v>3440631.65</v>
      </c>
      <c r="O475" s="29">
        <v>0</v>
      </c>
      <c r="P475" s="29">
        <v>0</v>
      </c>
      <c r="Q475" s="29">
        <v>0</v>
      </c>
      <c r="R475" s="29">
        <v>0</v>
      </c>
      <c r="S475" s="29">
        <v>0</v>
      </c>
      <c r="T475" s="29">
        <v>0</v>
      </c>
      <c r="U475" s="29">
        <v>0</v>
      </c>
      <c r="V475" s="29">
        <v>0</v>
      </c>
      <c r="W475" s="29">
        <v>0</v>
      </c>
      <c r="X475" s="29">
        <v>0</v>
      </c>
      <c r="Y475" s="29">
        <v>0</v>
      </c>
      <c r="Z475" s="29">
        <v>0</v>
      </c>
      <c r="AA475" s="29">
        <v>0</v>
      </c>
      <c r="AB475" s="29">
        <v>0</v>
      </c>
      <c r="AC475" s="29">
        <v>48254.86</v>
      </c>
      <c r="AD475" s="29">
        <v>0</v>
      </c>
      <c r="AE475" s="29">
        <v>0</v>
      </c>
      <c r="AF475" s="32" t="s">
        <v>268</v>
      </c>
      <c r="AG475" s="32">
        <v>2020</v>
      </c>
      <c r="AH475" s="33">
        <v>2020</v>
      </c>
      <c r="AT475" s="18" t="e">
        <f>VLOOKUP(C475,AW:AX,2,FALSE)</f>
        <v>#N/A</v>
      </c>
      <c r="BZ475" s="61"/>
      <c r="CD475" s="18" t="e">
        <f>VLOOKUP(C475,CE:CF,2,FALSE)</f>
        <v>#N/A</v>
      </c>
    </row>
    <row r="476" spans="1:82" ht="61.5" x14ac:dyDescent="0.85">
      <c r="A476" s="18">
        <v>1</v>
      </c>
      <c r="B476" s="57">
        <f>SUBTOTAL(103,$A$22:A476)</f>
        <v>407</v>
      </c>
      <c r="C476" s="22" t="s">
        <v>141</v>
      </c>
      <c r="D476" s="29">
        <f t="shared" si="70"/>
        <v>4309479.43</v>
      </c>
      <c r="E476" s="29">
        <v>0</v>
      </c>
      <c r="F476" s="29">
        <v>0</v>
      </c>
      <c r="G476" s="29">
        <v>0</v>
      </c>
      <c r="H476" s="29">
        <v>0</v>
      </c>
      <c r="I476" s="29">
        <v>0</v>
      </c>
      <c r="J476" s="29">
        <v>0</v>
      </c>
      <c r="K476" s="31">
        <v>0</v>
      </c>
      <c r="L476" s="29">
        <v>0</v>
      </c>
      <c r="M476" s="37">
        <v>1336.3</v>
      </c>
      <c r="N476" s="37">
        <v>4249874.93</v>
      </c>
      <c r="O476" s="29">
        <v>0</v>
      </c>
      <c r="P476" s="29">
        <v>0</v>
      </c>
      <c r="Q476" s="29">
        <v>0</v>
      </c>
      <c r="R476" s="29">
        <v>0</v>
      </c>
      <c r="S476" s="29">
        <v>0</v>
      </c>
      <c r="T476" s="29">
        <v>0</v>
      </c>
      <c r="U476" s="29">
        <v>0</v>
      </c>
      <c r="V476" s="29">
        <v>0</v>
      </c>
      <c r="W476" s="29">
        <v>0</v>
      </c>
      <c r="X476" s="29">
        <v>0</v>
      </c>
      <c r="Y476" s="29">
        <v>0</v>
      </c>
      <c r="Z476" s="29">
        <v>0</v>
      </c>
      <c r="AA476" s="29">
        <v>0</v>
      </c>
      <c r="AB476" s="29">
        <v>0</v>
      </c>
      <c r="AC476" s="37">
        <v>59604.5</v>
      </c>
      <c r="AD476" s="29">
        <v>0</v>
      </c>
      <c r="AE476" s="29">
        <v>0</v>
      </c>
      <c r="AF476" s="32" t="s">
        <v>268</v>
      </c>
      <c r="AG476" s="32">
        <v>2020</v>
      </c>
      <c r="AH476" s="33">
        <v>2020</v>
      </c>
      <c r="AT476" s="18" t="e">
        <f>VLOOKUP(C476,AW:AX,2,FALSE)</f>
        <v>#N/A</v>
      </c>
      <c r="BZ476" s="61"/>
      <c r="CD476" s="18">
        <f>VLOOKUP(C476,CE:CF,2,FALSE)</f>
        <v>1373.6</v>
      </c>
    </row>
    <row r="477" spans="1:82" ht="61.5" x14ac:dyDescent="0.85">
      <c r="A477" s="18">
        <v>1</v>
      </c>
      <c r="B477" s="57">
        <f>SUBTOTAL(103,$A$22:A477)</f>
        <v>408</v>
      </c>
      <c r="C477" s="22" t="s">
        <v>1242</v>
      </c>
      <c r="D477" s="29">
        <f t="shared" si="70"/>
        <v>1167976.3099999998</v>
      </c>
      <c r="E477" s="37">
        <v>106894.33</v>
      </c>
      <c r="F477" s="29">
        <v>0</v>
      </c>
      <c r="G477" s="37">
        <v>578602.22</v>
      </c>
      <c r="H477" s="37">
        <v>130137.83</v>
      </c>
      <c r="I477" s="37">
        <v>335166.21999999997</v>
      </c>
      <c r="J477" s="29">
        <v>0</v>
      </c>
      <c r="K477" s="31">
        <v>0</v>
      </c>
      <c r="L477" s="29">
        <v>0</v>
      </c>
      <c r="M477" s="29">
        <v>0</v>
      </c>
      <c r="N477" s="29">
        <v>0</v>
      </c>
      <c r="O477" s="29">
        <v>0</v>
      </c>
      <c r="P477" s="29">
        <v>0</v>
      </c>
      <c r="Q477" s="29">
        <v>0</v>
      </c>
      <c r="R477" s="29">
        <v>0</v>
      </c>
      <c r="S477" s="29">
        <v>0</v>
      </c>
      <c r="T477" s="29">
        <v>0</v>
      </c>
      <c r="U477" s="29">
        <v>0</v>
      </c>
      <c r="V477" s="29">
        <v>0</v>
      </c>
      <c r="W477" s="29">
        <v>0</v>
      </c>
      <c r="X477" s="29">
        <v>0</v>
      </c>
      <c r="Y477" s="29">
        <v>0</v>
      </c>
      <c r="Z477" s="29">
        <v>0</v>
      </c>
      <c r="AA477" s="29">
        <v>0</v>
      </c>
      <c r="AB477" s="29">
        <v>0</v>
      </c>
      <c r="AC477" s="29">
        <f>ROUND(E477*1.4925%,2)+ROUND(G477*1.4925%,2)+ROUND(H477*1.4925%,2)+ROUND(I477*1.4925%,2)</f>
        <v>17175.71</v>
      </c>
      <c r="AD477" s="29">
        <v>0</v>
      </c>
      <c r="AE477" s="29">
        <v>0</v>
      </c>
      <c r="AF477" s="32" t="s">
        <v>268</v>
      </c>
      <c r="AG477" s="32">
        <v>2020</v>
      </c>
      <c r="AH477" s="33">
        <v>2020</v>
      </c>
      <c r="BZ477" s="61"/>
      <c r="CD477" s="18" t="e">
        <f>VLOOKUP(C477,CE:CF,2,FALSE)</f>
        <v>#N/A</v>
      </c>
    </row>
    <row r="478" spans="1:82" ht="61.5" x14ac:dyDescent="0.85">
      <c r="A478" s="18">
        <v>1</v>
      </c>
      <c r="B478" s="57">
        <f>SUBTOTAL(103,$A$22:A478)</f>
        <v>409</v>
      </c>
      <c r="C478" s="22" t="s">
        <v>1243</v>
      </c>
      <c r="D478" s="29">
        <f t="shared" si="70"/>
        <v>1211378.6299999999</v>
      </c>
      <c r="E478" s="37">
        <v>110348.88</v>
      </c>
      <c r="F478" s="29">
        <v>0</v>
      </c>
      <c r="G478" s="37">
        <v>537364.75</v>
      </c>
      <c r="H478" s="37">
        <v>150637.06</v>
      </c>
      <c r="I478" s="37">
        <v>395213.98</v>
      </c>
      <c r="J478" s="29">
        <v>0</v>
      </c>
      <c r="K478" s="31">
        <v>0</v>
      </c>
      <c r="L478" s="29">
        <v>0</v>
      </c>
      <c r="M478" s="29">
        <v>0</v>
      </c>
      <c r="N478" s="29">
        <v>0</v>
      </c>
      <c r="O478" s="29">
        <v>0</v>
      </c>
      <c r="P478" s="29">
        <v>0</v>
      </c>
      <c r="Q478" s="29">
        <v>0</v>
      </c>
      <c r="R478" s="29">
        <v>0</v>
      </c>
      <c r="S478" s="29">
        <v>0</v>
      </c>
      <c r="T478" s="29">
        <v>0</v>
      </c>
      <c r="U478" s="29">
        <v>0</v>
      </c>
      <c r="V478" s="29">
        <v>0</v>
      </c>
      <c r="W478" s="29">
        <v>0</v>
      </c>
      <c r="X478" s="29">
        <v>0</v>
      </c>
      <c r="Y478" s="29">
        <v>0</v>
      </c>
      <c r="Z478" s="29">
        <v>0</v>
      </c>
      <c r="AA478" s="29">
        <v>0</v>
      </c>
      <c r="AB478" s="29">
        <v>0</v>
      </c>
      <c r="AC478" s="29">
        <v>17813.96</v>
      </c>
      <c r="AD478" s="29">
        <v>0</v>
      </c>
      <c r="AE478" s="29">
        <v>0</v>
      </c>
      <c r="AF478" s="32" t="s">
        <v>268</v>
      </c>
      <c r="AG478" s="32">
        <v>2020</v>
      </c>
      <c r="AH478" s="33">
        <v>2020</v>
      </c>
      <c r="BZ478" s="61"/>
      <c r="CD478" s="18" t="e">
        <f>VLOOKUP(C478,CE:CF,2,FALSE)</f>
        <v>#N/A</v>
      </c>
    </row>
    <row r="479" spans="1:82" ht="61.5" x14ac:dyDescent="0.85">
      <c r="A479" s="18">
        <v>1</v>
      </c>
      <c r="B479" s="57">
        <f>SUBTOTAL(103,$A$22:A479)</f>
        <v>410</v>
      </c>
      <c r="C479" s="22" t="s">
        <v>1244</v>
      </c>
      <c r="D479" s="29">
        <f t="shared" si="70"/>
        <v>908111.25</v>
      </c>
      <c r="E479" s="29">
        <v>0</v>
      </c>
      <c r="F479" s="29">
        <v>0</v>
      </c>
      <c r="G479" s="37">
        <v>894757</v>
      </c>
      <c r="H479" s="29">
        <v>0</v>
      </c>
      <c r="I479" s="29">
        <v>0</v>
      </c>
      <c r="J479" s="29">
        <v>0</v>
      </c>
      <c r="K479" s="31">
        <v>0</v>
      </c>
      <c r="L479" s="29">
        <v>0</v>
      </c>
      <c r="M479" s="29">
        <v>0</v>
      </c>
      <c r="N479" s="29">
        <v>0</v>
      </c>
      <c r="O479" s="29">
        <v>0</v>
      </c>
      <c r="P479" s="29">
        <v>0</v>
      </c>
      <c r="Q479" s="29">
        <v>0</v>
      </c>
      <c r="R479" s="29">
        <v>0</v>
      </c>
      <c r="S479" s="29">
        <v>0</v>
      </c>
      <c r="T479" s="29">
        <v>0</v>
      </c>
      <c r="U479" s="29">
        <v>0</v>
      </c>
      <c r="V479" s="29">
        <v>0</v>
      </c>
      <c r="W479" s="29">
        <v>0</v>
      </c>
      <c r="X479" s="29">
        <v>0</v>
      </c>
      <c r="Y479" s="29">
        <v>0</v>
      </c>
      <c r="Z479" s="29">
        <v>0</v>
      </c>
      <c r="AA479" s="29">
        <v>0</v>
      </c>
      <c r="AB479" s="29">
        <v>0</v>
      </c>
      <c r="AC479" s="29">
        <v>13354.25</v>
      </c>
      <c r="AD479" s="29">
        <v>0</v>
      </c>
      <c r="AE479" s="29">
        <v>0</v>
      </c>
      <c r="AF479" s="32" t="s">
        <v>268</v>
      </c>
      <c r="AG479" s="32">
        <v>2020</v>
      </c>
      <c r="AH479" s="33">
        <v>2020</v>
      </c>
      <c r="BZ479" s="61"/>
      <c r="CD479" s="18" t="e">
        <f>VLOOKUP(C479,CE:CF,2,FALSE)</f>
        <v>#N/A</v>
      </c>
    </row>
    <row r="480" spans="1:82" ht="61.5" x14ac:dyDescent="0.85">
      <c r="A480" s="18">
        <v>1</v>
      </c>
      <c r="B480" s="57">
        <f>SUBTOTAL(103,$A$22:A480)</f>
        <v>411</v>
      </c>
      <c r="C480" s="22" t="s">
        <v>1272</v>
      </c>
      <c r="D480" s="29">
        <f t="shared" si="70"/>
        <v>55068.52</v>
      </c>
      <c r="E480" s="29">
        <v>0</v>
      </c>
      <c r="F480" s="29">
        <v>0</v>
      </c>
      <c r="G480" s="29">
        <v>0</v>
      </c>
      <c r="H480" s="29">
        <v>0</v>
      </c>
      <c r="I480" s="29">
        <v>0</v>
      </c>
      <c r="J480" s="29">
        <v>0</v>
      </c>
      <c r="K480" s="31">
        <v>0</v>
      </c>
      <c r="L480" s="29">
        <v>0</v>
      </c>
      <c r="M480" s="29">
        <v>0</v>
      </c>
      <c r="N480" s="29">
        <v>0</v>
      </c>
      <c r="O480" s="29">
        <v>0</v>
      </c>
      <c r="P480" s="29">
        <v>0</v>
      </c>
      <c r="Q480" s="29">
        <v>0</v>
      </c>
      <c r="R480" s="29">
        <v>0</v>
      </c>
      <c r="S480" s="29">
        <v>0</v>
      </c>
      <c r="T480" s="29">
        <v>0</v>
      </c>
      <c r="U480" s="29">
        <v>0</v>
      </c>
      <c r="V480" s="29">
        <v>0</v>
      </c>
      <c r="W480" s="29">
        <v>0</v>
      </c>
      <c r="X480" s="29">
        <v>0</v>
      </c>
      <c r="Y480" s="29">
        <v>0</v>
      </c>
      <c r="Z480" s="29">
        <v>0</v>
      </c>
      <c r="AA480" s="29">
        <v>0</v>
      </c>
      <c r="AB480" s="29">
        <v>0</v>
      </c>
      <c r="AC480" s="29">
        <f>ROUND(N480*1.5%,2)</f>
        <v>0</v>
      </c>
      <c r="AD480" s="37">
        <v>55068.52</v>
      </c>
      <c r="AE480" s="29">
        <v>0</v>
      </c>
      <c r="AF480" s="32">
        <v>2020</v>
      </c>
      <c r="AG480" s="32" t="s">
        <v>268</v>
      </c>
      <c r="AH480" s="32" t="s">
        <v>268</v>
      </c>
      <c r="BZ480" s="61"/>
      <c r="CD480" s="18">
        <f>VLOOKUP(C480,CE:CF,2,FALSE)</f>
        <v>500</v>
      </c>
    </row>
    <row r="481" spans="1:82" ht="61.5" x14ac:dyDescent="0.85">
      <c r="A481" s="18">
        <v>1</v>
      </c>
      <c r="B481" s="57">
        <f>SUBTOTAL(103,$A$22:A481)</f>
        <v>412</v>
      </c>
      <c r="C481" s="22" t="s">
        <v>1273</v>
      </c>
      <c r="D481" s="29">
        <f>E481+F481+G481+H481+I481+J481+L481+N481+P481+R481+T481+U481+V481+W481+X481+Y481+Z481+AA481+AB481+AC481+AD481+AE481</f>
        <v>98964.25</v>
      </c>
      <c r="E481" s="29">
        <v>0</v>
      </c>
      <c r="F481" s="29">
        <v>0</v>
      </c>
      <c r="G481" s="29">
        <v>0</v>
      </c>
      <c r="H481" s="29">
        <v>0</v>
      </c>
      <c r="I481" s="29">
        <v>0</v>
      </c>
      <c r="J481" s="29">
        <v>0</v>
      </c>
      <c r="K481" s="31">
        <v>0</v>
      </c>
      <c r="L481" s="29">
        <v>0</v>
      </c>
      <c r="M481" s="29">
        <v>0</v>
      </c>
      <c r="N481" s="29">
        <v>0</v>
      </c>
      <c r="O481" s="29">
        <v>0</v>
      </c>
      <c r="P481" s="29">
        <v>0</v>
      </c>
      <c r="Q481" s="29">
        <v>0</v>
      </c>
      <c r="R481" s="29">
        <v>0</v>
      </c>
      <c r="S481" s="29">
        <v>0</v>
      </c>
      <c r="T481" s="29">
        <v>0</v>
      </c>
      <c r="U481" s="29">
        <v>0</v>
      </c>
      <c r="V481" s="29">
        <v>0</v>
      </c>
      <c r="W481" s="29">
        <v>0</v>
      </c>
      <c r="X481" s="29">
        <v>0</v>
      </c>
      <c r="Y481" s="29">
        <v>0</v>
      </c>
      <c r="Z481" s="29">
        <v>0</v>
      </c>
      <c r="AA481" s="29">
        <v>0</v>
      </c>
      <c r="AB481" s="29">
        <v>0</v>
      </c>
      <c r="AC481" s="29">
        <f>ROUND(N481*1.5%,2)</f>
        <v>0</v>
      </c>
      <c r="AD481" s="37">
        <v>98964.25</v>
      </c>
      <c r="AE481" s="29">
        <v>0</v>
      </c>
      <c r="AF481" s="32">
        <v>2020</v>
      </c>
      <c r="AG481" s="32" t="s">
        <v>268</v>
      </c>
      <c r="AH481" s="32" t="s">
        <v>268</v>
      </c>
      <c r="BZ481" s="61"/>
      <c r="CD481" s="18">
        <f>VLOOKUP(C481,CE:CF,2,FALSE)</f>
        <v>958</v>
      </c>
    </row>
    <row r="482" spans="1:82" ht="61.5" x14ac:dyDescent="0.85">
      <c r="A482" s="18">
        <v>1</v>
      </c>
      <c r="B482" s="57">
        <f>SUBTOTAL(103,$A$22:A482)</f>
        <v>413</v>
      </c>
      <c r="C482" s="22" t="s">
        <v>1546</v>
      </c>
      <c r="D482" s="29">
        <f>E482+F482+G482+H482+I482+J482+L482+N482+P482+R482+T482+U482+V482+W482+X482+Y482+Z482+AA482+AB482+AC482+AD482+AE482</f>
        <v>2347663.2300000004</v>
      </c>
      <c r="E482" s="29">
        <v>0</v>
      </c>
      <c r="F482" s="29">
        <v>0</v>
      </c>
      <c r="G482" s="29">
        <v>0</v>
      </c>
      <c r="H482" s="29">
        <v>0</v>
      </c>
      <c r="I482" s="29">
        <v>0</v>
      </c>
      <c r="J482" s="29">
        <v>0</v>
      </c>
      <c r="K482" s="31">
        <v>0</v>
      </c>
      <c r="L482" s="29">
        <v>0</v>
      </c>
      <c r="M482" s="37">
        <v>513.5</v>
      </c>
      <c r="N482" s="37">
        <v>2256576.52</v>
      </c>
      <c r="O482" s="29">
        <v>0</v>
      </c>
      <c r="P482" s="29">
        <v>0</v>
      </c>
      <c r="Q482" s="29">
        <v>0</v>
      </c>
      <c r="R482" s="29">
        <v>0</v>
      </c>
      <c r="S482" s="29">
        <v>0</v>
      </c>
      <c r="T482" s="29">
        <v>0</v>
      </c>
      <c r="U482" s="29">
        <v>0</v>
      </c>
      <c r="V482" s="29">
        <v>0</v>
      </c>
      <c r="W482" s="29">
        <v>0</v>
      </c>
      <c r="X482" s="29">
        <v>0</v>
      </c>
      <c r="Y482" s="29">
        <v>0</v>
      </c>
      <c r="Z482" s="29">
        <v>0</v>
      </c>
      <c r="AA482" s="29">
        <v>0</v>
      </c>
      <c r="AB482" s="29">
        <v>0</v>
      </c>
      <c r="AC482" s="29">
        <v>31648.49</v>
      </c>
      <c r="AD482" s="37">
        <v>59438.22</v>
      </c>
      <c r="AE482" s="29">
        <v>0</v>
      </c>
      <c r="AF482" s="32">
        <v>2020</v>
      </c>
      <c r="AG482" s="32">
        <v>2020</v>
      </c>
      <c r="AH482" s="33">
        <v>2020</v>
      </c>
      <c r="BZ482" s="61"/>
      <c r="CD482" s="18" t="e">
        <f>VLOOKUP(C482,CE:CF,2,FALSE)</f>
        <v>#N/A</v>
      </c>
    </row>
    <row r="483" spans="1:82" ht="61.5" x14ac:dyDescent="0.85">
      <c r="A483" s="18">
        <v>1</v>
      </c>
      <c r="B483" s="57">
        <f>SUBTOTAL(103,$A$22:A483)</f>
        <v>414</v>
      </c>
      <c r="C483" s="22" t="s">
        <v>151</v>
      </c>
      <c r="D483" s="29">
        <f>E483+F483+G483+H483+I483+J483+L483+N483+P483+R483+T483+U483+V483+W483+X483+Y483+Z483+AA483+AB483+AC483+AD483+AE483</f>
        <v>2512797.5499999998</v>
      </c>
      <c r="E483" s="29">
        <v>0</v>
      </c>
      <c r="F483" s="29">
        <v>0</v>
      </c>
      <c r="G483" s="29">
        <v>0</v>
      </c>
      <c r="H483" s="29">
        <v>0</v>
      </c>
      <c r="I483" s="29">
        <v>0</v>
      </c>
      <c r="J483" s="29">
        <v>0</v>
      </c>
      <c r="K483" s="31">
        <v>0</v>
      </c>
      <c r="L483" s="29">
        <v>0</v>
      </c>
      <c r="M483" s="37">
        <v>791.12</v>
      </c>
      <c r="N483" s="134">
        <v>2478043</v>
      </c>
      <c r="O483" s="29">
        <v>0</v>
      </c>
      <c r="P483" s="29">
        <v>0</v>
      </c>
      <c r="Q483" s="29">
        <v>0</v>
      </c>
      <c r="R483" s="29">
        <v>0</v>
      </c>
      <c r="S483" s="29">
        <v>0</v>
      </c>
      <c r="T483" s="29">
        <v>0</v>
      </c>
      <c r="U483" s="29">
        <v>0</v>
      </c>
      <c r="V483" s="29">
        <v>0</v>
      </c>
      <c r="W483" s="29">
        <v>0</v>
      </c>
      <c r="X483" s="29">
        <v>0</v>
      </c>
      <c r="Y483" s="29">
        <v>0</v>
      </c>
      <c r="Z483" s="29">
        <v>0</v>
      </c>
      <c r="AA483" s="29">
        <v>0</v>
      </c>
      <c r="AB483" s="29">
        <v>0</v>
      </c>
      <c r="AC483" s="134">
        <v>34754.550000000003</v>
      </c>
      <c r="AD483" s="29">
        <v>0</v>
      </c>
      <c r="AE483" s="29">
        <v>0</v>
      </c>
      <c r="AF483" s="32" t="s">
        <v>268</v>
      </c>
      <c r="AG483" s="32">
        <v>2020</v>
      </c>
      <c r="AH483" s="33">
        <v>2020</v>
      </c>
      <c r="AT483" s="18" t="e">
        <f>VLOOKUP(C483,AW:AX,2,FALSE)</f>
        <v>#N/A</v>
      </c>
      <c r="BZ483" s="61"/>
      <c r="CD483" s="18">
        <f>VLOOKUP(C483,CE:CF,2,FALSE)</f>
        <v>833.9</v>
      </c>
    </row>
    <row r="484" spans="1:82" ht="61.5" x14ac:dyDescent="0.85">
      <c r="A484" s="18">
        <v>1</v>
      </c>
      <c r="B484" s="57">
        <f>SUBTOTAL(103,$A$22:A484)</f>
        <v>415</v>
      </c>
      <c r="C484" s="22" t="s">
        <v>152</v>
      </c>
      <c r="D484" s="29">
        <f>E484+F484+G484+H484+I484+J484+L484+N484+P484+R484+T484+U484+V484+W484+X484+Y484+Z484+AA484+AB484+AC484+AD484+AE484</f>
        <v>3167665.04</v>
      </c>
      <c r="E484" s="29">
        <v>0</v>
      </c>
      <c r="F484" s="29">
        <v>0</v>
      </c>
      <c r="G484" s="29">
        <v>0</v>
      </c>
      <c r="H484" s="29">
        <v>0</v>
      </c>
      <c r="I484" s="29">
        <v>0</v>
      </c>
      <c r="J484" s="29">
        <v>0</v>
      </c>
      <c r="K484" s="31">
        <v>0</v>
      </c>
      <c r="L484" s="29">
        <v>0</v>
      </c>
      <c r="M484" s="37">
        <v>991.38</v>
      </c>
      <c r="N484" s="134">
        <v>3123853</v>
      </c>
      <c r="O484" s="29">
        <v>0</v>
      </c>
      <c r="P484" s="29">
        <v>0</v>
      </c>
      <c r="Q484" s="29">
        <v>0</v>
      </c>
      <c r="R484" s="29">
        <v>0</v>
      </c>
      <c r="S484" s="29">
        <v>0</v>
      </c>
      <c r="T484" s="29">
        <v>0</v>
      </c>
      <c r="U484" s="29">
        <v>0</v>
      </c>
      <c r="V484" s="29">
        <v>0</v>
      </c>
      <c r="W484" s="29">
        <v>0</v>
      </c>
      <c r="X484" s="29">
        <v>0</v>
      </c>
      <c r="Y484" s="29">
        <v>0</v>
      </c>
      <c r="Z484" s="29">
        <v>0</v>
      </c>
      <c r="AA484" s="29">
        <v>0</v>
      </c>
      <c r="AB484" s="29">
        <v>0</v>
      </c>
      <c r="AC484" s="134">
        <v>43812.04</v>
      </c>
      <c r="AD484" s="29">
        <v>0</v>
      </c>
      <c r="AE484" s="29">
        <v>0</v>
      </c>
      <c r="AF484" s="32" t="s">
        <v>268</v>
      </c>
      <c r="AG484" s="32">
        <v>2020</v>
      </c>
      <c r="AH484" s="33">
        <v>2020</v>
      </c>
      <c r="AT484" s="18" t="e">
        <f>VLOOKUP(C484,AW:AX,2,FALSE)</f>
        <v>#N/A</v>
      </c>
      <c r="BZ484" s="61"/>
      <c r="CD484" s="18">
        <f>VLOOKUP(C484,CE:CF,2,FALSE)</f>
        <v>1035.9000000000001</v>
      </c>
    </row>
    <row r="485" spans="1:82" ht="61.5" x14ac:dyDescent="0.85">
      <c r="B485" s="22" t="s">
        <v>845</v>
      </c>
      <c r="C485" s="22"/>
      <c r="D485" s="339">
        <f>SUM(D486:D493)</f>
        <v>24440368.16</v>
      </c>
      <c r="E485" s="29">
        <f t="shared" ref="E485:AE485" si="71">SUM(E486:E493)</f>
        <v>0</v>
      </c>
      <c r="F485" s="29">
        <f t="shared" si="71"/>
        <v>0</v>
      </c>
      <c r="G485" s="29">
        <f t="shared" si="71"/>
        <v>899499.24</v>
      </c>
      <c r="H485" s="29">
        <f t="shared" si="71"/>
        <v>0</v>
      </c>
      <c r="I485" s="29">
        <f t="shared" si="71"/>
        <v>0</v>
      </c>
      <c r="J485" s="29">
        <f t="shared" si="71"/>
        <v>0</v>
      </c>
      <c r="K485" s="31">
        <f t="shared" si="71"/>
        <v>0</v>
      </c>
      <c r="L485" s="29">
        <f t="shared" si="71"/>
        <v>0</v>
      </c>
      <c r="M485" s="29">
        <f t="shared" si="71"/>
        <v>5747.05</v>
      </c>
      <c r="N485" s="29">
        <f t="shared" si="71"/>
        <v>22613016.149999999</v>
      </c>
      <c r="O485" s="29">
        <f t="shared" si="71"/>
        <v>459.05</v>
      </c>
      <c r="P485" s="29">
        <f t="shared" si="71"/>
        <v>235413.82</v>
      </c>
      <c r="Q485" s="29">
        <f t="shared" si="71"/>
        <v>0</v>
      </c>
      <c r="R485" s="29">
        <f t="shared" si="71"/>
        <v>0</v>
      </c>
      <c r="S485" s="29">
        <f t="shared" si="71"/>
        <v>0</v>
      </c>
      <c r="T485" s="29">
        <f t="shared" si="71"/>
        <v>0</v>
      </c>
      <c r="U485" s="29">
        <f t="shared" si="71"/>
        <v>0</v>
      </c>
      <c r="V485" s="29">
        <f t="shared" si="71"/>
        <v>0</v>
      </c>
      <c r="W485" s="29">
        <f t="shared" si="71"/>
        <v>0</v>
      </c>
      <c r="X485" s="29">
        <f t="shared" si="71"/>
        <v>0</v>
      </c>
      <c r="Y485" s="29">
        <f t="shared" si="71"/>
        <v>0</v>
      </c>
      <c r="Z485" s="29">
        <f t="shared" si="71"/>
        <v>0</v>
      </c>
      <c r="AA485" s="29">
        <f t="shared" si="71"/>
        <v>0</v>
      </c>
      <c r="AB485" s="29">
        <f t="shared" si="71"/>
        <v>0</v>
      </c>
      <c r="AC485" s="29">
        <f t="shared" si="71"/>
        <v>245927.35</v>
      </c>
      <c r="AD485" s="29">
        <f t="shared" si="71"/>
        <v>446511.6</v>
      </c>
      <c r="AE485" s="29">
        <f t="shared" si="71"/>
        <v>0</v>
      </c>
      <c r="AF485" s="62" t="s">
        <v>743</v>
      </c>
      <c r="AG485" s="62" t="s">
        <v>743</v>
      </c>
      <c r="AH485" s="77" t="s">
        <v>743</v>
      </c>
      <c r="AT485" s="18" t="e">
        <f>VLOOKUP(C485,AW:AX,2,FALSE)</f>
        <v>#N/A</v>
      </c>
      <c r="BZ485" s="61">
        <v>38327194.07</v>
      </c>
      <c r="CD485" s="18" t="e">
        <f>VLOOKUP(C485,CE:CF,2,FALSE)</f>
        <v>#N/A</v>
      </c>
    </row>
    <row r="486" spans="1:82" ht="61.5" x14ac:dyDescent="0.85">
      <c r="A486" s="18">
        <v>1</v>
      </c>
      <c r="B486" s="57">
        <f>SUBTOTAL(103,$A$22:A486)</f>
        <v>416</v>
      </c>
      <c r="C486" s="22" t="s">
        <v>137</v>
      </c>
      <c r="D486" s="29">
        <f t="shared" ref="D486:D493" si="72">E486+F486+G486+H486+I486+J486+L486+N486+P486+R486+T486+U486+V486+W486+X486+Y486+Z486+AA486+AB486+AC486+AD486+AE486</f>
        <v>2050029.61</v>
      </c>
      <c r="E486" s="29">
        <v>0</v>
      </c>
      <c r="F486" s="29">
        <v>0</v>
      </c>
      <c r="G486" s="29">
        <v>0</v>
      </c>
      <c r="H486" s="29">
        <v>0</v>
      </c>
      <c r="I486" s="29">
        <v>0</v>
      </c>
      <c r="J486" s="29">
        <v>0</v>
      </c>
      <c r="K486" s="31">
        <v>0</v>
      </c>
      <c r="L486" s="29">
        <v>0</v>
      </c>
      <c r="M486" s="37">
        <v>1029.8800000000001</v>
      </c>
      <c r="N486" s="37">
        <v>2021675.61</v>
      </c>
      <c r="O486" s="29">
        <v>0</v>
      </c>
      <c r="P486" s="29">
        <v>0</v>
      </c>
      <c r="Q486" s="29">
        <v>0</v>
      </c>
      <c r="R486" s="29">
        <v>0</v>
      </c>
      <c r="S486" s="29">
        <v>0</v>
      </c>
      <c r="T486" s="29">
        <v>0</v>
      </c>
      <c r="U486" s="29">
        <v>0</v>
      </c>
      <c r="V486" s="29">
        <v>0</v>
      </c>
      <c r="W486" s="29">
        <v>0</v>
      </c>
      <c r="X486" s="29">
        <v>0</v>
      </c>
      <c r="Y486" s="29">
        <v>0</v>
      </c>
      <c r="Z486" s="29">
        <v>0</v>
      </c>
      <c r="AA486" s="29">
        <v>0</v>
      </c>
      <c r="AB486" s="29">
        <v>0</v>
      </c>
      <c r="AC486" s="37">
        <v>28354</v>
      </c>
      <c r="AD486" s="29">
        <v>0</v>
      </c>
      <c r="AE486" s="29">
        <v>0</v>
      </c>
      <c r="AF486" s="32" t="s">
        <v>268</v>
      </c>
      <c r="AG486" s="32">
        <v>2020</v>
      </c>
      <c r="AH486" s="33">
        <v>2020</v>
      </c>
      <c r="AT486" s="18" t="e">
        <f>VLOOKUP(C486,AW:AX,2,FALSE)</f>
        <v>#N/A</v>
      </c>
      <c r="BZ486" s="61"/>
      <c r="CD486" s="18">
        <f>VLOOKUP(C486,CE:CF,2,FALSE)</f>
        <v>1062.4000000000001</v>
      </c>
    </row>
    <row r="487" spans="1:82" ht="61.5" x14ac:dyDescent="0.85">
      <c r="A487" s="18">
        <v>1</v>
      </c>
      <c r="B487" s="57">
        <f>SUBTOTAL(103,$A$22:A487)</f>
        <v>417</v>
      </c>
      <c r="C487" s="22" t="s">
        <v>138</v>
      </c>
      <c r="D487" s="29">
        <f t="shared" si="72"/>
        <v>1928448.7800000003</v>
      </c>
      <c r="E487" s="29">
        <v>0</v>
      </c>
      <c r="F487" s="29">
        <v>0</v>
      </c>
      <c r="G487" s="29">
        <v>0</v>
      </c>
      <c r="H487" s="29">
        <v>0</v>
      </c>
      <c r="I487" s="29">
        <v>0</v>
      </c>
      <c r="J487" s="29">
        <v>0</v>
      </c>
      <c r="K487" s="31">
        <v>0</v>
      </c>
      <c r="L487" s="29">
        <v>0</v>
      </c>
      <c r="M487" s="37">
        <v>514.20000000000005</v>
      </c>
      <c r="N487" s="37">
        <v>1814427.36</v>
      </c>
      <c r="O487" s="29">
        <v>0</v>
      </c>
      <c r="P487" s="29">
        <v>0</v>
      </c>
      <c r="Q487" s="29">
        <v>0</v>
      </c>
      <c r="R487" s="29">
        <v>0</v>
      </c>
      <c r="S487" s="29">
        <v>0</v>
      </c>
      <c r="T487" s="29">
        <v>0</v>
      </c>
      <c r="U487" s="29">
        <v>0</v>
      </c>
      <c r="V487" s="29">
        <v>0</v>
      </c>
      <c r="W487" s="29">
        <v>0</v>
      </c>
      <c r="X487" s="29">
        <v>0</v>
      </c>
      <c r="Y487" s="29">
        <v>0</v>
      </c>
      <c r="Z487" s="29">
        <v>0</v>
      </c>
      <c r="AA487" s="29">
        <v>0</v>
      </c>
      <c r="AB487" s="29">
        <v>0</v>
      </c>
      <c r="AC487" s="37">
        <v>25447.34</v>
      </c>
      <c r="AD487" s="37">
        <v>88574.080000000002</v>
      </c>
      <c r="AE487" s="29">
        <v>0</v>
      </c>
      <c r="AF487" s="32">
        <v>2020</v>
      </c>
      <c r="AG487" s="32">
        <v>2020</v>
      </c>
      <c r="AH487" s="33">
        <v>2020</v>
      </c>
      <c r="AT487" s="18" t="e">
        <f>VLOOKUP(C487,AW:AX,2,FALSE)</f>
        <v>#N/A</v>
      </c>
      <c r="BZ487" s="61"/>
      <c r="CD487" s="18" t="e">
        <f>VLOOKUP(C487,CE:CF,2,FALSE)</f>
        <v>#N/A</v>
      </c>
    </row>
    <row r="488" spans="1:82" ht="61.5" x14ac:dyDescent="0.85">
      <c r="A488" s="18">
        <v>1</v>
      </c>
      <c r="B488" s="57">
        <f>SUBTOTAL(103,$A$22:A488)</f>
        <v>418</v>
      </c>
      <c r="C488" s="22" t="s">
        <v>147</v>
      </c>
      <c r="D488" s="29">
        <f t="shared" si="72"/>
        <v>9931926.4399999995</v>
      </c>
      <c r="E488" s="29">
        <v>0</v>
      </c>
      <c r="F488" s="29">
        <v>0</v>
      </c>
      <c r="G488" s="29">
        <v>0</v>
      </c>
      <c r="H488" s="29">
        <v>0</v>
      </c>
      <c r="I488" s="29">
        <v>0</v>
      </c>
      <c r="J488" s="29">
        <v>0</v>
      </c>
      <c r="K488" s="31">
        <v>0</v>
      </c>
      <c r="L488" s="29">
        <v>0</v>
      </c>
      <c r="M488" s="37">
        <v>1954.34</v>
      </c>
      <c r="N488" s="37">
        <v>9639187.8300000001</v>
      </c>
      <c r="O488" s="29">
        <v>0</v>
      </c>
      <c r="P488" s="29">
        <v>0</v>
      </c>
      <c r="Q488" s="29">
        <v>0</v>
      </c>
      <c r="R488" s="29">
        <v>0</v>
      </c>
      <c r="S488" s="29">
        <v>0</v>
      </c>
      <c r="T488" s="29">
        <v>0</v>
      </c>
      <c r="U488" s="29">
        <v>0</v>
      </c>
      <c r="V488" s="29">
        <v>0</v>
      </c>
      <c r="W488" s="29">
        <v>0</v>
      </c>
      <c r="X488" s="29">
        <v>0</v>
      </c>
      <c r="Y488" s="29">
        <v>0</v>
      </c>
      <c r="Z488" s="29">
        <v>0</v>
      </c>
      <c r="AA488" s="29">
        <v>0</v>
      </c>
      <c r="AB488" s="29">
        <v>0</v>
      </c>
      <c r="AC488" s="37">
        <v>135189.60999999999</v>
      </c>
      <c r="AD488" s="37">
        <v>157549</v>
      </c>
      <c r="AE488" s="29">
        <v>0</v>
      </c>
      <c r="AF488" s="32">
        <v>2020</v>
      </c>
      <c r="AG488" s="32">
        <v>2020</v>
      </c>
      <c r="AH488" s="33">
        <v>2020</v>
      </c>
      <c r="AT488" s="18" t="e">
        <f>VLOOKUP(C488,AW$488:AX$488,2,FALSE)</f>
        <v>#N/A</v>
      </c>
      <c r="BZ488" s="61"/>
      <c r="CD488" s="18" t="e">
        <f>VLOOKUP(C488,CE:CF,2,FALSE)</f>
        <v>#N/A</v>
      </c>
    </row>
    <row r="489" spans="1:82" ht="61.5" x14ac:dyDescent="0.85">
      <c r="A489" s="18">
        <v>1</v>
      </c>
      <c r="B489" s="57">
        <f>SUBTOTAL(103,$A$22:A489)</f>
        <v>419</v>
      </c>
      <c r="C489" s="22" t="s">
        <v>1247</v>
      </c>
      <c r="D489" s="29">
        <f t="shared" si="72"/>
        <v>29614.32</v>
      </c>
      <c r="E489" s="29">
        <v>0</v>
      </c>
      <c r="F489" s="29">
        <v>0</v>
      </c>
      <c r="G489" s="29">
        <v>0</v>
      </c>
      <c r="H489" s="29">
        <v>0</v>
      </c>
      <c r="I489" s="29">
        <v>0</v>
      </c>
      <c r="J489" s="29">
        <v>0</v>
      </c>
      <c r="K489" s="31">
        <v>0</v>
      </c>
      <c r="L489" s="29">
        <v>0</v>
      </c>
      <c r="M489" s="29">
        <v>0</v>
      </c>
      <c r="N489" s="29">
        <v>0</v>
      </c>
      <c r="O489" s="29">
        <v>0</v>
      </c>
      <c r="P489" s="29">
        <v>0</v>
      </c>
      <c r="Q489" s="29">
        <v>0</v>
      </c>
      <c r="R489" s="29">
        <v>0</v>
      </c>
      <c r="S489" s="29">
        <v>0</v>
      </c>
      <c r="T489" s="29">
        <v>0</v>
      </c>
      <c r="U489" s="29">
        <v>0</v>
      </c>
      <c r="V489" s="29">
        <v>0</v>
      </c>
      <c r="W489" s="29">
        <v>0</v>
      </c>
      <c r="X489" s="29">
        <v>0</v>
      </c>
      <c r="Y489" s="29">
        <v>0</v>
      </c>
      <c r="Z489" s="29">
        <v>0</v>
      </c>
      <c r="AA489" s="29">
        <v>0</v>
      </c>
      <c r="AB489" s="29">
        <v>0</v>
      </c>
      <c r="AC489" s="29">
        <f>ROUND(N489*1.5%,2)</f>
        <v>0</v>
      </c>
      <c r="AD489" s="37">
        <v>29614.32</v>
      </c>
      <c r="AE489" s="29">
        <v>0</v>
      </c>
      <c r="AF489" s="32">
        <v>2020</v>
      </c>
      <c r="AG489" s="32" t="s">
        <v>268</v>
      </c>
      <c r="AH489" s="32" t="s">
        <v>268</v>
      </c>
      <c r="BZ489" s="61"/>
      <c r="CD489" s="18">
        <f>VLOOKUP(C489,CE:CF,2,FALSE)</f>
        <v>1105</v>
      </c>
    </row>
    <row r="490" spans="1:82" ht="61.5" x14ac:dyDescent="0.85">
      <c r="A490" s="18">
        <v>1</v>
      </c>
      <c r="B490" s="57">
        <f>SUBTOTAL(103,$A$22:A490)</f>
        <v>420</v>
      </c>
      <c r="C490" s="22" t="s">
        <v>1248</v>
      </c>
      <c r="D490" s="29">
        <f t="shared" si="72"/>
        <v>3373126.15</v>
      </c>
      <c r="E490" s="29">
        <v>0</v>
      </c>
      <c r="F490" s="29">
        <v>0</v>
      </c>
      <c r="G490" s="29">
        <v>0</v>
      </c>
      <c r="H490" s="29">
        <v>0</v>
      </c>
      <c r="I490" s="29">
        <v>0</v>
      </c>
      <c r="J490" s="29">
        <v>0</v>
      </c>
      <c r="K490" s="31">
        <v>0</v>
      </c>
      <c r="L490" s="29">
        <v>0</v>
      </c>
      <c r="M490" s="37">
        <v>835.43</v>
      </c>
      <c r="N490" s="37">
        <v>3358051.86</v>
      </c>
      <c r="O490" s="29">
        <v>0</v>
      </c>
      <c r="P490" s="29">
        <v>0</v>
      </c>
      <c r="Q490" s="29">
        <v>0</v>
      </c>
      <c r="R490" s="29">
        <v>0</v>
      </c>
      <c r="S490" s="29">
        <v>0</v>
      </c>
      <c r="T490" s="29">
        <v>0</v>
      </c>
      <c r="U490" s="29">
        <v>0</v>
      </c>
      <c r="V490" s="29">
        <v>0</v>
      </c>
      <c r="W490" s="29">
        <v>0</v>
      </c>
      <c r="X490" s="29">
        <v>0</v>
      </c>
      <c r="Y490" s="29">
        <v>0</v>
      </c>
      <c r="Z490" s="29">
        <v>0</v>
      </c>
      <c r="AA490" s="29">
        <v>0</v>
      </c>
      <c r="AB490" s="29">
        <v>0</v>
      </c>
      <c r="AC490" s="29">
        <v>15074.29</v>
      </c>
      <c r="AD490" s="29">
        <v>0</v>
      </c>
      <c r="AE490" s="29">
        <v>0</v>
      </c>
      <c r="AF490" s="32" t="s">
        <v>268</v>
      </c>
      <c r="AG490" s="32">
        <v>2020</v>
      </c>
      <c r="AH490" s="33">
        <v>2020</v>
      </c>
      <c r="BZ490" s="61"/>
      <c r="CD490" s="18">
        <f>VLOOKUP(C490,CE:CF,2,FALSE)</f>
        <v>835.43</v>
      </c>
    </row>
    <row r="491" spans="1:82" ht="61.5" x14ac:dyDescent="0.85">
      <c r="A491" s="18">
        <v>1</v>
      </c>
      <c r="B491" s="57">
        <f>SUBTOTAL(103,$A$22:A491)</f>
        <v>421</v>
      </c>
      <c r="C491" s="22" t="s">
        <v>1249</v>
      </c>
      <c r="D491" s="29">
        <f t="shared" si="72"/>
        <v>5805618.4400000004</v>
      </c>
      <c r="E491" s="29">
        <v>0</v>
      </c>
      <c r="F491" s="29">
        <v>0</v>
      </c>
      <c r="G491" s="29">
        <v>0</v>
      </c>
      <c r="H491" s="29">
        <v>0</v>
      </c>
      <c r="I491" s="29">
        <v>0</v>
      </c>
      <c r="J491" s="29">
        <v>0</v>
      </c>
      <c r="K491" s="31">
        <v>0</v>
      </c>
      <c r="L491" s="29">
        <v>0</v>
      </c>
      <c r="M491" s="37">
        <v>1413.2</v>
      </c>
      <c r="N491" s="335">
        <v>5779673.4900000002</v>
      </c>
      <c r="O491" s="29">
        <v>0</v>
      </c>
      <c r="P491" s="29">
        <v>0</v>
      </c>
      <c r="Q491" s="29">
        <v>0</v>
      </c>
      <c r="R491" s="29">
        <v>0</v>
      </c>
      <c r="S491" s="29">
        <v>0</v>
      </c>
      <c r="T491" s="29">
        <v>0</v>
      </c>
      <c r="U491" s="29">
        <v>0</v>
      </c>
      <c r="V491" s="29">
        <v>0</v>
      </c>
      <c r="W491" s="29">
        <v>0</v>
      </c>
      <c r="X491" s="29">
        <v>0</v>
      </c>
      <c r="Y491" s="29">
        <v>0</v>
      </c>
      <c r="Z491" s="29">
        <v>0</v>
      </c>
      <c r="AA491" s="29">
        <v>0</v>
      </c>
      <c r="AB491" s="29">
        <v>0</v>
      </c>
      <c r="AC491" s="29">
        <v>25944.95</v>
      </c>
      <c r="AD491" s="29">
        <v>0</v>
      </c>
      <c r="AE491" s="29">
        <v>0</v>
      </c>
      <c r="AF491" s="32" t="s">
        <v>268</v>
      </c>
      <c r="AG491" s="32">
        <v>2020</v>
      </c>
      <c r="AH491" s="33">
        <v>2020</v>
      </c>
      <c r="BZ491" s="61"/>
      <c r="CD491" s="18">
        <f>VLOOKUP(C491,CE:CF,2,FALSE)</f>
        <v>1401.4</v>
      </c>
    </row>
    <row r="492" spans="1:82" ht="61.5" x14ac:dyDescent="0.85">
      <c r="A492" s="18">
        <v>1</v>
      </c>
      <c r="B492" s="57">
        <f>SUBTOTAL(103,$A$22:A492)</f>
        <v>422</v>
      </c>
      <c r="C492" s="22" t="s">
        <v>166</v>
      </c>
      <c r="D492" s="29">
        <f t="shared" si="72"/>
        <v>303399.58999999997</v>
      </c>
      <c r="E492" s="29">
        <v>0</v>
      </c>
      <c r="F492" s="29">
        <v>0</v>
      </c>
      <c r="G492" s="29">
        <v>0</v>
      </c>
      <c r="H492" s="29">
        <v>0</v>
      </c>
      <c r="I492" s="29">
        <v>0</v>
      </c>
      <c r="J492" s="29">
        <v>0</v>
      </c>
      <c r="K492" s="31">
        <v>0</v>
      </c>
      <c r="L492" s="29">
        <v>0</v>
      </c>
      <c r="M492" s="29">
        <v>0</v>
      </c>
      <c r="N492" s="29">
        <v>0</v>
      </c>
      <c r="O492" s="37">
        <v>459.05</v>
      </c>
      <c r="P492" s="37">
        <v>235413.82</v>
      </c>
      <c r="Q492" s="29">
        <v>0</v>
      </c>
      <c r="R492" s="29">
        <v>0</v>
      </c>
      <c r="S492" s="29">
        <v>0</v>
      </c>
      <c r="T492" s="29">
        <v>0</v>
      </c>
      <c r="U492" s="29">
        <v>0</v>
      </c>
      <c r="V492" s="29">
        <v>0</v>
      </c>
      <c r="W492" s="29">
        <v>0</v>
      </c>
      <c r="X492" s="29">
        <v>0</v>
      </c>
      <c r="Y492" s="29">
        <v>0</v>
      </c>
      <c r="Z492" s="29">
        <v>0</v>
      </c>
      <c r="AA492" s="29">
        <v>0</v>
      </c>
      <c r="AB492" s="29">
        <v>0</v>
      </c>
      <c r="AC492" s="29">
        <v>3301.68</v>
      </c>
      <c r="AD492" s="134">
        <v>64684.09</v>
      </c>
      <c r="AE492" s="29">
        <v>0</v>
      </c>
      <c r="AF492" s="32">
        <v>2020</v>
      </c>
      <c r="AG492" s="32">
        <v>2020</v>
      </c>
      <c r="AH492" s="33">
        <v>2020</v>
      </c>
      <c r="AT492" s="18" t="e">
        <f>VLOOKUP(C492,AW:AX,2,FALSE)</f>
        <v>#N/A</v>
      </c>
      <c r="BZ492" s="61"/>
      <c r="CD492" s="18" t="e">
        <f>VLOOKUP(C492,CE:CF,2,FALSE)</f>
        <v>#N/A</v>
      </c>
    </row>
    <row r="493" spans="1:82" ht="61.5" x14ac:dyDescent="0.85">
      <c r="A493" s="18">
        <v>1</v>
      </c>
      <c r="B493" s="57">
        <f>SUBTOTAL(103,$A$22:A493)</f>
        <v>423</v>
      </c>
      <c r="C493" s="22" t="s">
        <v>1271</v>
      </c>
      <c r="D493" s="29">
        <f t="shared" si="72"/>
        <v>1018204.83</v>
      </c>
      <c r="E493" s="29">
        <v>0</v>
      </c>
      <c r="F493" s="29">
        <v>0</v>
      </c>
      <c r="G493" s="134">
        <v>899499.24</v>
      </c>
      <c r="H493" s="29">
        <v>0</v>
      </c>
      <c r="I493" s="29">
        <v>0</v>
      </c>
      <c r="J493" s="29">
        <v>0</v>
      </c>
      <c r="K493" s="31">
        <v>0</v>
      </c>
      <c r="L493" s="29">
        <v>0</v>
      </c>
      <c r="M493" s="78">
        <v>0</v>
      </c>
      <c r="N493" s="78">
        <v>0</v>
      </c>
      <c r="O493" s="29">
        <v>0</v>
      </c>
      <c r="P493" s="29">
        <v>0</v>
      </c>
      <c r="Q493" s="29">
        <v>0</v>
      </c>
      <c r="R493" s="29">
        <v>0</v>
      </c>
      <c r="S493" s="29">
        <v>0</v>
      </c>
      <c r="T493" s="29">
        <v>0</v>
      </c>
      <c r="U493" s="29">
        <v>0</v>
      </c>
      <c r="V493" s="29">
        <v>0</v>
      </c>
      <c r="W493" s="29">
        <v>0</v>
      </c>
      <c r="X493" s="29">
        <v>0</v>
      </c>
      <c r="Y493" s="29">
        <v>0</v>
      </c>
      <c r="Z493" s="29">
        <v>0</v>
      </c>
      <c r="AA493" s="29">
        <v>0</v>
      </c>
      <c r="AB493" s="29">
        <v>0</v>
      </c>
      <c r="AC493" s="134">
        <v>12615.48</v>
      </c>
      <c r="AD493" s="37">
        <v>106090.11</v>
      </c>
      <c r="AE493" s="29">
        <v>0</v>
      </c>
      <c r="AF493" s="32">
        <v>2020</v>
      </c>
      <c r="AG493" s="32">
        <v>2020</v>
      </c>
      <c r="AH493" s="33">
        <v>2020</v>
      </c>
      <c r="BZ493" s="61"/>
      <c r="CD493" s="18" t="e">
        <f>VLOOKUP(C493,CE:CF,2,FALSE)</f>
        <v>#N/A</v>
      </c>
    </row>
    <row r="494" spans="1:82" ht="61.5" x14ac:dyDescent="0.85">
      <c r="B494" s="22" t="s">
        <v>1245</v>
      </c>
      <c r="C494" s="22"/>
      <c r="D494" s="339">
        <f>D495</f>
        <v>1483737.75</v>
      </c>
      <c r="E494" s="29">
        <f t="shared" ref="E494:AE494" si="73">E495</f>
        <v>0</v>
      </c>
      <c r="F494" s="29">
        <f t="shared" si="73"/>
        <v>0</v>
      </c>
      <c r="G494" s="29">
        <f t="shared" si="73"/>
        <v>0</v>
      </c>
      <c r="H494" s="29">
        <f t="shared" si="73"/>
        <v>0</v>
      </c>
      <c r="I494" s="29">
        <f t="shared" si="73"/>
        <v>0</v>
      </c>
      <c r="J494" s="29">
        <f t="shared" si="73"/>
        <v>0</v>
      </c>
      <c r="K494" s="31">
        <f t="shared" si="73"/>
        <v>0</v>
      </c>
      <c r="L494" s="29">
        <f t="shared" si="73"/>
        <v>0</v>
      </c>
      <c r="M494" s="29">
        <f t="shared" si="73"/>
        <v>484.49</v>
      </c>
      <c r="N494" s="29">
        <f t="shared" si="73"/>
        <v>1477107.01</v>
      </c>
      <c r="O494" s="29">
        <f t="shared" si="73"/>
        <v>0</v>
      </c>
      <c r="P494" s="29">
        <f t="shared" si="73"/>
        <v>0</v>
      </c>
      <c r="Q494" s="29">
        <f t="shared" si="73"/>
        <v>0</v>
      </c>
      <c r="R494" s="29">
        <f t="shared" si="73"/>
        <v>0</v>
      </c>
      <c r="S494" s="29">
        <f t="shared" si="73"/>
        <v>0</v>
      </c>
      <c r="T494" s="29">
        <f t="shared" si="73"/>
        <v>0</v>
      </c>
      <c r="U494" s="29">
        <f t="shared" si="73"/>
        <v>0</v>
      </c>
      <c r="V494" s="29">
        <f t="shared" si="73"/>
        <v>0</v>
      </c>
      <c r="W494" s="29">
        <f t="shared" si="73"/>
        <v>0</v>
      </c>
      <c r="X494" s="29">
        <f t="shared" si="73"/>
        <v>0</v>
      </c>
      <c r="Y494" s="29">
        <f t="shared" si="73"/>
        <v>0</v>
      </c>
      <c r="Z494" s="29">
        <f t="shared" si="73"/>
        <v>0</v>
      </c>
      <c r="AA494" s="29">
        <f t="shared" si="73"/>
        <v>0</v>
      </c>
      <c r="AB494" s="29">
        <f t="shared" si="73"/>
        <v>0</v>
      </c>
      <c r="AC494" s="29">
        <f t="shared" si="73"/>
        <v>6630.74</v>
      </c>
      <c r="AD494" s="29">
        <f t="shared" si="73"/>
        <v>0</v>
      </c>
      <c r="AE494" s="29">
        <f t="shared" si="73"/>
        <v>0</v>
      </c>
      <c r="AF494" s="62" t="s">
        <v>743</v>
      </c>
      <c r="AG494" s="62" t="s">
        <v>743</v>
      </c>
      <c r="AH494" s="77" t="s">
        <v>743</v>
      </c>
      <c r="BZ494" s="61">
        <v>2298882.5099999998</v>
      </c>
      <c r="CD494" s="18" t="e">
        <f>VLOOKUP(C494,CE:CF,2,FALSE)</f>
        <v>#N/A</v>
      </c>
    </row>
    <row r="495" spans="1:82" ht="61.5" x14ac:dyDescent="0.85">
      <c r="A495" s="18">
        <v>1</v>
      </c>
      <c r="B495" s="57">
        <f>SUBTOTAL(103,$A$22:A495)</f>
        <v>424</v>
      </c>
      <c r="C495" s="22" t="s">
        <v>1246</v>
      </c>
      <c r="D495" s="29">
        <f>E495+F495+G495+H495+I495+J495+L495+N495+P495+R495+T495+U495+V495+W495+X495+Y495+Z495+AA495+AB495+AC495+AD495+AE495</f>
        <v>1483737.75</v>
      </c>
      <c r="E495" s="29">
        <v>0</v>
      </c>
      <c r="F495" s="29">
        <v>0</v>
      </c>
      <c r="G495" s="29">
        <v>0</v>
      </c>
      <c r="H495" s="29">
        <v>0</v>
      </c>
      <c r="I495" s="29">
        <v>0</v>
      </c>
      <c r="J495" s="29">
        <v>0</v>
      </c>
      <c r="K495" s="31">
        <v>0</v>
      </c>
      <c r="L495" s="29">
        <v>0</v>
      </c>
      <c r="M495" s="37">
        <v>484.49</v>
      </c>
      <c r="N495" s="37">
        <v>1477107.01</v>
      </c>
      <c r="O495" s="29">
        <v>0</v>
      </c>
      <c r="P495" s="29">
        <v>0</v>
      </c>
      <c r="Q495" s="29">
        <v>0</v>
      </c>
      <c r="R495" s="29">
        <v>0</v>
      </c>
      <c r="S495" s="29">
        <v>0</v>
      </c>
      <c r="T495" s="29">
        <v>0</v>
      </c>
      <c r="U495" s="29">
        <v>0</v>
      </c>
      <c r="V495" s="29">
        <v>0</v>
      </c>
      <c r="W495" s="29">
        <v>0</v>
      </c>
      <c r="X495" s="29">
        <v>0</v>
      </c>
      <c r="Y495" s="29">
        <v>0</v>
      </c>
      <c r="Z495" s="29">
        <v>0</v>
      </c>
      <c r="AA495" s="29">
        <v>0</v>
      </c>
      <c r="AB495" s="29">
        <v>0</v>
      </c>
      <c r="AC495" s="37">
        <v>6630.74</v>
      </c>
      <c r="AD495" s="29">
        <v>0</v>
      </c>
      <c r="AE495" s="29">
        <v>0</v>
      </c>
      <c r="AF495" s="32" t="s">
        <v>268</v>
      </c>
      <c r="AG495" s="32">
        <v>2020</v>
      </c>
      <c r="AH495" s="33">
        <v>2020</v>
      </c>
      <c r="BZ495" s="61"/>
      <c r="CD495" s="18">
        <f>VLOOKUP(C495,CE:CF,2,FALSE)</f>
        <v>467.74</v>
      </c>
    </row>
    <row r="496" spans="1:82" ht="61.5" x14ac:dyDescent="0.85">
      <c r="B496" s="22" t="s">
        <v>1038</v>
      </c>
      <c r="C496" s="22"/>
      <c r="D496" s="339">
        <f>D497</f>
        <v>446142.85</v>
      </c>
      <c r="E496" s="29">
        <f t="shared" ref="E496:AE496" si="74">E497</f>
        <v>0</v>
      </c>
      <c r="F496" s="29">
        <f t="shared" si="74"/>
        <v>0</v>
      </c>
      <c r="G496" s="29">
        <f t="shared" si="74"/>
        <v>0</v>
      </c>
      <c r="H496" s="29">
        <f t="shared" si="74"/>
        <v>0</v>
      </c>
      <c r="I496" s="29">
        <f t="shared" si="74"/>
        <v>0</v>
      </c>
      <c r="J496" s="29">
        <f t="shared" si="74"/>
        <v>0</v>
      </c>
      <c r="K496" s="31">
        <f t="shared" si="74"/>
        <v>0</v>
      </c>
      <c r="L496" s="29">
        <f t="shared" si="74"/>
        <v>0</v>
      </c>
      <c r="M496" s="29">
        <f t="shared" si="74"/>
        <v>0</v>
      </c>
      <c r="N496" s="29">
        <f t="shared" si="74"/>
        <v>0</v>
      </c>
      <c r="O496" s="29">
        <f t="shared" si="74"/>
        <v>0</v>
      </c>
      <c r="P496" s="29">
        <f t="shared" si="74"/>
        <v>0</v>
      </c>
      <c r="Q496" s="29">
        <f t="shared" si="74"/>
        <v>53.53</v>
      </c>
      <c r="R496" s="29">
        <f t="shared" si="74"/>
        <v>334396.76</v>
      </c>
      <c r="S496" s="29">
        <f t="shared" si="74"/>
        <v>0</v>
      </c>
      <c r="T496" s="29">
        <f t="shared" si="74"/>
        <v>0</v>
      </c>
      <c r="U496" s="29">
        <f t="shared" si="74"/>
        <v>0</v>
      </c>
      <c r="V496" s="29">
        <f t="shared" si="74"/>
        <v>0</v>
      </c>
      <c r="W496" s="29">
        <f t="shared" si="74"/>
        <v>0</v>
      </c>
      <c r="X496" s="29">
        <f t="shared" si="74"/>
        <v>0</v>
      </c>
      <c r="Y496" s="29">
        <f t="shared" si="74"/>
        <v>0</v>
      </c>
      <c r="Z496" s="29">
        <f t="shared" si="74"/>
        <v>0</v>
      </c>
      <c r="AA496" s="29">
        <f t="shared" si="74"/>
        <v>0</v>
      </c>
      <c r="AB496" s="29">
        <f t="shared" si="74"/>
        <v>0</v>
      </c>
      <c r="AC496" s="29">
        <f t="shared" si="74"/>
        <v>4689.91</v>
      </c>
      <c r="AD496" s="29">
        <f t="shared" si="74"/>
        <v>107056.18</v>
      </c>
      <c r="AE496" s="29">
        <f t="shared" si="74"/>
        <v>0</v>
      </c>
      <c r="AF496" s="62" t="s">
        <v>743</v>
      </c>
      <c r="AG496" s="62" t="s">
        <v>743</v>
      </c>
      <c r="AH496" s="77" t="s">
        <v>743</v>
      </c>
      <c r="BZ496" s="61">
        <v>467593.97</v>
      </c>
      <c r="CD496" s="18" t="e">
        <f>VLOOKUP(C496,CE:CF,2,FALSE)</f>
        <v>#N/A</v>
      </c>
    </row>
    <row r="497" spans="1:83" ht="61.5" x14ac:dyDescent="0.85">
      <c r="A497" s="18">
        <v>1</v>
      </c>
      <c r="B497" s="57">
        <f>SUBTOTAL(103,$A$22:A497)</f>
        <v>425</v>
      </c>
      <c r="C497" s="22" t="s">
        <v>1026</v>
      </c>
      <c r="D497" s="29">
        <f>E497+F497+G497+H497+I497+J497+L497+N497+P497+R497+T497+U497+V497+W497+X497+Y497+Z497+AA497+AB497+AC497+AD497+AE497</f>
        <v>446142.85</v>
      </c>
      <c r="E497" s="29">
        <v>0</v>
      </c>
      <c r="F497" s="29">
        <v>0</v>
      </c>
      <c r="G497" s="29">
        <v>0</v>
      </c>
      <c r="H497" s="29">
        <v>0</v>
      </c>
      <c r="I497" s="29">
        <v>0</v>
      </c>
      <c r="J497" s="29">
        <v>0</v>
      </c>
      <c r="K497" s="31">
        <v>0</v>
      </c>
      <c r="L497" s="29">
        <v>0</v>
      </c>
      <c r="M497" s="29">
        <v>0</v>
      </c>
      <c r="N497" s="29">
        <v>0</v>
      </c>
      <c r="O497" s="29">
        <v>0</v>
      </c>
      <c r="P497" s="29">
        <v>0</v>
      </c>
      <c r="Q497" s="37">
        <v>53.53</v>
      </c>
      <c r="R497" s="37">
        <v>334396.76</v>
      </c>
      <c r="S497" s="29">
        <v>0</v>
      </c>
      <c r="T497" s="29">
        <v>0</v>
      </c>
      <c r="U497" s="29">
        <v>0</v>
      </c>
      <c r="V497" s="29">
        <v>0</v>
      </c>
      <c r="W497" s="29">
        <v>0</v>
      </c>
      <c r="X497" s="29">
        <v>0</v>
      </c>
      <c r="Y497" s="29">
        <v>0</v>
      </c>
      <c r="Z497" s="29">
        <v>0</v>
      </c>
      <c r="AA497" s="29">
        <v>0</v>
      </c>
      <c r="AB497" s="29">
        <v>0</v>
      </c>
      <c r="AC497" s="29">
        <v>4689.91</v>
      </c>
      <c r="AD497" s="37">
        <v>107056.18</v>
      </c>
      <c r="AE497" s="29">
        <v>0</v>
      </c>
      <c r="AF497" s="32">
        <v>2020</v>
      </c>
      <c r="AG497" s="32">
        <v>2020</v>
      </c>
      <c r="AH497" s="33">
        <v>2020</v>
      </c>
      <c r="BZ497" s="61"/>
      <c r="CD497" s="18" t="e">
        <f>VLOOKUP(C497,CE:CF,2,FALSE)</f>
        <v>#N/A</v>
      </c>
    </row>
    <row r="498" spans="1:83" ht="61.5" x14ac:dyDescent="0.85">
      <c r="B498" s="22" t="s">
        <v>874</v>
      </c>
      <c r="C498" s="338"/>
      <c r="D498" s="339">
        <f>SUM(D499:D502)</f>
        <v>3380450.98</v>
      </c>
      <c r="E498" s="29">
        <f t="shared" ref="E498:AE498" si="75">SUM(E499:E502)</f>
        <v>0</v>
      </c>
      <c r="F498" s="29">
        <f t="shared" si="75"/>
        <v>0</v>
      </c>
      <c r="G498" s="29">
        <f t="shared" si="75"/>
        <v>0</v>
      </c>
      <c r="H498" s="29">
        <f t="shared" si="75"/>
        <v>0</v>
      </c>
      <c r="I498" s="29">
        <f t="shared" si="75"/>
        <v>0</v>
      </c>
      <c r="J498" s="29">
        <f t="shared" si="75"/>
        <v>0</v>
      </c>
      <c r="K498" s="66">
        <f t="shared" si="75"/>
        <v>0</v>
      </c>
      <c r="L498" s="29">
        <f t="shared" si="75"/>
        <v>0</v>
      </c>
      <c r="M498" s="29">
        <f t="shared" si="75"/>
        <v>785</v>
      </c>
      <c r="N498" s="29">
        <f t="shared" si="75"/>
        <v>3380450.98</v>
      </c>
      <c r="O498" s="29">
        <f t="shared" si="75"/>
        <v>0</v>
      </c>
      <c r="P498" s="29">
        <f t="shared" si="75"/>
        <v>0</v>
      </c>
      <c r="Q498" s="29">
        <f t="shared" si="75"/>
        <v>0</v>
      </c>
      <c r="R498" s="29">
        <f t="shared" si="75"/>
        <v>0</v>
      </c>
      <c r="S498" s="29">
        <f t="shared" si="75"/>
        <v>0</v>
      </c>
      <c r="T498" s="29">
        <f t="shared" si="75"/>
        <v>0</v>
      </c>
      <c r="U498" s="29">
        <f t="shared" si="75"/>
        <v>0</v>
      </c>
      <c r="V498" s="29">
        <f t="shared" si="75"/>
        <v>0</v>
      </c>
      <c r="W498" s="29">
        <f t="shared" si="75"/>
        <v>0</v>
      </c>
      <c r="X498" s="29">
        <f t="shared" si="75"/>
        <v>0</v>
      </c>
      <c r="Y498" s="29">
        <f t="shared" si="75"/>
        <v>0</v>
      </c>
      <c r="Z498" s="29">
        <f t="shared" si="75"/>
        <v>0</v>
      </c>
      <c r="AA498" s="29">
        <f t="shared" si="75"/>
        <v>0</v>
      </c>
      <c r="AB498" s="29">
        <f t="shared" si="75"/>
        <v>0</v>
      </c>
      <c r="AC498" s="29">
        <f t="shared" si="75"/>
        <v>0</v>
      </c>
      <c r="AD498" s="29">
        <f t="shared" si="75"/>
        <v>0</v>
      </c>
      <c r="AE498" s="29">
        <f t="shared" si="75"/>
        <v>0</v>
      </c>
      <c r="AF498" s="62" t="s">
        <v>743</v>
      </c>
      <c r="AG498" s="62" t="s">
        <v>743</v>
      </c>
      <c r="AH498" s="77" t="s">
        <v>743</v>
      </c>
      <c r="AT498" s="18" t="e">
        <f>VLOOKUP(C498,AW:AX,2,FALSE)</f>
        <v>#N/A</v>
      </c>
      <c r="BZ498" s="61">
        <v>3974620.0799999996</v>
      </c>
      <c r="CD498" s="18" t="e">
        <f>VLOOKUP(C498,CE:CF,2,FALSE)</f>
        <v>#N/A</v>
      </c>
    </row>
    <row r="499" spans="1:83" ht="61.5" x14ac:dyDescent="0.85">
      <c r="A499" s="18">
        <v>1</v>
      </c>
      <c r="B499" s="57">
        <f>SUBTOTAL(103,$A$22:A499)</f>
        <v>426</v>
      </c>
      <c r="C499" s="22" t="s">
        <v>1667</v>
      </c>
      <c r="D499" s="29">
        <f>E499+F499+G499+H499+I499+J499+L499+N499+P499+R499+T499+U499+V499+W499+X499+Y499+Z499+AA499+AB499+AC499+AD499+AE499</f>
        <v>824971.76</v>
      </c>
      <c r="E499" s="29">
        <v>0</v>
      </c>
      <c r="F499" s="29">
        <v>0</v>
      </c>
      <c r="G499" s="29">
        <v>0</v>
      </c>
      <c r="H499" s="29">
        <v>0</v>
      </c>
      <c r="I499" s="29">
        <v>0</v>
      </c>
      <c r="J499" s="29">
        <v>0</v>
      </c>
      <c r="K499" s="31">
        <v>0</v>
      </c>
      <c r="L499" s="29">
        <v>0</v>
      </c>
      <c r="M499" s="29">
        <v>205</v>
      </c>
      <c r="N499" s="29">
        <v>824971.76</v>
      </c>
      <c r="O499" s="29">
        <v>0</v>
      </c>
      <c r="P499" s="29">
        <v>0</v>
      </c>
      <c r="Q499" s="29">
        <v>0</v>
      </c>
      <c r="R499" s="29">
        <v>0</v>
      </c>
      <c r="S499" s="29">
        <v>0</v>
      </c>
      <c r="T499" s="29">
        <v>0</v>
      </c>
      <c r="U499" s="29">
        <v>0</v>
      </c>
      <c r="V499" s="29">
        <v>0</v>
      </c>
      <c r="W499" s="29">
        <v>0</v>
      </c>
      <c r="X499" s="29">
        <v>0</v>
      </c>
      <c r="Y499" s="29">
        <v>0</v>
      </c>
      <c r="Z499" s="29">
        <v>0</v>
      </c>
      <c r="AA499" s="29">
        <v>0</v>
      </c>
      <c r="AB499" s="29">
        <v>0</v>
      </c>
      <c r="AC499" s="29">
        <v>0</v>
      </c>
      <c r="AD499" s="29">
        <v>0</v>
      </c>
      <c r="AE499" s="29">
        <v>0</v>
      </c>
      <c r="AF499" s="32" t="s">
        <v>268</v>
      </c>
      <c r="AG499" s="32">
        <v>2020</v>
      </c>
      <c r="AH499" s="32" t="s">
        <v>268</v>
      </c>
      <c r="AT499" s="18" t="e">
        <f>VLOOKUP(C499,AW:AX,2,FALSE)</f>
        <v>#N/A</v>
      </c>
      <c r="BZ499" s="61"/>
      <c r="CD499" s="18" t="e">
        <f>VLOOKUP(C499,CE:CF,2,FALSE)</f>
        <v>#N/A</v>
      </c>
    </row>
    <row r="500" spans="1:83" ht="61.5" x14ac:dyDescent="0.85">
      <c r="A500" s="18">
        <v>1</v>
      </c>
      <c r="B500" s="57">
        <f>SUBTOTAL(103,$A$22:A500)</f>
        <v>427</v>
      </c>
      <c r="C500" s="22" t="s">
        <v>1668</v>
      </c>
      <c r="D500" s="29">
        <f>E500+F500+G500+H500+I500+J500+L500+N500+P500+R500+T500+U500+V500+W500+X500+Y500+Z500+AA500+AB500+AC500+AD500+AE500</f>
        <v>848636.41</v>
      </c>
      <c r="E500" s="29">
        <v>0</v>
      </c>
      <c r="F500" s="29">
        <v>0</v>
      </c>
      <c r="G500" s="29">
        <v>0</v>
      </c>
      <c r="H500" s="29">
        <v>0</v>
      </c>
      <c r="I500" s="29">
        <v>0</v>
      </c>
      <c r="J500" s="29">
        <v>0</v>
      </c>
      <c r="K500" s="31">
        <v>0</v>
      </c>
      <c r="L500" s="29">
        <v>0</v>
      </c>
      <c r="M500" s="29">
        <v>194.1</v>
      </c>
      <c r="N500" s="29">
        <v>848636.41</v>
      </c>
      <c r="O500" s="29">
        <v>0</v>
      </c>
      <c r="P500" s="29">
        <v>0</v>
      </c>
      <c r="Q500" s="29">
        <v>0</v>
      </c>
      <c r="R500" s="29">
        <v>0</v>
      </c>
      <c r="S500" s="29">
        <v>0</v>
      </c>
      <c r="T500" s="29">
        <v>0</v>
      </c>
      <c r="U500" s="29">
        <v>0</v>
      </c>
      <c r="V500" s="29">
        <v>0</v>
      </c>
      <c r="W500" s="29">
        <v>0</v>
      </c>
      <c r="X500" s="29">
        <v>0</v>
      </c>
      <c r="Y500" s="29">
        <v>0</v>
      </c>
      <c r="Z500" s="29">
        <v>0</v>
      </c>
      <c r="AA500" s="29">
        <v>0</v>
      </c>
      <c r="AB500" s="29">
        <v>0</v>
      </c>
      <c r="AC500" s="29">
        <v>0</v>
      </c>
      <c r="AD500" s="29">
        <v>0</v>
      </c>
      <c r="AE500" s="29">
        <v>0</v>
      </c>
      <c r="AF500" s="32" t="s">
        <v>268</v>
      </c>
      <c r="AG500" s="32">
        <v>2020</v>
      </c>
      <c r="AH500" s="32" t="s">
        <v>268</v>
      </c>
      <c r="AT500" s="18" t="e">
        <f>VLOOKUP(C500,AW:AX,2,FALSE)</f>
        <v>#N/A</v>
      </c>
      <c r="BZ500" s="61"/>
      <c r="CD500" s="18" t="e">
        <f>VLOOKUP(C500,CE:CF,2,FALSE)</f>
        <v>#N/A</v>
      </c>
    </row>
    <row r="501" spans="1:83" ht="61.5" x14ac:dyDescent="0.85">
      <c r="A501" s="18">
        <v>1</v>
      </c>
      <c r="B501" s="57">
        <f>SUBTOTAL(103,$A$22:A501)</f>
        <v>428</v>
      </c>
      <c r="C501" s="22" t="s">
        <v>1669</v>
      </c>
      <c r="D501" s="29">
        <f>E501+F501+G501+H501+I501+J501+L501+N501+P501+R501+T501+U501+V501+W501+X501+Y501+Z501+AA501+AB501+AC501+AD501+AE501</f>
        <v>854226.54</v>
      </c>
      <c r="E501" s="29">
        <v>0</v>
      </c>
      <c r="F501" s="29">
        <v>0</v>
      </c>
      <c r="G501" s="29">
        <v>0</v>
      </c>
      <c r="H501" s="29">
        <v>0</v>
      </c>
      <c r="I501" s="29">
        <v>0</v>
      </c>
      <c r="J501" s="29">
        <v>0</v>
      </c>
      <c r="K501" s="31">
        <v>0</v>
      </c>
      <c r="L501" s="29">
        <v>0</v>
      </c>
      <c r="M501" s="29">
        <v>193.2</v>
      </c>
      <c r="N501" s="29">
        <v>854226.54</v>
      </c>
      <c r="O501" s="29">
        <v>0</v>
      </c>
      <c r="P501" s="29">
        <v>0</v>
      </c>
      <c r="Q501" s="29">
        <v>0</v>
      </c>
      <c r="R501" s="29">
        <v>0</v>
      </c>
      <c r="S501" s="29">
        <v>0</v>
      </c>
      <c r="T501" s="29">
        <v>0</v>
      </c>
      <c r="U501" s="29">
        <v>0</v>
      </c>
      <c r="V501" s="29">
        <v>0</v>
      </c>
      <c r="W501" s="29">
        <v>0</v>
      </c>
      <c r="X501" s="29">
        <v>0</v>
      </c>
      <c r="Y501" s="29">
        <v>0</v>
      </c>
      <c r="Z501" s="29">
        <v>0</v>
      </c>
      <c r="AA501" s="29">
        <v>0</v>
      </c>
      <c r="AB501" s="29">
        <v>0</v>
      </c>
      <c r="AC501" s="29">
        <v>0</v>
      </c>
      <c r="AD501" s="29">
        <v>0</v>
      </c>
      <c r="AE501" s="29">
        <v>0</v>
      </c>
      <c r="AF501" s="32" t="s">
        <v>268</v>
      </c>
      <c r="AG501" s="32">
        <v>2020</v>
      </c>
      <c r="AH501" s="32" t="s">
        <v>268</v>
      </c>
      <c r="AT501" s="18" t="e">
        <f>VLOOKUP(C501,AW:AX,2,FALSE)</f>
        <v>#N/A</v>
      </c>
      <c r="BZ501" s="61"/>
      <c r="CD501" s="18" t="e">
        <f>VLOOKUP(C501,CE:CF,2,FALSE)</f>
        <v>#N/A</v>
      </c>
    </row>
    <row r="502" spans="1:83" ht="61.5" x14ac:dyDescent="0.85">
      <c r="A502" s="18">
        <v>1</v>
      </c>
      <c r="B502" s="57">
        <f>SUBTOTAL(103,$A$22:A502)</f>
        <v>429</v>
      </c>
      <c r="C502" s="22" t="s">
        <v>1666</v>
      </c>
      <c r="D502" s="29">
        <f>E502+F502+G502+H502+I502+J502+L502+N502+P502+R502+T502+U502+V502+W502+X502+Y502+Z502+AA502+AB502+AC502+AD502+AE502</f>
        <v>852616.27</v>
      </c>
      <c r="E502" s="29">
        <v>0</v>
      </c>
      <c r="F502" s="29">
        <v>0</v>
      </c>
      <c r="G502" s="29">
        <v>0</v>
      </c>
      <c r="H502" s="29">
        <v>0</v>
      </c>
      <c r="I502" s="29">
        <v>0</v>
      </c>
      <c r="J502" s="29">
        <v>0</v>
      </c>
      <c r="K502" s="31">
        <v>0</v>
      </c>
      <c r="L502" s="29">
        <v>0</v>
      </c>
      <c r="M502" s="29">
        <v>192.7</v>
      </c>
      <c r="N502" s="29">
        <v>852616.27</v>
      </c>
      <c r="O502" s="29">
        <v>0</v>
      </c>
      <c r="P502" s="29">
        <v>0</v>
      </c>
      <c r="Q502" s="29">
        <v>0</v>
      </c>
      <c r="R502" s="29">
        <v>0</v>
      </c>
      <c r="S502" s="29">
        <v>0</v>
      </c>
      <c r="T502" s="29">
        <v>0</v>
      </c>
      <c r="U502" s="29">
        <v>0</v>
      </c>
      <c r="V502" s="29">
        <v>0</v>
      </c>
      <c r="W502" s="29">
        <v>0</v>
      </c>
      <c r="X502" s="29">
        <v>0</v>
      </c>
      <c r="Y502" s="29">
        <v>0</v>
      </c>
      <c r="Z502" s="29">
        <v>0</v>
      </c>
      <c r="AA502" s="29">
        <v>0</v>
      </c>
      <c r="AB502" s="29">
        <v>0</v>
      </c>
      <c r="AC502" s="29">
        <v>0</v>
      </c>
      <c r="AD502" s="29">
        <v>0</v>
      </c>
      <c r="AE502" s="29">
        <v>0</v>
      </c>
      <c r="AF502" s="32" t="s">
        <v>268</v>
      </c>
      <c r="AG502" s="32">
        <v>2020</v>
      </c>
      <c r="AH502" s="33" t="s">
        <v>268</v>
      </c>
      <c r="AT502" s="18" t="e">
        <f>VLOOKUP(C502,AW:AX,2,FALSE)</f>
        <v>#N/A</v>
      </c>
      <c r="BZ502" s="61"/>
      <c r="CD502" s="18" t="e">
        <f>VLOOKUP(C502,CE:CF,2,FALSE)</f>
        <v>#N/A</v>
      </c>
    </row>
    <row r="503" spans="1:83" ht="61.5" x14ac:dyDescent="0.85">
      <c r="B503" s="22" t="s">
        <v>846</v>
      </c>
      <c r="C503" s="338"/>
      <c r="D503" s="339">
        <f>SUM(D504:D508)</f>
        <v>7738017.7799999993</v>
      </c>
      <c r="E503" s="29">
        <f t="shared" ref="E503:AE503" si="76">SUM(E504:E508)</f>
        <v>0</v>
      </c>
      <c r="F503" s="29">
        <f t="shared" si="76"/>
        <v>0</v>
      </c>
      <c r="G503" s="29">
        <f t="shared" si="76"/>
        <v>0</v>
      </c>
      <c r="H503" s="29">
        <f t="shared" si="76"/>
        <v>0</v>
      </c>
      <c r="I503" s="29">
        <f t="shared" si="76"/>
        <v>0</v>
      </c>
      <c r="J503" s="29">
        <f t="shared" si="76"/>
        <v>0</v>
      </c>
      <c r="K503" s="31">
        <f t="shared" si="76"/>
        <v>0</v>
      </c>
      <c r="L503" s="29">
        <f t="shared" si="76"/>
        <v>0</v>
      </c>
      <c r="M503" s="29">
        <f t="shared" si="76"/>
        <v>1553.2</v>
      </c>
      <c r="N503" s="29">
        <f t="shared" si="76"/>
        <v>5380395.1500000004</v>
      </c>
      <c r="O503" s="29">
        <f t="shared" si="76"/>
        <v>0</v>
      </c>
      <c r="P503" s="29">
        <f t="shared" si="76"/>
        <v>0</v>
      </c>
      <c r="Q503" s="29">
        <f t="shared" si="76"/>
        <v>925.06</v>
      </c>
      <c r="R503" s="29">
        <f t="shared" si="76"/>
        <v>2149929.41</v>
      </c>
      <c r="S503" s="29">
        <f t="shared" si="76"/>
        <v>0</v>
      </c>
      <c r="T503" s="29">
        <f t="shared" si="76"/>
        <v>0</v>
      </c>
      <c r="U503" s="29">
        <f t="shared" si="76"/>
        <v>0</v>
      </c>
      <c r="V503" s="29">
        <f t="shared" si="76"/>
        <v>0</v>
      </c>
      <c r="W503" s="29">
        <f t="shared" si="76"/>
        <v>0</v>
      </c>
      <c r="X503" s="29">
        <f t="shared" si="76"/>
        <v>0</v>
      </c>
      <c r="Y503" s="29">
        <f t="shared" si="76"/>
        <v>0</v>
      </c>
      <c r="Z503" s="29">
        <f t="shared" si="76"/>
        <v>0</v>
      </c>
      <c r="AA503" s="29">
        <f t="shared" si="76"/>
        <v>0</v>
      </c>
      <c r="AB503" s="29">
        <f t="shared" si="76"/>
        <v>0</v>
      </c>
      <c r="AC503" s="29">
        <f t="shared" si="76"/>
        <v>45614.31</v>
      </c>
      <c r="AD503" s="29">
        <f t="shared" si="76"/>
        <v>162078.90999999997</v>
      </c>
      <c r="AE503" s="29">
        <f t="shared" si="76"/>
        <v>0</v>
      </c>
      <c r="AF503" s="62" t="s">
        <v>743</v>
      </c>
      <c r="AG503" s="62" t="s">
        <v>743</v>
      </c>
      <c r="AH503" s="77" t="s">
        <v>743</v>
      </c>
      <c r="AT503" s="18" t="e">
        <f>VLOOKUP(C503,AW:AX,2,FALSE)</f>
        <v>#N/A</v>
      </c>
      <c r="BZ503" s="61">
        <v>11081040.970000001</v>
      </c>
      <c r="CB503" s="61">
        <f>BZ503-D503</f>
        <v>3343023.1900000013</v>
      </c>
      <c r="CC503" s="29">
        <v>10960961.029999999</v>
      </c>
      <c r="CD503" s="18" t="e">
        <f>VLOOKUP(C503,CE:CF,2,FALSE)</f>
        <v>#N/A</v>
      </c>
      <c r="CE503" s="29">
        <f>CC503-D503</f>
        <v>3222943.25</v>
      </c>
    </row>
    <row r="504" spans="1:83" ht="61.5" x14ac:dyDescent="0.85">
      <c r="A504" s="18">
        <v>1</v>
      </c>
      <c r="B504" s="57">
        <f>SUBTOTAL(103,$A$22:A504)</f>
        <v>430</v>
      </c>
      <c r="C504" s="22" t="s">
        <v>89</v>
      </c>
      <c r="D504" s="29">
        <f>E504+F504+G504+H504+I504+J504+L504+N504+P504+R504+T504+U504+V504+W504+X504+Y504+Z504+AA504+AB504+AC504+AD504+AE504</f>
        <v>2421334.88</v>
      </c>
      <c r="E504" s="29">
        <v>0</v>
      </c>
      <c r="F504" s="29">
        <v>0</v>
      </c>
      <c r="G504" s="29">
        <v>0</v>
      </c>
      <c r="H504" s="29">
        <v>0</v>
      </c>
      <c r="I504" s="29">
        <v>0</v>
      </c>
      <c r="J504" s="29">
        <v>0</v>
      </c>
      <c r="K504" s="31">
        <v>0</v>
      </c>
      <c r="L504" s="29">
        <v>0</v>
      </c>
      <c r="M504" s="37">
        <v>629</v>
      </c>
      <c r="N504" s="37">
        <v>2325578</v>
      </c>
      <c r="O504" s="29">
        <v>0</v>
      </c>
      <c r="P504" s="29">
        <v>0</v>
      </c>
      <c r="Q504" s="29">
        <v>0</v>
      </c>
      <c r="R504" s="29">
        <v>0</v>
      </c>
      <c r="S504" s="29">
        <v>0</v>
      </c>
      <c r="T504" s="29">
        <v>0</v>
      </c>
      <c r="U504" s="29">
        <v>0</v>
      </c>
      <c r="V504" s="29">
        <v>0</v>
      </c>
      <c r="W504" s="29">
        <v>0</v>
      </c>
      <c r="X504" s="29">
        <v>0</v>
      </c>
      <c r="Y504" s="29">
        <v>0</v>
      </c>
      <c r="Z504" s="29">
        <v>0</v>
      </c>
      <c r="AA504" s="29">
        <v>0</v>
      </c>
      <c r="AB504" s="29">
        <v>0</v>
      </c>
      <c r="AC504" s="37">
        <v>14999.98</v>
      </c>
      <c r="AD504" s="37">
        <v>80756.899999999994</v>
      </c>
      <c r="AE504" s="29">
        <v>0</v>
      </c>
      <c r="AF504" s="32">
        <v>2020</v>
      </c>
      <c r="AG504" s="32">
        <v>2020</v>
      </c>
      <c r="AH504" s="33">
        <v>2020</v>
      </c>
      <c r="AT504" s="18" t="e">
        <f>VLOOKUP(C504,AW:AX,2,FALSE)</f>
        <v>#N/A</v>
      </c>
      <c r="BZ504" s="61"/>
      <c r="CD504" s="18" t="e">
        <f>VLOOKUP(C504,CE:CF,2,FALSE)</f>
        <v>#N/A</v>
      </c>
    </row>
    <row r="505" spans="1:83" ht="61.5" x14ac:dyDescent="0.85">
      <c r="A505" s="18">
        <v>1</v>
      </c>
      <c r="B505" s="57">
        <f>SUBTOTAL(103,$A$22:A505)</f>
        <v>431</v>
      </c>
      <c r="C505" s="22" t="s">
        <v>90</v>
      </c>
      <c r="D505" s="29">
        <f>E505+F505+G505+H505+I505+J505+L505+N505+P505+R505+T505+U505+V505+W505+X505+Y505+Z505+AA505+AB505+AC505+AD505+AE505</f>
        <v>1656413.77</v>
      </c>
      <c r="E505" s="29">
        <v>0</v>
      </c>
      <c r="F505" s="29">
        <v>0</v>
      </c>
      <c r="G505" s="29">
        <v>0</v>
      </c>
      <c r="H505" s="29">
        <v>0</v>
      </c>
      <c r="I505" s="29">
        <v>0</v>
      </c>
      <c r="J505" s="29">
        <v>0</v>
      </c>
      <c r="K505" s="31">
        <v>0</v>
      </c>
      <c r="L505" s="29">
        <v>0</v>
      </c>
      <c r="M505" s="29">
        <v>0</v>
      </c>
      <c r="N505" s="29">
        <v>0</v>
      </c>
      <c r="O505" s="29">
        <v>0</v>
      </c>
      <c r="P505" s="29">
        <v>0</v>
      </c>
      <c r="Q505" s="37">
        <v>486.31</v>
      </c>
      <c r="R505" s="134">
        <v>1647382</v>
      </c>
      <c r="S505" s="29">
        <v>0</v>
      </c>
      <c r="T505" s="29">
        <v>0</v>
      </c>
      <c r="U505" s="29">
        <v>0</v>
      </c>
      <c r="V505" s="29">
        <v>0</v>
      </c>
      <c r="W505" s="29">
        <v>0</v>
      </c>
      <c r="X505" s="29">
        <v>0</v>
      </c>
      <c r="Y505" s="29">
        <v>0</v>
      </c>
      <c r="Z505" s="29">
        <v>0</v>
      </c>
      <c r="AA505" s="29">
        <v>0</v>
      </c>
      <c r="AB505" s="29">
        <v>0</v>
      </c>
      <c r="AC505" s="37">
        <v>9031.77</v>
      </c>
      <c r="AD505" s="29">
        <v>0</v>
      </c>
      <c r="AE505" s="29">
        <v>0</v>
      </c>
      <c r="AF505" s="32" t="s">
        <v>268</v>
      </c>
      <c r="AG505" s="32">
        <v>2020</v>
      </c>
      <c r="AH505" s="33">
        <v>2020</v>
      </c>
      <c r="AT505" s="18" t="e">
        <f>VLOOKUP(C505,AW:AX,2,FALSE)</f>
        <v>#N/A</v>
      </c>
      <c r="BZ505" s="61"/>
      <c r="CD505" s="18" t="e">
        <f>VLOOKUP(C505,CE:CF,2,FALSE)</f>
        <v>#N/A</v>
      </c>
    </row>
    <row r="506" spans="1:83" ht="61.5" x14ac:dyDescent="0.85">
      <c r="A506" s="18">
        <v>1</v>
      </c>
      <c r="B506" s="57">
        <f>SUBTOTAL(103,$A$22:A506)</f>
        <v>432</v>
      </c>
      <c r="C506" s="22" t="s">
        <v>1252</v>
      </c>
      <c r="D506" s="29">
        <f>E506+F506+G506+H506+I506+J506+L506+N506+P506+R506+T506+U506+V506+W506+X506+Y506+Z506+AA506+AB506+AC506+AD506+AE506</f>
        <v>507522.62999999995</v>
      </c>
      <c r="E506" s="29">
        <v>0</v>
      </c>
      <c r="F506" s="29">
        <v>0</v>
      </c>
      <c r="G506" s="29">
        <v>0</v>
      </c>
      <c r="H506" s="29">
        <v>0</v>
      </c>
      <c r="I506" s="29">
        <v>0</v>
      </c>
      <c r="J506" s="29">
        <v>0</v>
      </c>
      <c r="K506" s="31">
        <v>0</v>
      </c>
      <c r="L506" s="29">
        <v>0</v>
      </c>
      <c r="M506" s="29">
        <v>0</v>
      </c>
      <c r="N506" s="29">
        <v>0</v>
      </c>
      <c r="O506" s="29">
        <v>0</v>
      </c>
      <c r="P506" s="29">
        <v>0</v>
      </c>
      <c r="Q506" s="37">
        <v>438.75</v>
      </c>
      <c r="R506" s="37">
        <v>502547.41</v>
      </c>
      <c r="S506" s="29">
        <v>0</v>
      </c>
      <c r="T506" s="29">
        <v>0</v>
      </c>
      <c r="U506" s="29">
        <v>0</v>
      </c>
      <c r="V506" s="29">
        <v>0</v>
      </c>
      <c r="W506" s="29">
        <v>0</v>
      </c>
      <c r="X506" s="29">
        <v>0</v>
      </c>
      <c r="Y506" s="29">
        <v>0</v>
      </c>
      <c r="Z506" s="29">
        <v>0</v>
      </c>
      <c r="AA506" s="29">
        <v>0</v>
      </c>
      <c r="AB506" s="29">
        <v>0</v>
      </c>
      <c r="AC506" s="37">
        <v>4975.22</v>
      </c>
      <c r="AD506" s="29">
        <v>0</v>
      </c>
      <c r="AE506" s="29">
        <v>0</v>
      </c>
      <c r="AF506" s="32" t="s">
        <v>268</v>
      </c>
      <c r="AG506" s="32">
        <v>2020</v>
      </c>
      <c r="AH506" s="33">
        <v>2020</v>
      </c>
      <c r="BZ506" s="61"/>
      <c r="CD506" s="18" t="e">
        <f>VLOOKUP(C506,CE:CF,2,FALSE)</f>
        <v>#N/A</v>
      </c>
    </row>
    <row r="507" spans="1:83" ht="61.5" x14ac:dyDescent="0.85">
      <c r="A507" s="18">
        <v>1</v>
      </c>
      <c r="B507" s="57">
        <f>SUBTOTAL(103,$A$22:A507)</f>
        <v>433</v>
      </c>
      <c r="C507" s="22" t="s">
        <v>1253</v>
      </c>
      <c r="D507" s="29">
        <f>E507+F507+G507+H507+I507+J507+L507+N507+P507+R507+T507+U507+V507+W507+X507+Y507+Z507+AA507+AB507+AC507+AD507+AE507</f>
        <v>81322.009999999995</v>
      </c>
      <c r="E507" s="29">
        <v>0</v>
      </c>
      <c r="F507" s="29">
        <v>0</v>
      </c>
      <c r="G507" s="29">
        <v>0</v>
      </c>
      <c r="H507" s="29">
        <v>0</v>
      </c>
      <c r="I507" s="29">
        <v>0</v>
      </c>
      <c r="J507" s="29">
        <v>0</v>
      </c>
      <c r="K507" s="31">
        <v>0</v>
      </c>
      <c r="L507" s="29">
        <v>0</v>
      </c>
      <c r="M507" s="29">
        <v>0</v>
      </c>
      <c r="N507" s="29">
        <v>0</v>
      </c>
      <c r="O507" s="29">
        <v>0</v>
      </c>
      <c r="P507" s="29">
        <v>0</v>
      </c>
      <c r="Q507" s="29">
        <v>0</v>
      </c>
      <c r="R507" s="29">
        <v>0</v>
      </c>
      <c r="S507" s="29">
        <v>0</v>
      </c>
      <c r="T507" s="29">
        <v>0</v>
      </c>
      <c r="U507" s="29">
        <v>0</v>
      </c>
      <c r="V507" s="29">
        <v>0</v>
      </c>
      <c r="W507" s="29">
        <v>0</v>
      </c>
      <c r="X507" s="29">
        <v>0</v>
      </c>
      <c r="Y507" s="29">
        <v>0</v>
      </c>
      <c r="Z507" s="29">
        <v>0</v>
      </c>
      <c r="AA507" s="29">
        <v>0</v>
      </c>
      <c r="AB507" s="29">
        <v>0</v>
      </c>
      <c r="AC507" s="29">
        <f>ROUND(R507*1.5%,2)</f>
        <v>0</v>
      </c>
      <c r="AD507" s="29">
        <v>81322.009999999995</v>
      </c>
      <c r="AE507" s="29">
        <v>0</v>
      </c>
      <c r="AF507" s="32">
        <v>2020</v>
      </c>
      <c r="AG507" s="32" t="s">
        <v>268</v>
      </c>
      <c r="AH507" s="32" t="s">
        <v>268</v>
      </c>
      <c r="BZ507" s="61"/>
      <c r="CD507" s="18" t="e">
        <f>VLOOKUP(C507,CE:CF,2,FALSE)</f>
        <v>#N/A</v>
      </c>
    </row>
    <row r="508" spans="1:83" ht="61.5" x14ac:dyDescent="0.85">
      <c r="A508" s="18">
        <v>1</v>
      </c>
      <c r="B508" s="57">
        <f>SUBTOTAL(103,$A$22:A508)</f>
        <v>434</v>
      </c>
      <c r="C508" s="22" t="s">
        <v>1254</v>
      </c>
      <c r="D508" s="29">
        <f>E508+F508+G508+H508+I508+J508+L508+N508+P508+R508+T508+U508+V508+W508+X508+Y508+Z508+AA508+AB508+AC508+AD508+AE508</f>
        <v>3071424.4899999998</v>
      </c>
      <c r="E508" s="29">
        <v>0</v>
      </c>
      <c r="F508" s="29">
        <v>0</v>
      </c>
      <c r="G508" s="29">
        <v>0</v>
      </c>
      <c r="H508" s="29">
        <v>0</v>
      </c>
      <c r="I508" s="29">
        <v>0</v>
      </c>
      <c r="J508" s="29">
        <v>0</v>
      </c>
      <c r="K508" s="31">
        <v>0</v>
      </c>
      <c r="L508" s="29">
        <v>0</v>
      </c>
      <c r="M508" s="37">
        <v>924.2</v>
      </c>
      <c r="N508" s="37">
        <v>3054817.15</v>
      </c>
      <c r="O508" s="29">
        <v>0</v>
      </c>
      <c r="P508" s="29">
        <v>0</v>
      </c>
      <c r="Q508" s="29">
        <v>0</v>
      </c>
      <c r="R508" s="29">
        <v>0</v>
      </c>
      <c r="S508" s="29">
        <v>0</v>
      </c>
      <c r="T508" s="29">
        <v>0</v>
      </c>
      <c r="U508" s="29">
        <v>0</v>
      </c>
      <c r="V508" s="29">
        <v>0</v>
      </c>
      <c r="W508" s="29">
        <v>0</v>
      </c>
      <c r="X508" s="29">
        <v>0</v>
      </c>
      <c r="Y508" s="29">
        <v>0</v>
      </c>
      <c r="Z508" s="29">
        <v>0</v>
      </c>
      <c r="AA508" s="29">
        <v>0</v>
      </c>
      <c r="AB508" s="29">
        <v>0</v>
      </c>
      <c r="AC508" s="37">
        <v>16607.34</v>
      </c>
      <c r="AD508" s="29">
        <v>0</v>
      </c>
      <c r="AE508" s="29">
        <v>0</v>
      </c>
      <c r="AF508" s="32" t="s">
        <v>268</v>
      </c>
      <c r="AG508" s="32">
        <v>2020</v>
      </c>
      <c r="AH508" s="33">
        <v>2020</v>
      </c>
      <c r="BZ508" s="61"/>
      <c r="CD508" s="18">
        <f>VLOOKUP(C508,CE:CF,2,FALSE)</f>
        <v>949</v>
      </c>
    </row>
    <row r="509" spans="1:83" ht="61.5" x14ac:dyDescent="0.85">
      <c r="B509" s="22" t="s">
        <v>873</v>
      </c>
      <c r="C509" s="22"/>
      <c r="D509" s="339">
        <f t="shared" ref="D509:AE509" si="77">D510</f>
        <v>2846268.34</v>
      </c>
      <c r="E509" s="29">
        <f t="shared" si="77"/>
        <v>0</v>
      </c>
      <c r="F509" s="29">
        <f t="shared" si="77"/>
        <v>0</v>
      </c>
      <c r="G509" s="29">
        <f t="shared" si="77"/>
        <v>0</v>
      </c>
      <c r="H509" s="29">
        <f t="shared" si="77"/>
        <v>0</v>
      </c>
      <c r="I509" s="29">
        <f t="shared" si="77"/>
        <v>0</v>
      </c>
      <c r="J509" s="29">
        <f t="shared" si="77"/>
        <v>0</v>
      </c>
      <c r="K509" s="31">
        <f t="shared" si="77"/>
        <v>0</v>
      </c>
      <c r="L509" s="29">
        <f t="shared" si="77"/>
        <v>0</v>
      </c>
      <c r="M509" s="29">
        <f t="shared" si="77"/>
        <v>613.20000000000005</v>
      </c>
      <c r="N509" s="29">
        <f t="shared" si="77"/>
        <v>2768847</v>
      </c>
      <c r="O509" s="29">
        <f t="shared" si="77"/>
        <v>0</v>
      </c>
      <c r="P509" s="29">
        <f t="shared" si="77"/>
        <v>0</v>
      </c>
      <c r="Q509" s="29">
        <f t="shared" si="77"/>
        <v>0</v>
      </c>
      <c r="R509" s="29">
        <f t="shared" si="77"/>
        <v>0</v>
      </c>
      <c r="S509" s="29">
        <f t="shared" si="77"/>
        <v>0</v>
      </c>
      <c r="T509" s="29">
        <f t="shared" si="77"/>
        <v>0</v>
      </c>
      <c r="U509" s="29">
        <f t="shared" si="77"/>
        <v>0</v>
      </c>
      <c r="V509" s="29">
        <f t="shared" si="77"/>
        <v>0</v>
      </c>
      <c r="W509" s="29">
        <f t="shared" si="77"/>
        <v>0</v>
      </c>
      <c r="X509" s="29">
        <f t="shared" si="77"/>
        <v>0</v>
      </c>
      <c r="Y509" s="29">
        <f t="shared" si="77"/>
        <v>0</v>
      </c>
      <c r="Z509" s="29">
        <f t="shared" si="77"/>
        <v>0</v>
      </c>
      <c r="AA509" s="29">
        <f t="shared" si="77"/>
        <v>0</v>
      </c>
      <c r="AB509" s="29">
        <f t="shared" si="77"/>
        <v>0</v>
      </c>
      <c r="AC509" s="29">
        <f t="shared" si="77"/>
        <v>0</v>
      </c>
      <c r="AD509" s="29">
        <f t="shared" si="77"/>
        <v>77421.34</v>
      </c>
      <c r="AE509" s="29">
        <f t="shared" si="77"/>
        <v>0</v>
      </c>
      <c r="AF509" s="62" t="s">
        <v>743</v>
      </c>
      <c r="AG509" s="62" t="s">
        <v>743</v>
      </c>
      <c r="AH509" s="77" t="s">
        <v>743</v>
      </c>
      <c r="AT509" s="18" t="e">
        <f>VLOOKUP(C509,AW:AX,2,FALSE)</f>
        <v>#N/A</v>
      </c>
      <c r="BZ509" s="61">
        <v>3314283.2199999997</v>
      </c>
      <c r="CB509" s="61">
        <f>BZ509-D509</f>
        <v>468014.87999999989</v>
      </c>
      <c r="CD509" s="18" t="e">
        <f>VLOOKUP(C509,CE:CF,2,FALSE)</f>
        <v>#N/A</v>
      </c>
    </row>
    <row r="510" spans="1:83" ht="61.5" x14ac:dyDescent="0.85">
      <c r="A510" s="18">
        <v>1</v>
      </c>
      <c r="B510" s="57">
        <f>SUBTOTAL(103,$A$22:A510)</f>
        <v>435</v>
      </c>
      <c r="C510" s="22" t="s">
        <v>91</v>
      </c>
      <c r="D510" s="29">
        <f>E510+F510+G510+H510+I510+J510+L510+N510+P510+R510+T510+U510+V510+W510+X510+Y510+Z510+AA510+AB510+AC510+AD510+AE510</f>
        <v>2846268.34</v>
      </c>
      <c r="E510" s="29">
        <v>0</v>
      </c>
      <c r="F510" s="29">
        <v>0</v>
      </c>
      <c r="G510" s="29">
        <v>0</v>
      </c>
      <c r="H510" s="29">
        <v>0</v>
      </c>
      <c r="I510" s="29">
        <v>0</v>
      </c>
      <c r="J510" s="29">
        <v>0</v>
      </c>
      <c r="K510" s="31">
        <v>0</v>
      </c>
      <c r="L510" s="29">
        <v>0</v>
      </c>
      <c r="M510" s="37">
        <v>613.20000000000005</v>
      </c>
      <c r="N510" s="37">
        <v>2768847</v>
      </c>
      <c r="O510" s="29">
        <v>0</v>
      </c>
      <c r="P510" s="29">
        <v>0</v>
      </c>
      <c r="Q510" s="29">
        <v>0</v>
      </c>
      <c r="R510" s="29">
        <v>0</v>
      </c>
      <c r="S510" s="29">
        <v>0</v>
      </c>
      <c r="T510" s="29">
        <v>0</v>
      </c>
      <c r="U510" s="29">
        <v>0</v>
      </c>
      <c r="V510" s="29">
        <v>0</v>
      </c>
      <c r="W510" s="29">
        <v>0</v>
      </c>
      <c r="X510" s="29">
        <v>0</v>
      </c>
      <c r="Y510" s="29">
        <v>0</v>
      </c>
      <c r="Z510" s="29">
        <v>0</v>
      </c>
      <c r="AA510" s="29">
        <v>0</v>
      </c>
      <c r="AB510" s="29">
        <v>0</v>
      </c>
      <c r="AC510" s="29">
        <v>0</v>
      </c>
      <c r="AD510" s="37">
        <v>77421.34</v>
      </c>
      <c r="AE510" s="29">
        <v>0</v>
      </c>
      <c r="AF510" s="32">
        <v>2020</v>
      </c>
      <c r="AG510" s="32">
        <v>2020</v>
      </c>
      <c r="AH510" s="33" t="s">
        <v>268</v>
      </c>
      <c r="AT510" s="18" t="e">
        <f>VLOOKUP(C510,AW:AX,2,FALSE)</f>
        <v>#N/A</v>
      </c>
      <c r="BZ510" s="61"/>
      <c r="CD510" s="18">
        <f>VLOOKUP(C510,CE:CF,2,FALSE)</f>
        <v>613.20000000000005</v>
      </c>
    </row>
    <row r="511" spans="1:83" ht="61.5" x14ac:dyDescent="0.85">
      <c r="B511" s="22" t="s">
        <v>847</v>
      </c>
      <c r="C511" s="22"/>
      <c r="D511" s="339">
        <f>SUM(D512:D513)</f>
        <v>2794020.73</v>
      </c>
      <c r="E511" s="29">
        <f t="shared" ref="E511:AE511" si="78">SUM(E512:E513)</f>
        <v>0</v>
      </c>
      <c r="F511" s="29">
        <f t="shared" si="78"/>
        <v>0</v>
      </c>
      <c r="G511" s="29">
        <f t="shared" si="78"/>
        <v>0</v>
      </c>
      <c r="H511" s="29">
        <f t="shared" si="78"/>
        <v>0</v>
      </c>
      <c r="I511" s="29">
        <f t="shared" si="78"/>
        <v>0</v>
      </c>
      <c r="J511" s="29">
        <f t="shared" si="78"/>
        <v>0</v>
      </c>
      <c r="K511" s="31">
        <f t="shared" si="78"/>
        <v>0</v>
      </c>
      <c r="L511" s="29">
        <f t="shared" si="78"/>
        <v>0</v>
      </c>
      <c r="M511" s="29">
        <f t="shared" si="78"/>
        <v>609.28</v>
      </c>
      <c r="N511" s="29">
        <f t="shared" si="78"/>
        <v>2626425</v>
      </c>
      <c r="O511" s="29">
        <f t="shared" si="78"/>
        <v>0</v>
      </c>
      <c r="P511" s="29">
        <f t="shared" si="78"/>
        <v>0</v>
      </c>
      <c r="Q511" s="29">
        <f t="shared" si="78"/>
        <v>0</v>
      </c>
      <c r="R511" s="29">
        <f t="shared" si="78"/>
        <v>0</v>
      </c>
      <c r="S511" s="29">
        <f t="shared" si="78"/>
        <v>0</v>
      </c>
      <c r="T511" s="29">
        <f t="shared" si="78"/>
        <v>0</v>
      </c>
      <c r="U511" s="29">
        <f t="shared" si="78"/>
        <v>0</v>
      </c>
      <c r="V511" s="29">
        <f t="shared" si="78"/>
        <v>0</v>
      </c>
      <c r="W511" s="29">
        <f t="shared" si="78"/>
        <v>0</v>
      </c>
      <c r="X511" s="29">
        <f t="shared" si="78"/>
        <v>0</v>
      </c>
      <c r="Y511" s="29">
        <f t="shared" si="78"/>
        <v>0</v>
      </c>
      <c r="Z511" s="29">
        <f t="shared" si="78"/>
        <v>0</v>
      </c>
      <c r="AA511" s="29">
        <f t="shared" si="78"/>
        <v>0</v>
      </c>
      <c r="AB511" s="29">
        <f t="shared" si="78"/>
        <v>0</v>
      </c>
      <c r="AC511" s="29">
        <f t="shared" si="78"/>
        <v>15246.4</v>
      </c>
      <c r="AD511" s="29">
        <f t="shared" si="78"/>
        <v>152349.33000000002</v>
      </c>
      <c r="AE511" s="29">
        <f t="shared" si="78"/>
        <v>0</v>
      </c>
      <c r="AF511" s="62" t="s">
        <v>743</v>
      </c>
      <c r="AG511" s="62" t="s">
        <v>743</v>
      </c>
      <c r="AH511" s="77" t="s">
        <v>743</v>
      </c>
      <c r="AT511" s="18" t="e">
        <f>VLOOKUP(C511,AW:AX,2,FALSE)</f>
        <v>#N/A</v>
      </c>
      <c r="BZ511" s="61">
        <v>3133080</v>
      </c>
      <c r="CB511" s="61">
        <f>BZ511-D511</f>
        <v>339059.27</v>
      </c>
      <c r="CD511" s="18" t="e">
        <f>VLOOKUP(C511,CE:CF,2,FALSE)</f>
        <v>#N/A</v>
      </c>
    </row>
    <row r="512" spans="1:83" ht="61.5" x14ac:dyDescent="0.85">
      <c r="A512" s="18">
        <v>1</v>
      </c>
      <c r="B512" s="57">
        <f>SUBTOTAL(103,$A$22:A512)</f>
        <v>436</v>
      </c>
      <c r="C512" s="22" t="s">
        <v>92</v>
      </c>
      <c r="D512" s="29">
        <f>E512+F512+G512+H512+I512+J512+L512+N512+P512+R512+T512+U512+V512+W512+X512+Y512+Z512+AA512+AB512+AC512+AD512+AE512</f>
        <v>2718963.56</v>
      </c>
      <c r="E512" s="29">
        <v>0</v>
      </c>
      <c r="F512" s="29">
        <v>0</v>
      </c>
      <c r="G512" s="29">
        <v>0</v>
      </c>
      <c r="H512" s="29">
        <v>0</v>
      </c>
      <c r="I512" s="29">
        <v>0</v>
      </c>
      <c r="J512" s="29">
        <v>0</v>
      </c>
      <c r="K512" s="31">
        <v>0</v>
      </c>
      <c r="L512" s="29">
        <v>0</v>
      </c>
      <c r="M512" s="37">
        <v>609.28</v>
      </c>
      <c r="N512" s="37">
        <v>2626425</v>
      </c>
      <c r="O512" s="29">
        <v>0</v>
      </c>
      <c r="P512" s="29">
        <v>0</v>
      </c>
      <c r="Q512" s="29">
        <v>0</v>
      </c>
      <c r="R512" s="29">
        <v>0</v>
      </c>
      <c r="S512" s="29">
        <v>0</v>
      </c>
      <c r="T512" s="29">
        <v>0</v>
      </c>
      <c r="U512" s="29">
        <v>0</v>
      </c>
      <c r="V512" s="29">
        <v>0</v>
      </c>
      <c r="W512" s="29">
        <v>0</v>
      </c>
      <c r="X512" s="29">
        <v>0</v>
      </c>
      <c r="Y512" s="29">
        <v>0</v>
      </c>
      <c r="Z512" s="29">
        <v>0</v>
      </c>
      <c r="AA512" s="29">
        <v>0</v>
      </c>
      <c r="AB512" s="29">
        <v>0</v>
      </c>
      <c r="AC512" s="37">
        <v>15246.4</v>
      </c>
      <c r="AD512" s="37">
        <v>77292.160000000003</v>
      </c>
      <c r="AE512" s="29">
        <v>0</v>
      </c>
      <c r="AF512" s="32">
        <v>2020</v>
      </c>
      <c r="AG512" s="32">
        <v>2020</v>
      </c>
      <c r="AH512" s="33">
        <v>2020</v>
      </c>
      <c r="AT512" s="18" t="e">
        <f>VLOOKUP(C512,AW:AX,2,FALSE)</f>
        <v>#N/A</v>
      </c>
      <c r="BZ512" s="61"/>
      <c r="CD512" s="18" t="e">
        <f>VLOOKUP(C512,CE:CF,2,FALSE)</f>
        <v>#N/A</v>
      </c>
    </row>
    <row r="513" spans="1:82" ht="61.5" x14ac:dyDescent="0.85">
      <c r="A513" s="18">
        <v>1</v>
      </c>
      <c r="B513" s="57">
        <f>SUBTOTAL(103,$A$22:A513)</f>
        <v>437</v>
      </c>
      <c r="C513" s="22" t="s">
        <v>97</v>
      </c>
      <c r="D513" s="29">
        <f>E513+F513+G513+H513+I513+J513+L513+N513+P513+R513+T513+U513+V513+W513+X513+Y513+Z513+AA513+AB513+AC513+AD513+AE513</f>
        <v>75057.17</v>
      </c>
      <c r="E513" s="29">
        <v>0</v>
      </c>
      <c r="F513" s="29">
        <v>0</v>
      </c>
      <c r="G513" s="29">
        <v>0</v>
      </c>
      <c r="H513" s="29">
        <v>0</v>
      </c>
      <c r="I513" s="29">
        <v>0</v>
      </c>
      <c r="J513" s="29">
        <v>0</v>
      </c>
      <c r="K513" s="64">
        <v>0</v>
      </c>
      <c r="L513" s="29">
        <v>0</v>
      </c>
      <c r="M513" s="29">
        <v>0</v>
      </c>
      <c r="N513" s="29">
        <v>0</v>
      </c>
      <c r="O513" s="29">
        <v>0</v>
      </c>
      <c r="P513" s="29">
        <v>0</v>
      </c>
      <c r="Q513" s="29">
        <v>0</v>
      </c>
      <c r="R513" s="29">
        <v>0</v>
      </c>
      <c r="S513" s="29">
        <v>0</v>
      </c>
      <c r="T513" s="29">
        <v>0</v>
      </c>
      <c r="U513" s="29">
        <v>0</v>
      </c>
      <c r="V513" s="29">
        <v>0</v>
      </c>
      <c r="W513" s="29">
        <v>0</v>
      </c>
      <c r="X513" s="29">
        <v>0</v>
      </c>
      <c r="Y513" s="29">
        <v>0</v>
      </c>
      <c r="Z513" s="29">
        <v>0</v>
      </c>
      <c r="AA513" s="29">
        <v>0</v>
      </c>
      <c r="AB513" s="29">
        <v>0</v>
      </c>
      <c r="AC513" s="29">
        <f>ROUND(N513*1.5%,2)</f>
        <v>0</v>
      </c>
      <c r="AD513" s="29">
        <v>75057.17</v>
      </c>
      <c r="AE513" s="29">
        <v>0</v>
      </c>
      <c r="AF513" s="32">
        <v>2020</v>
      </c>
      <c r="AG513" s="33" t="s">
        <v>268</v>
      </c>
      <c r="AH513" s="33" t="s">
        <v>268</v>
      </c>
      <c r="AT513" s="18" t="e">
        <f>VLOOKUP(C513,AW:AX,2,FALSE)</f>
        <v>#N/A</v>
      </c>
      <c r="BZ513" s="61"/>
      <c r="CD513" s="18" t="e">
        <f>VLOOKUP(C513,CE:CF,2,FALSE)</f>
        <v>#N/A</v>
      </c>
    </row>
    <row r="514" spans="1:82" ht="61.5" x14ac:dyDescent="0.85">
      <c r="B514" s="22" t="s">
        <v>848</v>
      </c>
      <c r="C514" s="22"/>
      <c r="D514" s="339">
        <f>D515+D516</f>
        <v>4868704.13</v>
      </c>
      <c r="E514" s="29">
        <f t="shared" ref="E514:AE514" si="79">E515+E516</f>
        <v>0</v>
      </c>
      <c r="F514" s="29">
        <f t="shared" si="79"/>
        <v>0</v>
      </c>
      <c r="G514" s="29">
        <f t="shared" si="79"/>
        <v>0</v>
      </c>
      <c r="H514" s="29">
        <f t="shared" si="79"/>
        <v>0</v>
      </c>
      <c r="I514" s="29">
        <f t="shared" si="79"/>
        <v>0</v>
      </c>
      <c r="J514" s="29">
        <f t="shared" si="79"/>
        <v>0</v>
      </c>
      <c r="K514" s="31">
        <f t="shared" si="79"/>
        <v>0</v>
      </c>
      <c r="L514" s="29">
        <f t="shared" si="79"/>
        <v>0</v>
      </c>
      <c r="M514" s="29">
        <f t="shared" si="79"/>
        <v>1085.8</v>
      </c>
      <c r="N514" s="29">
        <f t="shared" si="79"/>
        <v>4643006</v>
      </c>
      <c r="O514" s="29">
        <f t="shared" si="79"/>
        <v>0</v>
      </c>
      <c r="P514" s="29">
        <f t="shared" si="79"/>
        <v>0</v>
      </c>
      <c r="Q514" s="29">
        <f t="shared" si="79"/>
        <v>0</v>
      </c>
      <c r="R514" s="29">
        <f t="shared" si="79"/>
        <v>0</v>
      </c>
      <c r="S514" s="29">
        <f t="shared" si="79"/>
        <v>0</v>
      </c>
      <c r="T514" s="29">
        <f t="shared" si="79"/>
        <v>0</v>
      </c>
      <c r="U514" s="29">
        <f t="shared" si="79"/>
        <v>0</v>
      </c>
      <c r="V514" s="29">
        <f t="shared" si="79"/>
        <v>0</v>
      </c>
      <c r="W514" s="29">
        <f t="shared" si="79"/>
        <v>0</v>
      </c>
      <c r="X514" s="29">
        <f t="shared" si="79"/>
        <v>0</v>
      </c>
      <c r="Y514" s="29">
        <f t="shared" si="79"/>
        <v>0</v>
      </c>
      <c r="Z514" s="29">
        <f t="shared" si="79"/>
        <v>0</v>
      </c>
      <c r="AA514" s="29">
        <f t="shared" si="79"/>
        <v>0</v>
      </c>
      <c r="AB514" s="29">
        <f t="shared" si="79"/>
        <v>0</v>
      </c>
      <c r="AC514" s="29">
        <f t="shared" si="79"/>
        <v>29947.39</v>
      </c>
      <c r="AD514" s="29">
        <f t="shared" si="79"/>
        <v>195750.74</v>
      </c>
      <c r="AE514" s="29">
        <f t="shared" si="79"/>
        <v>0</v>
      </c>
      <c r="AF514" s="62" t="s">
        <v>743</v>
      </c>
      <c r="AG514" s="62" t="s">
        <v>743</v>
      </c>
      <c r="AH514" s="77" t="s">
        <v>743</v>
      </c>
      <c r="AT514" s="18" t="e">
        <f>VLOOKUP(C514,AW:AX,2,FALSE)</f>
        <v>#N/A</v>
      </c>
      <c r="BZ514" s="61">
        <v>5968517.3999999994</v>
      </c>
      <c r="CB514" s="61">
        <f>BZ514-D514</f>
        <v>1099813.2699999996</v>
      </c>
      <c r="CD514" s="18" t="e">
        <f>VLOOKUP(C514,CE:CF,2,FALSE)</f>
        <v>#N/A</v>
      </c>
    </row>
    <row r="515" spans="1:82" ht="61.5" x14ac:dyDescent="0.85">
      <c r="A515" s="18">
        <v>1</v>
      </c>
      <c r="B515" s="57">
        <f>SUBTOTAL(103,$A$22:A515)</f>
        <v>438</v>
      </c>
      <c r="C515" s="22" t="s">
        <v>93</v>
      </c>
      <c r="D515" s="29">
        <f>E515+F515+G515+H515+I515+J515+L515+N515+P515+R515+T515+U515+V515+W515+X515+Y515+Z515+AA515+AB515+AC515+AD515+AE515</f>
        <v>4831403.93</v>
      </c>
      <c r="E515" s="29">
        <v>0</v>
      </c>
      <c r="F515" s="29">
        <v>0</v>
      </c>
      <c r="G515" s="29">
        <v>0</v>
      </c>
      <c r="H515" s="29">
        <v>0</v>
      </c>
      <c r="I515" s="29">
        <v>0</v>
      </c>
      <c r="J515" s="29">
        <v>0</v>
      </c>
      <c r="K515" s="31">
        <v>0</v>
      </c>
      <c r="L515" s="29">
        <v>0</v>
      </c>
      <c r="M515" s="37">
        <v>1085.8</v>
      </c>
      <c r="N515" s="37">
        <v>4643006</v>
      </c>
      <c r="O515" s="29">
        <v>0</v>
      </c>
      <c r="P515" s="29">
        <v>0</v>
      </c>
      <c r="Q515" s="29">
        <v>0</v>
      </c>
      <c r="R515" s="29">
        <v>0</v>
      </c>
      <c r="S515" s="29">
        <v>0</v>
      </c>
      <c r="T515" s="29">
        <v>0</v>
      </c>
      <c r="U515" s="29">
        <v>0</v>
      </c>
      <c r="V515" s="29">
        <v>0</v>
      </c>
      <c r="W515" s="29">
        <v>0</v>
      </c>
      <c r="X515" s="29">
        <v>0</v>
      </c>
      <c r="Y515" s="29">
        <v>0</v>
      </c>
      <c r="Z515" s="29">
        <v>0</v>
      </c>
      <c r="AA515" s="29">
        <v>0</v>
      </c>
      <c r="AB515" s="29">
        <v>0</v>
      </c>
      <c r="AC515" s="37">
        <v>29947.39</v>
      </c>
      <c r="AD515" s="37">
        <v>158450.54</v>
      </c>
      <c r="AE515" s="29">
        <v>0</v>
      </c>
      <c r="AF515" s="32">
        <v>2020</v>
      </c>
      <c r="AG515" s="32">
        <v>2020</v>
      </c>
      <c r="AH515" s="33">
        <v>2020</v>
      </c>
      <c r="AT515" s="18" t="e">
        <f>VLOOKUP(C515,AW:AX,2,FALSE)</f>
        <v>#N/A</v>
      </c>
      <c r="BZ515" s="61"/>
      <c r="CD515" s="18" t="e">
        <f>VLOOKUP(C515,CE:CF,2,FALSE)</f>
        <v>#N/A</v>
      </c>
    </row>
    <row r="516" spans="1:82" ht="61.5" x14ac:dyDescent="0.85">
      <c r="A516" s="18">
        <v>1</v>
      </c>
      <c r="B516" s="57">
        <f>SUBTOTAL(103,$A$22:A516)</f>
        <v>439</v>
      </c>
      <c r="C516" s="22" t="s">
        <v>1597</v>
      </c>
      <c r="D516" s="29">
        <f>E516+F516+G516+H516+I516+J516+L516+N516+P516+R516+T516+U516+V516+W516+X516+Y516+Z516+AA516+AB516+AC516+AD516+AE516</f>
        <v>37300.199999999997</v>
      </c>
      <c r="E516" s="29">
        <v>0</v>
      </c>
      <c r="F516" s="29">
        <v>0</v>
      </c>
      <c r="G516" s="29">
        <v>0</v>
      </c>
      <c r="H516" s="29">
        <v>0</v>
      </c>
      <c r="I516" s="29">
        <v>0</v>
      </c>
      <c r="J516" s="29">
        <v>0</v>
      </c>
      <c r="K516" s="31">
        <v>0</v>
      </c>
      <c r="L516" s="29">
        <v>0</v>
      </c>
      <c r="M516" s="29">
        <v>0</v>
      </c>
      <c r="N516" s="29">
        <v>0</v>
      </c>
      <c r="O516" s="29">
        <v>0</v>
      </c>
      <c r="P516" s="29">
        <v>0</v>
      </c>
      <c r="Q516" s="29">
        <v>0</v>
      </c>
      <c r="R516" s="29">
        <v>0</v>
      </c>
      <c r="S516" s="29">
        <v>0</v>
      </c>
      <c r="T516" s="29">
        <v>0</v>
      </c>
      <c r="U516" s="29">
        <v>0</v>
      </c>
      <c r="V516" s="29">
        <v>0</v>
      </c>
      <c r="W516" s="29">
        <v>0</v>
      </c>
      <c r="X516" s="29">
        <v>0</v>
      </c>
      <c r="Y516" s="29">
        <v>0</v>
      </c>
      <c r="Z516" s="29">
        <v>0</v>
      </c>
      <c r="AA516" s="29">
        <v>0</v>
      </c>
      <c r="AB516" s="29">
        <v>0</v>
      </c>
      <c r="AC516" s="29">
        <f>ROUND(H516*1.5%,2)</f>
        <v>0</v>
      </c>
      <c r="AD516" s="37">
        <v>37300.199999999997</v>
      </c>
      <c r="AE516" s="29">
        <v>0</v>
      </c>
      <c r="AF516" s="32">
        <v>2020</v>
      </c>
      <c r="AG516" s="33" t="s">
        <v>268</v>
      </c>
      <c r="AH516" s="33" t="s">
        <v>268</v>
      </c>
      <c r="BZ516" s="61"/>
      <c r="CD516" s="18" t="e">
        <f>VLOOKUP(C516,CE:CF,2,FALSE)</f>
        <v>#N/A</v>
      </c>
    </row>
    <row r="517" spans="1:82" ht="61.5" x14ac:dyDescent="0.85">
      <c r="B517" s="22" t="s">
        <v>849</v>
      </c>
      <c r="C517" s="22"/>
      <c r="D517" s="339">
        <f t="shared" ref="D517:AE517" si="80">D518</f>
        <v>2570556.2200000002</v>
      </c>
      <c r="E517" s="29">
        <f t="shared" si="80"/>
        <v>0</v>
      </c>
      <c r="F517" s="29">
        <f t="shared" si="80"/>
        <v>0</v>
      </c>
      <c r="G517" s="29">
        <f t="shared" si="80"/>
        <v>0</v>
      </c>
      <c r="H517" s="29">
        <f t="shared" si="80"/>
        <v>0</v>
      </c>
      <c r="I517" s="29">
        <f t="shared" si="80"/>
        <v>0</v>
      </c>
      <c r="J517" s="29">
        <f t="shared" si="80"/>
        <v>0</v>
      </c>
      <c r="K517" s="31">
        <f t="shared" si="80"/>
        <v>0</v>
      </c>
      <c r="L517" s="29">
        <f t="shared" si="80"/>
        <v>0</v>
      </c>
      <c r="M517" s="29">
        <f t="shared" si="80"/>
        <v>694.7</v>
      </c>
      <c r="N517" s="29">
        <f t="shared" si="80"/>
        <v>2481018</v>
      </c>
      <c r="O517" s="29">
        <f t="shared" si="80"/>
        <v>0</v>
      </c>
      <c r="P517" s="29">
        <f t="shared" si="80"/>
        <v>0</v>
      </c>
      <c r="Q517" s="29">
        <f t="shared" si="80"/>
        <v>0</v>
      </c>
      <c r="R517" s="29">
        <f t="shared" si="80"/>
        <v>0</v>
      </c>
      <c r="S517" s="29">
        <f t="shared" si="80"/>
        <v>0</v>
      </c>
      <c r="T517" s="29">
        <f t="shared" si="80"/>
        <v>0</v>
      </c>
      <c r="U517" s="29">
        <f t="shared" si="80"/>
        <v>0</v>
      </c>
      <c r="V517" s="29">
        <f t="shared" si="80"/>
        <v>0</v>
      </c>
      <c r="W517" s="29">
        <f t="shared" si="80"/>
        <v>0</v>
      </c>
      <c r="X517" s="29">
        <f t="shared" si="80"/>
        <v>0</v>
      </c>
      <c r="Y517" s="29">
        <f t="shared" si="80"/>
        <v>0</v>
      </c>
      <c r="Z517" s="29">
        <f t="shared" si="80"/>
        <v>0</v>
      </c>
      <c r="AA517" s="29">
        <f t="shared" si="80"/>
        <v>0</v>
      </c>
      <c r="AB517" s="29">
        <f t="shared" si="80"/>
        <v>0</v>
      </c>
      <c r="AC517" s="29">
        <f t="shared" si="80"/>
        <v>9601.5400000000009</v>
      </c>
      <c r="AD517" s="29">
        <f t="shared" si="80"/>
        <v>79936.679999999993</v>
      </c>
      <c r="AE517" s="29">
        <f t="shared" si="80"/>
        <v>0</v>
      </c>
      <c r="AF517" s="62" t="s">
        <v>743</v>
      </c>
      <c r="AG517" s="62" t="s">
        <v>743</v>
      </c>
      <c r="AH517" s="77" t="s">
        <v>743</v>
      </c>
      <c r="AT517" s="18" t="e">
        <f>VLOOKUP(C517,AW:AX,2,FALSE)</f>
        <v>#N/A</v>
      </c>
      <c r="BZ517" s="61">
        <v>3253210.4899999998</v>
      </c>
      <c r="CB517" s="61">
        <f>BZ517-D517</f>
        <v>682654.26999999955</v>
      </c>
      <c r="CD517" s="18" t="e">
        <f>VLOOKUP(C517,CE:CF,2,FALSE)</f>
        <v>#N/A</v>
      </c>
    </row>
    <row r="518" spans="1:82" ht="61.5" x14ac:dyDescent="0.85">
      <c r="A518" s="18">
        <v>1</v>
      </c>
      <c r="B518" s="57">
        <f>SUBTOTAL(103,$A$22:A518)</f>
        <v>440</v>
      </c>
      <c r="C518" s="22" t="s">
        <v>94</v>
      </c>
      <c r="D518" s="29">
        <f>E518+F518+G518+H518+I518+J518+L518+N518+P518+R518+T518+U518+V518+W518+X518+Y518+Z518+AA518+AB518+AC518+AD518+AE518</f>
        <v>2570556.2200000002</v>
      </c>
      <c r="E518" s="29">
        <v>0</v>
      </c>
      <c r="F518" s="29">
        <v>0</v>
      </c>
      <c r="G518" s="29">
        <v>0</v>
      </c>
      <c r="H518" s="29">
        <v>0</v>
      </c>
      <c r="I518" s="29">
        <v>0</v>
      </c>
      <c r="J518" s="29">
        <v>0</v>
      </c>
      <c r="K518" s="31">
        <v>0</v>
      </c>
      <c r="L518" s="29">
        <v>0</v>
      </c>
      <c r="M518" s="37">
        <v>694.7</v>
      </c>
      <c r="N518" s="37">
        <v>2481018</v>
      </c>
      <c r="O518" s="29">
        <v>0</v>
      </c>
      <c r="P518" s="29">
        <v>0</v>
      </c>
      <c r="Q518" s="29">
        <v>0</v>
      </c>
      <c r="R518" s="29">
        <v>0</v>
      </c>
      <c r="S518" s="29">
        <v>0</v>
      </c>
      <c r="T518" s="29">
        <v>0</v>
      </c>
      <c r="U518" s="29">
        <v>0</v>
      </c>
      <c r="V518" s="29">
        <v>0</v>
      </c>
      <c r="W518" s="29">
        <v>0</v>
      </c>
      <c r="X518" s="29">
        <v>0</v>
      </c>
      <c r="Y518" s="29">
        <v>0</v>
      </c>
      <c r="Z518" s="29">
        <v>0</v>
      </c>
      <c r="AA518" s="29">
        <v>0</v>
      </c>
      <c r="AB518" s="29">
        <v>0</v>
      </c>
      <c r="AC518" s="37">
        <v>9601.5400000000009</v>
      </c>
      <c r="AD518" s="37">
        <v>79936.679999999993</v>
      </c>
      <c r="AE518" s="29">
        <v>0</v>
      </c>
      <c r="AF518" s="32">
        <v>2020</v>
      </c>
      <c r="AG518" s="32">
        <v>2020</v>
      </c>
      <c r="AH518" s="33">
        <v>2020</v>
      </c>
      <c r="AT518" s="18" t="e">
        <f>VLOOKUP(C518,AW:AX,2,FALSE)</f>
        <v>#N/A</v>
      </c>
      <c r="BZ518" s="61"/>
      <c r="CD518" s="18" t="e">
        <f>VLOOKUP(C518,CE:CF,2,FALSE)</f>
        <v>#N/A</v>
      </c>
    </row>
    <row r="519" spans="1:82" ht="61.5" x14ac:dyDescent="0.85">
      <c r="B519" s="22" t="s">
        <v>1255</v>
      </c>
      <c r="C519" s="22"/>
      <c r="D519" s="339">
        <f>SUM(D520:D521)</f>
        <v>1181101.6800000002</v>
      </c>
      <c r="E519" s="29">
        <f t="shared" ref="E519:AE519" si="81">SUM(E520:E521)</f>
        <v>0</v>
      </c>
      <c r="F519" s="29">
        <f t="shared" si="81"/>
        <v>0</v>
      </c>
      <c r="G519" s="29">
        <f t="shared" si="81"/>
        <v>679682.53</v>
      </c>
      <c r="H519" s="29">
        <f t="shared" si="81"/>
        <v>74978.2</v>
      </c>
      <c r="I519" s="29">
        <f t="shared" si="81"/>
        <v>338634.62</v>
      </c>
      <c r="J519" s="29">
        <f t="shared" si="81"/>
        <v>0</v>
      </c>
      <c r="K519" s="31">
        <f t="shared" si="81"/>
        <v>0</v>
      </c>
      <c r="L519" s="29">
        <f t="shared" si="81"/>
        <v>0</v>
      </c>
      <c r="M519" s="29">
        <f t="shared" si="81"/>
        <v>0</v>
      </c>
      <c r="N519" s="29">
        <f t="shared" si="81"/>
        <v>0</v>
      </c>
      <c r="O519" s="29">
        <f t="shared" si="81"/>
        <v>0</v>
      </c>
      <c r="P519" s="29">
        <f t="shared" si="81"/>
        <v>0</v>
      </c>
      <c r="Q519" s="29">
        <f t="shared" si="81"/>
        <v>0</v>
      </c>
      <c r="R519" s="29">
        <f t="shared" si="81"/>
        <v>0</v>
      </c>
      <c r="S519" s="29">
        <f t="shared" si="81"/>
        <v>0</v>
      </c>
      <c r="T519" s="29">
        <f t="shared" si="81"/>
        <v>0</v>
      </c>
      <c r="U519" s="29">
        <f t="shared" si="81"/>
        <v>0</v>
      </c>
      <c r="V519" s="29">
        <f t="shared" si="81"/>
        <v>0</v>
      </c>
      <c r="W519" s="29">
        <f t="shared" si="81"/>
        <v>0</v>
      </c>
      <c r="X519" s="29">
        <f t="shared" si="81"/>
        <v>0</v>
      </c>
      <c r="Y519" s="29">
        <f t="shared" si="81"/>
        <v>0</v>
      </c>
      <c r="Z519" s="29">
        <f t="shared" si="81"/>
        <v>0</v>
      </c>
      <c r="AA519" s="29">
        <f t="shared" si="81"/>
        <v>0</v>
      </c>
      <c r="AB519" s="29">
        <f t="shared" si="81"/>
        <v>0</v>
      </c>
      <c r="AC519" s="29">
        <f t="shared" si="81"/>
        <v>10823.62</v>
      </c>
      <c r="AD519" s="29">
        <f t="shared" si="81"/>
        <v>76982.710000000006</v>
      </c>
      <c r="AE519" s="29">
        <f t="shared" si="81"/>
        <v>0</v>
      </c>
      <c r="AF519" s="62" t="s">
        <v>743</v>
      </c>
      <c r="AG519" s="62" t="s">
        <v>743</v>
      </c>
      <c r="AH519" s="77" t="s">
        <v>743</v>
      </c>
      <c r="BZ519" s="61">
        <v>2309984.35</v>
      </c>
      <c r="CB519" s="61">
        <f>BZ519-D519</f>
        <v>1128882.67</v>
      </c>
      <c r="CD519" s="18" t="e">
        <f>VLOOKUP(C519,CE:CF,2,FALSE)</f>
        <v>#N/A</v>
      </c>
    </row>
    <row r="520" spans="1:82" ht="61.5" x14ac:dyDescent="0.85">
      <c r="A520" s="18">
        <v>1</v>
      </c>
      <c r="B520" s="57">
        <f>SUBTOTAL(103,$A$22:A520)</f>
        <v>441</v>
      </c>
      <c r="C520" s="22" t="s">
        <v>1256</v>
      </c>
      <c r="D520" s="29">
        <f>E520+F520+G520+H520+I520+J520+L520+N520+P520+R520+T520+U520+V520+W520+X520+Y520+Z520+AA520+AB520+AC520+AD520+AE520</f>
        <v>1104118.9700000002</v>
      </c>
      <c r="E520" s="29">
        <v>0</v>
      </c>
      <c r="F520" s="29">
        <v>0</v>
      </c>
      <c r="G520" s="37">
        <v>679682.53</v>
      </c>
      <c r="H520" s="134">
        <v>74978.2</v>
      </c>
      <c r="I520" s="37">
        <v>338634.62</v>
      </c>
      <c r="J520" s="29">
        <v>0</v>
      </c>
      <c r="K520" s="31">
        <v>0</v>
      </c>
      <c r="L520" s="29">
        <v>0</v>
      </c>
      <c r="M520" s="29">
        <v>0</v>
      </c>
      <c r="N520" s="29">
        <v>0</v>
      </c>
      <c r="O520" s="29">
        <v>0</v>
      </c>
      <c r="P520" s="29">
        <v>0</v>
      </c>
      <c r="Q520" s="29">
        <v>0</v>
      </c>
      <c r="R520" s="29">
        <v>0</v>
      </c>
      <c r="S520" s="29">
        <v>0</v>
      </c>
      <c r="T520" s="29">
        <v>0</v>
      </c>
      <c r="U520" s="29">
        <v>0</v>
      </c>
      <c r="V520" s="29">
        <v>0</v>
      </c>
      <c r="W520" s="29">
        <v>0</v>
      </c>
      <c r="X520" s="29">
        <v>0</v>
      </c>
      <c r="Y520" s="29">
        <v>0</v>
      </c>
      <c r="Z520" s="29">
        <v>0</v>
      </c>
      <c r="AA520" s="29">
        <v>0</v>
      </c>
      <c r="AB520" s="29">
        <v>0</v>
      </c>
      <c r="AC520" s="29">
        <f>ROUND((E520+F520+G520+H520+I520+J520)*0.99%,2)</f>
        <v>10823.62</v>
      </c>
      <c r="AD520" s="29">
        <v>0</v>
      </c>
      <c r="AE520" s="29">
        <v>0</v>
      </c>
      <c r="AF520" s="32" t="s">
        <v>268</v>
      </c>
      <c r="AG520" s="32">
        <v>2020</v>
      </c>
      <c r="AH520" s="33">
        <v>2020</v>
      </c>
      <c r="BZ520" s="61"/>
      <c r="CD520" s="18" t="e">
        <f>VLOOKUP(C520,CE:CF,2,FALSE)</f>
        <v>#N/A</v>
      </c>
    </row>
    <row r="521" spans="1:82" ht="61.5" x14ac:dyDescent="0.85">
      <c r="A521" s="18">
        <v>1</v>
      </c>
      <c r="B521" s="57">
        <f>SUBTOTAL(103,$A$22:A521)</f>
        <v>442</v>
      </c>
      <c r="C521" s="22" t="s">
        <v>98</v>
      </c>
      <c r="D521" s="29">
        <f>E521+F521+G521+H521+I521+J521+L521+N521+P521+R521+T521+U521+V521+W521+X521+Y521+Z521+AA521+AB521+AC521+AD521+AE521</f>
        <v>76982.710000000006</v>
      </c>
      <c r="E521" s="29">
        <v>0</v>
      </c>
      <c r="F521" s="29">
        <v>0</v>
      </c>
      <c r="G521" s="29">
        <v>0</v>
      </c>
      <c r="H521" s="29">
        <v>0</v>
      </c>
      <c r="I521" s="29">
        <v>0</v>
      </c>
      <c r="J521" s="29">
        <v>0</v>
      </c>
      <c r="K521" s="64">
        <v>0</v>
      </c>
      <c r="L521" s="29">
        <v>0</v>
      </c>
      <c r="M521" s="29">
        <v>0</v>
      </c>
      <c r="N521" s="29">
        <v>0</v>
      </c>
      <c r="O521" s="29">
        <v>0</v>
      </c>
      <c r="P521" s="29">
        <v>0</v>
      </c>
      <c r="Q521" s="29">
        <v>0</v>
      </c>
      <c r="R521" s="29">
        <v>0</v>
      </c>
      <c r="S521" s="29">
        <v>0</v>
      </c>
      <c r="T521" s="29">
        <v>0</v>
      </c>
      <c r="U521" s="29">
        <v>0</v>
      </c>
      <c r="V521" s="29">
        <v>0</v>
      </c>
      <c r="W521" s="29">
        <v>0</v>
      </c>
      <c r="X521" s="29">
        <v>0</v>
      </c>
      <c r="Y521" s="29">
        <v>0</v>
      </c>
      <c r="Z521" s="29">
        <v>0</v>
      </c>
      <c r="AA521" s="29">
        <v>0</v>
      </c>
      <c r="AB521" s="29">
        <v>0</v>
      </c>
      <c r="AC521" s="29">
        <f>ROUND(N521*1.5%,2)</f>
        <v>0</v>
      </c>
      <c r="AD521" s="29">
        <v>76982.710000000006</v>
      </c>
      <c r="AE521" s="29">
        <v>0</v>
      </c>
      <c r="AF521" s="32">
        <v>2020</v>
      </c>
      <c r="AG521" s="32" t="s">
        <v>268</v>
      </c>
      <c r="AH521" s="32" t="s">
        <v>268</v>
      </c>
      <c r="AT521" s="18" t="e">
        <f>VLOOKUP(C521,AW:AX,2,FALSE)</f>
        <v>#N/A</v>
      </c>
      <c r="BZ521" s="61"/>
      <c r="CD521" s="18" t="e">
        <f>VLOOKUP(C521,CE:CF,2,FALSE)</f>
        <v>#N/A</v>
      </c>
    </row>
    <row r="522" spans="1:82" ht="61.5" x14ac:dyDescent="0.85">
      <c r="B522" s="22" t="s">
        <v>850</v>
      </c>
      <c r="C522" s="338"/>
      <c r="D522" s="339">
        <f t="shared" ref="D522:AE522" si="82">SUM(D523:D527)</f>
        <v>5058199.54</v>
      </c>
      <c r="E522" s="29">
        <f t="shared" si="82"/>
        <v>0</v>
      </c>
      <c r="F522" s="29">
        <f t="shared" si="82"/>
        <v>0</v>
      </c>
      <c r="G522" s="29">
        <f t="shared" si="82"/>
        <v>0</v>
      </c>
      <c r="H522" s="29">
        <f t="shared" si="82"/>
        <v>0</v>
      </c>
      <c r="I522" s="29">
        <f t="shared" si="82"/>
        <v>633864</v>
      </c>
      <c r="J522" s="29">
        <f t="shared" si="82"/>
        <v>0</v>
      </c>
      <c r="K522" s="31">
        <f t="shared" si="82"/>
        <v>0</v>
      </c>
      <c r="L522" s="29">
        <f t="shared" si="82"/>
        <v>0</v>
      </c>
      <c r="M522" s="29">
        <f t="shared" si="82"/>
        <v>1020.85</v>
      </c>
      <c r="N522" s="29">
        <f t="shared" si="82"/>
        <v>4030135.1500000004</v>
      </c>
      <c r="O522" s="29">
        <f t="shared" si="82"/>
        <v>0</v>
      </c>
      <c r="P522" s="29">
        <f t="shared" si="82"/>
        <v>0</v>
      </c>
      <c r="Q522" s="29">
        <f t="shared" si="82"/>
        <v>0</v>
      </c>
      <c r="R522" s="29">
        <f t="shared" si="82"/>
        <v>0</v>
      </c>
      <c r="S522" s="29">
        <f t="shared" si="82"/>
        <v>0</v>
      </c>
      <c r="T522" s="29">
        <f t="shared" si="82"/>
        <v>0</v>
      </c>
      <c r="U522" s="29">
        <f t="shared" si="82"/>
        <v>0</v>
      </c>
      <c r="V522" s="29">
        <f t="shared" si="82"/>
        <v>0</v>
      </c>
      <c r="W522" s="29">
        <f t="shared" si="82"/>
        <v>0</v>
      </c>
      <c r="X522" s="29">
        <f t="shared" si="82"/>
        <v>0</v>
      </c>
      <c r="Y522" s="29">
        <f t="shared" si="82"/>
        <v>0</v>
      </c>
      <c r="Z522" s="29">
        <f t="shared" si="82"/>
        <v>0</v>
      </c>
      <c r="AA522" s="29">
        <f t="shared" si="82"/>
        <v>0</v>
      </c>
      <c r="AB522" s="29">
        <f t="shared" si="82"/>
        <v>0</v>
      </c>
      <c r="AC522" s="29">
        <f t="shared" si="82"/>
        <v>49784.46</v>
      </c>
      <c r="AD522" s="29">
        <f t="shared" si="82"/>
        <v>104415.93</v>
      </c>
      <c r="AE522" s="29">
        <f t="shared" si="82"/>
        <v>240000</v>
      </c>
      <c r="AF522" s="62" t="s">
        <v>743</v>
      </c>
      <c r="AG522" s="62" t="s">
        <v>743</v>
      </c>
      <c r="AH522" s="77" t="s">
        <v>743</v>
      </c>
      <c r="AT522" s="18" t="e">
        <f>VLOOKUP(C522,AW:AX,2,FALSE)</f>
        <v>#N/A</v>
      </c>
      <c r="BZ522" s="61">
        <v>7354613.0300000003</v>
      </c>
      <c r="CB522" s="61">
        <f>BZ522-D522</f>
        <v>2296413.4900000002</v>
      </c>
      <c r="CD522" s="18" t="e">
        <f>VLOOKUP(C522,CE:CF,2,FALSE)</f>
        <v>#N/A</v>
      </c>
    </row>
    <row r="523" spans="1:82" ht="61.5" x14ac:dyDescent="0.85">
      <c r="A523" s="18">
        <v>1</v>
      </c>
      <c r="B523" s="57">
        <f>SUBTOTAL(103,$A$22:A523)</f>
        <v>443</v>
      </c>
      <c r="C523" s="22" t="s">
        <v>184</v>
      </c>
      <c r="D523" s="29">
        <f>E523+F523+G523+H523+I523+J523+L523+N523+P523+R523+T523+U523+V523+W523+X523+Y523+Z523+AA523+AB523+AC523+AD523+AE523</f>
        <v>1255071.44</v>
      </c>
      <c r="E523" s="29">
        <v>0</v>
      </c>
      <c r="F523" s="29">
        <v>0</v>
      </c>
      <c r="G523" s="29">
        <v>0</v>
      </c>
      <c r="H523" s="29">
        <v>0</v>
      </c>
      <c r="I523" s="29">
        <v>0</v>
      </c>
      <c r="J523" s="29">
        <v>0</v>
      </c>
      <c r="K523" s="31">
        <v>0</v>
      </c>
      <c r="L523" s="29">
        <v>0</v>
      </c>
      <c r="M523" s="37">
        <v>172.5</v>
      </c>
      <c r="N523" s="37">
        <v>1203625.96</v>
      </c>
      <c r="O523" s="29">
        <v>0</v>
      </c>
      <c r="P523" s="29">
        <v>0</v>
      </c>
      <c r="Q523" s="29">
        <v>0</v>
      </c>
      <c r="R523" s="29">
        <v>0</v>
      </c>
      <c r="S523" s="29">
        <v>0</v>
      </c>
      <c r="T523" s="29">
        <v>0</v>
      </c>
      <c r="U523" s="29">
        <v>0</v>
      </c>
      <c r="V523" s="29">
        <v>0</v>
      </c>
      <c r="W523" s="29">
        <v>0</v>
      </c>
      <c r="X523" s="29">
        <v>0</v>
      </c>
      <c r="Y523" s="29">
        <v>0</v>
      </c>
      <c r="Z523" s="29">
        <v>0</v>
      </c>
      <c r="AA523" s="29">
        <v>0</v>
      </c>
      <c r="AB523" s="29">
        <v>0</v>
      </c>
      <c r="AC523" s="29">
        <v>15526.77</v>
      </c>
      <c r="AD523" s="37">
        <v>35918.71</v>
      </c>
      <c r="AE523" s="29">
        <v>0</v>
      </c>
      <c r="AF523" s="32">
        <v>2020</v>
      </c>
      <c r="AG523" s="32">
        <v>2020</v>
      </c>
      <c r="AH523" s="33">
        <v>2020</v>
      </c>
      <c r="AT523" s="18" t="e">
        <f>VLOOKUP(C523,AW:AX,2,FALSE)</f>
        <v>#N/A</v>
      </c>
      <c r="BZ523" s="61"/>
      <c r="CD523" s="18">
        <f>VLOOKUP(C523,CE:CF,2,FALSE)</f>
        <v>255.2</v>
      </c>
    </row>
    <row r="524" spans="1:82" ht="61.5" x14ac:dyDescent="0.85">
      <c r="A524" s="18">
        <v>1</v>
      </c>
      <c r="B524" s="57">
        <f>SUBTOTAL(103,$A$22:A524)</f>
        <v>444</v>
      </c>
      <c r="C524" s="22" t="s">
        <v>183</v>
      </c>
      <c r="D524" s="29">
        <f>E524+F524+G524+H524+I524+J524+L524+N524+P524+R524+T524+U524+V524+W524+X524+Y524+Z524+AA524+AB524+AC524+AD524+AE524</f>
        <v>68497.22</v>
      </c>
      <c r="E524" s="29">
        <v>0</v>
      </c>
      <c r="F524" s="29">
        <v>0</v>
      </c>
      <c r="G524" s="29">
        <v>0</v>
      </c>
      <c r="H524" s="29">
        <v>0</v>
      </c>
      <c r="I524" s="29">
        <v>0</v>
      </c>
      <c r="J524" s="29">
        <v>0</v>
      </c>
      <c r="K524" s="31">
        <v>0</v>
      </c>
      <c r="L524" s="29">
        <v>0</v>
      </c>
      <c r="M524" s="29">
        <v>0</v>
      </c>
      <c r="N524" s="29">
        <v>0</v>
      </c>
      <c r="O524" s="29">
        <v>0</v>
      </c>
      <c r="P524" s="29">
        <v>0</v>
      </c>
      <c r="Q524" s="29">
        <v>0</v>
      </c>
      <c r="R524" s="29">
        <v>0</v>
      </c>
      <c r="S524" s="29">
        <v>0</v>
      </c>
      <c r="T524" s="29">
        <v>0</v>
      </c>
      <c r="U524" s="29">
        <v>0</v>
      </c>
      <c r="V524" s="29">
        <v>0</v>
      </c>
      <c r="W524" s="29">
        <v>0</v>
      </c>
      <c r="X524" s="29">
        <v>0</v>
      </c>
      <c r="Y524" s="29">
        <v>0</v>
      </c>
      <c r="Z524" s="29">
        <v>0</v>
      </c>
      <c r="AA524" s="29">
        <v>0</v>
      </c>
      <c r="AB524" s="29">
        <v>0</v>
      </c>
      <c r="AC524" s="29">
        <f>ROUND(N524*1.5%,2)</f>
        <v>0</v>
      </c>
      <c r="AD524" s="37">
        <v>68497.22</v>
      </c>
      <c r="AE524" s="29">
        <v>0</v>
      </c>
      <c r="AF524" s="32">
        <v>2020</v>
      </c>
      <c r="AG524" s="32" t="s">
        <v>268</v>
      </c>
      <c r="AH524" s="32" t="s">
        <v>268</v>
      </c>
      <c r="AT524" s="18" t="e">
        <f>VLOOKUP(C524,AW:AX,2,FALSE)</f>
        <v>#N/A</v>
      </c>
      <c r="BZ524" s="61"/>
      <c r="CD524" s="18" t="e">
        <f>VLOOKUP(C524,CE:CF,2,FALSE)</f>
        <v>#N/A</v>
      </c>
    </row>
    <row r="525" spans="1:82" ht="61.5" x14ac:dyDescent="0.85">
      <c r="A525" s="18">
        <v>1</v>
      </c>
      <c r="B525" s="57">
        <f>SUBTOTAL(103,$A$22:A525)</f>
        <v>445</v>
      </c>
      <c r="C525" s="22" t="s">
        <v>1257</v>
      </c>
      <c r="D525" s="29">
        <f>E525+F525+G525+H525+I525+J525+L525+N525+P525+R525+T525+U525+V525+W525+X525+Y525+Z525+AA525+AB525+AC525+AD525+AE525</f>
        <v>1767372.2100000002</v>
      </c>
      <c r="E525" s="29">
        <v>0</v>
      </c>
      <c r="F525" s="29">
        <v>0</v>
      </c>
      <c r="G525" s="29">
        <v>0</v>
      </c>
      <c r="H525" s="29">
        <v>0</v>
      </c>
      <c r="I525" s="29">
        <v>0</v>
      </c>
      <c r="J525" s="29">
        <v>0</v>
      </c>
      <c r="K525" s="31">
        <v>0</v>
      </c>
      <c r="L525" s="29">
        <v>0</v>
      </c>
      <c r="M525" s="37">
        <v>440.35</v>
      </c>
      <c r="N525" s="37">
        <v>1631223.1</v>
      </c>
      <c r="O525" s="29">
        <v>0</v>
      </c>
      <c r="P525" s="29">
        <v>0</v>
      </c>
      <c r="Q525" s="29">
        <v>0</v>
      </c>
      <c r="R525" s="29">
        <v>0</v>
      </c>
      <c r="S525" s="29">
        <v>0</v>
      </c>
      <c r="T525" s="29">
        <v>0</v>
      </c>
      <c r="U525" s="29">
        <v>0</v>
      </c>
      <c r="V525" s="29">
        <v>0</v>
      </c>
      <c r="W525" s="29">
        <v>0</v>
      </c>
      <c r="X525" s="29">
        <v>0</v>
      </c>
      <c r="Y525" s="29">
        <v>0</v>
      </c>
      <c r="Z525" s="29">
        <v>0</v>
      </c>
      <c r="AA525" s="29">
        <v>0</v>
      </c>
      <c r="AB525" s="29">
        <v>0</v>
      </c>
      <c r="AC525" s="37">
        <v>16149.11</v>
      </c>
      <c r="AD525" s="29">
        <v>0</v>
      </c>
      <c r="AE525" s="29">
        <v>120000</v>
      </c>
      <c r="AF525" s="32" t="s">
        <v>268</v>
      </c>
      <c r="AG525" s="32">
        <v>2020</v>
      </c>
      <c r="AH525" s="33">
        <v>2020</v>
      </c>
      <c r="BZ525" s="61"/>
      <c r="CD525" s="18">
        <f>VLOOKUP(C525,CE:CF,2,FALSE)</f>
        <v>437.4</v>
      </c>
    </row>
    <row r="526" spans="1:82" ht="61.5" x14ac:dyDescent="0.85">
      <c r="A526" s="18">
        <v>1</v>
      </c>
      <c r="B526" s="57">
        <f>SUBTOTAL(103,$A$22:A526)</f>
        <v>446</v>
      </c>
      <c r="C526" s="22" t="s">
        <v>1258</v>
      </c>
      <c r="D526" s="29">
        <f>E526+F526+G526+H526+I526+J526+L526+N526+P526+R526+T526+U526+V526+W526+X526+Y526+Z526+AA526+AB526+AC526+AD526+AE526</f>
        <v>1327119.4200000002</v>
      </c>
      <c r="E526" s="29">
        <v>0</v>
      </c>
      <c r="F526" s="29">
        <v>0</v>
      </c>
      <c r="G526" s="29">
        <v>0</v>
      </c>
      <c r="H526" s="29">
        <v>0</v>
      </c>
      <c r="I526" s="29">
        <v>0</v>
      </c>
      <c r="J526" s="29">
        <v>0</v>
      </c>
      <c r="K526" s="31">
        <v>0</v>
      </c>
      <c r="L526" s="29">
        <v>0</v>
      </c>
      <c r="M526" s="37">
        <v>408</v>
      </c>
      <c r="N526" s="37">
        <v>1195286.0900000001</v>
      </c>
      <c r="O526" s="29">
        <v>0</v>
      </c>
      <c r="P526" s="29">
        <v>0</v>
      </c>
      <c r="Q526" s="29">
        <v>0</v>
      </c>
      <c r="R526" s="29">
        <v>0</v>
      </c>
      <c r="S526" s="29">
        <v>0</v>
      </c>
      <c r="T526" s="29">
        <v>0</v>
      </c>
      <c r="U526" s="29">
        <v>0</v>
      </c>
      <c r="V526" s="29">
        <v>0</v>
      </c>
      <c r="W526" s="29">
        <v>0</v>
      </c>
      <c r="X526" s="29">
        <v>0</v>
      </c>
      <c r="Y526" s="29">
        <v>0</v>
      </c>
      <c r="Z526" s="29">
        <v>0</v>
      </c>
      <c r="AA526" s="29">
        <v>0</v>
      </c>
      <c r="AB526" s="29">
        <v>0</v>
      </c>
      <c r="AC526" s="134">
        <v>11833.33</v>
      </c>
      <c r="AD526" s="29">
        <v>0</v>
      </c>
      <c r="AE526" s="29">
        <v>120000</v>
      </c>
      <c r="AF526" s="32" t="s">
        <v>268</v>
      </c>
      <c r="AG526" s="32">
        <v>2020</v>
      </c>
      <c r="AH526" s="33">
        <v>2020</v>
      </c>
      <c r="BZ526" s="61"/>
      <c r="CD526" s="18">
        <f>VLOOKUP(C526,CE:CF,2,FALSE)</f>
        <v>408</v>
      </c>
    </row>
    <row r="527" spans="1:82" ht="61.5" x14ac:dyDescent="0.85">
      <c r="A527" s="18">
        <v>1</v>
      </c>
      <c r="B527" s="57">
        <f>SUBTOTAL(103,$A$22:A527)</f>
        <v>447</v>
      </c>
      <c r="C527" s="22" t="s">
        <v>1259</v>
      </c>
      <c r="D527" s="29">
        <f>E527+F527+G527+H527+I527+J527+L527+N527+P527+R527+T527+U527+V527+W527+X527+Y527+Z527+AA527+AB527+AC527+AD527+AE527</f>
        <v>640139.25</v>
      </c>
      <c r="E527" s="29">
        <v>0</v>
      </c>
      <c r="F527" s="29">
        <v>0</v>
      </c>
      <c r="G527" s="29">
        <v>0</v>
      </c>
      <c r="H527" s="29">
        <v>0</v>
      </c>
      <c r="I527" s="335">
        <v>633864</v>
      </c>
      <c r="J527" s="29">
        <v>0</v>
      </c>
      <c r="K527" s="31">
        <v>0</v>
      </c>
      <c r="L527" s="29">
        <v>0</v>
      </c>
      <c r="M527" s="29">
        <v>0</v>
      </c>
      <c r="N527" s="29">
        <v>0</v>
      </c>
      <c r="O527" s="29">
        <v>0</v>
      </c>
      <c r="P527" s="29">
        <v>0</v>
      </c>
      <c r="Q527" s="29">
        <v>0</v>
      </c>
      <c r="R527" s="29">
        <v>0</v>
      </c>
      <c r="S527" s="29">
        <v>0</v>
      </c>
      <c r="T527" s="29">
        <v>0</v>
      </c>
      <c r="U527" s="29">
        <v>0</v>
      </c>
      <c r="V527" s="29">
        <v>0</v>
      </c>
      <c r="W527" s="29">
        <v>0</v>
      </c>
      <c r="X527" s="29">
        <v>0</v>
      </c>
      <c r="Y527" s="29">
        <v>0</v>
      </c>
      <c r="Z527" s="29">
        <v>0</v>
      </c>
      <c r="AA527" s="29">
        <v>0</v>
      </c>
      <c r="AB527" s="29">
        <v>0</v>
      </c>
      <c r="AC527" s="335">
        <v>6275.25</v>
      </c>
      <c r="AD527" s="29">
        <v>0</v>
      </c>
      <c r="AE527" s="29">
        <v>0</v>
      </c>
      <c r="AF527" s="32" t="s">
        <v>268</v>
      </c>
      <c r="AG527" s="32">
        <v>2020</v>
      </c>
      <c r="AH527" s="33">
        <v>2020</v>
      </c>
      <c r="BZ527" s="61"/>
      <c r="CD527" s="18" t="e">
        <f>VLOOKUP(C527,CE:CF,2,FALSE)</f>
        <v>#N/A</v>
      </c>
    </row>
    <row r="528" spans="1:82" ht="61.5" x14ac:dyDescent="0.85">
      <c r="B528" s="22" t="s">
        <v>851</v>
      </c>
      <c r="C528" s="22"/>
      <c r="D528" s="339">
        <f t="shared" ref="D528:AE528" si="83">D529</f>
        <v>3982171.62</v>
      </c>
      <c r="E528" s="29">
        <f t="shared" si="83"/>
        <v>0</v>
      </c>
      <c r="F528" s="29">
        <f t="shared" si="83"/>
        <v>0</v>
      </c>
      <c r="G528" s="29">
        <f t="shared" si="83"/>
        <v>0</v>
      </c>
      <c r="H528" s="29">
        <f t="shared" si="83"/>
        <v>0</v>
      </c>
      <c r="I528" s="29">
        <f t="shared" si="83"/>
        <v>0</v>
      </c>
      <c r="J528" s="29">
        <f t="shared" si="83"/>
        <v>0</v>
      </c>
      <c r="K528" s="31">
        <f t="shared" si="83"/>
        <v>0</v>
      </c>
      <c r="L528" s="29">
        <f t="shared" si="83"/>
        <v>0</v>
      </c>
      <c r="M528" s="29">
        <f t="shared" si="83"/>
        <v>1024.72</v>
      </c>
      <c r="N528" s="29">
        <f t="shared" si="83"/>
        <v>3826730.34</v>
      </c>
      <c r="O528" s="29">
        <f t="shared" si="83"/>
        <v>0</v>
      </c>
      <c r="P528" s="29">
        <f t="shared" si="83"/>
        <v>0</v>
      </c>
      <c r="Q528" s="29">
        <f t="shared" si="83"/>
        <v>0</v>
      </c>
      <c r="R528" s="29">
        <f t="shared" si="83"/>
        <v>0</v>
      </c>
      <c r="S528" s="29">
        <f t="shared" si="83"/>
        <v>0</v>
      </c>
      <c r="T528" s="29">
        <f t="shared" si="83"/>
        <v>0</v>
      </c>
      <c r="U528" s="29">
        <f t="shared" si="83"/>
        <v>0</v>
      </c>
      <c r="V528" s="29">
        <f t="shared" si="83"/>
        <v>0</v>
      </c>
      <c r="W528" s="29">
        <f t="shared" si="83"/>
        <v>0</v>
      </c>
      <c r="X528" s="29">
        <f t="shared" si="83"/>
        <v>0</v>
      </c>
      <c r="Y528" s="29">
        <f t="shared" si="83"/>
        <v>0</v>
      </c>
      <c r="Z528" s="29">
        <f t="shared" si="83"/>
        <v>0</v>
      </c>
      <c r="AA528" s="29">
        <f t="shared" si="83"/>
        <v>0</v>
      </c>
      <c r="AB528" s="29">
        <f t="shared" si="83"/>
        <v>0</v>
      </c>
      <c r="AC528" s="29">
        <f t="shared" si="83"/>
        <v>49364.83</v>
      </c>
      <c r="AD528" s="29">
        <f t="shared" si="83"/>
        <v>106076.45</v>
      </c>
      <c r="AE528" s="29">
        <f t="shared" si="83"/>
        <v>0</v>
      </c>
      <c r="AF528" s="62" t="s">
        <v>743</v>
      </c>
      <c r="AG528" s="62" t="s">
        <v>743</v>
      </c>
      <c r="AH528" s="77" t="s">
        <v>743</v>
      </c>
      <c r="AT528" s="18" t="e">
        <f>VLOOKUP(C528,AW:AX,2,FALSE)</f>
        <v>#N/A</v>
      </c>
      <c r="BZ528" s="61">
        <v>5403513.4500000002</v>
      </c>
      <c r="CB528" s="61">
        <f>BZ528-D528</f>
        <v>1421341.83</v>
      </c>
      <c r="CD528" s="18" t="e">
        <f>VLOOKUP(C528,CE:CF,2,FALSE)</f>
        <v>#N/A</v>
      </c>
    </row>
    <row r="529" spans="1:82" ht="61.5" x14ac:dyDescent="0.85">
      <c r="A529" s="18">
        <v>1</v>
      </c>
      <c r="B529" s="57">
        <f>SUBTOTAL(103,$A$22:A529)</f>
        <v>448</v>
      </c>
      <c r="C529" s="22" t="s">
        <v>187</v>
      </c>
      <c r="D529" s="29">
        <f>E529+F529+G529+H529+I529+J529+L529+N529+P529+R529+T529+U529+V529+W529+X529+Y529+Z529+AA529+AB529+AC529+AD529+AE529</f>
        <v>3982171.62</v>
      </c>
      <c r="E529" s="29">
        <v>0</v>
      </c>
      <c r="F529" s="29">
        <v>0</v>
      </c>
      <c r="G529" s="29">
        <v>0</v>
      </c>
      <c r="H529" s="29">
        <v>0</v>
      </c>
      <c r="I529" s="29">
        <v>0</v>
      </c>
      <c r="J529" s="29">
        <v>0</v>
      </c>
      <c r="K529" s="31">
        <v>0</v>
      </c>
      <c r="L529" s="29">
        <v>0</v>
      </c>
      <c r="M529" s="37">
        <v>1024.72</v>
      </c>
      <c r="N529" s="37">
        <v>3826730.34</v>
      </c>
      <c r="O529" s="29">
        <v>0</v>
      </c>
      <c r="P529" s="29">
        <v>0</v>
      </c>
      <c r="Q529" s="29">
        <v>0</v>
      </c>
      <c r="R529" s="29">
        <v>0</v>
      </c>
      <c r="S529" s="29">
        <v>0</v>
      </c>
      <c r="T529" s="29">
        <v>0</v>
      </c>
      <c r="U529" s="29">
        <v>0</v>
      </c>
      <c r="V529" s="29">
        <v>0</v>
      </c>
      <c r="W529" s="29">
        <v>0</v>
      </c>
      <c r="X529" s="29">
        <v>0</v>
      </c>
      <c r="Y529" s="29">
        <v>0</v>
      </c>
      <c r="Z529" s="29">
        <v>0</v>
      </c>
      <c r="AA529" s="29">
        <v>0</v>
      </c>
      <c r="AB529" s="29">
        <v>0</v>
      </c>
      <c r="AC529" s="37">
        <v>49364.83</v>
      </c>
      <c r="AD529" s="37">
        <v>106076.45</v>
      </c>
      <c r="AE529" s="29">
        <v>0</v>
      </c>
      <c r="AF529" s="32">
        <v>2020</v>
      </c>
      <c r="AG529" s="32">
        <v>2020</v>
      </c>
      <c r="AH529" s="33">
        <v>2020</v>
      </c>
      <c r="AT529" s="18" t="e">
        <f>VLOOKUP(C529,AW:AX,2,FALSE)</f>
        <v>#N/A</v>
      </c>
      <c r="BZ529" s="61"/>
      <c r="CD529" s="18">
        <f>VLOOKUP(C529,CE:CF,2,FALSE)</f>
        <v>1028.5999999999999</v>
      </c>
    </row>
    <row r="530" spans="1:82" ht="61.5" x14ac:dyDescent="0.85">
      <c r="B530" s="22" t="s">
        <v>852</v>
      </c>
      <c r="C530" s="22"/>
      <c r="D530" s="339">
        <f>D531+D532</f>
        <v>8046011.1599999992</v>
      </c>
      <c r="E530" s="29">
        <f t="shared" ref="E530:AE530" si="84">E531+E532</f>
        <v>0</v>
      </c>
      <c r="F530" s="29">
        <f t="shared" si="84"/>
        <v>0</v>
      </c>
      <c r="G530" s="29">
        <f t="shared" si="84"/>
        <v>0</v>
      </c>
      <c r="H530" s="29">
        <f t="shared" si="84"/>
        <v>0</v>
      </c>
      <c r="I530" s="29">
        <f t="shared" si="84"/>
        <v>0</v>
      </c>
      <c r="J530" s="29">
        <f t="shared" si="84"/>
        <v>0</v>
      </c>
      <c r="K530" s="31">
        <f t="shared" si="84"/>
        <v>0</v>
      </c>
      <c r="L530" s="29">
        <f t="shared" si="84"/>
        <v>0</v>
      </c>
      <c r="M530" s="29">
        <f t="shared" si="84"/>
        <v>616.86</v>
      </c>
      <c r="N530" s="29">
        <f t="shared" si="84"/>
        <v>2614299.75</v>
      </c>
      <c r="O530" s="29">
        <f t="shared" si="84"/>
        <v>0</v>
      </c>
      <c r="P530" s="29">
        <f t="shared" si="84"/>
        <v>0</v>
      </c>
      <c r="Q530" s="29">
        <f t="shared" si="84"/>
        <v>2869</v>
      </c>
      <c r="R530" s="29">
        <f t="shared" si="84"/>
        <v>5415331.7699999996</v>
      </c>
      <c r="S530" s="29">
        <f t="shared" si="84"/>
        <v>0</v>
      </c>
      <c r="T530" s="29">
        <f t="shared" si="84"/>
        <v>0</v>
      </c>
      <c r="U530" s="29">
        <f t="shared" si="84"/>
        <v>0</v>
      </c>
      <c r="V530" s="29">
        <f t="shared" si="84"/>
        <v>0</v>
      </c>
      <c r="W530" s="29">
        <f t="shared" si="84"/>
        <v>0</v>
      </c>
      <c r="X530" s="29">
        <f t="shared" si="84"/>
        <v>0</v>
      </c>
      <c r="Y530" s="29">
        <f t="shared" si="84"/>
        <v>0</v>
      </c>
      <c r="Z530" s="29">
        <f t="shared" si="84"/>
        <v>0</v>
      </c>
      <c r="AA530" s="29">
        <f t="shared" si="84"/>
        <v>0</v>
      </c>
      <c r="AB530" s="29">
        <f t="shared" si="84"/>
        <v>0</v>
      </c>
      <c r="AC530" s="29">
        <f t="shared" si="84"/>
        <v>16379.64</v>
      </c>
      <c r="AD530" s="29">
        <f t="shared" si="84"/>
        <v>0</v>
      </c>
      <c r="AE530" s="29">
        <f t="shared" si="84"/>
        <v>0</v>
      </c>
      <c r="AF530" s="62" t="s">
        <v>743</v>
      </c>
      <c r="AG530" s="62" t="s">
        <v>743</v>
      </c>
      <c r="AH530" s="77" t="s">
        <v>743</v>
      </c>
      <c r="AT530" s="18" t="e">
        <f>VLOOKUP(C530,AW:AX,2,FALSE)</f>
        <v>#N/A</v>
      </c>
      <c r="BZ530" s="61">
        <v>8957085.8399999999</v>
      </c>
      <c r="CB530" s="61">
        <f>BZ530-D530</f>
        <v>911074.68000000063</v>
      </c>
      <c r="CD530" s="18" t="e">
        <f>VLOOKUP(C530,CE:CF,2,FALSE)</f>
        <v>#N/A</v>
      </c>
    </row>
    <row r="531" spans="1:82" ht="61.5" x14ac:dyDescent="0.85">
      <c r="A531" s="18">
        <v>1</v>
      </c>
      <c r="B531" s="57">
        <f>SUBTOTAL(103,$A$22:A531)</f>
        <v>449</v>
      </c>
      <c r="C531" s="22" t="s">
        <v>186</v>
      </c>
      <c r="D531" s="29">
        <f>E531+F531+G531+H531+I531+J531+L531+N531+P531+R531+T531+U531+V531+W531+X531+Y531+Z531+AA531+AB531+AC531+AD531+AE531</f>
        <v>2614299.75</v>
      </c>
      <c r="E531" s="29">
        <v>0</v>
      </c>
      <c r="F531" s="29">
        <v>0</v>
      </c>
      <c r="G531" s="29">
        <v>0</v>
      </c>
      <c r="H531" s="29">
        <v>0</v>
      </c>
      <c r="I531" s="29">
        <v>0</v>
      </c>
      <c r="J531" s="29">
        <v>0</v>
      </c>
      <c r="K531" s="31">
        <v>0</v>
      </c>
      <c r="L531" s="29">
        <v>0</v>
      </c>
      <c r="M531" s="37">
        <v>616.86</v>
      </c>
      <c r="N531" s="37">
        <v>2614299.75</v>
      </c>
      <c r="O531" s="29">
        <v>0</v>
      </c>
      <c r="P531" s="29">
        <v>0</v>
      </c>
      <c r="Q531" s="29">
        <v>0</v>
      </c>
      <c r="R531" s="29">
        <v>0</v>
      </c>
      <c r="S531" s="29">
        <v>0</v>
      </c>
      <c r="T531" s="29">
        <v>0</v>
      </c>
      <c r="U531" s="29">
        <v>0</v>
      </c>
      <c r="V531" s="29">
        <v>0</v>
      </c>
      <c r="W531" s="29">
        <v>0</v>
      </c>
      <c r="X531" s="29">
        <v>0</v>
      </c>
      <c r="Y531" s="29">
        <v>0</v>
      </c>
      <c r="Z531" s="29">
        <v>0</v>
      </c>
      <c r="AA531" s="29">
        <v>0</v>
      </c>
      <c r="AB531" s="29">
        <v>0</v>
      </c>
      <c r="AC531" s="29">
        <v>0</v>
      </c>
      <c r="AD531" s="29">
        <v>0</v>
      </c>
      <c r="AE531" s="29">
        <v>0</v>
      </c>
      <c r="AF531" s="32" t="s">
        <v>268</v>
      </c>
      <c r="AG531" s="32">
        <v>2020</v>
      </c>
      <c r="AH531" s="33" t="s">
        <v>268</v>
      </c>
      <c r="AT531" s="18" t="e">
        <f>VLOOKUP(C531,AW:AX,2,FALSE)</f>
        <v>#N/A</v>
      </c>
      <c r="BZ531" s="61"/>
      <c r="CD531" s="18">
        <f>VLOOKUP(C531,CE:CF,2,FALSE)</f>
        <v>578.4</v>
      </c>
    </row>
    <row r="532" spans="1:82" ht="61.5" x14ac:dyDescent="0.85">
      <c r="A532" s="18">
        <v>1</v>
      </c>
      <c r="B532" s="57">
        <f>SUBTOTAL(103,$A$22:A532)</f>
        <v>450</v>
      </c>
      <c r="C532" s="22" t="s">
        <v>1533</v>
      </c>
      <c r="D532" s="29">
        <f>E532+F532+G532+H532+I532+J532+L532+N532+P532+R532+T532+U532+V532+W532+X532+Y532+Z532+AA532+AB532+AC532+AD532+AE532</f>
        <v>5431711.4099999992</v>
      </c>
      <c r="E532" s="29">
        <v>0</v>
      </c>
      <c r="F532" s="29">
        <v>0</v>
      </c>
      <c r="G532" s="29">
        <v>0</v>
      </c>
      <c r="H532" s="29">
        <v>0</v>
      </c>
      <c r="I532" s="29">
        <v>0</v>
      </c>
      <c r="J532" s="29">
        <v>0</v>
      </c>
      <c r="K532" s="31">
        <v>0</v>
      </c>
      <c r="L532" s="29">
        <v>0</v>
      </c>
      <c r="M532" s="29">
        <v>0</v>
      </c>
      <c r="N532" s="29">
        <v>0</v>
      </c>
      <c r="O532" s="29">
        <v>0</v>
      </c>
      <c r="P532" s="29">
        <v>0</v>
      </c>
      <c r="Q532" s="37">
        <v>2869</v>
      </c>
      <c r="R532" s="37">
        <f>3760822.73+1654509.04</f>
        <v>5415331.7699999996</v>
      </c>
      <c r="S532" s="29">
        <v>0</v>
      </c>
      <c r="T532" s="29">
        <v>0</v>
      </c>
      <c r="U532" s="29">
        <v>0</v>
      </c>
      <c r="V532" s="29">
        <v>0</v>
      </c>
      <c r="W532" s="29">
        <v>0</v>
      </c>
      <c r="X532" s="29">
        <v>0</v>
      </c>
      <c r="Y532" s="29">
        <v>0</v>
      </c>
      <c r="Z532" s="29">
        <v>0</v>
      </c>
      <c r="AA532" s="29">
        <v>0</v>
      </c>
      <c r="AB532" s="29">
        <v>0</v>
      </c>
      <c r="AC532" s="134">
        <v>16379.64</v>
      </c>
      <c r="AD532" s="29">
        <v>0</v>
      </c>
      <c r="AE532" s="29">
        <v>0</v>
      </c>
      <c r="AF532" s="32" t="s">
        <v>268</v>
      </c>
      <c r="AG532" s="32">
        <v>2020</v>
      </c>
      <c r="AH532" s="33">
        <v>2020</v>
      </c>
      <c r="BZ532" s="61"/>
      <c r="CD532" s="18" t="e">
        <f>VLOOKUP(C532,CE:CF,2,FALSE)</f>
        <v>#N/A</v>
      </c>
    </row>
    <row r="533" spans="1:82" ht="61.5" x14ac:dyDescent="0.85">
      <c r="B533" s="22" t="s">
        <v>853</v>
      </c>
      <c r="C533" s="22"/>
      <c r="D533" s="339">
        <f t="shared" ref="D533:AE533" si="85">D534</f>
        <v>1241065.97</v>
      </c>
      <c r="E533" s="29">
        <f t="shared" si="85"/>
        <v>0</v>
      </c>
      <c r="F533" s="29">
        <f t="shared" si="85"/>
        <v>0</v>
      </c>
      <c r="G533" s="29">
        <f t="shared" si="85"/>
        <v>0</v>
      </c>
      <c r="H533" s="29">
        <f t="shared" si="85"/>
        <v>0</v>
      </c>
      <c r="I533" s="29">
        <f t="shared" si="85"/>
        <v>0</v>
      </c>
      <c r="J533" s="29">
        <f t="shared" si="85"/>
        <v>0</v>
      </c>
      <c r="K533" s="31">
        <f t="shared" si="85"/>
        <v>0</v>
      </c>
      <c r="L533" s="29">
        <f t="shared" si="85"/>
        <v>0</v>
      </c>
      <c r="M533" s="29">
        <f t="shared" si="85"/>
        <v>362</v>
      </c>
      <c r="N533" s="29">
        <f t="shared" si="85"/>
        <v>1182710.79</v>
      </c>
      <c r="O533" s="29">
        <f t="shared" si="85"/>
        <v>0</v>
      </c>
      <c r="P533" s="29">
        <f t="shared" si="85"/>
        <v>0</v>
      </c>
      <c r="Q533" s="29">
        <f t="shared" si="85"/>
        <v>0</v>
      </c>
      <c r="R533" s="29">
        <f t="shared" si="85"/>
        <v>0</v>
      </c>
      <c r="S533" s="29">
        <f t="shared" si="85"/>
        <v>0</v>
      </c>
      <c r="T533" s="29">
        <f t="shared" si="85"/>
        <v>0</v>
      </c>
      <c r="U533" s="29">
        <f t="shared" si="85"/>
        <v>0</v>
      </c>
      <c r="V533" s="29">
        <f t="shared" si="85"/>
        <v>0</v>
      </c>
      <c r="W533" s="29">
        <f t="shared" si="85"/>
        <v>0</v>
      </c>
      <c r="X533" s="29">
        <f t="shared" si="85"/>
        <v>0</v>
      </c>
      <c r="Y533" s="29">
        <f t="shared" si="85"/>
        <v>0</v>
      </c>
      <c r="Z533" s="29">
        <f t="shared" si="85"/>
        <v>0</v>
      </c>
      <c r="AA533" s="29">
        <f t="shared" si="85"/>
        <v>0</v>
      </c>
      <c r="AB533" s="29">
        <f t="shared" si="85"/>
        <v>0</v>
      </c>
      <c r="AC533" s="29">
        <f t="shared" si="85"/>
        <v>15256.97</v>
      </c>
      <c r="AD533" s="29">
        <f t="shared" si="85"/>
        <v>43098.21</v>
      </c>
      <c r="AE533" s="29">
        <f t="shared" si="85"/>
        <v>0</v>
      </c>
      <c r="AF533" s="62" t="s">
        <v>743</v>
      </c>
      <c r="AG533" s="62" t="s">
        <v>743</v>
      </c>
      <c r="AH533" s="77" t="s">
        <v>743</v>
      </c>
      <c r="AT533" s="18" t="e">
        <f>VLOOKUP(C533,AW:AX,2,FALSE)</f>
        <v>#N/A</v>
      </c>
      <c r="BZ533" s="61">
        <v>2733218.92</v>
      </c>
      <c r="CB533" s="61">
        <f>BZ533-D533</f>
        <v>1492152.95</v>
      </c>
      <c r="CD533" s="18" t="e">
        <f>VLOOKUP(C533,CE:CF,2,FALSE)</f>
        <v>#N/A</v>
      </c>
    </row>
    <row r="534" spans="1:82" ht="61.5" x14ac:dyDescent="0.85">
      <c r="A534" s="18">
        <v>1</v>
      </c>
      <c r="B534" s="57">
        <f>SUBTOTAL(103,$A$22:A534)</f>
        <v>451</v>
      </c>
      <c r="C534" s="22" t="s">
        <v>185</v>
      </c>
      <c r="D534" s="29">
        <f>E534+F534+G534+H534+I534+J534+L534+N534+P534+R534+T534+U534+V534+W534+X534+Y534+Z534+AA534+AB534+AC534+AD534+AE534</f>
        <v>1241065.97</v>
      </c>
      <c r="E534" s="29">
        <v>0</v>
      </c>
      <c r="F534" s="29">
        <v>0</v>
      </c>
      <c r="G534" s="29">
        <v>0</v>
      </c>
      <c r="H534" s="29">
        <v>0</v>
      </c>
      <c r="I534" s="29">
        <v>0</v>
      </c>
      <c r="J534" s="29">
        <v>0</v>
      </c>
      <c r="K534" s="31">
        <v>0</v>
      </c>
      <c r="L534" s="29">
        <v>0</v>
      </c>
      <c r="M534" s="37">
        <v>362</v>
      </c>
      <c r="N534" s="37">
        <v>1182710.79</v>
      </c>
      <c r="O534" s="29">
        <v>0</v>
      </c>
      <c r="P534" s="29">
        <v>0</v>
      </c>
      <c r="Q534" s="29">
        <v>0</v>
      </c>
      <c r="R534" s="29">
        <v>0</v>
      </c>
      <c r="S534" s="29">
        <v>0</v>
      </c>
      <c r="T534" s="29">
        <v>0</v>
      </c>
      <c r="U534" s="29">
        <v>0</v>
      </c>
      <c r="V534" s="29">
        <v>0</v>
      </c>
      <c r="W534" s="29">
        <v>0</v>
      </c>
      <c r="X534" s="29">
        <v>0</v>
      </c>
      <c r="Y534" s="29">
        <v>0</v>
      </c>
      <c r="Z534" s="29">
        <v>0</v>
      </c>
      <c r="AA534" s="29">
        <v>0</v>
      </c>
      <c r="AB534" s="29">
        <v>0</v>
      </c>
      <c r="AC534" s="37">
        <v>15256.97</v>
      </c>
      <c r="AD534" s="37">
        <v>43098.21</v>
      </c>
      <c r="AE534" s="29">
        <v>0</v>
      </c>
      <c r="AF534" s="32">
        <v>2020</v>
      </c>
      <c r="AG534" s="32">
        <v>2020</v>
      </c>
      <c r="AH534" s="33">
        <v>2020</v>
      </c>
      <c r="AT534" s="18" t="e">
        <f>VLOOKUP(C534,AW:AX,2,FALSE)</f>
        <v>#N/A</v>
      </c>
      <c r="BZ534" s="61"/>
      <c r="CD534" s="18">
        <f>VLOOKUP(C534,CE:CF,2,FALSE)</f>
        <v>378</v>
      </c>
    </row>
    <row r="535" spans="1:82" ht="61.5" x14ac:dyDescent="0.85">
      <c r="B535" s="22" t="s">
        <v>854</v>
      </c>
      <c r="C535" s="338"/>
      <c r="D535" s="339">
        <f t="shared" ref="D535:AE535" si="86">SUM(D536:D544)</f>
        <v>9190793.5899999999</v>
      </c>
      <c r="E535" s="29">
        <f t="shared" si="86"/>
        <v>0</v>
      </c>
      <c r="F535" s="29">
        <f t="shared" si="86"/>
        <v>0</v>
      </c>
      <c r="G535" s="29">
        <f t="shared" si="86"/>
        <v>4555695.3099999996</v>
      </c>
      <c r="H535" s="29">
        <f t="shared" si="86"/>
        <v>0</v>
      </c>
      <c r="I535" s="29">
        <f t="shared" si="86"/>
        <v>0</v>
      </c>
      <c r="J535" s="29">
        <f t="shared" si="86"/>
        <v>0</v>
      </c>
      <c r="K535" s="31">
        <f t="shared" si="86"/>
        <v>0</v>
      </c>
      <c r="L535" s="29">
        <f t="shared" si="86"/>
        <v>0</v>
      </c>
      <c r="M535" s="29">
        <f t="shared" si="86"/>
        <v>1055.47</v>
      </c>
      <c r="N535" s="29">
        <f t="shared" si="86"/>
        <v>4084839.45</v>
      </c>
      <c r="O535" s="29">
        <f t="shared" si="86"/>
        <v>0</v>
      </c>
      <c r="P535" s="29">
        <f t="shared" si="86"/>
        <v>0</v>
      </c>
      <c r="Q535" s="29">
        <f t="shared" si="86"/>
        <v>0</v>
      </c>
      <c r="R535" s="29">
        <f t="shared" si="86"/>
        <v>0</v>
      </c>
      <c r="S535" s="29">
        <f t="shared" si="86"/>
        <v>0</v>
      </c>
      <c r="T535" s="29">
        <f t="shared" si="86"/>
        <v>0</v>
      </c>
      <c r="U535" s="29">
        <f t="shared" si="86"/>
        <v>0</v>
      </c>
      <c r="V535" s="29">
        <f t="shared" si="86"/>
        <v>0</v>
      </c>
      <c r="W535" s="29">
        <f t="shared" si="86"/>
        <v>0</v>
      </c>
      <c r="X535" s="29">
        <f t="shared" si="86"/>
        <v>0</v>
      </c>
      <c r="Y535" s="29">
        <f t="shared" si="86"/>
        <v>0</v>
      </c>
      <c r="Z535" s="29">
        <f t="shared" si="86"/>
        <v>0</v>
      </c>
      <c r="AA535" s="29">
        <f t="shared" si="86"/>
        <v>0</v>
      </c>
      <c r="AB535" s="29">
        <f t="shared" si="86"/>
        <v>0</v>
      </c>
      <c r="AC535" s="29">
        <f t="shared" si="86"/>
        <v>125283.63</v>
      </c>
      <c r="AD535" s="29">
        <f t="shared" si="86"/>
        <v>424975.2</v>
      </c>
      <c r="AE535" s="29">
        <f t="shared" si="86"/>
        <v>0</v>
      </c>
      <c r="AF535" s="62" t="s">
        <v>743</v>
      </c>
      <c r="AG535" s="62" t="s">
        <v>743</v>
      </c>
      <c r="AH535" s="77" t="s">
        <v>743</v>
      </c>
      <c r="AT535" s="18" t="e">
        <f>VLOOKUP(C535,AW:AX,2,FALSE)</f>
        <v>#N/A</v>
      </c>
      <c r="BZ535" s="61">
        <v>18660147.93</v>
      </c>
      <c r="CB535" s="61">
        <f>BZ535-D535</f>
        <v>9469354.3399999999</v>
      </c>
      <c r="CD535" s="18" t="e">
        <f>VLOOKUP(C535,CE:CF,2,FALSE)</f>
        <v>#N/A</v>
      </c>
    </row>
    <row r="536" spans="1:82" ht="61.5" x14ac:dyDescent="0.85">
      <c r="A536" s="18">
        <v>1</v>
      </c>
      <c r="B536" s="57">
        <f>SUBTOTAL(103,$A$22:A536)</f>
        <v>452</v>
      </c>
      <c r="C536" s="22" t="s">
        <v>216</v>
      </c>
      <c r="D536" s="29">
        <f t="shared" ref="D536:D541" si="87">E536+F536+G536+H536+I536+J536+L536+N536+P536+R536+T536+U536+V536+W536+X536+Y536+Z536+AA536+AB536+AC536+AD536+AE536</f>
        <v>4272931.8100000005</v>
      </c>
      <c r="E536" s="29">
        <v>0</v>
      </c>
      <c r="F536" s="29">
        <v>0</v>
      </c>
      <c r="G536" s="29">
        <v>0</v>
      </c>
      <c r="H536" s="29">
        <v>0</v>
      </c>
      <c r="I536" s="29">
        <v>0</v>
      </c>
      <c r="J536" s="29">
        <v>0</v>
      </c>
      <c r="K536" s="31">
        <v>0</v>
      </c>
      <c r="L536" s="29">
        <v>0</v>
      </c>
      <c r="M536" s="37">
        <v>1055.47</v>
      </c>
      <c r="N536" s="37">
        <v>4084839.45</v>
      </c>
      <c r="O536" s="29">
        <v>0</v>
      </c>
      <c r="P536" s="29">
        <v>0</v>
      </c>
      <c r="Q536" s="29">
        <v>0</v>
      </c>
      <c r="R536" s="29">
        <v>0</v>
      </c>
      <c r="S536" s="29">
        <v>0</v>
      </c>
      <c r="T536" s="29">
        <v>0</v>
      </c>
      <c r="U536" s="29">
        <v>0</v>
      </c>
      <c r="V536" s="29">
        <v>0</v>
      </c>
      <c r="W536" s="29">
        <v>0</v>
      </c>
      <c r="X536" s="29">
        <v>0</v>
      </c>
      <c r="Y536" s="29">
        <v>0</v>
      </c>
      <c r="Z536" s="29">
        <v>0</v>
      </c>
      <c r="AA536" s="29">
        <v>0</v>
      </c>
      <c r="AB536" s="29">
        <v>0</v>
      </c>
      <c r="AC536" s="29">
        <f>ROUND(N536*1.4025%,2)</f>
        <v>57289.87</v>
      </c>
      <c r="AD536" s="37">
        <v>130802.49</v>
      </c>
      <c r="AE536" s="29">
        <v>0</v>
      </c>
      <c r="AF536" s="32">
        <v>2020</v>
      </c>
      <c r="AG536" s="32">
        <v>2020</v>
      </c>
      <c r="AH536" s="33">
        <v>2020</v>
      </c>
      <c r="AT536" s="18" t="e">
        <f>VLOOKUP(C536,AW:AX,2,FALSE)</f>
        <v>#N/A</v>
      </c>
      <c r="BZ536" s="61"/>
      <c r="CD536" s="18">
        <f>VLOOKUP(C536,CE:CF,2,FALSE)</f>
        <v>1057.07</v>
      </c>
    </row>
    <row r="537" spans="1:82" ht="61.5" x14ac:dyDescent="0.85">
      <c r="A537" s="18">
        <v>1</v>
      </c>
      <c r="B537" s="57">
        <f>SUBTOTAL(103,$A$22:A537)</f>
        <v>453</v>
      </c>
      <c r="C537" s="22" t="s">
        <v>1261</v>
      </c>
      <c r="D537" s="29">
        <f t="shared" si="87"/>
        <v>2514865.17</v>
      </c>
      <c r="E537" s="29">
        <v>0</v>
      </c>
      <c r="F537" s="29">
        <v>0</v>
      </c>
      <c r="G537" s="37">
        <v>2477882.77</v>
      </c>
      <c r="H537" s="29">
        <v>0</v>
      </c>
      <c r="I537" s="29">
        <v>0</v>
      </c>
      <c r="J537" s="29">
        <v>0</v>
      </c>
      <c r="K537" s="31">
        <v>0</v>
      </c>
      <c r="L537" s="29">
        <v>0</v>
      </c>
      <c r="M537" s="29">
        <v>0</v>
      </c>
      <c r="N537" s="29">
        <v>0</v>
      </c>
      <c r="O537" s="29">
        <v>0</v>
      </c>
      <c r="P537" s="29">
        <v>0</v>
      </c>
      <c r="Q537" s="29">
        <v>0</v>
      </c>
      <c r="R537" s="29">
        <v>0</v>
      </c>
      <c r="S537" s="29">
        <v>0</v>
      </c>
      <c r="T537" s="29">
        <v>0</v>
      </c>
      <c r="U537" s="29">
        <v>0</v>
      </c>
      <c r="V537" s="29">
        <v>0</v>
      </c>
      <c r="W537" s="29">
        <v>0</v>
      </c>
      <c r="X537" s="29">
        <v>0</v>
      </c>
      <c r="Y537" s="29">
        <v>0</v>
      </c>
      <c r="Z537" s="29">
        <v>0</v>
      </c>
      <c r="AA537" s="29">
        <v>0</v>
      </c>
      <c r="AB537" s="29">
        <v>0</v>
      </c>
      <c r="AC537" s="29">
        <f>ROUND((E537+F537+G537+H537+I537+J537)*1.4925%,2)</f>
        <v>36982.400000000001</v>
      </c>
      <c r="AD537" s="29">
        <v>0</v>
      </c>
      <c r="AE537" s="29">
        <v>0</v>
      </c>
      <c r="AF537" s="32" t="s">
        <v>268</v>
      </c>
      <c r="AG537" s="32">
        <v>2020</v>
      </c>
      <c r="AH537" s="33">
        <v>2020</v>
      </c>
      <c r="BZ537" s="61"/>
      <c r="CD537" s="18" t="e">
        <f>VLOOKUP(C537,CE:CF,2,FALSE)</f>
        <v>#N/A</v>
      </c>
    </row>
    <row r="538" spans="1:82" ht="61.5" x14ac:dyDescent="0.85">
      <c r="A538" s="18">
        <v>1</v>
      </c>
      <c r="B538" s="57">
        <f>SUBTOTAL(103,$A$22:A538)</f>
        <v>454</v>
      </c>
      <c r="C538" s="22" t="s">
        <v>1262</v>
      </c>
      <c r="D538" s="29">
        <f t="shared" si="87"/>
        <v>229212.26</v>
      </c>
      <c r="E538" s="29">
        <v>0</v>
      </c>
      <c r="F538" s="29">
        <v>0</v>
      </c>
      <c r="G538" s="37">
        <v>225841.57</v>
      </c>
      <c r="H538" s="29">
        <v>0</v>
      </c>
      <c r="I538" s="29">
        <v>0</v>
      </c>
      <c r="J538" s="29">
        <v>0</v>
      </c>
      <c r="K538" s="31">
        <v>0</v>
      </c>
      <c r="L538" s="29">
        <v>0</v>
      </c>
      <c r="M538" s="29">
        <v>0</v>
      </c>
      <c r="N538" s="29">
        <v>0</v>
      </c>
      <c r="O538" s="29">
        <v>0</v>
      </c>
      <c r="P538" s="29">
        <v>0</v>
      </c>
      <c r="Q538" s="29">
        <v>0</v>
      </c>
      <c r="R538" s="29">
        <v>0</v>
      </c>
      <c r="S538" s="29">
        <v>0</v>
      </c>
      <c r="T538" s="29">
        <v>0</v>
      </c>
      <c r="U538" s="29">
        <v>0</v>
      </c>
      <c r="V538" s="29">
        <v>0</v>
      </c>
      <c r="W538" s="29">
        <v>0</v>
      </c>
      <c r="X538" s="29">
        <v>0</v>
      </c>
      <c r="Y538" s="29">
        <v>0</v>
      </c>
      <c r="Z538" s="29">
        <v>0</v>
      </c>
      <c r="AA538" s="29">
        <v>0</v>
      </c>
      <c r="AB538" s="29">
        <v>0</v>
      </c>
      <c r="AC538" s="37">
        <v>3370.69</v>
      </c>
      <c r="AD538" s="29">
        <v>0</v>
      </c>
      <c r="AE538" s="29">
        <v>0</v>
      </c>
      <c r="AF538" s="32" t="s">
        <v>268</v>
      </c>
      <c r="AG538" s="32">
        <v>2020</v>
      </c>
      <c r="AH538" s="33">
        <v>2020</v>
      </c>
      <c r="BZ538" s="61"/>
      <c r="CD538" s="18" t="e">
        <f>VLOOKUP(C538,CE:CF,2,FALSE)</f>
        <v>#N/A</v>
      </c>
    </row>
    <row r="539" spans="1:82" ht="61.5" x14ac:dyDescent="0.85">
      <c r="A539" s="18">
        <v>1</v>
      </c>
      <c r="B539" s="57">
        <f>SUBTOTAL(103,$A$22:A539)</f>
        <v>455</v>
      </c>
      <c r="C539" s="22" t="s">
        <v>1263</v>
      </c>
      <c r="D539" s="29">
        <f t="shared" si="87"/>
        <v>1879611.64</v>
      </c>
      <c r="E539" s="29">
        <v>0</v>
      </c>
      <c r="F539" s="29">
        <v>0</v>
      </c>
      <c r="G539" s="37">
        <v>1851970.97</v>
      </c>
      <c r="H539" s="29">
        <v>0</v>
      </c>
      <c r="I539" s="29">
        <v>0</v>
      </c>
      <c r="J539" s="29">
        <v>0</v>
      </c>
      <c r="K539" s="31">
        <v>0</v>
      </c>
      <c r="L539" s="29">
        <v>0</v>
      </c>
      <c r="M539" s="29">
        <v>0</v>
      </c>
      <c r="N539" s="29">
        <v>0</v>
      </c>
      <c r="O539" s="29">
        <v>0</v>
      </c>
      <c r="P539" s="29">
        <v>0</v>
      </c>
      <c r="Q539" s="29">
        <v>0</v>
      </c>
      <c r="R539" s="29">
        <v>0</v>
      </c>
      <c r="S539" s="29">
        <v>0</v>
      </c>
      <c r="T539" s="29">
        <v>0</v>
      </c>
      <c r="U539" s="29">
        <v>0</v>
      </c>
      <c r="V539" s="29">
        <v>0</v>
      </c>
      <c r="W539" s="29">
        <v>0</v>
      </c>
      <c r="X539" s="29">
        <v>0</v>
      </c>
      <c r="Y539" s="29">
        <v>0</v>
      </c>
      <c r="Z539" s="29">
        <v>0</v>
      </c>
      <c r="AA539" s="29">
        <v>0</v>
      </c>
      <c r="AB539" s="29">
        <v>0</v>
      </c>
      <c r="AC539" s="37">
        <v>27640.67</v>
      </c>
      <c r="AD539" s="29">
        <v>0</v>
      </c>
      <c r="AE539" s="29">
        <v>0</v>
      </c>
      <c r="AF539" s="32" t="s">
        <v>268</v>
      </c>
      <c r="AG539" s="32">
        <v>2020</v>
      </c>
      <c r="AH539" s="33">
        <v>2020</v>
      </c>
      <c r="BZ539" s="61"/>
      <c r="CD539" s="18" t="e">
        <f>VLOOKUP(C539,CE:CF,2,FALSE)</f>
        <v>#N/A</v>
      </c>
    </row>
    <row r="540" spans="1:82" ht="61.5" x14ac:dyDescent="0.85">
      <c r="A540" s="18">
        <v>1</v>
      </c>
      <c r="B540" s="57">
        <f>SUBTOTAL(103,$A$22:A540)</f>
        <v>456</v>
      </c>
      <c r="C540" s="22" t="s">
        <v>217</v>
      </c>
      <c r="D540" s="29">
        <f>E540+F540+G540+H540+I540+J540+L540+N540+P540+R540+T540+U540+V540+W540+X540+Y540+Z540+AA540+AB540+AC540+AD540+AE540</f>
        <v>57236.97</v>
      </c>
      <c r="E540" s="29">
        <v>0</v>
      </c>
      <c r="F540" s="29">
        <v>0</v>
      </c>
      <c r="G540" s="29">
        <v>0</v>
      </c>
      <c r="H540" s="29">
        <v>0</v>
      </c>
      <c r="I540" s="29">
        <v>0</v>
      </c>
      <c r="J540" s="29">
        <v>0</v>
      </c>
      <c r="K540" s="31">
        <v>0</v>
      </c>
      <c r="L540" s="29">
        <v>0</v>
      </c>
      <c r="M540" s="29">
        <v>0</v>
      </c>
      <c r="N540" s="29">
        <v>0</v>
      </c>
      <c r="O540" s="29">
        <v>0</v>
      </c>
      <c r="P540" s="29">
        <v>0</v>
      </c>
      <c r="Q540" s="29">
        <v>0</v>
      </c>
      <c r="R540" s="29">
        <v>0</v>
      </c>
      <c r="S540" s="29">
        <v>0</v>
      </c>
      <c r="T540" s="29">
        <v>0</v>
      </c>
      <c r="U540" s="29">
        <v>0</v>
      </c>
      <c r="V540" s="29">
        <v>0</v>
      </c>
      <c r="W540" s="29">
        <v>0</v>
      </c>
      <c r="X540" s="29">
        <v>0</v>
      </c>
      <c r="Y540" s="29">
        <v>0</v>
      </c>
      <c r="Z540" s="29">
        <v>0</v>
      </c>
      <c r="AA540" s="29">
        <v>0</v>
      </c>
      <c r="AB540" s="29">
        <v>0</v>
      </c>
      <c r="AC540" s="29">
        <f>ROUND((E540+F540+G540+H540+I540+J540)*1.5%,2)</f>
        <v>0</v>
      </c>
      <c r="AD540" s="37">
        <v>57236.97</v>
      </c>
      <c r="AE540" s="29">
        <v>0</v>
      </c>
      <c r="AF540" s="32">
        <v>2020</v>
      </c>
      <c r="AG540" s="32" t="s">
        <v>268</v>
      </c>
      <c r="AH540" s="32" t="s">
        <v>268</v>
      </c>
      <c r="AT540" s="18" t="e">
        <f>VLOOKUP(C540,AW:AX,2,FALSE)</f>
        <v>#N/A</v>
      </c>
      <c r="BZ540" s="61"/>
      <c r="CD540" s="18" t="e">
        <f>VLOOKUP(C540,CE:CF,2,FALSE)</f>
        <v>#N/A</v>
      </c>
    </row>
    <row r="541" spans="1:82" ht="61.5" x14ac:dyDescent="0.85">
      <c r="A541" s="18">
        <v>1</v>
      </c>
      <c r="B541" s="57">
        <f>SUBTOTAL(103,$A$22:A541)</f>
        <v>457</v>
      </c>
      <c r="C541" s="22" t="s">
        <v>1547</v>
      </c>
      <c r="D541" s="29">
        <f t="shared" si="87"/>
        <v>60862.57</v>
      </c>
      <c r="E541" s="29">
        <v>0</v>
      </c>
      <c r="F541" s="29">
        <v>0</v>
      </c>
      <c r="G541" s="29">
        <v>0</v>
      </c>
      <c r="H541" s="29">
        <v>0</v>
      </c>
      <c r="I541" s="29">
        <v>0</v>
      </c>
      <c r="J541" s="29">
        <v>0</v>
      </c>
      <c r="K541" s="31">
        <v>0</v>
      </c>
      <c r="L541" s="29">
        <v>0</v>
      </c>
      <c r="M541" s="29">
        <v>0</v>
      </c>
      <c r="N541" s="29">
        <v>0</v>
      </c>
      <c r="O541" s="29">
        <v>0</v>
      </c>
      <c r="P541" s="29">
        <v>0</v>
      </c>
      <c r="Q541" s="29">
        <v>0</v>
      </c>
      <c r="R541" s="29">
        <v>0</v>
      </c>
      <c r="S541" s="29">
        <v>0</v>
      </c>
      <c r="T541" s="29">
        <v>0</v>
      </c>
      <c r="U541" s="29">
        <v>0</v>
      </c>
      <c r="V541" s="29">
        <v>0</v>
      </c>
      <c r="W541" s="29">
        <v>0</v>
      </c>
      <c r="X541" s="29">
        <v>0</v>
      </c>
      <c r="Y541" s="29">
        <v>0</v>
      </c>
      <c r="Z541" s="29">
        <v>0</v>
      </c>
      <c r="AA541" s="29">
        <v>0</v>
      </c>
      <c r="AB541" s="29">
        <v>0</v>
      </c>
      <c r="AC541" s="29">
        <f>ROUND((E541+F541+G541+H541+I541+J541)*1.5%,2)</f>
        <v>0</v>
      </c>
      <c r="AD541" s="37">
        <v>60862.57</v>
      </c>
      <c r="AE541" s="29">
        <v>0</v>
      </c>
      <c r="AF541" s="32">
        <v>2020</v>
      </c>
      <c r="AG541" s="32" t="s">
        <v>268</v>
      </c>
      <c r="AH541" s="32" t="s">
        <v>268</v>
      </c>
      <c r="BZ541" s="61"/>
      <c r="CD541" s="18" t="e">
        <f>VLOOKUP(C541,CE:CF,2,FALSE)</f>
        <v>#N/A</v>
      </c>
    </row>
    <row r="542" spans="1:82" ht="61.5" x14ac:dyDescent="0.85">
      <c r="A542" s="18">
        <v>1</v>
      </c>
      <c r="B542" s="57">
        <f>SUBTOTAL(103,$A$22:A542)</f>
        <v>458</v>
      </c>
      <c r="C542" s="22" t="s">
        <v>1548</v>
      </c>
      <c r="D542" s="29">
        <f>E542+F542+G542+H542+I542+J542+L542+N542+P542+R542+T542+U542+V542+W542+X542+Y542+Z542+AA542+AB542+AC542+AD542+AE542</f>
        <v>64885.78</v>
      </c>
      <c r="E542" s="29">
        <v>0</v>
      </c>
      <c r="F542" s="29">
        <v>0</v>
      </c>
      <c r="G542" s="29">
        <v>0</v>
      </c>
      <c r="H542" s="29">
        <v>0</v>
      </c>
      <c r="I542" s="29">
        <v>0</v>
      </c>
      <c r="J542" s="29">
        <v>0</v>
      </c>
      <c r="K542" s="31">
        <v>0</v>
      </c>
      <c r="L542" s="29">
        <v>0</v>
      </c>
      <c r="M542" s="29">
        <v>0</v>
      </c>
      <c r="N542" s="29">
        <v>0</v>
      </c>
      <c r="O542" s="29">
        <v>0</v>
      </c>
      <c r="P542" s="29">
        <v>0</v>
      </c>
      <c r="Q542" s="29">
        <v>0</v>
      </c>
      <c r="R542" s="29">
        <v>0</v>
      </c>
      <c r="S542" s="29">
        <v>0</v>
      </c>
      <c r="T542" s="29">
        <v>0</v>
      </c>
      <c r="U542" s="29">
        <v>0</v>
      </c>
      <c r="V542" s="29">
        <v>0</v>
      </c>
      <c r="W542" s="29">
        <v>0</v>
      </c>
      <c r="X542" s="29">
        <v>0</v>
      </c>
      <c r="Y542" s="29">
        <v>0</v>
      </c>
      <c r="Z542" s="29">
        <v>0</v>
      </c>
      <c r="AA542" s="29">
        <v>0</v>
      </c>
      <c r="AB542" s="29">
        <v>0</v>
      </c>
      <c r="AC542" s="29">
        <f>ROUND((E542+F542+G542+H542+I542+J542)*1.5%,2)</f>
        <v>0</v>
      </c>
      <c r="AD542" s="37">
        <v>64885.78</v>
      </c>
      <c r="AE542" s="29">
        <v>0</v>
      </c>
      <c r="AF542" s="32">
        <v>2020</v>
      </c>
      <c r="AG542" s="32" t="s">
        <v>268</v>
      </c>
      <c r="AH542" s="32" t="s">
        <v>268</v>
      </c>
      <c r="BZ542" s="61"/>
      <c r="CD542" s="18" t="e">
        <f>VLOOKUP(C542,CE:CF,2,FALSE)</f>
        <v>#N/A</v>
      </c>
    </row>
    <row r="543" spans="1:82" ht="61.5" x14ac:dyDescent="0.85">
      <c r="A543" s="18">
        <v>1</v>
      </c>
      <c r="B543" s="57">
        <f>SUBTOTAL(103,$A$22:A543)</f>
        <v>459</v>
      </c>
      <c r="C543" s="22" t="s">
        <v>211</v>
      </c>
      <c r="D543" s="29">
        <f>E543+F543+G543+H543+I543+J543+L543+N543+P543+R543+T543+U543+V543+W543+X543+Y543+Z543+AA543+AB543+AC543+AD543+AE543</f>
        <v>77010.039999999994</v>
      </c>
      <c r="E543" s="29">
        <v>0</v>
      </c>
      <c r="F543" s="29">
        <v>0</v>
      </c>
      <c r="G543" s="29">
        <v>0</v>
      </c>
      <c r="H543" s="29">
        <v>0</v>
      </c>
      <c r="I543" s="29">
        <v>0</v>
      </c>
      <c r="J543" s="29">
        <v>0</v>
      </c>
      <c r="K543" s="64">
        <v>0</v>
      </c>
      <c r="L543" s="29">
        <v>0</v>
      </c>
      <c r="M543" s="29">
        <v>0</v>
      </c>
      <c r="N543" s="29">
        <v>0</v>
      </c>
      <c r="O543" s="29">
        <v>0</v>
      </c>
      <c r="P543" s="29">
        <v>0</v>
      </c>
      <c r="Q543" s="29">
        <v>0</v>
      </c>
      <c r="R543" s="29">
        <v>0</v>
      </c>
      <c r="S543" s="29">
        <v>0</v>
      </c>
      <c r="T543" s="29">
        <v>0</v>
      </c>
      <c r="U543" s="29">
        <v>0</v>
      </c>
      <c r="V543" s="29">
        <v>0</v>
      </c>
      <c r="W543" s="29">
        <v>0</v>
      </c>
      <c r="X543" s="29">
        <v>0</v>
      </c>
      <c r="Y543" s="29">
        <v>0</v>
      </c>
      <c r="Z543" s="29">
        <v>0</v>
      </c>
      <c r="AA543" s="29">
        <v>0</v>
      </c>
      <c r="AB543" s="29">
        <v>0</v>
      </c>
      <c r="AC543" s="29">
        <f>ROUND(N543*1.5%,2)</f>
        <v>0</v>
      </c>
      <c r="AD543" s="29">
        <v>77010.039999999994</v>
      </c>
      <c r="AE543" s="29">
        <v>0</v>
      </c>
      <c r="AF543" s="32">
        <v>2020</v>
      </c>
      <c r="AG543" s="32" t="s">
        <v>268</v>
      </c>
      <c r="AH543" s="32" t="s">
        <v>268</v>
      </c>
      <c r="AT543" s="18" t="e">
        <f>VLOOKUP(C543,AW:AX,2,FALSE)</f>
        <v>#N/A</v>
      </c>
      <c r="BZ543" s="61"/>
      <c r="CD543" s="18" t="e">
        <f>VLOOKUP(C543,CE:CF,2,FALSE)</f>
        <v>#N/A</v>
      </c>
    </row>
    <row r="544" spans="1:82" ht="61.5" x14ac:dyDescent="0.85">
      <c r="A544" s="18">
        <v>1</v>
      </c>
      <c r="B544" s="57">
        <f>SUBTOTAL(103,$A$22:A544)</f>
        <v>460</v>
      </c>
      <c r="C544" s="22" t="s">
        <v>212</v>
      </c>
      <c r="D544" s="29">
        <f>E544+F544+G544+H544+I544+J544+L544+N544+P544+R544+T544+U544+V544+W544+X544+Y544+Z544+AA544+AB544+AC544+AD544+AE544</f>
        <v>34177.35</v>
      </c>
      <c r="E544" s="29">
        <v>0</v>
      </c>
      <c r="F544" s="29">
        <v>0</v>
      </c>
      <c r="G544" s="29">
        <v>0</v>
      </c>
      <c r="H544" s="29">
        <v>0</v>
      </c>
      <c r="I544" s="29">
        <v>0</v>
      </c>
      <c r="J544" s="29">
        <v>0</v>
      </c>
      <c r="K544" s="64">
        <v>0</v>
      </c>
      <c r="L544" s="29">
        <v>0</v>
      </c>
      <c r="M544" s="29">
        <v>0</v>
      </c>
      <c r="N544" s="29">
        <v>0</v>
      </c>
      <c r="O544" s="29">
        <v>0</v>
      </c>
      <c r="P544" s="29">
        <v>0</v>
      </c>
      <c r="Q544" s="29">
        <v>0</v>
      </c>
      <c r="R544" s="29">
        <v>0</v>
      </c>
      <c r="S544" s="29">
        <v>0</v>
      </c>
      <c r="T544" s="29">
        <v>0</v>
      </c>
      <c r="U544" s="29">
        <v>0</v>
      </c>
      <c r="V544" s="29">
        <v>0</v>
      </c>
      <c r="W544" s="29">
        <v>0</v>
      </c>
      <c r="X544" s="29">
        <v>0</v>
      </c>
      <c r="Y544" s="29">
        <v>0</v>
      </c>
      <c r="Z544" s="29">
        <v>0</v>
      </c>
      <c r="AA544" s="29">
        <v>0</v>
      </c>
      <c r="AB544" s="29">
        <v>0</v>
      </c>
      <c r="AC544" s="29">
        <f>ROUND(N544*1.5%,2)</f>
        <v>0</v>
      </c>
      <c r="AD544" s="29">
        <v>34177.35</v>
      </c>
      <c r="AE544" s="29">
        <v>0</v>
      </c>
      <c r="AF544" s="32">
        <v>2020</v>
      </c>
      <c r="AG544" s="32" t="s">
        <v>268</v>
      </c>
      <c r="AH544" s="32" t="s">
        <v>268</v>
      </c>
      <c r="AT544" s="18" t="e">
        <f>VLOOKUP(C544,AW:AX,2,FALSE)</f>
        <v>#N/A</v>
      </c>
      <c r="BZ544" s="61"/>
      <c r="CD544" s="18" t="e">
        <f>VLOOKUP(C544,CE:CF,2,FALSE)</f>
        <v>#N/A</v>
      </c>
    </row>
    <row r="545" spans="1:82" ht="61.5" x14ac:dyDescent="0.85">
      <c r="B545" s="22" t="s">
        <v>855</v>
      </c>
      <c r="C545" s="22"/>
      <c r="D545" s="339">
        <f t="shared" ref="D545:AE545" si="88">SUM(D546:D549)</f>
        <v>3506290.42</v>
      </c>
      <c r="E545" s="29">
        <f t="shared" si="88"/>
        <v>0</v>
      </c>
      <c r="F545" s="29">
        <f t="shared" si="88"/>
        <v>0</v>
      </c>
      <c r="G545" s="29">
        <f t="shared" si="88"/>
        <v>0</v>
      </c>
      <c r="H545" s="29">
        <f t="shared" si="88"/>
        <v>0</v>
      </c>
      <c r="I545" s="29">
        <f t="shared" si="88"/>
        <v>0</v>
      </c>
      <c r="J545" s="29">
        <f t="shared" si="88"/>
        <v>0</v>
      </c>
      <c r="K545" s="31">
        <f t="shared" si="88"/>
        <v>0</v>
      </c>
      <c r="L545" s="29">
        <f t="shared" si="88"/>
        <v>0</v>
      </c>
      <c r="M545" s="29">
        <f t="shared" si="88"/>
        <v>810.07999999999993</v>
      </c>
      <c r="N545" s="29">
        <f t="shared" si="88"/>
        <v>3214660.2</v>
      </c>
      <c r="O545" s="29">
        <f t="shared" si="88"/>
        <v>0</v>
      </c>
      <c r="P545" s="29">
        <f t="shared" si="88"/>
        <v>0</v>
      </c>
      <c r="Q545" s="29">
        <f t="shared" si="88"/>
        <v>0</v>
      </c>
      <c r="R545" s="29">
        <f t="shared" si="88"/>
        <v>0</v>
      </c>
      <c r="S545" s="29">
        <f t="shared" si="88"/>
        <v>0</v>
      </c>
      <c r="T545" s="29">
        <f t="shared" si="88"/>
        <v>0</v>
      </c>
      <c r="U545" s="29">
        <f t="shared" si="88"/>
        <v>0</v>
      </c>
      <c r="V545" s="29">
        <f t="shared" si="88"/>
        <v>0</v>
      </c>
      <c r="W545" s="29">
        <f t="shared" si="88"/>
        <v>0</v>
      </c>
      <c r="X545" s="29">
        <f t="shared" si="88"/>
        <v>0</v>
      </c>
      <c r="Y545" s="29">
        <f t="shared" si="88"/>
        <v>0</v>
      </c>
      <c r="Z545" s="29">
        <f t="shared" si="88"/>
        <v>0</v>
      </c>
      <c r="AA545" s="29">
        <f t="shared" si="88"/>
        <v>0</v>
      </c>
      <c r="AB545" s="29">
        <f t="shared" si="88"/>
        <v>0</v>
      </c>
      <c r="AC545" s="29">
        <f t="shared" si="88"/>
        <v>45043.53</v>
      </c>
      <c r="AD545" s="29">
        <f t="shared" si="88"/>
        <v>246586.68999999997</v>
      </c>
      <c r="AE545" s="29">
        <f t="shared" si="88"/>
        <v>0</v>
      </c>
      <c r="AF545" s="62" t="s">
        <v>743</v>
      </c>
      <c r="AG545" s="62" t="s">
        <v>743</v>
      </c>
      <c r="AH545" s="77" t="s">
        <v>743</v>
      </c>
      <c r="AT545" s="18" t="e">
        <f>VLOOKUP(C545,AW:AX,2,FALSE)</f>
        <v>#N/A</v>
      </c>
      <c r="BZ545" s="61">
        <v>7944432.1499999994</v>
      </c>
      <c r="CD545" s="18" t="e">
        <f>VLOOKUP(C545,CE:CF,2,FALSE)</f>
        <v>#N/A</v>
      </c>
    </row>
    <row r="546" spans="1:82" ht="61.5" x14ac:dyDescent="0.85">
      <c r="A546" s="18">
        <v>1</v>
      </c>
      <c r="B546" s="57">
        <f>SUBTOTAL(103,$A$22:A546)</f>
        <v>461</v>
      </c>
      <c r="C546" s="22" t="s">
        <v>220</v>
      </c>
      <c r="D546" s="29">
        <f>E546+F546+G546+H546+I546+J546+L546+N546+P546+R546+T546+U546+V546+W546+X546+Y546+Z546+AA546+AB546+AC546+AD546+AE546</f>
        <v>2426341.25</v>
      </c>
      <c r="E546" s="29">
        <v>0</v>
      </c>
      <c r="F546" s="29">
        <v>0</v>
      </c>
      <c r="G546" s="29">
        <v>0</v>
      </c>
      <c r="H546" s="29">
        <v>0</v>
      </c>
      <c r="I546" s="29">
        <v>0</v>
      </c>
      <c r="J546" s="29">
        <v>0</v>
      </c>
      <c r="K546" s="31">
        <v>0</v>
      </c>
      <c r="L546" s="29">
        <v>0</v>
      </c>
      <c r="M546" s="37">
        <v>618.67999999999995</v>
      </c>
      <c r="N546" s="37">
        <v>2339117.9900000002</v>
      </c>
      <c r="O546" s="29">
        <v>0</v>
      </c>
      <c r="P546" s="29">
        <v>0</v>
      </c>
      <c r="Q546" s="29">
        <v>0</v>
      </c>
      <c r="R546" s="29">
        <v>0</v>
      </c>
      <c r="S546" s="29">
        <v>0</v>
      </c>
      <c r="T546" s="29">
        <v>0</v>
      </c>
      <c r="U546" s="29">
        <v>0</v>
      </c>
      <c r="V546" s="29">
        <v>0</v>
      </c>
      <c r="W546" s="29">
        <v>0</v>
      </c>
      <c r="X546" s="29">
        <v>0</v>
      </c>
      <c r="Y546" s="29">
        <v>0</v>
      </c>
      <c r="Z546" s="29">
        <v>0</v>
      </c>
      <c r="AA546" s="29">
        <v>0</v>
      </c>
      <c r="AB546" s="29">
        <v>0</v>
      </c>
      <c r="AC546" s="37">
        <v>32806.129999999997</v>
      </c>
      <c r="AD546" s="37">
        <v>54417.13</v>
      </c>
      <c r="AE546" s="29">
        <v>0</v>
      </c>
      <c r="AF546" s="32">
        <v>2020</v>
      </c>
      <c r="AG546" s="32">
        <v>2020</v>
      </c>
      <c r="AH546" s="33">
        <v>2020</v>
      </c>
      <c r="AT546" s="18" t="e">
        <f>VLOOKUP(C546,AW:AX,2,FALSE)</f>
        <v>#N/A</v>
      </c>
      <c r="BZ546" s="61"/>
      <c r="CD546" s="18">
        <f>VLOOKUP(C546,CE:CF,2,FALSE)</f>
        <v>615.20000000000005</v>
      </c>
    </row>
    <row r="547" spans="1:82" ht="61.5" x14ac:dyDescent="0.85">
      <c r="A547" s="18">
        <v>1</v>
      </c>
      <c r="B547" s="57">
        <f>SUBTOTAL(103,$A$22:A547)</f>
        <v>462</v>
      </c>
      <c r="C547" s="22" t="s">
        <v>225</v>
      </c>
      <c r="D547" s="29">
        <f>E547+F547+G547+H547+I547+J547+L547+N547+P547+R547+T547+U547+V547+W547+X547+Y547+Z547+AA547+AB547+AC547+AD547+AE547</f>
        <v>112884.08</v>
      </c>
      <c r="E547" s="29">
        <v>0</v>
      </c>
      <c r="F547" s="29">
        <v>0</v>
      </c>
      <c r="G547" s="29">
        <v>0</v>
      </c>
      <c r="H547" s="29">
        <v>0</v>
      </c>
      <c r="I547" s="29">
        <v>0</v>
      </c>
      <c r="J547" s="29">
        <v>0</v>
      </c>
      <c r="K547" s="31">
        <v>0</v>
      </c>
      <c r="L547" s="29">
        <v>0</v>
      </c>
      <c r="M547" s="29">
        <v>0</v>
      </c>
      <c r="N547" s="29">
        <v>0</v>
      </c>
      <c r="O547" s="29">
        <v>0</v>
      </c>
      <c r="P547" s="29">
        <v>0</v>
      </c>
      <c r="Q547" s="29">
        <v>0</v>
      </c>
      <c r="R547" s="29">
        <v>0</v>
      </c>
      <c r="S547" s="29">
        <v>0</v>
      </c>
      <c r="T547" s="29">
        <v>0</v>
      </c>
      <c r="U547" s="29">
        <v>0</v>
      </c>
      <c r="V547" s="29">
        <v>0</v>
      </c>
      <c r="W547" s="29">
        <v>0</v>
      </c>
      <c r="X547" s="29">
        <v>0</v>
      </c>
      <c r="Y547" s="29">
        <v>0</v>
      </c>
      <c r="Z547" s="29">
        <v>0</v>
      </c>
      <c r="AA547" s="29">
        <v>0</v>
      </c>
      <c r="AB547" s="29">
        <v>0</v>
      </c>
      <c r="AC547" s="29">
        <f>ROUND(U547*1.5%,2)</f>
        <v>0</v>
      </c>
      <c r="AD547" s="37">
        <v>112884.08</v>
      </c>
      <c r="AE547" s="29">
        <v>0</v>
      </c>
      <c r="AF547" s="32">
        <v>2020</v>
      </c>
      <c r="AG547" s="32" t="s">
        <v>268</v>
      </c>
      <c r="AH547" s="32" t="s">
        <v>268</v>
      </c>
      <c r="AT547" s="18" t="e">
        <f>VLOOKUP(C547,AW:AX,2,FALSE)</f>
        <v>#N/A</v>
      </c>
      <c r="BZ547" s="61"/>
      <c r="CD547" s="18" t="e">
        <f>VLOOKUP(C547,CE:CF,2,FALSE)</f>
        <v>#N/A</v>
      </c>
    </row>
    <row r="548" spans="1:82" ht="61.5" x14ac:dyDescent="0.85">
      <c r="A548" s="18">
        <v>1</v>
      </c>
      <c r="B548" s="57">
        <f>SUBTOTAL(103,$A$22:A548)</f>
        <v>463</v>
      </c>
      <c r="C548" s="22" t="s">
        <v>1079</v>
      </c>
      <c r="D548" s="29">
        <f>E548+F548+G548+H548+I548+J548+L548+N548+P548+R548+T548+U548+V548+W548+X548+Y548+Z548+AA548+AB548+AC548+AD548+AE548</f>
        <v>930608.30999999994</v>
      </c>
      <c r="E548" s="29">
        <v>0</v>
      </c>
      <c r="F548" s="29">
        <v>0</v>
      </c>
      <c r="G548" s="29">
        <v>0</v>
      </c>
      <c r="H548" s="29">
        <v>0</v>
      </c>
      <c r="I548" s="29">
        <v>0</v>
      </c>
      <c r="J548" s="29">
        <v>0</v>
      </c>
      <c r="K548" s="31">
        <v>0</v>
      </c>
      <c r="L548" s="29">
        <v>0</v>
      </c>
      <c r="M548" s="37">
        <v>191.4</v>
      </c>
      <c r="N548" s="134">
        <v>875542.21</v>
      </c>
      <c r="O548" s="29">
        <v>0</v>
      </c>
      <c r="P548" s="29">
        <v>0</v>
      </c>
      <c r="Q548" s="29">
        <v>0</v>
      </c>
      <c r="R548" s="29">
        <v>0</v>
      </c>
      <c r="S548" s="29">
        <v>0</v>
      </c>
      <c r="T548" s="29">
        <v>0</v>
      </c>
      <c r="U548" s="29">
        <v>0</v>
      </c>
      <c r="V548" s="29">
        <v>0</v>
      </c>
      <c r="W548" s="29">
        <v>0</v>
      </c>
      <c r="X548" s="29">
        <v>0</v>
      </c>
      <c r="Y548" s="29">
        <v>0</v>
      </c>
      <c r="Z548" s="29">
        <v>0</v>
      </c>
      <c r="AA548" s="29">
        <v>0</v>
      </c>
      <c r="AB548" s="29">
        <v>0</v>
      </c>
      <c r="AC548" s="37">
        <v>12237.4</v>
      </c>
      <c r="AD548" s="37">
        <v>42828.7</v>
      </c>
      <c r="AE548" s="29">
        <v>0</v>
      </c>
      <c r="AF548" s="32">
        <v>2020</v>
      </c>
      <c r="AG548" s="32">
        <v>2020</v>
      </c>
      <c r="AH548" s="33">
        <v>2020</v>
      </c>
      <c r="AT548" s="18" t="e">
        <f>VLOOKUP(C548,AW:AX,2,FALSE)</f>
        <v>#N/A</v>
      </c>
      <c r="BZ548" s="61"/>
      <c r="CD548" s="18" t="e">
        <f>VLOOKUP(C548,CE:CF,2,FALSE)</f>
        <v>#N/A</v>
      </c>
    </row>
    <row r="549" spans="1:82" ht="61.5" x14ac:dyDescent="0.85">
      <c r="A549" s="18">
        <v>1</v>
      </c>
      <c r="B549" s="57">
        <f>SUBTOTAL(103,$A$22:A549)</f>
        <v>464</v>
      </c>
      <c r="C549" s="22" t="s">
        <v>224</v>
      </c>
      <c r="D549" s="29">
        <f>E549+F549+G549+H549+I549+J549+L549+N549+P549+R549+T549+U549+V549+W549+X549+Y549+Z549+AA549+AB549+AC549+AD549+AE549</f>
        <v>36456.78</v>
      </c>
      <c r="E549" s="29">
        <v>0</v>
      </c>
      <c r="F549" s="29">
        <v>0</v>
      </c>
      <c r="G549" s="29">
        <v>0</v>
      </c>
      <c r="H549" s="29">
        <v>0</v>
      </c>
      <c r="I549" s="29">
        <v>0</v>
      </c>
      <c r="J549" s="29">
        <v>0</v>
      </c>
      <c r="K549" s="64">
        <v>0</v>
      </c>
      <c r="L549" s="29">
        <v>0</v>
      </c>
      <c r="M549" s="29">
        <v>0</v>
      </c>
      <c r="N549" s="29">
        <v>0</v>
      </c>
      <c r="O549" s="29">
        <v>0</v>
      </c>
      <c r="P549" s="29">
        <v>0</v>
      </c>
      <c r="Q549" s="29">
        <v>0</v>
      </c>
      <c r="R549" s="29">
        <v>0</v>
      </c>
      <c r="S549" s="29">
        <v>0</v>
      </c>
      <c r="T549" s="29">
        <v>0</v>
      </c>
      <c r="U549" s="29">
        <v>0</v>
      </c>
      <c r="V549" s="29">
        <v>0</v>
      </c>
      <c r="W549" s="29">
        <v>0</v>
      </c>
      <c r="X549" s="29">
        <v>0</v>
      </c>
      <c r="Y549" s="29">
        <v>0</v>
      </c>
      <c r="Z549" s="29">
        <v>0</v>
      </c>
      <c r="AA549" s="29">
        <v>0</v>
      </c>
      <c r="AB549" s="29">
        <v>0</v>
      </c>
      <c r="AC549" s="29">
        <v>0</v>
      </c>
      <c r="AD549" s="29">
        <v>36456.78</v>
      </c>
      <c r="AE549" s="29">
        <v>0</v>
      </c>
      <c r="AF549" s="32">
        <v>2020</v>
      </c>
      <c r="AG549" s="32" t="s">
        <v>268</v>
      </c>
      <c r="AH549" s="32" t="s">
        <v>268</v>
      </c>
      <c r="AT549" s="18" t="e">
        <v>#N/A</v>
      </c>
      <c r="BZ549" s="61"/>
      <c r="CD549" s="18" t="e">
        <v>#N/A</v>
      </c>
    </row>
    <row r="550" spans="1:82" ht="61.5" x14ac:dyDescent="0.85">
      <c r="B550" s="22" t="s">
        <v>856</v>
      </c>
      <c r="C550" s="22"/>
      <c r="D550" s="339">
        <f t="shared" ref="D550:AE550" si="89">SUM(D551:D552)</f>
        <v>735510.79</v>
      </c>
      <c r="E550" s="29">
        <f t="shared" si="89"/>
        <v>0</v>
      </c>
      <c r="F550" s="29">
        <f t="shared" si="89"/>
        <v>0</v>
      </c>
      <c r="G550" s="29">
        <f t="shared" si="89"/>
        <v>0</v>
      </c>
      <c r="H550" s="29">
        <f t="shared" si="89"/>
        <v>0</v>
      </c>
      <c r="I550" s="29">
        <f t="shared" si="89"/>
        <v>0</v>
      </c>
      <c r="J550" s="29">
        <f t="shared" si="89"/>
        <v>0</v>
      </c>
      <c r="K550" s="31">
        <f t="shared" si="89"/>
        <v>0</v>
      </c>
      <c r="L550" s="29">
        <f t="shared" si="89"/>
        <v>0</v>
      </c>
      <c r="M550" s="29">
        <f t="shared" si="89"/>
        <v>0</v>
      </c>
      <c r="N550" s="29">
        <f t="shared" si="89"/>
        <v>0</v>
      </c>
      <c r="O550" s="29">
        <f t="shared" si="89"/>
        <v>263.2</v>
      </c>
      <c r="P550" s="29">
        <f t="shared" si="89"/>
        <v>423511.37</v>
      </c>
      <c r="Q550" s="29">
        <f t="shared" si="89"/>
        <v>582.4</v>
      </c>
      <c r="R550" s="29">
        <f t="shared" si="89"/>
        <v>301826.55</v>
      </c>
      <c r="S550" s="29">
        <f t="shared" si="89"/>
        <v>0</v>
      </c>
      <c r="T550" s="29">
        <f t="shared" si="89"/>
        <v>0</v>
      </c>
      <c r="U550" s="29">
        <f t="shared" si="89"/>
        <v>0</v>
      </c>
      <c r="V550" s="29">
        <f t="shared" si="89"/>
        <v>0</v>
      </c>
      <c r="W550" s="29">
        <f t="shared" si="89"/>
        <v>0</v>
      </c>
      <c r="X550" s="29">
        <f t="shared" si="89"/>
        <v>0</v>
      </c>
      <c r="Y550" s="29">
        <f t="shared" si="89"/>
        <v>0</v>
      </c>
      <c r="Z550" s="29">
        <f t="shared" si="89"/>
        <v>0</v>
      </c>
      <c r="AA550" s="29">
        <f t="shared" si="89"/>
        <v>0</v>
      </c>
      <c r="AB550" s="29">
        <f t="shared" si="89"/>
        <v>0</v>
      </c>
      <c r="AC550" s="29">
        <f t="shared" si="89"/>
        <v>10172.869999999999</v>
      </c>
      <c r="AD550" s="29">
        <f t="shared" si="89"/>
        <v>0</v>
      </c>
      <c r="AE550" s="29">
        <f t="shared" si="89"/>
        <v>0</v>
      </c>
      <c r="AF550" s="62" t="s">
        <v>743</v>
      </c>
      <c r="AG550" s="62" t="s">
        <v>743</v>
      </c>
      <c r="AH550" s="77" t="s">
        <v>743</v>
      </c>
      <c r="AT550" s="18" t="e">
        <f>VLOOKUP(C550,AW:AX,2,FALSE)</f>
        <v>#N/A</v>
      </c>
      <c r="BZ550" s="61">
        <v>786720.65</v>
      </c>
      <c r="CB550" s="61">
        <f>BZ550-D550</f>
        <v>51209.859999999986</v>
      </c>
      <c r="CD550" s="18" t="e">
        <f>VLOOKUP(C550,CE:CF,2,FALSE)</f>
        <v>#N/A</v>
      </c>
    </row>
    <row r="551" spans="1:82" ht="61.5" x14ac:dyDescent="0.85">
      <c r="A551" s="18">
        <v>1</v>
      </c>
      <c r="B551" s="57">
        <f>SUBTOTAL(103,$A$22:A551)</f>
        <v>465</v>
      </c>
      <c r="C551" s="22" t="s">
        <v>1277</v>
      </c>
      <c r="D551" s="29">
        <f>E551+F551+G551+H551+I551+J551+L551+N551+P551+R551+T551+U551+V551+W551+X551+Y551+Z551+AA551+AB551+AC551+AD551+AE551</f>
        <v>306059.67</v>
      </c>
      <c r="E551" s="29">
        <v>0</v>
      </c>
      <c r="F551" s="29">
        <v>0</v>
      </c>
      <c r="G551" s="29">
        <v>0</v>
      </c>
      <c r="H551" s="29">
        <v>0</v>
      </c>
      <c r="I551" s="29">
        <v>0</v>
      </c>
      <c r="J551" s="29">
        <v>0</v>
      </c>
      <c r="K551" s="31">
        <v>0</v>
      </c>
      <c r="L551" s="29">
        <v>0</v>
      </c>
      <c r="M551" s="29">
        <v>0</v>
      </c>
      <c r="N551" s="29">
        <v>0</v>
      </c>
      <c r="O551" s="29">
        <v>0</v>
      </c>
      <c r="P551" s="29">
        <v>0</v>
      </c>
      <c r="Q551" s="37">
        <v>582.4</v>
      </c>
      <c r="R551" s="37">
        <v>301826.55</v>
      </c>
      <c r="S551" s="29">
        <v>0</v>
      </c>
      <c r="T551" s="29">
        <v>0</v>
      </c>
      <c r="U551" s="29">
        <v>0</v>
      </c>
      <c r="V551" s="29">
        <v>0</v>
      </c>
      <c r="W551" s="29">
        <v>0</v>
      </c>
      <c r="X551" s="29">
        <v>0</v>
      </c>
      <c r="Y551" s="29">
        <v>0</v>
      </c>
      <c r="Z551" s="29">
        <v>0</v>
      </c>
      <c r="AA551" s="29">
        <v>0</v>
      </c>
      <c r="AB551" s="29">
        <v>0</v>
      </c>
      <c r="AC551" s="37">
        <v>4233.12</v>
      </c>
      <c r="AD551" s="29">
        <v>0</v>
      </c>
      <c r="AE551" s="29">
        <v>0</v>
      </c>
      <c r="AF551" s="32" t="s">
        <v>268</v>
      </c>
      <c r="AG551" s="32">
        <v>2020</v>
      </c>
      <c r="AH551" s="33">
        <v>2020</v>
      </c>
      <c r="BZ551" s="61"/>
      <c r="CD551" s="18" t="e">
        <f>VLOOKUP(C551,CE:CF,2,FALSE)</f>
        <v>#N/A</v>
      </c>
    </row>
    <row r="552" spans="1:82" ht="61.5" x14ac:dyDescent="0.85">
      <c r="A552" s="18">
        <v>1</v>
      </c>
      <c r="B552" s="57">
        <f>SUBTOTAL(103,$A$22:A552)</f>
        <v>466</v>
      </c>
      <c r="C552" s="22" t="s">
        <v>1278</v>
      </c>
      <c r="D552" s="29">
        <f>E552+F552+G552+H552+I552+J552+L552+N552+P552+R552+T552+U552+V552+W552+X552+Y552+Z552+AA552+AB552+AC552+AD552+AE552</f>
        <v>429451.12</v>
      </c>
      <c r="E552" s="29">
        <v>0</v>
      </c>
      <c r="F552" s="29">
        <v>0</v>
      </c>
      <c r="G552" s="29">
        <v>0</v>
      </c>
      <c r="H552" s="29">
        <v>0</v>
      </c>
      <c r="I552" s="29">
        <v>0</v>
      </c>
      <c r="J552" s="29">
        <v>0</v>
      </c>
      <c r="K552" s="31">
        <v>0</v>
      </c>
      <c r="L552" s="29">
        <v>0</v>
      </c>
      <c r="M552" s="29">
        <v>0</v>
      </c>
      <c r="N552" s="29">
        <v>0</v>
      </c>
      <c r="O552" s="37">
        <v>263.2</v>
      </c>
      <c r="P552" s="37">
        <v>423511.37</v>
      </c>
      <c r="Q552" s="29">
        <v>0</v>
      </c>
      <c r="R552" s="29">
        <v>0</v>
      </c>
      <c r="S552" s="29">
        <v>0</v>
      </c>
      <c r="T552" s="29">
        <v>0</v>
      </c>
      <c r="U552" s="29">
        <v>0</v>
      </c>
      <c r="V552" s="29">
        <v>0</v>
      </c>
      <c r="W552" s="29">
        <v>0</v>
      </c>
      <c r="X552" s="29">
        <v>0</v>
      </c>
      <c r="Y552" s="29">
        <v>0</v>
      </c>
      <c r="Z552" s="29">
        <v>0</v>
      </c>
      <c r="AA552" s="29">
        <v>0</v>
      </c>
      <c r="AB552" s="29">
        <v>0</v>
      </c>
      <c r="AC552" s="37">
        <v>5939.75</v>
      </c>
      <c r="AD552" s="29">
        <v>0</v>
      </c>
      <c r="AE552" s="29">
        <v>0</v>
      </c>
      <c r="AF552" s="32" t="s">
        <v>268</v>
      </c>
      <c r="AG552" s="32">
        <v>2020</v>
      </c>
      <c r="AH552" s="33">
        <v>2020</v>
      </c>
      <c r="BZ552" s="61"/>
      <c r="CD552" s="18" t="e">
        <f>VLOOKUP(C552,CE:CF,2,FALSE)</f>
        <v>#N/A</v>
      </c>
    </row>
    <row r="553" spans="1:82" ht="61.5" x14ac:dyDescent="0.85">
      <c r="B553" s="22" t="s">
        <v>857</v>
      </c>
      <c r="C553" s="22"/>
      <c r="D553" s="339">
        <f>SUM(D554:D555)</f>
        <v>1268994.68</v>
      </c>
      <c r="E553" s="29">
        <f t="shared" ref="E553:AE553" si="90">SUM(E554:E555)</f>
        <v>0</v>
      </c>
      <c r="F553" s="29">
        <f t="shared" si="90"/>
        <v>0</v>
      </c>
      <c r="G553" s="29">
        <f t="shared" si="90"/>
        <v>0</v>
      </c>
      <c r="H553" s="29">
        <f t="shared" si="90"/>
        <v>0</v>
      </c>
      <c r="I553" s="29">
        <f t="shared" si="90"/>
        <v>0</v>
      </c>
      <c r="J553" s="29">
        <f t="shared" si="90"/>
        <v>0</v>
      </c>
      <c r="K553" s="31">
        <f t="shared" si="90"/>
        <v>0</v>
      </c>
      <c r="L553" s="29">
        <f t="shared" si="90"/>
        <v>0</v>
      </c>
      <c r="M553" s="29">
        <f t="shared" si="90"/>
        <v>297</v>
      </c>
      <c r="N553" s="29">
        <f t="shared" si="90"/>
        <v>1177854.29</v>
      </c>
      <c r="O553" s="29">
        <f t="shared" si="90"/>
        <v>0</v>
      </c>
      <c r="P553" s="29">
        <f t="shared" si="90"/>
        <v>0</v>
      </c>
      <c r="Q553" s="29">
        <f t="shared" si="90"/>
        <v>0</v>
      </c>
      <c r="R553" s="29">
        <f t="shared" si="90"/>
        <v>0</v>
      </c>
      <c r="S553" s="29">
        <f t="shared" si="90"/>
        <v>0</v>
      </c>
      <c r="T553" s="29">
        <f t="shared" si="90"/>
        <v>0</v>
      </c>
      <c r="U553" s="29">
        <f t="shared" si="90"/>
        <v>0</v>
      </c>
      <c r="V553" s="29">
        <f t="shared" si="90"/>
        <v>0</v>
      </c>
      <c r="W553" s="29">
        <f t="shared" si="90"/>
        <v>0</v>
      </c>
      <c r="X553" s="29">
        <f t="shared" si="90"/>
        <v>0</v>
      </c>
      <c r="Y553" s="29">
        <f t="shared" si="90"/>
        <v>0</v>
      </c>
      <c r="Z553" s="29">
        <f t="shared" si="90"/>
        <v>0</v>
      </c>
      <c r="AA553" s="29">
        <f t="shared" si="90"/>
        <v>0</v>
      </c>
      <c r="AB553" s="29">
        <f t="shared" si="90"/>
        <v>0</v>
      </c>
      <c r="AC553" s="29">
        <f t="shared" si="90"/>
        <v>16519.41</v>
      </c>
      <c r="AD553" s="29">
        <f t="shared" si="90"/>
        <v>74620.98</v>
      </c>
      <c r="AE553" s="29">
        <f t="shared" si="90"/>
        <v>0</v>
      </c>
      <c r="AF553" s="62" t="s">
        <v>743</v>
      </c>
      <c r="AG553" s="62" t="s">
        <v>743</v>
      </c>
      <c r="AH553" s="77" t="s">
        <v>743</v>
      </c>
      <c r="AT553" s="18" t="e">
        <f>VLOOKUP(C553,AW:AX,2,FALSE)</f>
        <v>#N/A</v>
      </c>
      <c r="BZ553" s="29">
        <v>1568000</v>
      </c>
      <c r="CA553" s="29"/>
      <c r="CB553" s="29">
        <f>BZ553-D553</f>
        <v>299005.32000000007</v>
      </c>
      <c r="CD553" s="18" t="e">
        <f>VLOOKUP(C553,CE:CF,2,FALSE)</f>
        <v>#N/A</v>
      </c>
    </row>
    <row r="554" spans="1:82" ht="61.5" x14ac:dyDescent="0.85">
      <c r="A554" s="18">
        <v>1</v>
      </c>
      <c r="B554" s="57">
        <f>SUBTOTAL(103,$A$22:A554)</f>
        <v>467</v>
      </c>
      <c r="C554" s="22" t="s">
        <v>222</v>
      </c>
      <c r="D554" s="29">
        <f>E554+F554+G554+H554+I554+J554+L554+N554+P554+R554+T554+U554+V554+W554+X554+Y554+Z554+AA554+AB554+AC554+AD554+AE554</f>
        <v>1233277.05</v>
      </c>
      <c r="E554" s="29">
        <v>0</v>
      </c>
      <c r="F554" s="29">
        <v>0</v>
      </c>
      <c r="G554" s="29">
        <v>0</v>
      </c>
      <c r="H554" s="29">
        <v>0</v>
      </c>
      <c r="I554" s="29">
        <v>0</v>
      </c>
      <c r="J554" s="29">
        <v>0</v>
      </c>
      <c r="K554" s="31">
        <v>0</v>
      </c>
      <c r="L554" s="29">
        <v>0</v>
      </c>
      <c r="M554" s="37">
        <v>297</v>
      </c>
      <c r="N554" s="37">
        <v>1177854.29</v>
      </c>
      <c r="O554" s="29">
        <v>0</v>
      </c>
      <c r="P554" s="29">
        <v>0</v>
      </c>
      <c r="Q554" s="29">
        <v>0</v>
      </c>
      <c r="R554" s="29">
        <v>0</v>
      </c>
      <c r="S554" s="29">
        <v>0</v>
      </c>
      <c r="T554" s="29">
        <v>0</v>
      </c>
      <c r="U554" s="29">
        <v>0</v>
      </c>
      <c r="V554" s="29">
        <v>0</v>
      </c>
      <c r="W554" s="29">
        <v>0</v>
      </c>
      <c r="X554" s="29">
        <v>0</v>
      </c>
      <c r="Y554" s="29">
        <v>0</v>
      </c>
      <c r="Z554" s="29">
        <v>0</v>
      </c>
      <c r="AA554" s="29">
        <v>0</v>
      </c>
      <c r="AB554" s="29">
        <v>0</v>
      </c>
      <c r="AC554" s="37">
        <v>16519.41</v>
      </c>
      <c r="AD554" s="37">
        <v>38903.35</v>
      </c>
      <c r="AE554" s="29">
        <v>0</v>
      </c>
      <c r="AF554" s="32">
        <v>2020</v>
      </c>
      <c r="AG554" s="32">
        <v>2020</v>
      </c>
      <c r="AH554" s="33">
        <v>2020</v>
      </c>
      <c r="AT554" s="18" t="e">
        <f>VLOOKUP(C554,AW:AX,2,FALSE)</f>
        <v>#N/A</v>
      </c>
      <c r="BZ554" s="61"/>
      <c r="CD554" s="18">
        <f>VLOOKUP(C554,CE:CF,2,FALSE)</f>
        <v>289.86</v>
      </c>
    </row>
    <row r="555" spans="1:82" ht="61.5" x14ac:dyDescent="0.85">
      <c r="A555" s="18">
        <v>1</v>
      </c>
      <c r="B555" s="57">
        <f>SUBTOTAL(103,$A$22:A555)</f>
        <v>468</v>
      </c>
      <c r="C555" s="22" t="s">
        <v>218</v>
      </c>
      <c r="D555" s="29">
        <f>E555+F555+G555+H555+I555+J555+L555+N555+P555+R555+T555+U555+V555+W555+X555+Y555+Z555+AA555+AB555+AC555+AD555+AE555</f>
        <v>35717.629999999997</v>
      </c>
      <c r="E555" s="29">
        <v>0</v>
      </c>
      <c r="F555" s="29">
        <v>0</v>
      </c>
      <c r="G555" s="29">
        <v>0</v>
      </c>
      <c r="H555" s="29">
        <v>0</v>
      </c>
      <c r="I555" s="29">
        <v>0</v>
      </c>
      <c r="J555" s="29">
        <v>0</v>
      </c>
      <c r="K555" s="64">
        <v>0</v>
      </c>
      <c r="L555" s="29">
        <v>0</v>
      </c>
      <c r="M555" s="29">
        <v>0</v>
      </c>
      <c r="N555" s="29">
        <v>0</v>
      </c>
      <c r="O555" s="29">
        <v>0</v>
      </c>
      <c r="P555" s="29">
        <v>0</v>
      </c>
      <c r="Q555" s="29">
        <v>0</v>
      </c>
      <c r="R555" s="29">
        <v>0</v>
      </c>
      <c r="S555" s="29">
        <v>0</v>
      </c>
      <c r="T555" s="29">
        <v>0</v>
      </c>
      <c r="U555" s="29">
        <v>0</v>
      </c>
      <c r="V555" s="29">
        <v>0</v>
      </c>
      <c r="W555" s="29">
        <v>0</v>
      </c>
      <c r="X555" s="29">
        <v>0</v>
      </c>
      <c r="Y555" s="29">
        <v>0</v>
      </c>
      <c r="Z555" s="29">
        <v>0</v>
      </c>
      <c r="AA555" s="29">
        <v>0</v>
      </c>
      <c r="AB555" s="29">
        <v>0</v>
      </c>
      <c r="AC555" s="29">
        <f>ROUND(N555*1.5%,2)</f>
        <v>0</v>
      </c>
      <c r="AD555" s="29">
        <v>35717.629999999997</v>
      </c>
      <c r="AE555" s="29">
        <v>0</v>
      </c>
      <c r="AF555" s="32">
        <v>2020</v>
      </c>
      <c r="AG555" s="32" t="s">
        <v>268</v>
      </c>
      <c r="AH555" s="32" t="s">
        <v>268</v>
      </c>
      <c r="AT555" s="18" t="e">
        <v>#N/A</v>
      </c>
      <c r="BZ555" s="61"/>
      <c r="CD555" s="18" t="e">
        <v>#N/A</v>
      </c>
    </row>
    <row r="556" spans="1:82" ht="61.5" x14ac:dyDescent="0.85">
      <c r="B556" s="22" t="s">
        <v>746</v>
      </c>
      <c r="C556" s="22"/>
      <c r="D556" s="339">
        <f t="shared" ref="D556:AE556" si="91">D557+D649+D681+D741+D803+D821+D848+D856+D863+D868+D870+D873+D875+D877+D894+D905+D911+D915+D917+D921+D923+D925+D932+D948+D952+D955+D958+D961+D970+D974+D976+D983+D985+D987+D989+D994+D997+D1003+D1007+D1009+D1018+D1024+D1027+D1029+D1033+D1037+D1043+D1050+D1054+D1056+D1060+D1062+D1070+D1074+D1082+D1087+D1072+D908+D930+D945+D1022+D1031+D1058+D1089+D913+D1068+D981+D919</f>
        <v>1904590429.3200002</v>
      </c>
      <c r="E556" s="29">
        <f t="shared" si="91"/>
        <v>4731455.3699999992</v>
      </c>
      <c r="F556" s="29">
        <f t="shared" si="91"/>
        <v>5804600.4900000002</v>
      </c>
      <c r="G556" s="29">
        <f t="shared" si="91"/>
        <v>72401689.920000002</v>
      </c>
      <c r="H556" s="29">
        <f t="shared" si="91"/>
        <v>10659573.060000001</v>
      </c>
      <c r="I556" s="29">
        <f t="shared" si="91"/>
        <v>22226066.439999998</v>
      </c>
      <c r="J556" s="29">
        <f t="shared" si="91"/>
        <v>0</v>
      </c>
      <c r="K556" s="66">
        <f t="shared" si="91"/>
        <v>222</v>
      </c>
      <c r="L556" s="29">
        <f t="shared" si="91"/>
        <v>490539585.85000002</v>
      </c>
      <c r="M556" s="29">
        <f t="shared" si="91"/>
        <v>219257.46999999997</v>
      </c>
      <c r="N556" s="29">
        <f t="shared" si="91"/>
        <v>1017184215.4100001</v>
      </c>
      <c r="O556" s="29">
        <f t="shared" si="91"/>
        <v>780</v>
      </c>
      <c r="P556" s="29">
        <f t="shared" si="91"/>
        <v>3331988.23</v>
      </c>
      <c r="Q556" s="29">
        <f t="shared" si="91"/>
        <v>52559.309999999983</v>
      </c>
      <c r="R556" s="29">
        <f t="shared" si="91"/>
        <v>147807886.32000002</v>
      </c>
      <c r="S556" s="29">
        <f t="shared" si="91"/>
        <v>674.8</v>
      </c>
      <c r="T556" s="29">
        <f t="shared" si="91"/>
        <v>13382541.470000001</v>
      </c>
      <c r="U556" s="29">
        <f t="shared" si="91"/>
        <v>45079680.760000005</v>
      </c>
      <c r="V556" s="29">
        <f t="shared" si="91"/>
        <v>210000</v>
      </c>
      <c r="W556" s="29">
        <f t="shared" si="91"/>
        <v>0</v>
      </c>
      <c r="X556" s="29">
        <f t="shared" si="91"/>
        <v>0</v>
      </c>
      <c r="Y556" s="29">
        <f t="shared" si="91"/>
        <v>0</v>
      </c>
      <c r="Z556" s="29">
        <f t="shared" si="91"/>
        <v>0</v>
      </c>
      <c r="AA556" s="29">
        <f t="shared" si="91"/>
        <v>400000</v>
      </c>
      <c r="AB556" s="29">
        <f t="shared" si="91"/>
        <v>12000000</v>
      </c>
      <c r="AC556" s="29">
        <f t="shared" si="91"/>
        <v>19766024.509999998</v>
      </c>
      <c r="AD556" s="29">
        <f t="shared" si="91"/>
        <v>37025121.49000001</v>
      </c>
      <c r="AE556" s="29">
        <f t="shared" si="91"/>
        <v>2040000</v>
      </c>
      <c r="AF556" s="62" t="s">
        <v>743</v>
      </c>
      <c r="AG556" s="62" t="s">
        <v>743</v>
      </c>
      <c r="AH556" s="77" t="s">
        <v>743</v>
      </c>
      <c r="AT556" s="18" t="e">
        <f>VLOOKUP(C556,AW:AX,2,FALSE)</f>
        <v>#N/A</v>
      </c>
      <c r="BZ556" s="61">
        <v>799638471.25999999</v>
      </c>
      <c r="CD556" s="18" t="e">
        <f>VLOOKUP(C556,CE:CF,2,FALSE)</f>
        <v>#N/A</v>
      </c>
    </row>
    <row r="557" spans="1:82" ht="61.5" x14ac:dyDescent="0.85">
      <c r="B557" s="22" t="s">
        <v>1078</v>
      </c>
      <c r="C557" s="338"/>
      <c r="D557" s="339">
        <f t="shared" ref="D557:AE557" si="92">SUM(D558:D648)</f>
        <v>307984169.41999978</v>
      </c>
      <c r="E557" s="29">
        <f t="shared" si="92"/>
        <v>0</v>
      </c>
      <c r="F557" s="29">
        <f t="shared" si="92"/>
        <v>0</v>
      </c>
      <c r="G557" s="29">
        <f t="shared" si="92"/>
        <v>600000</v>
      </c>
      <c r="H557" s="29">
        <f t="shared" si="92"/>
        <v>0</v>
      </c>
      <c r="I557" s="29">
        <f t="shared" si="92"/>
        <v>0</v>
      </c>
      <c r="J557" s="29">
        <f t="shared" si="92"/>
        <v>0</v>
      </c>
      <c r="K557" s="31">
        <f t="shared" si="92"/>
        <v>10</v>
      </c>
      <c r="L557" s="29">
        <f t="shared" si="92"/>
        <v>18215416.68</v>
      </c>
      <c r="M557" s="29">
        <f t="shared" si="92"/>
        <v>60575.639999999992</v>
      </c>
      <c r="N557" s="29">
        <f t="shared" si="92"/>
        <v>250509113.85000002</v>
      </c>
      <c r="O557" s="29">
        <f t="shared" si="92"/>
        <v>780</v>
      </c>
      <c r="P557" s="29">
        <f t="shared" si="92"/>
        <v>3331988.23</v>
      </c>
      <c r="Q557" s="29">
        <f t="shared" si="92"/>
        <v>10006.779999999999</v>
      </c>
      <c r="R557" s="29">
        <f t="shared" si="92"/>
        <v>26517711.120000001</v>
      </c>
      <c r="S557" s="29">
        <f t="shared" si="92"/>
        <v>0</v>
      </c>
      <c r="T557" s="29">
        <f t="shared" si="92"/>
        <v>0</v>
      </c>
      <c r="U557" s="29">
        <f t="shared" si="92"/>
        <v>0</v>
      </c>
      <c r="V557" s="29">
        <f t="shared" si="92"/>
        <v>0</v>
      </c>
      <c r="W557" s="29">
        <f t="shared" si="92"/>
        <v>0</v>
      </c>
      <c r="X557" s="29">
        <f t="shared" si="92"/>
        <v>0</v>
      </c>
      <c r="Y557" s="29">
        <f t="shared" si="92"/>
        <v>0</v>
      </c>
      <c r="Z557" s="29">
        <f t="shared" si="92"/>
        <v>0</v>
      </c>
      <c r="AA557" s="29">
        <f t="shared" si="92"/>
        <v>0</v>
      </c>
      <c r="AB557" s="29">
        <f t="shared" si="92"/>
        <v>0</v>
      </c>
      <c r="AC557" s="29">
        <f t="shared" si="92"/>
        <v>4194042.85</v>
      </c>
      <c r="AD557" s="29">
        <f t="shared" si="92"/>
        <v>4615896.6900000013</v>
      </c>
      <c r="AE557" s="29">
        <f t="shared" si="92"/>
        <v>0</v>
      </c>
      <c r="AF557" s="62" t="s">
        <v>743</v>
      </c>
      <c r="AG557" s="62" t="s">
        <v>743</v>
      </c>
      <c r="AH557" s="77" t="s">
        <v>743</v>
      </c>
      <c r="AT557" s="18" t="e">
        <f>VLOOKUP(C557,AW:AX,2,FALSE)</f>
        <v>#N/A</v>
      </c>
      <c r="BZ557" s="61">
        <v>225509821.20999989</v>
      </c>
      <c r="CD557" s="18" t="e">
        <f>VLOOKUP(C557,CE:CF,2,FALSE)</f>
        <v>#N/A</v>
      </c>
    </row>
    <row r="558" spans="1:82" ht="61.5" x14ac:dyDescent="0.85">
      <c r="A558" s="18">
        <v>1</v>
      </c>
      <c r="B558" s="57">
        <f>SUBTOTAL(103,$A$558:A558)</f>
        <v>1</v>
      </c>
      <c r="C558" s="22" t="s">
        <v>527</v>
      </c>
      <c r="D558" s="29">
        <f t="shared" ref="D558:D636" si="93">E558+F558+G558+H558+I558+J558+L558+N558+P558+R558+T558+U558+V558+W558+X558+Y558+Z558+AA558+AB558+AC558+AD558+AE558</f>
        <v>4549307.4399999995</v>
      </c>
      <c r="E558" s="29">
        <v>0</v>
      </c>
      <c r="F558" s="29">
        <v>0</v>
      </c>
      <c r="G558" s="29">
        <v>0</v>
      </c>
      <c r="H558" s="29">
        <v>0</v>
      </c>
      <c r="I558" s="29">
        <v>0</v>
      </c>
      <c r="J558" s="29">
        <v>0</v>
      </c>
      <c r="K558" s="31">
        <v>0</v>
      </c>
      <c r="L558" s="29">
        <v>0</v>
      </c>
      <c r="M558" s="29">
        <v>960</v>
      </c>
      <c r="N558" s="29">
        <v>4383570.43</v>
      </c>
      <c r="O558" s="29">
        <v>0</v>
      </c>
      <c r="P558" s="29">
        <v>0</v>
      </c>
      <c r="Q558" s="29">
        <v>0</v>
      </c>
      <c r="R558" s="29">
        <v>0</v>
      </c>
      <c r="S558" s="29">
        <v>0</v>
      </c>
      <c r="T558" s="29">
        <v>0</v>
      </c>
      <c r="U558" s="29">
        <v>0</v>
      </c>
      <c r="V558" s="29">
        <v>0</v>
      </c>
      <c r="W558" s="29">
        <v>0</v>
      </c>
      <c r="X558" s="29">
        <v>0</v>
      </c>
      <c r="Y558" s="29">
        <v>0</v>
      </c>
      <c r="Z558" s="29">
        <v>0</v>
      </c>
      <c r="AA558" s="29">
        <v>0</v>
      </c>
      <c r="AB558" s="29">
        <v>0</v>
      </c>
      <c r="AC558" s="29">
        <v>65753.56</v>
      </c>
      <c r="AD558" s="29">
        <v>99983.45</v>
      </c>
      <c r="AE558" s="29">
        <v>0</v>
      </c>
      <c r="AF558" s="32">
        <v>2021</v>
      </c>
      <c r="AG558" s="32">
        <v>2021</v>
      </c>
      <c r="AH558" s="33">
        <v>2021</v>
      </c>
      <c r="AT558" s="18" t="e">
        <f>VLOOKUP(C558,AW:AX,2,FALSE)</f>
        <v>#N/A</v>
      </c>
      <c r="BZ558" s="61"/>
      <c r="CD558" s="18" t="e">
        <f>VLOOKUP(C558,CE:CF,2,FALSE)</f>
        <v>#N/A</v>
      </c>
    </row>
    <row r="559" spans="1:82" ht="61.5" x14ac:dyDescent="0.85">
      <c r="A559" s="18">
        <v>1</v>
      </c>
      <c r="B559" s="57">
        <f>SUBTOTAL(103,$A$558:A559)</f>
        <v>2</v>
      </c>
      <c r="C559" s="22" t="s">
        <v>528</v>
      </c>
      <c r="D559" s="29">
        <f t="shared" si="93"/>
        <v>4549313.9099999992</v>
      </c>
      <c r="E559" s="29">
        <v>0</v>
      </c>
      <c r="F559" s="29">
        <v>0</v>
      </c>
      <c r="G559" s="29">
        <v>0</v>
      </c>
      <c r="H559" s="29">
        <v>0</v>
      </c>
      <c r="I559" s="29">
        <v>0</v>
      </c>
      <c r="J559" s="29">
        <v>0</v>
      </c>
      <c r="K559" s="31">
        <v>0</v>
      </c>
      <c r="L559" s="29">
        <v>0</v>
      </c>
      <c r="M559" s="29">
        <v>960</v>
      </c>
      <c r="N559" s="29">
        <v>4383570.43</v>
      </c>
      <c r="O559" s="29">
        <v>0</v>
      </c>
      <c r="P559" s="29">
        <v>0</v>
      </c>
      <c r="Q559" s="29">
        <v>0</v>
      </c>
      <c r="R559" s="29">
        <v>0</v>
      </c>
      <c r="S559" s="29">
        <v>0</v>
      </c>
      <c r="T559" s="29">
        <v>0</v>
      </c>
      <c r="U559" s="29">
        <v>0</v>
      </c>
      <c r="V559" s="29">
        <v>0</v>
      </c>
      <c r="W559" s="29">
        <v>0</v>
      </c>
      <c r="X559" s="29">
        <v>0</v>
      </c>
      <c r="Y559" s="29">
        <v>0</v>
      </c>
      <c r="Z559" s="29">
        <v>0</v>
      </c>
      <c r="AA559" s="29">
        <v>0</v>
      </c>
      <c r="AB559" s="29">
        <v>0</v>
      </c>
      <c r="AC559" s="29">
        <v>65753.56</v>
      </c>
      <c r="AD559" s="29">
        <v>99989.92</v>
      </c>
      <c r="AE559" s="29">
        <v>0</v>
      </c>
      <c r="AF559" s="32">
        <v>2021</v>
      </c>
      <c r="AG559" s="32">
        <v>2021</v>
      </c>
      <c r="AH559" s="33">
        <v>2021</v>
      </c>
      <c r="AT559" s="18" t="e">
        <f>VLOOKUP(C559,AW:AX,2,FALSE)</f>
        <v>#N/A</v>
      </c>
      <c r="BZ559" s="61"/>
      <c r="CD559" s="18" t="e">
        <f>VLOOKUP(C559,CE:CF,2,FALSE)</f>
        <v>#N/A</v>
      </c>
    </row>
    <row r="560" spans="1:82" ht="61.5" x14ac:dyDescent="0.85">
      <c r="A560" s="18">
        <v>1</v>
      </c>
      <c r="B560" s="57">
        <f>SUBTOTAL(103,$A$558:A560)</f>
        <v>3</v>
      </c>
      <c r="C560" s="22" t="s">
        <v>529</v>
      </c>
      <c r="D560" s="29">
        <f t="shared" si="93"/>
        <v>1761025</v>
      </c>
      <c r="E560" s="29">
        <v>0</v>
      </c>
      <c r="F560" s="29">
        <v>0</v>
      </c>
      <c r="G560" s="29">
        <v>0</v>
      </c>
      <c r="H560" s="29">
        <v>0</v>
      </c>
      <c r="I560" s="29">
        <v>0</v>
      </c>
      <c r="J560" s="29">
        <v>0</v>
      </c>
      <c r="K560" s="31">
        <v>0</v>
      </c>
      <c r="L560" s="29">
        <v>0</v>
      </c>
      <c r="M560" s="29">
        <v>657.1</v>
      </c>
      <c r="N560" s="29">
        <v>1735000</v>
      </c>
      <c r="O560" s="29">
        <v>0</v>
      </c>
      <c r="P560" s="29">
        <v>0</v>
      </c>
      <c r="Q560" s="29">
        <v>0</v>
      </c>
      <c r="R560" s="29">
        <v>0</v>
      </c>
      <c r="S560" s="29">
        <v>0</v>
      </c>
      <c r="T560" s="29">
        <v>0</v>
      </c>
      <c r="U560" s="29">
        <v>0</v>
      </c>
      <c r="V560" s="29">
        <v>0</v>
      </c>
      <c r="W560" s="29">
        <v>0</v>
      </c>
      <c r="X560" s="29">
        <v>0</v>
      </c>
      <c r="Y560" s="29">
        <v>0</v>
      </c>
      <c r="Z560" s="29">
        <v>0</v>
      </c>
      <c r="AA560" s="29">
        <v>0</v>
      </c>
      <c r="AB560" s="29">
        <v>0</v>
      </c>
      <c r="AC560" s="29">
        <v>26025</v>
      </c>
      <c r="AD560" s="29">
        <v>0</v>
      </c>
      <c r="AE560" s="29">
        <v>0</v>
      </c>
      <c r="AF560" s="32" t="s">
        <v>268</v>
      </c>
      <c r="AG560" s="32">
        <v>2021</v>
      </c>
      <c r="AH560" s="33">
        <v>2021</v>
      </c>
      <c r="BZ560" s="61"/>
      <c r="CD560" s="18" t="e">
        <f>VLOOKUP(C560,CE:CF,2,FALSE)</f>
        <v>#N/A</v>
      </c>
    </row>
    <row r="561" spans="1:82" ht="61.5" x14ac:dyDescent="0.85">
      <c r="A561" s="18">
        <v>1</v>
      </c>
      <c r="B561" s="57">
        <f>SUBTOTAL(103,$A$558:A561)</f>
        <v>4</v>
      </c>
      <c r="C561" s="22" t="s">
        <v>533</v>
      </c>
      <c r="D561" s="29">
        <f t="shared" si="93"/>
        <v>4060000</v>
      </c>
      <c r="E561" s="29">
        <v>0</v>
      </c>
      <c r="F561" s="29">
        <v>0</v>
      </c>
      <c r="G561" s="29">
        <v>0</v>
      </c>
      <c r="H561" s="29">
        <v>0</v>
      </c>
      <c r="I561" s="29">
        <v>0</v>
      </c>
      <c r="J561" s="29">
        <v>0</v>
      </c>
      <c r="K561" s="31">
        <v>0</v>
      </c>
      <c r="L561" s="29">
        <v>0</v>
      </c>
      <c r="M561" s="29">
        <v>710</v>
      </c>
      <c r="N561" s="29">
        <v>4000000</v>
      </c>
      <c r="O561" s="29">
        <v>0</v>
      </c>
      <c r="P561" s="29">
        <v>0</v>
      </c>
      <c r="Q561" s="29">
        <v>0</v>
      </c>
      <c r="R561" s="29">
        <v>0</v>
      </c>
      <c r="S561" s="29">
        <v>0</v>
      </c>
      <c r="T561" s="29">
        <v>0</v>
      </c>
      <c r="U561" s="29">
        <v>0</v>
      </c>
      <c r="V561" s="29">
        <v>0</v>
      </c>
      <c r="W561" s="29">
        <v>0</v>
      </c>
      <c r="X561" s="29">
        <v>0</v>
      </c>
      <c r="Y561" s="29">
        <v>0</v>
      </c>
      <c r="Z561" s="29">
        <v>0</v>
      </c>
      <c r="AA561" s="29">
        <v>0</v>
      </c>
      <c r="AB561" s="29">
        <v>0</v>
      </c>
      <c r="AC561" s="29">
        <v>60000</v>
      </c>
      <c r="AD561" s="29">
        <v>0</v>
      </c>
      <c r="AE561" s="29">
        <v>0</v>
      </c>
      <c r="AF561" s="32" t="s">
        <v>268</v>
      </c>
      <c r="AG561" s="32">
        <v>2021</v>
      </c>
      <c r="AH561" s="33">
        <v>2021</v>
      </c>
      <c r="AT561" s="18" t="e">
        <f>VLOOKUP(C561,AW:AX,2,FALSE)</f>
        <v>#N/A</v>
      </c>
      <c r="BZ561" s="61"/>
      <c r="CD561" s="18" t="e">
        <f>VLOOKUP(C561,CE:CF,2,FALSE)</f>
        <v>#N/A</v>
      </c>
    </row>
    <row r="562" spans="1:82" ht="61.5" x14ac:dyDescent="0.85">
      <c r="A562" s="18">
        <v>1</v>
      </c>
      <c r="B562" s="57">
        <f>SUBTOTAL(103,$A$558:A562)</f>
        <v>5</v>
      </c>
      <c r="C562" s="22" t="s">
        <v>534</v>
      </c>
      <c r="D562" s="29">
        <f t="shared" si="93"/>
        <v>2570383.31</v>
      </c>
      <c r="E562" s="29">
        <v>0</v>
      </c>
      <c r="F562" s="29">
        <v>0</v>
      </c>
      <c r="G562" s="29">
        <v>0</v>
      </c>
      <c r="H562" s="29">
        <v>0</v>
      </c>
      <c r="I562" s="29">
        <v>0</v>
      </c>
      <c r="J562" s="29">
        <v>0</v>
      </c>
      <c r="K562" s="31">
        <v>0</v>
      </c>
      <c r="L562" s="29">
        <v>0</v>
      </c>
      <c r="M562" s="29">
        <v>520</v>
      </c>
      <c r="N562" s="29">
        <v>2433875.1800000002</v>
      </c>
      <c r="O562" s="29">
        <v>0</v>
      </c>
      <c r="P562" s="29">
        <v>0</v>
      </c>
      <c r="Q562" s="29">
        <v>0</v>
      </c>
      <c r="R562" s="29">
        <v>0</v>
      </c>
      <c r="S562" s="29">
        <v>0</v>
      </c>
      <c r="T562" s="29">
        <v>0</v>
      </c>
      <c r="U562" s="29">
        <v>0</v>
      </c>
      <c r="V562" s="29">
        <v>0</v>
      </c>
      <c r="W562" s="29">
        <v>0</v>
      </c>
      <c r="X562" s="29">
        <v>0</v>
      </c>
      <c r="Y562" s="29">
        <v>0</v>
      </c>
      <c r="Z562" s="29">
        <v>0</v>
      </c>
      <c r="AA562" s="29">
        <v>0</v>
      </c>
      <c r="AB562" s="29">
        <v>0</v>
      </c>
      <c r="AC562" s="29">
        <v>36508.129999999997</v>
      </c>
      <c r="AD562" s="29">
        <v>100000</v>
      </c>
      <c r="AE562" s="29">
        <v>0</v>
      </c>
      <c r="AF562" s="32">
        <v>2021</v>
      </c>
      <c r="AG562" s="32">
        <v>2021</v>
      </c>
      <c r="AH562" s="33">
        <v>2021</v>
      </c>
      <c r="AT562" s="18" t="e">
        <f>VLOOKUP(C562,AW:AX,2,FALSE)</f>
        <v>#N/A</v>
      </c>
      <c r="BZ562" s="61"/>
      <c r="CD562" s="18" t="e">
        <f>VLOOKUP(C562,CE:CF,2,FALSE)</f>
        <v>#N/A</v>
      </c>
    </row>
    <row r="563" spans="1:82" ht="61.5" x14ac:dyDescent="0.85">
      <c r="A563" s="18">
        <v>1</v>
      </c>
      <c r="B563" s="57">
        <f>SUBTOTAL(103,$A$558:A563)</f>
        <v>6</v>
      </c>
      <c r="C563" s="22" t="s">
        <v>535</v>
      </c>
      <c r="D563" s="29">
        <f t="shared" si="93"/>
        <v>4542295.17</v>
      </c>
      <c r="E563" s="29">
        <v>0</v>
      </c>
      <c r="F563" s="29">
        <v>0</v>
      </c>
      <c r="G563" s="29">
        <v>0</v>
      </c>
      <c r="H563" s="29">
        <v>0</v>
      </c>
      <c r="I563" s="29">
        <v>0</v>
      </c>
      <c r="J563" s="29">
        <v>0</v>
      </c>
      <c r="K563" s="31">
        <v>0</v>
      </c>
      <c r="L563" s="29">
        <v>0</v>
      </c>
      <c r="M563" s="29">
        <v>925.13</v>
      </c>
      <c r="N563" s="29">
        <v>4388214.6500000004</v>
      </c>
      <c r="O563" s="29">
        <v>0</v>
      </c>
      <c r="P563" s="29">
        <v>0</v>
      </c>
      <c r="Q563" s="29">
        <v>0</v>
      </c>
      <c r="R563" s="29">
        <v>0</v>
      </c>
      <c r="S563" s="29">
        <v>0</v>
      </c>
      <c r="T563" s="29">
        <v>0</v>
      </c>
      <c r="U563" s="29">
        <v>0</v>
      </c>
      <c r="V563" s="29">
        <v>0</v>
      </c>
      <c r="W563" s="29">
        <v>0</v>
      </c>
      <c r="X563" s="29">
        <v>0</v>
      </c>
      <c r="Y563" s="29">
        <v>0</v>
      </c>
      <c r="Z563" s="29">
        <v>0</v>
      </c>
      <c r="AA563" s="29">
        <v>0</v>
      </c>
      <c r="AB563" s="29">
        <v>0</v>
      </c>
      <c r="AC563" s="29">
        <v>65823.22</v>
      </c>
      <c r="AD563" s="37">
        <v>88257.3</v>
      </c>
      <c r="AE563" s="29">
        <v>0</v>
      </c>
      <c r="AF563" s="32">
        <v>2021</v>
      </c>
      <c r="AG563" s="32">
        <v>2021</v>
      </c>
      <c r="AH563" s="33">
        <v>2021</v>
      </c>
      <c r="AT563" s="18" t="e">
        <f>VLOOKUP(C563,AW:AX,2,FALSE)</f>
        <v>#N/A</v>
      </c>
      <c r="BZ563" s="61"/>
      <c r="CD563" s="18" t="e">
        <f>VLOOKUP(C563,CE:CF,2,FALSE)</f>
        <v>#N/A</v>
      </c>
    </row>
    <row r="564" spans="1:82" ht="61.5" x14ac:dyDescent="0.85">
      <c r="A564" s="18">
        <v>1</v>
      </c>
      <c r="B564" s="57">
        <f>SUBTOTAL(103,$A$558:A564)</f>
        <v>7</v>
      </c>
      <c r="C564" s="22" t="s">
        <v>536</v>
      </c>
      <c r="D564" s="29">
        <f t="shared" si="93"/>
        <v>3400250</v>
      </c>
      <c r="E564" s="29">
        <v>0</v>
      </c>
      <c r="F564" s="29">
        <v>0</v>
      </c>
      <c r="G564" s="29">
        <v>0</v>
      </c>
      <c r="H564" s="29">
        <v>0</v>
      </c>
      <c r="I564" s="29">
        <v>0</v>
      </c>
      <c r="J564" s="29">
        <v>0</v>
      </c>
      <c r="K564" s="31">
        <v>0</v>
      </c>
      <c r="L564" s="29">
        <v>0</v>
      </c>
      <c r="M564" s="29">
        <v>760</v>
      </c>
      <c r="N564" s="29">
        <v>3350000</v>
      </c>
      <c r="O564" s="29">
        <v>0</v>
      </c>
      <c r="P564" s="29">
        <v>0</v>
      </c>
      <c r="Q564" s="29">
        <v>0</v>
      </c>
      <c r="R564" s="29">
        <v>0</v>
      </c>
      <c r="S564" s="29">
        <v>0</v>
      </c>
      <c r="T564" s="29">
        <v>0</v>
      </c>
      <c r="U564" s="29">
        <v>0</v>
      </c>
      <c r="V564" s="29">
        <v>0</v>
      </c>
      <c r="W564" s="29">
        <v>0</v>
      </c>
      <c r="X564" s="29">
        <v>0</v>
      </c>
      <c r="Y564" s="29">
        <v>0</v>
      </c>
      <c r="Z564" s="29">
        <v>0</v>
      </c>
      <c r="AA564" s="29">
        <v>0</v>
      </c>
      <c r="AB564" s="29">
        <v>0</v>
      </c>
      <c r="AC564" s="29">
        <v>50250</v>
      </c>
      <c r="AD564" s="29">
        <v>0</v>
      </c>
      <c r="AE564" s="29">
        <v>0</v>
      </c>
      <c r="AF564" s="32" t="s">
        <v>268</v>
      </c>
      <c r="AG564" s="32">
        <v>2021</v>
      </c>
      <c r="AH564" s="33">
        <v>2021</v>
      </c>
      <c r="AT564" s="18" t="e">
        <f>VLOOKUP(C564,AW:AX,2,FALSE)</f>
        <v>#N/A</v>
      </c>
      <c r="BZ564" s="61"/>
      <c r="CD564" s="18" t="e">
        <f>VLOOKUP(C564,CE:CF,2,FALSE)</f>
        <v>#N/A</v>
      </c>
    </row>
    <row r="565" spans="1:82" ht="61.5" x14ac:dyDescent="0.85">
      <c r="A565" s="18">
        <v>1</v>
      </c>
      <c r="B565" s="57">
        <f>SUBTOTAL(103,$A$558:A565)</f>
        <v>8</v>
      </c>
      <c r="C565" s="22" t="s">
        <v>537</v>
      </c>
      <c r="D565" s="29">
        <f t="shared" si="93"/>
        <v>3310801.92</v>
      </c>
      <c r="E565" s="29">
        <v>0</v>
      </c>
      <c r="F565" s="29">
        <v>0</v>
      </c>
      <c r="G565" s="29">
        <v>0</v>
      </c>
      <c r="H565" s="29">
        <v>0</v>
      </c>
      <c r="I565" s="29">
        <v>0</v>
      </c>
      <c r="J565" s="29">
        <v>0</v>
      </c>
      <c r="K565" s="31">
        <v>0</v>
      </c>
      <c r="L565" s="29">
        <v>0</v>
      </c>
      <c r="M565" s="29">
        <v>524</v>
      </c>
      <c r="N565" s="29">
        <v>3163362.73</v>
      </c>
      <c r="O565" s="29">
        <v>0</v>
      </c>
      <c r="P565" s="29">
        <v>0</v>
      </c>
      <c r="Q565" s="29">
        <v>0</v>
      </c>
      <c r="R565" s="29">
        <v>0</v>
      </c>
      <c r="S565" s="29">
        <v>0</v>
      </c>
      <c r="T565" s="29">
        <v>0</v>
      </c>
      <c r="U565" s="29">
        <v>0</v>
      </c>
      <c r="V565" s="29">
        <v>0</v>
      </c>
      <c r="W565" s="29">
        <v>0</v>
      </c>
      <c r="X565" s="29">
        <v>0</v>
      </c>
      <c r="Y565" s="29">
        <v>0</v>
      </c>
      <c r="Z565" s="29">
        <v>0</v>
      </c>
      <c r="AA565" s="29">
        <v>0</v>
      </c>
      <c r="AB565" s="29">
        <v>0</v>
      </c>
      <c r="AC565" s="29">
        <v>47450.44</v>
      </c>
      <c r="AD565" s="29">
        <v>99988.75</v>
      </c>
      <c r="AE565" s="29">
        <v>0</v>
      </c>
      <c r="AF565" s="32">
        <v>2021</v>
      </c>
      <c r="AG565" s="32">
        <v>2021</v>
      </c>
      <c r="AH565" s="33">
        <v>2021</v>
      </c>
      <c r="AT565" s="18" t="e">
        <f>VLOOKUP(C565,AW:AX,2,FALSE)</f>
        <v>#N/A</v>
      </c>
      <c r="BZ565" s="61"/>
      <c r="CD565" s="18" t="e">
        <f>VLOOKUP(C565,CE:CF,2,FALSE)</f>
        <v>#N/A</v>
      </c>
    </row>
    <row r="566" spans="1:82" ht="61.5" x14ac:dyDescent="0.85">
      <c r="A566" s="18">
        <v>1</v>
      </c>
      <c r="B566" s="57">
        <f>SUBTOTAL(103,$A$558:A566)</f>
        <v>9</v>
      </c>
      <c r="C566" s="22" t="s">
        <v>538</v>
      </c>
      <c r="D566" s="29">
        <f t="shared" si="93"/>
        <v>5080899.59</v>
      </c>
      <c r="E566" s="29">
        <v>0</v>
      </c>
      <c r="F566" s="29">
        <v>0</v>
      </c>
      <c r="G566" s="29">
        <v>0</v>
      </c>
      <c r="H566" s="29">
        <v>0</v>
      </c>
      <c r="I566" s="29">
        <v>0</v>
      </c>
      <c r="J566" s="29">
        <v>0</v>
      </c>
      <c r="K566" s="31">
        <v>0</v>
      </c>
      <c r="L566" s="29">
        <v>0</v>
      </c>
      <c r="M566" s="29">
        <v>1037</v>
      </c>
      <c r="N566" s="29">
        <v>4918853.12</v>
      </c>
      <c r="O566" s="29">
        <v>0</v>
      </c>
      <c r="P566" s="29">
        <v>0</v>
      </c>
      <c r="Q566" s="29">
        <v>0</v>
      </c>
      <c r="R566" s="29">
        <v>0</v>
      </c>
      <c r="S566" s="29">
        <v>0</v>
      </c>
      <c r="T566" s="29">
        <v>0</v>
      </c>
      <c r="U566" s="29">
        <v>0</v>
      </c>
      <c r="V566" s="29">
        <v>0</v>
      </c>
      <c r="W566" s="29">
        <v>0</v>
      </c>
      <c r="X566" s="29">
        <v>0</v>
      </c>
      <c r="Y566" s="29">
        <v>0</v>
      </c>
      <c r="Z566" s="29">
        <v>0</v>
      </c>
      <c r="AA566" s="29">
        <v>0</v>
      </c>
      <c r="AB566" s="29">
        <v>0</v>
      </c>
      <c r="AC566" s="29">
        <v>73782.8</v>
      </c>
      <c r="AD566" s="134">
        <v>88263.67</v>
      </c>
      <c r="AE566" s="29">
        <v>0</v>
      </c>
      <c r="AF566" s="32">
        <v>2021</v>
      </c>
      <c r="AG566" s="32">
        <v>2021</v>
      </c>
      <c r="AH566" s="33">
        <v>2021</v>
      </c>
      <c r="AT566" s="18" t="e">
        <f>VLOOKUP(C566,AW:AX,2,FALSE)</f>
        <v>#N/A</v>
      </c>
      <c r="BZ566" s="61"/>
      <c r="CD566" s="18" t="e">
        <f>VLOOKUP(C566,CE:CF,2,FALSE)</f>
        <v>#N/A</v>
      </c>
    </row>
    <row r="567" spans="1:82" ht="61.5" x14ac:dyDescent="0.85">
      <c r="A567" s="18">
        <v>1</v>
      </c>
      <c r="B567" s="57">
        <f>SUBTOTAL(103,$A$558:A567)</f>
        <v>10</v>
      </c>
      <c r="C567" s="22" t="s">
        <v>541</v>
      </c>
      <c r="D567" s="29">
        <f>E567+F567+G567+H567+I567+J567+L567+N567+P567+R567+T567+U567+V567+W567+X567+Y567+Z567+AA567+AB567+AC567+AD567+AE567</f>
        <v>5133204.34</v>
      </c>
      <c r="E567" s="29">
        <v>0</v>
      </c>
      <c r="F567" s="29">
        <v>0</v>
      </c>
      <c r="G567" s="29">
        <v>0</v>
      </c>
      <c r="H567" s="29">
        <v>0</v>
      </c>
      <c r="I567" s="29">
        <v>0</v>
      </c>
      <c r="J567" s="29">
        <v>0</v>
      </c>
      <c r="K567" s="31">
        <v>0</v>
      </c>
      <c r="L567" s="29">
        <v>0</v>
      </c>
      <c r="M567" s="29">
        <v>1062</v>
      </c>
      <c r="N567" s="29">
        <v>4970533.93</v>
      </c>
      <c r="O567" s="29">
        <v>0</v>
      </c>
      <c r="P567" s="29">
        <v>0</v>
      </c>
      <c r="Q567" s="29">
        <v>0</v>
      </c>
      <c r="R567" s="29">
        <v>0</v>
      </c>
      <c r="S567" s="29">
        <v>0</v>
      </c>
      <c r="T567" s="29">
        <v>0</v>
      </c>
      <c r="U567" s="29">
        <v>0</v>
      </c>
      <c r="V567" s="29">
        <v>0</v>
      </c>
      <c r="W567" s="29">
        <v>0</v>
      </c>
      <c r="X567" s="29">
        <v>0</v>
      </c>
      <c r="Y567" s="29">
        <v>0</v>
      </c>
      <c r="Z567" s="29">
        <v>0</v>
      </c>
      <c r="AA567" s="29">
        <v>0</v>
      </c>
      <c r="AB567" s="29">
        <v>0</v>
      </c>
      <c r="AC567" s="29">
        <v>74558.009999999995</v>
      </c>
      <c r="AD567" s="29">
        <v>88112.4</v>
      </c>
      <c r="AE567" s="29">
        <v>0</v>
      </c>
      <c r="AF567" s="32">
        <v>2021</v>
      </c>
      <c r="AG567" s="32">
        <v>2021</v>
      </c>
      <c r="AH567" s="33">
        <v>2021</v>
      </c>
      <c r="AT567" s="18" t="e">
        <f>VLOOKUP(C567,AW:AX,2,FALSE)</f>
        <v>#N/A</v>
      </c>
      <c r="BZ567" s="61"/>
      <c r="CD567" s="18" t="e">
        <f>VLOOKUP(C567,CE:CF,2,FALSE)</f>
        <v>#N/A</v>
      </c>
    </row>
    <row r="568" spans="1:82" ht="61.5" x14ac:dyDescent="0.85">
      <c r="A568" s="18">
        <v>1</v>
      </c>
      <c r="B568" s="57">
        <f>SUBTOTAL(103,$A$558:A568)</f>
        <v>11</v>
      </c>
      <c r="C568" s="22" t="s">
        <v>540</v>
      </c>
      <c r="D568" s="29">
        <f t="shared" si="93"/>
        <v>6090000</v>
      </c>
      <c r="E568" s="29">
        <v>0</v>
      </c>
      <c r="F568" s="29">
        <v>0</v>
      </c>
      <c r="G568" s="29">
        <v>0</v>
      </c>
      <c r="H568" s="29">
        <v>0</v>
      </c>
      <c r="I568" s="29">
        <v>0</v>
      </c>
      <c r="J568" s="29">
        <v>0</v>
      </c>
      <c r="K568" s="31">
        <v>0</v>
      </c>
      <c r="L568" s="29">
        <v>0</v>
      </c>
      <c r="M568" s="29">
        <v>1068</v>
      </c>
      <c r="N568" s="29">
        <v>6000000</v>
      </c>
      <c r="O568" s="29">
        <v>0</v>
      </c>
      <c r="P568" s="29">
        <v>0</v>
      </c>
      <c r="Q568" s="29">
        <v>0</v>
      </c>
      <c r="R568" s="29">
        <v>0</v>
      </c>
      <c r="S568" s="29">
        <v>0</v>
      </c>
      <c r="T568" s="29">
        <v>0</v>
      </c>
      <c r="U568" s="29">
        <v>0</v>
      </c>
      <c r="V568" s="29">
        <v>0</v>
      </c>
      <c r="W568" s="29">
        <v>0</v>
      </c>
      <c r="X568" s="29">
        <v>0</v>
      </c>
      <c r="Y568" s="29">
        <v>0</v>
      </c>
      <c r="Z568" s="29">
        <v>0</v>
      </c>
      <c r="AA568" s="29">
        <v>0</v>
      </c>
      <c r="AB568" s="29">
        <v>0</v>
      </c>
      <c r="AC568" s="29">
        <v>90000</v>
      </c>
      <c r="AD568" s="29">
        <v>0</v>
      </c>
      <c r="AE568" s="29">
        <v>0</v>
      </c>
      <c r="AF568" s="32" t="s">
        <v>268</v>
      </c>
      <c r="AG568" s="32">
        <v>2021</v>
      </c>
      <c r="AH568" s="33">
        <v>2021</v>
      </c>
      <c r="AT568" s="18" t="e">
        <f>VLOOKUP(C568,AW:AX,2,FALSE)</f>
        <v>#N/A</v>
      </c>
      <c r="BZ568" s="61"/>
      <c r="CD568" s="18" t="e">
        <f>VLOOKUP(C568,CE:CF,2,FALSE)</f>
        <v>#N/A</v>
      </c>
    </row>
    <row r="569" spans="1:82" ht="61.5" x14ac:dyDescent="0.85">
      <c r="A569" s="18">
        <v>1</v>
      </c>
      <c r="B569" s="57">
        <f>SUBTOTAL(103,$A$558:A569)</f>
        <v>12</v>
      </c>
      <c r="C569" s="22" t="s">
        <v>789</v>
      </c>
      <c r="D569" s="29">
        <f t="shared" si="93"/>
        <v>2799900</v>
      </c>
      <c r="E569" s="29">
        <v>0</v>
      </c>
      <c r="F569" s="29">
        <v>0</v>
      </c>
      <c r="G569" s="29">
        <v>0</v>
      </c>
      <c r="H569" s="29">
        <v>0</v>
      </c>
      <c r="I569" s="29">
        <v>0</v>
      </c>
      <c r="J569" s="29">
        <v>0</v>
      </c>
      <c r="K569" s="31">
        <v>0</v>
      </c>
      <c r="L569" s="29">
        <v>0</v>
      </c>
      <c r="M569" s="29">
        <v>635</v>
      </c>
      <c r="N569" s="29">
        <v>2660000</v>
      </c>
      <c r="O569" s="29">
        <v>0</v>
      </c>
      <c r="P569" s="29">
        <v>0</v>
      </c>
      <c r="Q569" s="29">
        <v>0</v>
      </c>
      <c r="R569" s="29">
        <v>0</v>
      </c>
      <c r="S569" s="29">
        <v>0</v>
      </c>
      <c r="T569" s="29">
        <v>0</v>
      </c>
      <c r="U569" s="29">
        <v>0</v>
      </c>
      <c r="V569" s="29">
        <v>0</v>
      </c>
      <c r="W569" s="29">
        <v>0</v>
      </c>
      <c r="X569" s="29">
        <v>0</v>
      </c>
      <c r="Y569" s="29">
        <v>0</v>
      </c>
      <c r="Z569" s="29">
        <v>0</v>
      </c>
      <c r="AA569" s="29">
        <v>0</v>
      </c>
      <c r="AB569" s="29">
        <v>0</v>
      </c>
      <c r="AC569" s="29">
        <v>39900</v>
      </c>
      <c r="AD569" s="29">
        <v>100000</v>
      </c>
      <c r="AE569" s="29">
        <v>0</v>
      </c>
      <c r="AF569" s="32">
        <v>2021</v>
      </c>
      <c r="AG569" s="32">
        <v>2021</v>
      </c>
      <c r="AH569" s="33">
        <v>2021</v>
      </c>
      <c r="AT569" s="18" t="e">
        <f>VLOOKUP(C569,AW:AX,2,FALSE)</f>
        <v>#N/A</v>
      </c>
      <c r="BZ569" s="61"/>
      <c r="CD569" s="18" t="e">
        <f>VLOOKUP(C569,CE:CF,2,FALSE)</f>
        <v>#N/A</v>
      </c>
    </row>
    <row r="570" spans="1:82" ht="61.5" x14ac:dyDescent="0.85">
      <c r="A570" s="18">
        <v>1</v>
      </c>
      <c r="B570" s="57">
        <f>SUBTOTAL(103,$A$558:A570)</f>
        <v>13</v>
      </c>
      <c r="C570" s="22" t="s">
        <v>543</v>
      </c>
      <c r="D570" s="29">
        <f t="shared" si="93"/>
        <v>4475118.7699999996</v>
      </c>
      <c r="E570" s="29">
        <v>0</v>
      </c>
      <c r="F570" s="29">
        <v>0</v>
      </c>
      <c r="G570" s="29">
        <v>0</v>
      </c>
      <c r="H570" s="29">
        <v>0</v>
      </c>
      <c r="I570" s="29">
        <v>0</v>
      </c>
      <c r="J570" s="29">
        <v>0</v>
      </c>
      <c r="K570" s="31">
        <v>0</v>
      </c>
      <c r="L570" s="29">
        <v>0</v>
      </c>
      <c r="M570" s="29">
        <v>960</v>
      </c>
      <c r="N570" s="29">
        <v>4408981.05</v>
      </c>
      <c r="O570" s="29">
        <v>0</v>
      </c>
      <c r="P570" s="29">
        <v>0</v>
      </c>
      <c r="Q570" s="29">
        <v>0</v>
      </c>
      <c r="R570" s="29">
        <v>0</v>
      </c>
      <c r="S570" s="29">
        <v>0</v>
      </c>
      <c r="T570" s="29">
        <v>0</v>
      </c>
      <c r="U570" s="29">
        <v>0</v>
      </c>
      <c r="V570" s="29">
        <v>0</v>
      </c>
      <c r="W570" s="29">
        <v>0</v>
      </c>
      <c r="X570" s="29">
        <v>0</v>
      </c>
      <c r="Y570" s="29">
        <v>0</v>
      </c>
      <c r="Z570" s="29">
        <v>0</v>
      </c>
      <c r="AA570" s="29">
        <v>0</v>
      </c>
      <c r="AB570" s="29">
        <v>0</v>
      </c>
      <c r="AC570" s="29">
        <v>66137.72</v>
      </c>
      <c r="AD570" s="29">
        <v>0</v>
      </c>
      <c r="AE570" s="29">
        <v>0</v>
      </c>
      <c r="AF570" s="32" t="s">
        <v>268</v>
      </c>
      <c r="AG570" s="32">
        <v>2021</v>
      </c>
      <c r="AH570" s="33">
        <v>2021</v>
      </c>
      <c r="AT570" s="18" t="e">
        <f>VLOOKUP(C570,AW:AX,2,FALSE)</f>
        <v>#N/A</v>
      </c>
      <c r="BZ570" s="61"/>
      <c r="CD570" s="18" t="e">
        <f>VLOOKUP(C570,CE:CF,2,FALSE)</f>
        <v>#N/A</v>
      </c>
    </row>
    <row r="571" spans="1:82" ht="61.5" x14ac:dyDescent="0.85">
      <c r="A571" s="18">
        <v>1</v>
      </c>
      <c r="B571" s="57">
        <f>SUBTOTAL(103,$A$558:A571)</f>
        <v>14</v>
      </c>
      <c r="C571" s="22" t="s">
        <v>544</v>
      </c>
      <c r="D571" s="29">
        <f t="shared" si="93"/>
        <v>3635296.26</v>
      </c>
      <c r="E571" s="29">
        <v>0</v>
      </c>
      <c r="F571" s="29">
        <v>0</v>
      </c>
      <c r="G571" s="29">
        <v>0</v>
      </c>
      <c r="H571" s="29">
        <v>0</v>
      </c>
      <c r="I571" s="29">
        <v>0</v>
      </c>
      <c r="J571" s="29">
        <v>0</v>
      </c>
      <c r="K571" s="31">
        <v>0</v>
      </c>
      <c r="L571" s="29">
        <v>0</v>
      </c>
      <c r="M571" s="29">
        <v>732.9</v>
      </c>
      <c r="N571" s="29">
        <v>3581572.67</v>
      </c>
      <c r="O571" s="29">
        <v>0</v>
      </c>
      <c r="P571" s="29">
        <v>0</v>
      </c>
      <c r="Q571" s="29">
        <v>0</v>
      </c>
      <c r="R571" s="29">
        <v>0</v>
      </c>
      <c r="S571" s="29">
        <v>0</v>
      </c>
      <c r="T571" s="29">
        <v>0</v>
      </c>
      <c r="U571" s="29">
        <v>0</v>
      </c>
      <c r="V571" s="29">
        <v>0</v>
      </c>
      <c r="W571" s="29">
        <v>0</v>
      </c>
      <c r="X571" s="29">
        <v>0</v>
      </c>
      <c r="Y571" s="29">
        <v>0</v>
      </c>
      <c r="Z571" s="29">
        <v>0</v>
      </c>
      <c r="AA571" s="29">
        <v>0</v>
      </c>
      <c r="AB571" s="29">
        <v>0</v>
      </c>
      <c r="AC571" s="29">
        <v>53723.59</v>
      </c>
      <c r="AD571" s="29">
        <v>0</v>
      </c>
      <c r="AE571" s="29">
        <v>0</v>
      </c>
      <c r="AF571" s="32" t="s">
        <v>268</v>
      </c>
      <c r="AG571" s="32">
        <v>2021</v>
      </c>
      <c r="AH571" s="33">
        <v>2021</v>
      </c>
      <c r="AT571" s="18" t="e">
        <f>VLOOKUP(C571,AW:AX,2,FALSE)</f>
        <v>#N/A</v>
      </c>
      <c r="BZ571" s="61"/>
      <c r="CD571" s="18" t="e">
        <f>VLOOKUP(C571,CE:CF,2,FALSE)</f>
        <v>#N/A</v>
      </c>
    </row>
    <row r="572" spans="1:82" ht="61.5" x14ac:dyDescent="0.85">
      <c r="A572" s="18">
        <v>1</v>
      </c>
      <c r="B572" s="57">
        <f>SUBTOTAL(103,$A$558:A572)</f>
        <v>15</v>
      </c>
      <c r="C572" s="22" t="s">
        <v>1389</v>
      </c>
      <c r="D572" s="29">
        <f t="shared" si="93"/>
        <v>5684659.8300000001</v>
      </c>
      <c r="E572" s="29">
        <v>0</v>
      </c>
      <c r="F572" s="29">
        <v>0</v>
      </c>
      <c r="G572" s="29">
        <v>0</v>
      </c>
      <c r="H572" s="29">
        <v>0</v>
      </c>
      <c r="I572" s="29">
        <v>0</v>
      </c>
      <c r="J572" s="29">
        <v>0</v>
      </c>
      <c r="K572" s="31">
        <v>0</v>
      </c>
      <c r="L572" s="29">
        <v>0</v>
      </c>
      <c r="M572" s="29">
        <v>1207.0999999999999</v>
      </c>
      <c r="N572" s="29">
        <v>5600650.0800000001</v>
      </c>
      <c r="O572" s="29">
        <v>0</v>
      </c>
      <c r="P572" s="29">
        <v>0</v>
      </c>
      <c r="Q572" s="29">
        <v>0</v>
      </c>
      <c r="R572" s="29">
        <v>0</v>
      </c>
      <c r="S572" s="29">
        <v>0</v>
      </c>
      <c r="T572" s="29">
        <v>0</v>
      </c>
      <c r="U572" s="29">
        <v>0</v>
      </c>
      <c r="V572" s="29">
        <v>0</v>
      </c>
      <c r="W572" s="29">
        <v>0</v>
      </c>
      <c r="X572" s="29">
        <v>0</v>
      </c>
      <c r="Y572" s="29">
        <v>0</v>
      </c>
      <c r="Z572" s="29">
        <v>0</v>
      </c>
      <c r="AA572" s="29">
        <v>0</v>
      </c>
      <c r="AB572" s="29">
        <v>0</v>
      </c>
      <c r="AC572" s="29">
        <v>84009.75</v>
      </c>
      <c r="AD572" s="29">
        <v>0</v>
      </c>
      <c r="AE572" s="29">
        <v>0</v>
      </c>
      <c r="AF572" s="32" t="s">
        <v>268</v>
      </c>
      <c r="AG572" s="32">
        <v>2021</v>
      </c>
      <c r="AH572" s="33">
        <v>2021</v>
      </c>
      <c r="BZ572" s="61"/>
      <c r="CD572" s="18" t="e">
        <f>VLOOKUP(C572,CE:CF,2,FALSE)</f>
        <v>#N/A</v>
      </c>
    </row>
    <row r="573" spans="1:82" ht="61.5" x14ac:dyDescent="0.85">
      <c r="A573" s="18">
        <v>1</v>
      </c>
      <c r="B573" s="57">
        <f>SUBTOTAL(103,$A$558:A573)</f>
        <v>16</v>
      </c>
      <c r="C573" s="22" t="s">
        <v>790</v>
      </c>
      <c r="D573" s="29">
        <f t="shared" si="93"/>
        <v>3010127.71</v>
      </c>
      <c r="E573" s="29">
        <v>0</v>
      </c>
      <c r="F573" s="29">
        <v>0</v>
      </c>
      <c r="G573" s="29">
        <v>0</v>
      </c>
      <c r="H573" s="29">
        <v>0</v>
      </c>
      <c r="I573" s="29">
        <v>0</v>
      </c>
      <c r="J573" s="29">
        <v>0</v>
      </c>
      <c r="K573" s="31">
        <v>0</v>
      </c>
      <c r="L573" s="29">
        <v>0</v>
      </c>
      <c r="M573" s="29">
        <v>700</v>
      </c>
      <c r="N573" s="29">
        <v>2867120.9</v>
      </c>
      <c r="O573" s="29">
        <v>0</v>
      </c>
      <c r="P573" s="29">
        <v>0</v>
      </c>
      <c r="Q573" s="29">
        <v>0</v>
      </c>
      <c r="R573" s="29">
        <v>0</v>
      </c>
      <c r="S573" s="29">
        <v>0</v>
      </c>
      <c r="T573" s="29">
        <v>0</v>
      </c>
      <c r="U573" s="29">
        <v>0</v>
      </c>
      <c r="V573" s="29">
        <v>0</v>
      </c>
      <c r="W573" s="29">
        <v>0</v>
      </c>
      <c r="X573" s="29">
        <v>0</v>
      </c>
      <c r="Y573" s="29">
        <v>0</v>
      </c>
      <c r="Z573" s="29">
        <v>0</v>
      </c>
      <c r="AA573" s="29">
        <v>0</v>
      </c>
      <c r="AB573" s="29">
        <v>0</v>
      </c>
      <c r="AC573" s="29">
        <v>43006.81</v>
      </c>
      <c r="AD573" s="29">
        <v>100000</v>
      </c>
      <c r="AE573" s="29">
        <v>0</v>
      </c>
      <c r="AF573" s="32">
        <v>2021</v>
      </c>
      <c r="AG573" s="32">
        <v>2021</v>
      </c>
      <c r="AH573" s="33">
        <v>2021</v>
      </c>
      <c r="AT573" s="18" t="e">
        <f>VLOOKUP(C573,AW:AX,2,FALSE)</f>
        <v>#N/A</v>
      </c>
      <c r="BZ573" s="61"/>
      <c r="CD573" s="18" t="e">
        <f>VLOOKUP(C573,CE:CF,2,FALSE)</f>
        <v>#N/A</v>
      </c>
    </row>
    <row r="574" spans="1:82" ht="61.5" x14ac:dyDescent="0.85">
      <c r="A574" s="18">
        <v>1</v>
      </c>
      <c r="B574" s="57">
        <f>SUBTOTAL(103,$A$558:A574)</f>
        <v>17</v>
      </c>
      <c r="C574" s="22" t="s">
        <v>546</v>
      </c>
      <c r="D574" s="29">
        <f t="shared" si="93"/>
        <v>1045450</v>
      </c>
      <c r="E574" s="29">
        <v>0</v>
      </c>
      <c r="F574" s="29">
        <v>0</v>
      </c>
      <c r="G574" s="29">
        <v>0</v>
      </c>
      <c r="H574" s="29">
        <v>0</v>
      </c>
      <c r="I574" s="29">
        <v>0</v>
      </c>
      <c r="J574" s="29">
        <v>0</v>
      </c>
      <c r="K574" s="31">
        <v>0</v>
      </c>
      <c r="L574" s="29">
        <v>0</v>
      </c>
      <c r="M574" s="29">
        <v>210</v>
      </c>
      <c r="N574" s="29">
        <v>1030000</v>
      </c>
      <c r="O574" s="29">
        <v>0</v>
      </c>
      <c r="P574" s="29">
        <v>0</v>
      </c>
      <c r="Q574" s="29">
        <v>0</v>
      </c>
      <c r="R574" s="29">
        <v>0</v>
      </c>
      <c r="S574" s="29">
        <v>0</v>
      </c>
      <c r="T574" s="29">
        <v>0</v>
      </c>
      <c r="U574" s="29">
        <v>0</v>
      </c>
      <c r="V574" s="29">
        <v>0</v>
      </c>
      <c r="W574" s="29">
        <v>0</v>
      </c>
      <c r="X574" s="29">
        <v>0</v>
      </c>
      <c r="Y574" s="29">
        <v>0</v>
      </c>
      <c r="Z574" s="29">
        <v>0</v>
      </c>
      <c r="AA574" s="29">
        <v>0</v>
      </c>
      <c r="AB574" s="29">
        <v>0</v>
      </c>
      <c r="AC574" s="29">
        <v>15450</v>
      </c>
      <c r="AD574" s="29">
        <v>0</v>
      </c>
      <c r="AE574" s="29">
        <v>0</v>
      </c>
      <c r="AF574" s="32" t="s">
        <v>268</v>
      </c>
      <c r="AG574" s="32">
        <v>2021</v>
      </c>
      <c r="AH574" s="33">
        <v>2021</v>
      </c>
      <c r="AT574" s="18" t="e">
        <f>VLOOKUP(C574,AW:AX,2,FALSE)</f>
        <v>#N/A</v>
      </c>
      <c r="BZ574" s="61"/>
      <c r="CD574" s="18" t="e">
        <f>VLOOKUP(C574,CE:CF,2,FALSE)</f>
        <v>#N/A</v>
      </c>
    </row>
    <row r="575" spans="1:82" ht="61.5" x14ac:dyDescent="0.85">
      <c r="A575" s="18">
        <v>1</v>
      </c>
      <c r="B575" s="57">
        <f>SUBTOTAL(103,$A$558:A575)</f>
        <v>18</v>
      </c>
      <c r="C575" s="22" t="s">
        <v>792</v>
      </c>
      <c r="D575" s="29">
        <f t="shared" si="93"/>
        <v>5592536.2299999995</v>
      </c>
      <c r="E575" s="29">
        <v>0</v>
      </c>
      <c r="F575" s="29">
        <v>0</v>
      </c>
      <c r="G575" s="29">
        <v>0</v>
      </c>
      <c r="H575" s="29">
        <v>0</v>
      </c>
      <c r="I575" s="29">
        <v>0</v>
      </c>
      <c r="J575" s="29">
        <v>0</v>
      </c>
      <c r="K575" s="64">
        <v>0</v>
      </c>
      <c r="L575" s="29">
        <v>0</v>
      </c>
      <c r="M575" s="29">
        <v>1391</v>
      </c>
      <c r="N575" s="29">
        <v>5411390</v>
      </c>
      <c r="O575" s="29">
        <v>0</v>
      </c>
      <c r="P575" s="29">
        <v>0</v>
      </c>
      <c r="Q575" s="29">
        <v>0</v>
      </c>
      <c r="R575" s="29">
        <v>0</v>
      </c>
      <c r="S575" s="29">
        <v>0</v>
      </c>
      <c r="T575" s="29">
        <v>0</v>
      </c>
      <c r="U575" s="29">
        <v>0</v>
      </c>
      <c r="V575" s="29">
        <v>0</v>
      </c>
      <c r="W575" s="29">
        <v>0</v>
      </c>
      <c r="X575" s="29">
        <v>0</v>
      </c>
      <c r="Y575" s="29">
        <v>0</v>
      </c>
      <c r="Z575" s="29">
        <v>0</v>
      </c>
      <c r="AA575" s="29">
        <v>0</v>
      </c>
      <c r="AB575" s="29">
        <v>0</v>
      </c>
      <c r="AC575" s="29">
        <v>81170.850000000006</v>
      </c>
      <c r="AD575" s="29">
        <v>99975.38</v>
      </c>
      <c r="AE575" s="29">
        <v>0</v>
      </c>
      <c r="AF575" s="32">
        <v>2021</v>
      </c>
      <c r="AG575" s="32">
        <v>2021</v>
      </c>
      <c r="AH575" s="33">
        <v>2021</v>
      </c>
      <c r="AT575" s="18" t="e">
        <f>VLOOKUP(C575,AW:AX,2,FALSE)</f>
        <v>#N/A</v>
      </c>
      <c r="BZ575" s="61"/>
      <c r="CD575" s="18" t="e">
        <f>VLOOKUP(C575,CE:CF,2,FALSE)</f>
        <v>#N/A</v>
      </c>
    </row>
    <row r="576" spans="1:82" ht="61.5" x14ac:dyDescent="0.85">
      <c r="A576" s="18">
        <v>1</v>
      </c>
      <c r="B576" s="57">
        <f>SUBTOTAL(103,$A$558:A576)</f>
        <v>19</v>
      </c>
      <c r="C576" s="22" t="s">
        <v>549</v>
      </c>
      <c r="D576" s="29">
        <f t="shared" si="93"/>
        <v>4005099.29</v>
      </c>
      <c r="E576" s="29">
        <v>0</v>
      </c>
      <c r="F576" s="29">
        <v>0</v>
      </c>
      <c r="G576" s="29">
        <v>0</v>
      </c>
      <c r="H576" s="29">
        <v>0</v>
      </c>
      <c r="I576" s="29">
        <v>0</v>
      </c>
      <c r="J576" s="29">
        <v>0</v>
      </c>
      <c r="K576" s="31">
        <v>0</v>
      </c>
      <c r="L576" s="29">
        <v>0</v>
      </c>
      <c r="M576" s="29">
        <v>822</v>
      </c>
      <c r="N576" s="29">
        <v>3847395.52</v>
      </c>
      <c r="O576" s="29">
        <v>0</v>
      </c>
      <c r="P576" s="29">
        <v>0</v>
      </c>
      <c r="Q576" s="29">
        <v>0</v>
      </c>
      <c r="R576" s="29">
        <v>0</v>
      </c>
      <c r="S576" s="29">
        <v>0</v>
      </c>
      <c r="T576" s="29">
        <v>0</v>
      </c>
      <c r="U576" s="29">
        <v>0</v>
      </c>
      <c r="V576" s="29">
        <v>0</v>
      </c>
      <c r="W576" s="29">
        <v>0</v>
      </c>
      <c r="X576" s="29">
        <v>0</v>
      </c>
      <c r="Y576" s="29">
        <v>0</v>
      </c>
      <c r="Z576" s="29">
        <v>0</v>
      </c>
      <c r="AA576" s="29">
        <v>0</v>
      </c>
      <c r="AB576" s="29">
        <v>0</v>
      </c>
      <c r="AC576" s="29">
        <v>57710.93</v>
      </c>
      <c r="AD576" s="29">
        <v>99992.84</v>
      </c>
      <c r="AE576" s="29">
        <v>0</v>
      </c>
      <c r="AF576" s="32">
        <v>2021</v>
      </c>
      <c r="AG576" s="32">
        <v>2021</v>
      </c>
      <c r="AH576" s="33">
        <v>2021</v>
      </c>
      <c r="AT576" s="18" t="e">
        <f>VLOOKUP(C576,AW:AX,2,FALSE)</f>
        <v>#N/A</v>
      </c>
      <c r="BZ576" s="61"/>
      <c r="CD576" s="18" t="e">
        <f>VLOOKUP(C576,CE:CF,2,FALSE)</f>
        <v>#N/A</v>
      </c>
    </row>
    <row r="577" spans="1:82" ht="61.5" x14ac:dyDescent="0.85">
      <c r="A577" s="18">
        <v>1</v>
      </c>
      <c r="B577" s="57">
        <f>SUBTOTAL(103,$A$558:A577)</f>
        <v>20</v>
      </c>
      <c r="C577" s="22" t="s">
        <v>1616</v>
      </c>
      <c r="D577" s="29">
        <f t="shared" si="93"/>
        <v>2379578.94</v>
      </c>
      <c r="E577" s="29">
        <v>0</v>
      </c>
      <c r="F577" s="29">
        <v>0</v>
      </c>
      <c r="G577" s="29">
        <v>0</v>
      </c>
      <c r="H577" s="29">
        <v>0</v>
      </c>
      <c r="I577" s="29">
        <v>0</v>
      </c>
      <c r="J577" s="29">
        <v>0</v>
      </c>
      <c r="K577" s="31">
        <v>0</v>
      </c>
      <c r="L577" s="29">
        <v>0</v>
      </c>
      <c r="M577" s="29">
        <v>485</v>
      </c>
      <c r="N577" s="29">
        <v>2263354.2599999998</v>
      </c>
      <c r="O577" s="29">
        <v>0</v>
      </c>
      <c r="P577" s="29">
        <v>0</v>
      </c>
      <c r="Q577" s="29">
        <v>0</v>
      </c>
      <c r="R577" s="29">
        <v>0</v>
      </c>
      <c r="S577" s="29">
        <v>0</v>
      </c>
      <c r="T577" s="29">
        <v>0</v>
      </c>
      <c r="U577" s="29">
        <v>0</v>
      </c>
      <c r="V577" s="29">
        <v>0</v>
      </c>
      <c r="W577" s="29">
        <v>0</v>
      </c>
      <c r="X577" s="29">
        <v>0</v>
      </c>
      <c r="Y577" s="29">
        <v>0</v>
      </c>
      <c r="Z577" s="29">
        <v>0</v>
      </c>
      <c r="AA577" s="29">
        <v>0</v>
      </c>
      <c r="AB577" s="29">
        <v>0</v>
      </c>
      <c r="AC577" s="29">
        <v>33950.31</v>
      </c>
      <c r="AD577" s="29">
        <v>82274.37</v>
      </c>
      <c r="AE577" s="29">
        <v>0</v>
      </c>
      <c r="AF577" s="32">
        <v>2021</v>
      </c>
      <c r="AG577" s="32">
        <v>2021</v>
      </c>
      <c r="AH577" s="33">
        <v>2021</v>
      </c>
      <c r="AT577" s="18" t="e">
        <f>VLOOKUP(C577,AW:AX,2,FALSE)</f>
        <v>#N/A</v>
      </c>
      <c r="BZ577" s="61"/>
      <c r="CD577" s="18" t="e">
        <f>VLOOKUP(C577,CE:CF,2,FALSE)</f>
        <v>#N/A</v>
      </c>
    </row>
    <row r="578" spans="1:82" ht="61.5" x14ac:dyDescent="0.85">
      <c r="A578" s="18">
        <v>1</v>
      </c>
      <c r="B578" s="57">
        <f>SUBTOTAL(103,$A$558:A578)</f>
        <v>21</v>
      </c>
      <c r="C578" s="22" t="s">
        <v>552</v>
      </c>
      <c r="D578" s="29">
        <f t="shared" si="93"/>
        <v>2564514.5199999996</v>
      </c>
      <c r="E578" s="29">
        <v>0</v>
      </c>
      <c r="F578" s="29">
        <v>0</v>
      </c>
      <c r="G578" s="29">
        <v>0</v>
      </c>
      <c r="H578" s="29">
        <v>0</v>
      </c>
      <c r="I578" s="29">
        <v>0</v>
      </c>
      <c r="J578" s="29">
        <v>0</v>
      </c>
      <c r="K578" s="31">
        <v>0</v>
      </c>
      <c r="L578" s="29">
        <v>0</v>
      </c>
      <c r="M578" s="29">
        <v>606</v>
      </c>
      <c r="N578" s="29">
        <v>2425477.84</v>
      </c>
      <c r="O578" s="29">
        <v>0</v>
      </c>
      <c r="P578" s="29">
        <v>0</v>
      </c>
      <c r="Q578" s="29">
        <v>0</v>
      </c>
      <c r="R578" s="29">
        <v>0</v>
      </c>
      <c r="S578" s="29">
        <v>0</v>
      </c>
      <c r="T578" s="29">
        <v>0</v>
      </c>
      <c r="U578" s="29">
        <v>0</v>
      </c>
      <c r="V578" s="29">
        <v>0</v>
      </c>
      <c r="W578" s="29">
        <v>0</v>
      </c>
      <c r="X578" s="29">
        <v>0</v>
      </c>
      <c r="Y578" s="29">
        <v>0</v>
      </c>
      <c r="Z578" s="29">
        <v>0</v>
      </c>
      <c r="AA578" s="29">
        <v>0</v>
      </c>
      <c r="AB578" s="29">
        <v>0</v>
      </c>
      <c r="AC578" s="29">
        <v>36382.17</v>
      </c>
      <c r="AD578" s="29">
        <v>102654.51</v>
      </c>
      <c r="AE578" s="29">
        <v>0</v>
      </c>
      <c r="AF578" s="32">
        <v>2021</v>
      </c>
      <c r="AG578" s="32">
        <v>2021</v>
      </c>
      <c r="AH578" s="33">
        <v>2021</v>
      </c>
      <c r="AT578" s="18" t="e">
        <f>VLOOKUP(C578,AW:AX,2,FALSE)</f>
        <v>#N/A</v>
      </c>
      <c r="BZ578" s="61"/>
      <c r="CD578" s="18" t="e">
        <f>VLOOKUP(C578,CE:CF,2,FALSE)</f>
        <v>#N/A</v>
      </c>
    </row>
    <row r="579" spans="1:82" ht="61.5" x14ac:dyDescent="0.85">
      <c r="A579" s="18">
        <v>1</v>
      </c>
      <c r="B579" s="57">
        <f>SUBTOTAL(103,$A$558:A579)</f>
        <v>22</v>
      </c>
      <c r="C579" s="22" t="s">
        <v>555</v>
      </c>
      <c r="D579" s="29">
        <f t="shared" si="93"/>
        <v>2185133.9699999997</v>
      </c>
      <c r="E579" s="29">
        <v>0</v>
      </c>
      <c r="F579" s="29">
        <v>0</v>
      </c>
      <c r="G579" s="29">
        <v>0</v>
      </c>
      <c r="H579" s="29">
        <v>0</v>
      </c>
      <c r="I579" s="29">
        <v>0</v>
      </c>
      <c r="J579" s="29">
        <v>0</v>
      </c>
      <c r="K579" s="31">
        <v>0</v>
      </c>
      <c r="L579" s="29">
        <v>0</v>
      </c>
      <c r="M579" s="29">
        <v>432.6</v>
      </c>
      <c r="N579" s="29">
        <v>2070720.36</v>
      </c>
      <c r="O579" s="29">
        <v>0</v>
      </c>
      <c r="P579" s="29">
        <v>0</v>
      </c>
      <c r="Q579" s="29">
        <v>0</v>
      </c>
      <c r="R579" s="29">
        <v>0</v>
      </c>
      <c r="S579" s="29">
        <v>0</v>
      </c>
      <c r="T579" s="29">
        <v>0</v>
      </c>
      <c r="U579" s="29">
        <v>0</v>
      </c>
      <c r="V579" s="29">
        <v>0</v>
      </c>
      <c r="W579" s="29">
        <v>0</v>
      </c>
      <c r="X579" s="29">
        <v>0</v>
      </c>
      <c r="Y579" s="29">
        <v>0</v>
      </c>
      <c r="Z579" s="29">
        <v>0</v>
      </c>
      <c r="AA579" s="29">
        <v>0</v>
      </c>
      <c r="AB579" s="29">
        <v>0</v>
      </c>
      <c r="AC579" s="29">
        <v>31060.81</v>
      </c>
      <c r="AD579" s="29">
        <v>83352.800000000003</v>
      </c>
      <c r="AE579" s="29">
        <v>0</v>
      </c>
      <c r="AF579" s="32">
        <v>2021</v>
      </c>
      <c r="AG579" s="32">
        <v>2021</v>
      </c>
      <c r="AH579" s="33">
        <v>2021</v>
      </c>
      <c r="AT579" s="18" t="e">
        <f>VLOOKUP(C579,AW:AX,2,FALSE)</f>
        <v>#N/A</v>
      </c>
      <c r="BZ579" s="61"/>
      <c r="CD579" s="18" t="e">
        <f>VLOOKUP(C579,CE:CF,2,FALSE)</f>
        <v>#N/A</v>
      </c>
    </row>
    <row r="580" spans="1:82" ht="61.5" x14ac:dyDescent="0.85">
      <c r="A580" s="18">
        <v>1</v>
      </c>
      <c r="B580" s="57">
        <f>SUBTOTAL(103,$A$558:A580)</f>
        <v>23</v>
      </c>
      <c r="C580" s="22" t="s">
        <v>556</v>
      </c>
      <c r="D580" s="29">
        <f t="shared" si="93"/>
        <v>2794940.58</v>
      </c>
      <c r="E580" s="29">
        <v>0</v>
      </c>
      <c r="F580" s="29">
        <v>0</v>
      </c>
      <c r="G580" s="29">
        <v>0</v>
      </c>
      <c r="H580" s="29">
        <v>0</v>
      </c>
      <c r="I580" s="29">
        <v>0</v>
      </c>
      <c r="J580" s="29">
        <v>0</v>
      </c>
      <c r="K580" s="31">
        <v>0</v>
      </c>
      <c r="L580" s="29">
        <v>0</v>
      </c>
      <c r="M580" s="29">
        <v>642</v>
      </c>
      <c r="N580" s="29">
        <v>2655113.87</v>
      </c>
      <c r="O580" s="29">
        <v>0</v>
      </c>
      <c r="P580" s="29">
        <v>0</v>
      </c>
      <c r="Q580" s="29">
        <v>0</v>
      </c>
      <c r="R580" s="29">
        <v>0</v>
      </c>
      <c r="S580" s="29">
        <v>0</v>
      </c>
      <c r="T580" s="29">
        <v>0</v>
      </c>
      <c r="U580" s="29">
        <v>0</v>
      </c>
      <c r="V580" s="29">
        <v>0</v>
      </c>
      <c r="W580" s="29">
        <v>0</v>
      </c>
      <c r="X580" s="29">
        <v>0</v>
      </c>
      <c r="Y580" s="29">
        <v>0</v>
      </c>
      <c r="Z580" s="29">
        <v>0</v>
      </c>
      <c r="AA580" s="29">
        <v>0</v>
      </c>
      <c r="AB580" s="29">
        <v>0</v>
      </c>
      <c r="AC580" s="29">
        <v>39826.71</v>
      </c>
      <c r="AD580" s="29">
        <v>100000</v>
      </c>
      <c r="AE580" s="29">
        <v>0</v>
      </c>
      <c r="AF580" s="32">
        <v>2021</v>
      </c>
      <c r="AG580" s="32">
        <v>2021</v>
      </c>
      <c r="AH580" s="33">
        <v>2021</v>
      </c>
      <c r="AT580" s="18" t="e">
        <f>VLOOKUP(C580,AW:AX,2,FALSE)</f>
        <v>#N/A</v>
      </c>
      <c r="BZ580" s="61"/>
      <c r="CD580" s="18" t="e">
        <f>VLOOKUP(C580,CE:CF,2,FALSE)</f>
        <v>#N/A</v>
      </c>
    </row>
    <row r="581" spans="1:82" ht="61.5" x14ac:dyDescent="0.85">
      <c r="A581" s="18">
        <v>1</v>
      </c>
      <c r="B581" s="57">
        <f>SUBTOTAL(103,$A$558:A581)</f>
        <v>24</v>
      </c>
      <c r="C581" s="22" t="s">
        <v>1601</v>
      </c>
      <c r="D581" s="29">
        <f t="shared" si="93"/>
        <v>7135450</v>
      </c>
      <c r="E581" s="29">
        <v>0</v>
      </c>
      <c r="F581" s="29">
        <v>0</v>
      </c>
      <c r="G581" s="29">
        <v>0</v>
      </c>
      <c r="H581" s="29">
        <v>0</v>
      </c>
      <c r="I581" s="29">
        <v>0</v>
      </c>
      <c r="J581" s="29">
        <v>0</v>
      </c>
      <c r="K581" s="31">
        <v>0</v>
      </c>
      <c r="L581" s="29">
        <v>0</v>
      </c>
      <c r="M581" s="29">
        <v>2300</v>
      </c>
      <c r="N581" s="29">
        <v>7030000</v>
      </c>
      <c r="O581" s="29">
        <v>0</v>
      </c>
      <c r="P581" s="29">
        <v>0</v>
      </c>
      <c r="Q581" s="29">
        <v>0</v>
      </c>
      <c r="R581" s="29">
        <v>0</v>
      </c>
      <c r="S581" s="29">
        <v>0</v>
      </c>
      <c r="T581" s="29">
        <v>0</v>
      </c>
      <c r="U581" s="29">
        <v>0</v>
      </c>
      <c r="V581" s="29">
        <v>0</v>
      </c>
      <c r="W581" s="29">
        <v>0</v>
      </c>
      <c r="X581" s="29">
        <v>0</v>
      </c>
      <c r="Y581" s="29">
        <v>0</v>
      </c>
      <c r="Z581" s="29">
        <v>0</v>
      </c>
      <c r="AA581" s="29">
        <v>0</v>
      </c>
      <c r="AB581" s="29">
        <v>0</v>
      </c>
      <c r="AC581" s="29">
        <v>105450</v>
      </c>
      <c r="AD581" s="29">
        <v>0</v>
      </c>
      <c r="AE581" s="29">
        <v>0</v>
      </c>
      <c r="AF581" s="32" t="s">
        <v>268</v>
      </c>
      <c r="AG581" s="32">
        <v>2021</v>
      </c>
      <c r="AH581" s="33">
        <v>2021</v>
      </c>
      <c r="BZ581" s="61"/>
      <c r="CD581" s="18" t="e">
        <f>VLOOKUP(C581,CE:CF,2,FALSE)</f>
        <v>#N/A</v>
      </c>
    </row>
    <row r="582" spans="1:82" ht="61.5" x14ac:dyDescent="0.85">
      <c r="A582" s="18">
        <v>1</v>
      </c>
      <c r="B582" s="57">
        <f>SUBTOTAL(103,$A$558:A582)</f>
        <v>25</v>
      </c>
      <c r="C582" s="22" t="s">
        <v>557</v>
      </c>
      <c r="D582" s="29">
        <f t="shared" si="93"/>
        <v>2349725</v>
      </c>
      <c r="E582" s="29">
        <v>0</v>
      </c>
      <c r="F582" s="29">
        <v>0</v>
      </c>
      <c r="G582" s="29">
        <v>0</v>
      </c>
      <c r="H582" s="29">
        <v>0</v>
      </c>
      <c r="I582" s="29">
        <v>0</v>
      </c>
      <c r="J582" s="29">
        <v>0</v>
      </c>
      <c r="K582" s="31">
        <v>0</v>
      </c>
      <c r="L582" s="29">
        <v>0</v>
      </c>
      <c r="M582" s="29">
        <v>1200</v>
      </c>
      <c r="N582" s="29">
        <v>2315000</v>
      </c>
      <c r="O582" s="29">
        <v>0</v>
      </c>
      <c r="P582" s="29">
        <v>0</v>
      </c>
      <c r="Q582" s="29">
        <v>0</v>
      </c>
      <c r="R582" s="29">
        <v>0</v>
      </c>
      <c r="S582" s="29">
        <v>0</v>
      </c>
      <c r="T582" s="29">
        <v>0</v>
      </c>
      <c r="U582" s="29">
        <v>0</v>
      </c>
      <c r="V582" s="29">
        <v>0</v>
      </c>
      <c r="W582" s="29">
        <v>0</v>
      </c>
      <c r="X582" s="29">
        <v>0</v>
      </c>
      <c r="Y582" s="29">
        <v>0</v>
      </c>
      <c r="Z582" s="29">
        <v>0</v>
      </c>
      <c r="AA582" s="29">
        <v>0</v>
      </c>
      <c r="AB582" s="29">
        <v>0</v>
      </c>
      <c r="AC582" s="29">
        <v>34725</v>
      </c>
      <c r="AD582" s="29">
        <v>0</v>
      </c>
      <c r="AE582" s="29">
        <v>0</v>
      </c>
      <c r="AF582" s="32" t="s">
        <v>268</v>
      </c>
      <c r="AG582" s="32">
        <v>2021</v>
      </c>
      <c r="AH582" s="33">
        <v>2021</v>
      </c>
      <c r="AT582" s="18" t="e">
        <f>VLOOKUP(C582,AW:AX,2,FALSE)</f>
        <v>#N/A</v>
      </c>
      <c r="BZ582" s="61"/>
      <c r="CD582" s="18" t="e">
        <f>VLOOKUP(C582,CE:CF,2,FALSE)</f>
        <v>#N/A</v>
      </c>
    </row>
    <row r="583" spans="1:82" ht="61.5" x14ac:dyDescent="0.85">
      <c r="A583" s="18">
        <v>1</v>
      </c>
      <c r="B583" s="57">
        <f>SUBTOTAL(103,$A$558:A583)</f>
        <v>26</v>
      </c>
      <c r="C583" s="22" t="s">
        <v>558</v>
      </c>
      <c r="D583" s="29">
        <f t="shared" si="93"/>
        <v>2102735.67</v>
      </c>
      <c r="E583" s="29">
        <v>0</v>
      </c>
      <c r="F583" s="29">
        <v>0</v>
      </c>
      <c r="G583" s="29">
        <v>0</v>
      </c>
      <c r="H583" s="29">
        <v>0</v>
      </c>
      <c r="I583" s="29">
        <v>0</v>
      </c>
      <c r="J583" s="29">
        <v>0</v>
      </c>
      <c r="K583" s="31">
        <v>0</v>
      </c>
      <c r="L583" s="29">
        <v>0</v>
      </c>
      <c r="M583" s="29">
        <v>483</v>
      </c>
      <c r="N583" s="29">
        <v>1973138.59</v>
      </c>
      <c r="O583" s="29">
        <v>0</v>
      </c>
      <c r="P583" s="29">
        <v>0</v>
      </c>
      <c r="Q583" s="29">
        <v>0</v>
      </c>
      <c r="R583" s="29">
        <v>0</v>
      </c>
      <c r="S583" s="29">
        <v>0</v>
      </c>
      <c r="T583" s="29">
        <v>0</v>
      </c>
      <c r="U583" s="29">
        <v>0</v>
      </c>
      <c r="V583" s="29">
        <v>0</v>
      </c>
      <c r="W583" s="29">
        <v>0</v>
      </c>
      <c r="X583" s="29">
        <v>0</v>
      </c>
      <c r="Y583" s="29">
        <v>0</v>
      </c>
      <c r="Z583" s="29">
        <v>0</v>
      </c>
      <c r="AA583" s="29">
        <v>0</v>
      </c>
      <c r="AB583" s="29">
        <v>0</v>
      </c>
      <c r="AC583" s="29">
        <v>29597.08</v>
      </c>
      <c r="AD583" s="29">
        <v>100000</v>
      </c>
      <c r="AE583" s="29">
        <v>0</v>
      </c>
      <c r="AF583" s="32">
        <v>2021</v>
      </c>
      <c r="AG583" s="32">
        <v>2021</v>
      </c>
      <c r="AH583" s="33">
        <v>2021</v>
      </c>
      <c r="AT583" s="18" t="e">
        <f>VLOOKUP(C583,AW:AX,2,FALSE)</f>
        <v>#N/A</v>
      </c>
      <c r="BZ583" s="61"/>
      <c r="CD583" s="18" t="e">
        <f>VLOOKUP(C583,CE:CF,2,FALSE)</f>
        <v>#N/A</v>
      </c>
    </row>
    <row r="584" spans="1:82" ht="61.5" x14ac:dyDescent="0.85">
      <c r="A584" s="18">
        <v>1</v>
      </c>
      <c r="B584" s="57">
        <f>SUBTOTAL(103,$A$558:A584)</f>
        <v>27</v>
      </c>
      <c r="C584" s="22" t="s">
        <v>559</v>
      </c>
      <c r="D584" s="29">
        <f t="shared" si="93"/>
        <v>1977750</v>
      </c>
      <c r="E584" s="29">
        <v>0</v>
      </c>
      <c r="F584" s="29">
        <v>0</v>
      </c>
      <c r="G584" s="29">
        <v>0</v>
      </c>
      <c r="H584" s="29">
        <v>0</v>
      </c>
      <c r="I584" s="29">
        <v>0</v>
      </c>
      <c r="J584" s="29">
        <v>0</v>
      </c>
      <c r="K584" s="31">
        <v>0</v>
      </c>
      <c r="L584" s="29">
        <v>0</v>
      </c>
      <c r="M584" s="29">
        <v>506.2</v>
      </c>
      <c r="N584" s="29">
        <v>1850000</v>
      </c>
      <c r="O584" s="29">
        <v>0</v>
      </c>
      <c r="P584" s="29">
        <v>0</v>
      </c>
      <c r="Q584" s="29">
        <v>0</v>
      </c>
      <c r="R584" s="29">
        <v>0</v>
      </c>
      <c r="S584" s="29">
        <v>0</v>
      </c>
      <c r="T584" s="29">
        <v>0</v>
      </c>
      <c r="U584" s="29">
        <v>0</v>
      </c>
      <c r="V584" s="29">
        <v>0</v>
      </c>
      <c r="W584" s="29">
        <v>0</v>
      </c>
      <c r="X584" s="29">
        <v>0</v>
      </c>
      <c r="Y584" s="29">
        <v>0</v>
      </c>
      <c r="Z584" s="29">
        <v>0</v>
      </c>
      <c r="AA584" s="29">
        <v>0</v>
      </c>
      <c r="AB584" s="29">
        <v>0</v>
      </c>
      <c r="AC584" s="29">
        <v>27750</v>
      </c>
      <c r="AD584" s="29">
        <v>100000</v>
      </c>
      <c r="AE584" s="29">
        <v>0</v>
      </c>
      <c r="AF584" s="32">
        <v>2021</v>
      </c>
      <c r="AG584" s="32">
        <v>2021</v>
      </c>
      <c r="AH584" s="33">
        <v>2021</v>
      </c>
      <c r="AT584" s="18" t="e">
        <f>VLOOKUP(C584,AW:AX,2,FALSE)</f>
        <v>#N/A</v>
      </c>
      <c r="BZ584" s="61"/>
      <c r="CD584" s="18" t="e">
        <f>VLOOKUP(C584,CE:CF,2,FALSE)</f>
        <v>#N/A</v>
      </c>
    </row>
    <row r="585" spans="1:82" ht="61.5" x14ac:dyDescent="0.85">
      <c r="A585" s="18">
        <v>1</v>
      </c>
      <c r="B585" s="57">
        <f>SUBTOTAL(103,$A$558:A585)</f>
        <v>28</v>
      </c>
      <c r="C585" s="22" t="s">
        <v>560</v>
      </c>
      <c r="D585" s="29">
        <f t="shared" si="93"/>
        <v>3319050</v>
      </c>
      <c r="E585" s="29">
        <v>0</v>
      </c>
      <c r="F585" s="29">
        <v>0</v>
      </c>
      <c r="G585" s="29">
        <v>0</v>
      </c>
      <c r="H585" s="29">
        <v>0</v>
      </c>
      <c r="I585" s="29">
        <v>0</v>
      </c>
      <c r="J585" s="29">
        <v>0</v>
      </c>
      <c r="K585" s="31">
        <v>0</v>
      </c>
      <c r="L585" s="29">
        <v>0</v>
      </c>
      <c r="M585" s="29">
        <v>960</v>
      </c>
      <c r="N585" s="29">
        <v>3270000</v>
      </c>
      <c r="O585" s="29">
        <v>0</v>
      </c>
      <c r="P585" s="29">
        <v>0</v>
      </c>
      <c r="Q585" s="29">
        <v>0</v>
      </c>
      <c r="R585" s="29">
        <v>0</v>
      </c>
      <c r="S585" s="29">
        <v>0</v>
      </c>
      <c r="T585" s="29">
        <v>0</v>
      </c>
      <c r="U585" s="29">
        <v>0</v>
      </c>
      <c r="V585" s="29">
        <v>0</v>
      </c>
      <c r="W585" s="29">
        <v>0</v>
      </c>
      <c r="X585" s="29">
        <v>0</v>
      </c>
      <c r="Y585" s="29">
        <v>0</v>
      </c>
      <c r="Z585" s="29">
        <v>0</v>
      </c>
      <c r="AA585" s="29">
        <v>0</v>
      </c>
      <c r="AB585" s="29">
        <v>0</v>
      </c>
      <c r="AC585" s="29">
        <v>49050</v>
      </c>
      <c r="AD585" s="29">
        <v>0</v>
      </c>
      <c r="AE585" s="29">
        <v>0</v>
      </c>
      <c r="AF585" s="32" t="s">
        <v>268</v>
      </c>
      <c r="AG585" s="32">
        <v>2021</v>
      </c>
      <c r="AH585" s="33">
        <v>2021</v>
      </c>
      <c r="BZ585" s="61"/>
      <c r="CD585" s="18" t="e">
        <f>VLOOKUP(C585,CE:CF,2,FALSE)</f>
        <v>#N/A</v>
      </c>
    </row>
    <row r="586" spans="1:82" ht="61.5" x14ac:dyDescent="0.85">
      <c r="A586" s="18">
        <v>1</v>
      </c>
      <c r="B586" s="57">
        <f>SUBTOTAL(103,$A$558:A586)</f>
        <v>29</v>
      </c>
      <c r="C586" s="22" t="s">
        <v>561</v>
      </c>
      <c r="D586" s="29">
        <f t="shared" si="93"/>
        <v>3977523.46</v>
      </c>
      <c r="E586" s="29">
        <v>0</v>
      </c>
      <c r="F586" s="29">
        <v>0</v>
      </c>
      <c r="G586" s="29">
        <v>0</v>
      </c>
      <c r="H586" s="29">
        <v>0</v>
      </c>
      <c r="I586" s="29">
        <v>0</v>
      </c>
      <c r="J586" s="29">
        <v>0</v>
      </c>
      <c r="K586" s="31">
        <v>0</v>
      </c>
      <c r="L586" s="29">
        <v>0</v>
      </c>
      <c r="M586" s="29">
        <v>651</v>
      </c>
      <c r="N586" s="29">
        <v>3820232.32</v>
      </c>
      <c r="O586" s="29">
        <v>0</v>
      </c>
      <c r="P586" s="29">
        <v>0</v>
      </c>
      <c r="Q586" s="29">
        <v>0</v>
      </c>
      <c r="R586" s="29">
        <v>0</v>
      </c>
      <c r="S586" s="29">
        <v>0</v>
      </c>
      <c r="T586" s="29">
        <v>0</v>
      </c>
      <c r="U586" s="29">
        <v>0</v>
      </c>
      <c r="V586" s="29">
        <v>0</v>
      </c>
      <c r="W586" s="29">
        <v>0</v>
      </c>
      <c r="X586" s="29">
        <v>0</v>
      </c>
      <c r="Y586" s="29">
        <v>0</v>
      </c>
      <c r="Z586" s="29">
        <v>0</v>
      </c>
      <c r="AA586" s="29">
        <v>0</v>
      </c>
      <c r="AB586" s="29">
        <v>0</v>
      </c>
      <c r="AC586" s="29">
        <v>57303.48</v>
      </c>
      <c r="AD586" s="29">
        <v>99987.66</v>
      </c>
      <c r="AE586" s="29">
        <v>0</v>
      </c>
      <c r="AF586" s="32">
        <v>2021</v>
      </c>
      <c r="AG586" s="32">
        <v>2021</v>
      </c>
      <c r="AH586" s="33">
        <v>2021</v>
      </c>
      <c r="AT586" s="18" t="e">
        <f>VLOOKUP(C586,AW:AX,2,FALSE)</f>
        <v>#N/A</v>
      </c>
      <c r="BZ586" s="61"/>
      <c r="CD586" s="18" t="e">
        <f>VLOOKUP(C586,CE:CF,2,FALSE)</f>
        <v>#N/A</v>
      </c>
    </row>
    <row r="587" spans="1:82" ht="61.5" x14ac:dyDescent="0.85">
      <c r="A587" s="18">
        <v>1</v>
      </c>
      <c r="B587" s="57">
        <f>SUBTOTAL(103,$A$558:A587)</f>
        <v>30</v>
      </c>
      <c r="C587" s="22" t="s">
        <v>562</v>
      </c>
      <c r="D587" s="29">
        <f t="shared" si="93"/>
        <v>1141875</v>
      </c>
      <c r="E587" s="29">
        <v>0</v>
      </c>
      <c r="F587" s="29">
        <v>0</v>
      </c>
      <c r="G587" s="29">
        <v>0</v>
      </c>
      <c r="H587" s="29">
        <v>0</v>
      </c>
      <c r="I587" s="29">
        <v>0</v>
      </c>
      <c r="J587" s="29">
        <v>0</v>
      </c>
      <c r="K587" s="31">
        <v>0</v>
      </c>
      <c r="L587" s="29">
        <v>0</v>
      </c>
      <c r="M587" s="29">
        <v>287</v>
      </c>
      <c r="N587" s="29">
        <v>1125000</v>
      </c>
      <c r="O587" s="29">
        <v>0</v>
      </c>
      <c r="P587" s="29">
        <v>0</v>
      </c>
      <c r="Q587" s="29">
        <v>0</v>
      </c>
      <c r="R587" s="29">
        <v>0</v>
      </c>
      <c r="S587" s="29">
        <v>0</v>
      </c>
      <c r="T587" s="29">
        <v>0</v>
      </c>
      <c r="U587" s="29">
        <v>0</v>
      </c>
      <c r="V587" s="29">
        <v>0</v>
      </c>
      <c r="W587" s="29">
        <v>0</v>
      </c>
      <c r="X587" s="29">
        <v>0</v>
      </c>
      <c r="Y587" s="29">
        <v>0</v>
      </c>
      <c r="Z587" s="29">
        <v>0</v>
      </c>
      <c r="AA587" s="29">
        <v>0</v>
      </c>
      <c r="AB587" s="29">
        <v>0</v>
      </c>
      <c r="AC587" s="29">
        <v>16875</v>
      </c>
      <c r="AD587" s="29">
        <v>0</v>
      </c>
      <c r="AE587" s="29">
        <v>0</v>
      </c>
      <c r="AF587" s="32" t="s">
        <v>268</v>
      </c>
      <c r="AG587" s="32">
        <v>2021</v>
      </c>
      <c r="AH587" s="33">
        <v>2021</v>
      </c>
      <c r="AT587" s="18" t="e">
        <f>VLOOKUP(C587,AW:AX,2,FALSE)</f>
        <v>#N/A</v>
      </c>
      <c r="BZ587" s="61"/>
      <c r="CD587" s="18" t="e">
        <f>VLOOKUP(C587,CE:CF,2,FALSE)</f>
        <v>#N/A</v>
      </c>
    </row>
    <row r="588" spans="1:82" ht="61.5" x14ac:dyDescent="0.85">
      <c r="A588" s="18">
        <v>1</v>
      </c>
      <c r="B588" s="57">
        <f>SUBTOTAL(103,$A$558:A588)</f>
        <v>31</v>
      </c>
      <c r="C588" s="22" t="s">
        <v>563</v>
      </c>
      <c r="D588" s="29">
        <f t="shared" si="93"/>
        <v>2314200</v>
      </c>
      <c r="E588" s="29">
        <v>0</v>
      </c>
      <c r="F588" s="29">
        <v>0</v>
      </c>
      <c r="G588" s="29">
        <v>0</v>
      </c>
      <c r="H588" s="29">
        <v>0</v>
      </c>
      <c r="I588" s="29">
        <v>0</v>
      </c>
      <c r="J588" s="29">
        <v>0</v>
      </c>
      <c r="K588" s="31">
        <v>0</v>
      </c>
      <c r="L588" s="29">
        <v>0</v>
      </c>
      <c r="M588" s="29">
        <v>722</v>
      </c>
      <c r="N588" s="29">
        <v>2280000</v>
      </c>
      <c r="O588" s="29">
        <v>0</v>
      </c>
      <c r="P588" s="29">
        <v>0</v>
      </c>
      <c r="Q588" s="29">
        <v>0</v>
      </c>
      <c r="R588" s="29">
        <v>0</v>
      </c>
      <c r="S588" s="29">
        <v>0</v>
      </c>
      <c r="T588" s="29">
        <v>0</v>
      </c>
      <c r="U588" s="29">
        <v>0</v>
      </c>
      <c r="V588" s="29">
        <v>0</v>
      </c>
      <c r="W588" s="29">
        <v>0</v>
      </c>
      <c r="X588" s="29">
        <v>0</v>
      </c>
      <c r="Y588" s="29">
        <v>0</v>
      </c>
      <c r="Z588" s="29">
        <v>0</v>
      </c>
      <c r="AA588" s="29">
        <v>0</v>
      </c>
      <c r="AB588" s="29">
        <v>0</v>
      </c>
      <c r="AC588" s="29">
        <v>34200</v>
      </c>
      <c r="AD588" s="29">
        <v>0</v>
      </c>
      <c r="AE588" s="29">
        <v>0</v>
      </c>
      <c r="AF588" s="32" t="s">
        <v>268</v>
      </c>
      <c r="AG588" s="32">
        <v>2021</v>
      </c>
      <c r="AH588" s="33">
        <v>2021</v>
      </c>
      <c r="AT588" s="18" t="e">
        <f>VLOOKUP(C588,AW:AX,2,FALSE)</f>
        <v>#N/A</v>
      </c>
      <c r="BZ588" s="61"/>
      <c r="CD588" s="18" t="e">
        <f>VLOOKUP(C588,CE:CF,2,FALSE)</f>
        <v>#N/A</v>
      </c>
    </row>
    <row r="589" spans="1:82" ht="61.5" x14ac:dyDescent="0.85">
      <c r="A589" s="18">
        <v>1</v>
      </c>
      <c r="B589" s="57">
        <f>SUBTOTAL(103,$A$558:A589)</f>
        <v>32</v>
      </c>
      <c r="C589" s="22" t="s">
        <v>564</v>
      </c>
      <c r="D589" s="29">
        <f t="shared" si="93"/>
        <v>5440002.8600000003</v>
      </c>
      <c r="E589" s="29">
        <v>0</v>
      </c>
      <c r="F589" s="29">
        <v>0</v>
      </c>
      <c r="G589" s="29">
        <v>0</v>
      </c>
      <c r="H589" s="29">
        <v>0</v>
      </c>
      <c r="I589" s="29">
        <v>0</v>
      </c>
      <c r="J589" s="29">
        <v>0</v>
      </c>
      <c r="K589" s="31">
        <v>0</v>
      </c>
      <c r="L589" s="29">
        <v>0</v>
      </c>
      <c r="M589" s="29">
        <v>1688</v>
      </c>
      <c r="N589" s="29">
        <v>5261110.2699999996</v>
      </c>
      <c r="O589" s="29">
        <v>0</v>
      </c>
      <c r="P589" s="29">
        <v>0</v>
      </c>
      <c r="Q589" s="29">
        <v>0</v>
      </c>
      <c r="R589" s="29">
        <v>0</v>
      </c>
      <c r="S589" s="29">
        <v>0</v>
      </c>
      <c r="T589" s="29">
        <v>0</v>
      </c>
      <c r="U589" s="29">
        <v>0</v>
      </c>
      <c r="V589" s="29">
        <v>0</v>
      </c>
      <c r="W589" s="29">
        <v>0</v>
      </c>
      <c r="X589" s="29">
        <v>0</v>
      </c>
      <c r="Y589" s="29">
        <v>0</v>
      </c>
      <c r="Z589" s="29">
        <v>0</v>
      </c>
      <c r="AA589" s="29">
        <v>0</v>
      </c>
      <c r="AB589" s="29">
        <v>0</v>
      </c>
      <c r="AC589" s="29">
        <v>78916.649999999994</v>
      </c>
      <c r="AD589" s="29">
        <v>99975.94</v>
      </c>
      <c r="AE589" s="29">
        <v>0</v>
      </c>
      <c r="AF589" s="32">
        <v>2021</v>
      </c>
      <c r="AG589" s="32">
        <v>2021</v>
      </c>
      <c r="AH589" s="33">
        <v>2021</v>
      </c>
      <c r="AT589" s="18" t="e">
        <f>VLOOKUP(C589,AW:AX,2,FALSE)</f>
        <v>#N/A</v>
      </c>
      <c r="BZ589" s="61"/>
      <c r="CD589" s="18" t="e">
        <f>VLOOKUP(C589,CE:CF,2,FALSE)</f>
        <v>#N/A</v>
      </c>
    </row>
    <row r="590" spans="1:82" ht="61.5" x14ac:dyDescent="0.85">
      <c r="A590" s="18">
        <v>1</v>
      </c>
      <c r="B590" s="57">
        <f>SUBTOTAL(103,$A$558:A590)</f>
        <v>33</v>
      </c>
      <c r="C590" s="22" t="s">
        <v>565</v>
      </c>
      <c r="D590" s="29">
        <f t="shared" si="93"/>
        <v>5734750</v>
      </c>
      <c r="E590" s="29">
        <v>0</v>
      </c>
      <c r="F590" s="29">
        <v>0</v>
      </c>
      <c r="G590" s="29">
        <v>0</v>
      </c>
      <c r="H590" s="29">
        <v>0</v>
      </c>
      <c r="I590" s="29">
        <v>0</v>
      </c>
      <c r="J590" s="29">
        <v>0</v>
      </c>
      <c r="K590" s="31">
        <v>0</v>
      </c>
      <c r="L590" s="29">
        <v>0</v>
      </c>
      <c r="M590" s="29">
        <v>1130</v>
      </c>
      <c r="N590" s="29">
        <v>5650000</v>
      </c>
      <c r="O590" s="29">
        <v>0</v>
      </c>
      <c r="P590" s="29">
        <v>0</v>
      </c>
      <c r="Q590" s="29">
        <v>0</v>
      </c>
      <c r="R590" s="29">
        <v>0</v>
      </c>
      <c r="S590" s="29">
        <v>0</v>
      </c>
      <c r="T590" s="29">
        <v>0</v>
      </c>
      <c r="U590" s="29">
        <v>0</v>
      </c>
      <c r="V590" s="29">
        <v>0</v>
      </c>
      <c r="W590" s="29">
        <v>0</v>
      </c>
      <c r="X590" s="29">
        <v>0</v>
      </c>
      <c r="Y590" s="29">
        <v>0</v>
      </c>
      <c r="Z590" s="29">
        <v>0</v>
      </c>
      <c r="AA590" s="29">
        <v>0</v>
      </c>
      <c r="AB590" s="29">
        <v>0</v>
      </c>
      <c r="AC590" s="29">
        <v>84750</v>
      </c>
      <c r="AD590" s="29">
        <v>0</v>
      </c>
      <c r="AE590" s="29">
        <v>0</v>
      </c>
      <c r="AF590" s="32" t="s">
        <v>268</v>
      </c>
      <c r="AG590" s="32">
        <v>2021</v>
      </c>
      <c r="AH590" s="33">
        <v>2021</v>
      </c>
      <c r="AT590" s="18" t="e">
        <f>VLOOKUP(C590,AW:AX,2,FALSE)</f>
        <v>#N/A</v>
      </c>
      <c r="BZ590" s="61"/>
      <c r="CD590" s="18" t="e">
        <f>VLOOKUP(C590,CE:CF,2,FALSE)</f>
        <v>#N/A</v>
      </c>
    </row>
    <row r="591" spans="1:82" ht="61.5" x14ac:dyDescent="0.85">
      <c r="A591" s="18">
        <v>1</v>
      </c>
      <c r="B591" s="57">
        <f>SUBTOTAL(103,$A$558:A591)</f>
        <v>34</v>
      </c>
      <c r="C591" s="22" t="s">
        <v>1365</v>
      </c>
      <c r="D591" s="29">
        <f t="shared" si="93"/>
        <v>4022972.66</v>
      </c>
      <c r="E591" s="29">
        <v>0</v>
      </c>
      <c r="F591" s="29">
        <v>0</v>
      </c>
      <c r="G591" s="29">
        <v>0</v>
      </c>
      <c r="H591" s="29">
        <v>0</v>
      </c>
      <c r="I591" s="29">
        <v>0</v>
      </c>
      <c r="J591" s="29">
        <v>0</v>
      </c>
      <c r="K591" s="31">
        <v>0</v>
      </c>
      <c r="L591" s="29">
        <v>0</v>
      </c>
      <c r="M591" s="29">
        <v>756</v>
      </c>
      <c r="N591" s="29">
        <v>3865000</v>
      </c>
      <c r="O591" s="29">
        <v>0</v>
      </c>
      <c r="P591" s="29">
        <v>0</v>
      </c>
      <c r="Q591" s="29">
        <v>0</v>
      </c>
      <c r="R591" s="29">
        <v>0</v>
      </c>
      <c r="S591" s="29">
        <v>0</v>
      </c>
      <c r="T591" s="29">
        <v>0</v>
      </c>
      <c r="U591" s="29">
        <v>0</v>
      </c>
      <c r="V591" s="29">
        <v>0</v>
      </c>
      <c r="W591" s="29">
        <v>0</v>
      </c>
      <c r="X591" s="29">
        <v>0</v>
      </c>
      <c r="Y591" s="29">
        <v>0</v>
      </c>
      <c r="Z591" s="29">
        <v>0</v>
      </c>
      <c r="AA591" s="29">
        <v>0</v>
      </c>
      <c r="AB591" s="29">
        <v>0</v>
      </c>
      <c r="AC591" s="29">
        <v>57975</v>
      </c>
      <c r="AD591" s="29">
        <v>99997.66</v>
      </c>
      <c r="AE591" s="29">
        <v>0</v>
      </c>
      <c r="AF591" s="32">
        <v>2021</v>
      </c>
      <c r="AG591" s="32">
        <v>2021</v>
      </c>
      <c r="AH591" s="33">
        <v>2021</v>
      </c>
      <c r="BZ591" s="61"/>
      <c r="CD591" s="18" t="e">
        <f>VLOOKUP(C591,CE:CF,2,FALSE)</f>
        <v>#N/A</v>
      </c>
    </row>
    <row r="592" spans="1:82" ht="61.5" x14ac:dyDescent="0.85">
      <c r="A592" s="18">
        <v>1</v>
      </c>
      <c r="B592" s="57">
        <f>SUBTOTAL(103,$A$558:A592)</f>
        <v>35</v>
      </c>
      <c r="C592" s="22" t="s">
        <v>1366</v>
      </c>
      <c r="D592" s="29">
        <f t="shared" si="93"/>
        <v>3214935.44</v>
      </c>
      <c r="E592" s="29">
        <v>0</v>
      </c>
      <c r="F592" s="29">
        <v>0</v>
      </c>
      <c r="G592" s="29">
        <v>0</v>
      </c>
      <c r="H592" s="29">
        <v>0</v>
      </c>
      <c r="I592" s="29">
        <v>0</v>
      </c>
      <c r="J592" s="29">
        <v>0</v>
      </c>
      <c r="K592" s="31">
        <v>0</v>
      </c>
      <c r="L592" s="29">
        <v>0</v>
      </c>
      <c r="M592" s="29">
        <v>670</v>
      </c>
      <c r="N592" s="29">
        <v>3068910</v>
      </c>
      <c r="O592" s="29">
        <v>0</v>
      </c>
      <c r="P592" s="29">
        <v>0</v>
      </c>
      <c r="Q592" s="29">
        <v>0</v>
      </c>
      <c r="R592" s="29">
        <v>0</v>
      </c>
      <c r="S592" s="29">
        <v>0</v>
      </c>
      <c r="T592" s="29">
        <v>0</v>
      </c>
      <c r="U592" s="29">
        <v>0</v>
      </c>
      <c r="V592" s="29">
        <v>0</v>
      </c>
      <c r="W592" s="29">
        <v>0</v>
      </c>
      <c r="X592" s="29">
        <v>0</v>
      </c>
      <c r="Y592" s="29">
        <v>0</v>
      </c>
      <c r="Z592" s="29">
        <v>0</v>
      </c>
      <c r="AA592" s="29">
        <v>0</v>
      </c>
      <c r="AB592" s="29">
        <v>0</v>
      </c>
      <c r="AC592" s="29">
        <v>46033.65</v>
      </c>
      <c r="AD592" s="29">
        <v>99991.79</v>
      </c>
      <c r="AE592" s="29">
        <v>0</v>
      </c>
      <c r="AF592" s="32">
        <v>2021</v>
      </c>
      <c r="AG592" s="32">
        <v>2021</v>
      </c>
      <c r="AH592" s="33">
        <v>2021</v>
      </c>
      <c r="BZ592" s="61"/>
      <c r="CD592" s="18" t="e">
        <f>VLOOKUP(C592,CE:CF,2,FALSE)</f>
        <v>#N/A</v>
      </c>
    </row>
    <row r="593" spans="1:84" ht="61.5" x14ac:dyDescent="0.85">
      <c r="A593" s="18">
        <v>1</v>
      </c>
      <c r="B593" s="57">
        <f>SUBTOTAL(103,$A$558:A593)</f>
        <v>36</v>
      </c>
      <c r="C593" s="22" t="s">
        <v>1367</v>
      </c>
      <c r="D593" s="29">
        <f t="shared" si="93"/>
        <v>1335035.1000000001</v>
      </c>
      <c r="E593" s="29">
        <v>0</v>
      </c>
      <c r="F593" s="29">
        <v>0</v>
      </c>
      <c r="G593" s="29">
        <v>0</v>
      </c>
      <c r="H593" s="29">
        <v>0</v>
      </c>
      <c r="I593" s="29">
        <v>0</v>
      </c>
      <c r="J593" s="29">
        <v>0</v>
      </c>
      <c r="K593" s="31">
        <v>0</v>
      </c>
      <c r="L593" s="29">
        <v>0</v>
      </c>
      <c r="M593" s="29">
        <v>272.05</v>
      </c>
      <c r="N593" s="29">
        <v>1246340</v>
      </c>
      <c r="O593" s="29">
        <v>0</v>
      </c>
      <c r="P593" s="29">
        <v>0</v>
      </c>
      <c r="Q593" s="29">
        <v>0</v>
      </c>
      <c r="R593" s="29">
        <v>0</v>
      </c>
      <c r="S593" s="29">
        <v>0</v>
      </c>
      <c r="T593" s="29">
        <v>0</v>
      </c>
      <c r="U593" s="29">
        <v>0</v>
      </c>
      <c r="V593" s="29">
        <v>0</v>
      </c>
      <c r="W593" s="29">
        <v>0</v>
      </c>
      <c r="X593" s="29">
        <v>0</v>
      </c>
      <c r="Y593" s="29">
        <v>0</v>
      </c>
      <c r="Z593" s="29">
        <v>0</v>
      </c>
      <c r="AA593" s="29">
        <v>0</v>
      </c>
      <c r="AB593" s="29">
        <v>0</v>
      </c>
      <c r="AC593" s="29">
        <v>18695.099999999999</v>
      </c>
      <c r="AD593" s="29">
        <v>70000</v>
      </c>
      <c r="AE593" s="29">
        <v>0</v>
      </c>
      <c r="AF593" s="32">
        <v>2021</v>
      </c>
      <c r="AG593" s="32">
        <v>2021</v>
      </c>
      <c r="AH593" s="33">
        <v>2021</v>
      </c>
      <c r="BZ593" s="61"/>
      <c r="CD593" s="18" t="e">
        <f>VLOOKUP(C593,CE:CF,2,FALSE)</f>
        <v>#N/A</v>
      </c>
    </row>
    <row r="594" spans="1:84" ht="61.5" x14ac:dyDescent="0.85">
      <c r="A594" s="18">
        <v>1</v>
      </c>
      <c r="B594" s="57">
        <f>SUBTOTAL(103,$A$558:A594)</f>
        <v>37</v>
      </c>
      <c r="C594" s="22" t="s">
        <v>1368</v>
      </c>
      <c r="D594" s="29">
        <f t="shared" si="93"/>
        <v>4364500</v>
      </c>
      <c r="E594" s="29">
        <v>0</v>
      </c>
      <c r="F594" s="29">
        <v>0</v>
      </c>
      <c r="G594" s="29">
        <v>0</v>
      </c>
      <c r="H594" s="29">
        <v>0</v>
      </c>
      <c r="I594" s="29">
        <v>0</v>
      </c>
      <c r="J594" s="29">
        <v>0</v>
      </c>
      <c r="K594" s="31">
        <v>0</v>
      </c>
      <c r="L594" s="29">
        <v>0</v>
      </c>
      <c r="M594" s="29">
        <v>886</v>
      </c>
      <c r="N594" s="29">
        <v>4300000</v>
      </c>
      <c r="O594" s="29">
        <v>0</v>
      </c>
      <c r="P594" s="29">
        <v>0</v>
      </c>
      <c r="Q594" s="29">
        <v>0</v>
      </c>
      <c r="R594" s="29">
        <v>0</v>
      </c>
      <c r="S594" s="29">
        <v>0</v>
      </c>
      <c r="T594" s="29">
        <v>0</v>
      </c>
      <c r="U594" s="29">
        <v>0</v>
      </c>
      <c r="V594" s="29">
        <v>0</v>
      </c>
      <c r="W594" s="29">
        <v>0</v>
      </c>
      <c r="X594" s="29">
        <v>0</v>
      </c>
      <c r="Y594" s="29">
        <v>0</v>
      </c>
      <c r="Z594" s="29">
        <v>0</v>
      </c>
      <c r="AA594" s="29">
        <v>0</v>
      </c>
      <c r="AB594" s="29">
        <v>0</v>
      </c>
      <c r="AC594" s="29">
        <v>64500</v>
      </c>
      <c r="AD594" s="29">
        <v>0</v>
      </c>
      <c r="AE594" s="29">
        <v>0</v>
      </c>
      <c r="AF594" s="32" t="s">
        <v>268</v>
      </c>
      <c r="AG594" s="32">
        <v>2021</v>
      </c>
      <c r="AH594" s="33">
        <v>2021</v>
      </c>
      <c r="BZ594" s="61"/>
      <c r="CD594" s="18" t="e">
        <f>VLOOKUP(C594,CE:CF,2,FALSE)</f>
        <v>#N/A</v>
      </c>
    </row>
    <row r="595" spans="1:84" ht="61.5" x14ac:dyDescent="0.85">
      <c r="A595" s="18">
        <v>1</v>
      </c>
      <c r="B595" s="57">
        <f>SUBTOTAL(103,$A$558:A595)</f>
        <v>38</v>
      </c>
      <c r="C595" s="22" t="s">
        <v>1369</v>
      </c>
      <c r="D595" s="29">
        <f t="shared" si="93"/>
        <v>3434732.13</v>
      </c>
      <c r="E595" s="29">
        <v>0</v>
      </c>
      <c r="F595" s="29">
        <v>0</v>
      </c>
      <c r="G595" s="29">
        <v>0</v>
      </c>
      <c r="H595" s="29">
        <v>0</v>
      </c>
      <c r="I595" s="29">
        <v>0</v>
      </c>
      <c r="J595" s="29">
        <v>0</v>
      </c>
      <c r="K595" s="31">
        <v>0</v>
      </c>
      <c r="L595" s="29">
        <v>0</v>
      </c>
      <c r="M595" s="29">
        <v>630</v>
      </c>
      <c r="N595" s="29">
        <v>3285460.19</v>
      </c>
      <c r="O595" s="29">
        <v>0</v>
      </c>
      <c r="P595" s="29">
        <v>0</v>
      </c>
      <c r="Q595" s="29">
        <v>0</v>
      </c>
      <c r="R595" s="29">
        <v>0</v>
      </c>
      <c r="S595" s="29">
        <v>0</v>
      </c>
      <c r="T595" s="29">
        <v>0</v>
      </c>
      <c r="U595" s="29">
        <v>0</v>
      </c>
      <c r="V595" s="29">
        <v>0</v>
      </c>
      <c r="W595" s="29">
        <v>0</v>
      </c>
      <c r="X595" s="29">
        <v>0</v>
      </c>
      <c r="Y595" s="29">
        <v>0</v>
      </c>
      <c r="Z595" s="29">
        <v>0</v>
      </c>
      <c r="AA595" s="29">
        <v>0</v>
      </c>
      <c r="AB595" s="29">
        <v>0</v>
      </c>
      <c r="AC595" s="29">
        <v>49281.9</v>
      </c>
      <c r="AD595" s="29">
        <v>99990.04</v>
      </c>
      <c r="AE595" s="29">
        <v>0</v>
      </c>
      <c r="AF595" s="32">
        <v>2021</v>
      </c>
      <c r="AG595" s="32">
        <v>2021</v>
      </c>
      <c r="AH595" s="33">
        <v>2021</v>
      </c>
      <c r="BZ595" s="61"/>
      <c r="CD595" s="18" t="e">
        <f>VLOOKUP(C595,CE:CF,2,FALSE)</f>
        <v>#N/A</v>
      </c>
    </row>
    <row r="596" spans="1:84" ht="61.5" x14ac:dyDescent="0.85">
      <c r="A596" s="18">
        <v>1</v>
      </c>
      <c r="B596" s="57">
        <f>SUBTOTAL(103,$A$558:A596)</f>
        <v>39</v>
      </c>
      <c r="C596" s="22" t="s">
        <v>497</v>
      </c>
      <c r="D596" s="29">
        <f t="shared" si="93"/>
        <v>5709375</v>
      </c>
      <c r="E596" s="29">
        <v>0</v>
      </c>
      <c r="F596" s="29">
        <v>0</v>
      </c>
      <c r="G596" s="29">
        <v>0</v>
      </c>
      <c r="H596" s="29">
        <v>0</v>
      </c>
      <c r="I596" s="29">
        <v>0</v>
      </c>
      <c r="J596" s="29">
        <v>0</v>
      </c>
      <c r="K596" s="31">
        <v>0</v>
      </c>
      <c r="L596" s="29">
        <v>0</v>
      </c>
      <c r="M596" s="29">
        <v>0</v>
      </c>
      <c r="N596" s="29">
        <v>0</v>
      </c>
      <c r="O596" s="29">
        <v>0</v>
      </c>
      <c r="P596" s="29">
        <v>0</v>
      </c>
      <c r="Q596" s="29">
        <v>2002</v>
      </c>
      <c r="R596" s="29">
        <v>5625000</v>
      </c>
      <c r="S596" s="29">
        <v>0</v>
      </c>
      <c r="T596" s="29">
        <v>0</v>
      </c>
      <c r="U596" s="29">
        <v>0</v>
      </c>
      <c r="V596" s="29">
        <v>0</v>
      </c>
      <c r="W596" s="29">
        <v>0</v>
      </c>
      <c r="X596" s="29">
        <v>0</v>
      </c>
      <c r="Y596" s="29">
        <v>0</v>
      </c>
      <c r="Z596" s="29">
        <v>0</v>
      </c>
      <c r="AA596" s="29">
        <v>0</v>
      </c>
      <c r="AB596" s="29">
        <v>0</v>
      </c>
      <c r="AC596" s="29">
        <v>84375</v>
      </c>
      <c r="AD596" s="29">
        <v>0</v>
      </c>
      <c r="AE596" s="29">
        <v>0</v>
      </c>
      <c r="AF596" s="32" t="s">
        <v>268</v>
      </c>
      <c r="AG596" s="32">
        <v>2021</v>
      </c>
      <c r="AH596" s="33">
        <v>2021</v>
      </c>
      <c r="BZ596" s="61"/>
      <c r="CD596" s="18" t="e">
        <f>VLOOKUP(C596,CE:CF,2,FALSE)</f>
        <v>#N/A</v>
      </c>
    </row>
    <row r="597" spans="1:84" ht="61.5" x14ac:dyDescent="0.85">
      <c r="A597" s="18">
        <v>1</v>
      </c>
      <c r="B597" s="57">
        <f>SUBTOTAL(103,$A$558:A597)</f>
        <v>40</v>
      </c>
      <c r="C597" s="22" t="s">
        <v>1055</v>
      </c>
      <c r="D597" s="29">
        <f t="shared" si="93"/>
        <v>2783418.81</v>
      </c>
      <c r="E597" s="29">
        <v>0</v>
      </c>
      <c r="F597" s="29">
        <v>0</v>
      </c>
      <c r="G597" s="29">
        <v>0</v>
      </c>
      <c r="H597" s="29">
        <v>0</v>
      </c>
      <c r="I597" s="29">
        <v>0</v>
      </c>
      <c r="J597" s="29">
        <v>0</v>
      </c>
      <c r="K597" s="31">
        <v>0</v>
      </c>
      <c r="L597" s="29">
        <v>0</v>
      </c>
      <c r="M597" s="29">
        <v>0</v>
      </c>
      <c r="N597" s="29">
        <v>0</v>
      </c>
      <c r="O597" s="29">
        <v>0</v>
      </c>
      <c r="P597" s="29">
        <v>0</v>
      </c>
      <c r="Q597" s="29">
        <v>860</v>
      </c>
      <c r="R597" s="29">
        <v>2742284.54</v>
      </c>
      <c r="S597" s="29">
        <v>0</v>
      </c>
      <c r="T597" s="29">
        <v>0</v>
      </c>
      <c r="U597" s="29">
        <v>0</v>
      </c>
      <c r="V597" s="29">
        <v>0</v>
      </c>
      <c r="W597" s="29">
        <v>0</v>
      </c>
      <c r="X597" s="29">
        <v>0</v>
      </c>
      <c r="Y597" s="29">
        <v>0</v>
      </c>
      <c r="Z597" s="29">
        <v>0</v>
      </c>
      <c r="AA597" s="29">
        <v>0</v>
      </c>
      <c r="AB597" s="29">
        <v>0</v>
      </c>
      <c r="AC597" s="29">
        <v>41134.269999999997</v>
      </c>
      <c r="AD597" s="29">
        <v>0</v>
      </c>
      <c r="AE597" s="29">
        <v>0</v>
      </c>
      <c r="AF597" s="32" t="s">
        <v>268</v>
      </c>
      <c r="AG597" s="32">
        <v>2021</v>
      </c>
      <c r="AH597" s="33">
        <v>2021</v>
      </c>
      <c r="BZ597" s="61"/>
      <c r="CD597" s="18" t="e">
        <f>VLOOKUP(C597,CE:CF,2,FALSE)</f>
        <v>#N/A</v>
      </c>
    </row>
    <row r="598" spans="1:84" ht="61.5" x14ac:dyDescent="0.85">
      <c r="A598" s="18">
        <v>1</v>
      </c>
      <c r="B598" s="57">
        <f>SUBTOTAL(103,$A$558:A598)</f>
        <v>41</v>
      </c>
      <c r="C598" s="22" t="s">
        <v>1388</v>
      </c>
      <c r="D598" s="29">
        <f t="shared" si="93"/>
        <v>3863646.31</v>
      </c>
      <c r="E598" s="29">
        <v>0</v>
      </c>
      <c r="F598" s="29">
        <v>0</v>
      </c>
      <c r="G598" s="29">
        <v>0</v>
      </c>
      <c r="H598" s="29">
        <v>0</v>
      </c>
      <c r="I598" s="29">
        <v>0</v>
      </c>
      <c r="J598" s="29">
        <v>0</v>
      </c>
      <c r="K598" s="31">
        <v>0</v>
      </c>
      <c r="L598" s="29">
        <v>0</v>
      </c>
      <c r="M598" s="29">
        <v>931.14</v>
      </c>
      <c r="N598" s="29">
        <v>3806548.09</v>
      </c>
      <c r="O598" s="29">
        <v>0</v>
      </c>
      <c r="P598" s="29">
        <v>0</v>
      </c>
      <c r="Q598" s="29">
        <v>0</v>
      </c>
      <c r="R598" s="29">
        <v>0</v>
      </c>
      <c r="S598" s="29">
        <v>0</v>
      </c>
      <c r="T598" s="29">
        <v>0</v>
      </c>
      <c r="U598" s="29">
        <v>0</v>
      </c>
      <c r="V598" s="29">
        <v>0</v>
      </c>
      <c r="W598" s="29">
        <v>0</v>
      </c>
      <c r="X598" s="29">
        <v>0</v>
      </c>
      <c r="Y598" s="29">
        <v>0</v>
      </c>
      <c r="Z598" s="29">
        <v>0</v>
      </c>
      <c r="AA598" s="29">
        <v>0</v>
      </c>
      <c r="AB598" s="29">
        <v>0</v>
      </c>
      <c r="AC598" s="29">
        <v>57098.22</v>
      </c>
      <c r="AD598" s="29">
        <v>0</v>
      </c>
      <c r="AE598" s="29">
        <v>0</v>
      </c>
      <c r="AF598" s="32" t="s">
        <v>268</v>
      </c>
      <c r="AG598" s="32">
        <v>2021</v>
      </c>
      <c r="AH598" s="33">
        <v>2021</v>
      </c>
      <c r="BZ598" s="61"/>
      <c r="CD598" s="18" t="e">
        <f>VLOOKUP(C598,CE:CF,2,FALSE)</f>
        <v>#N/A</v>
      </c>
    </row>
    <row r="599" spans="1:84" ht="61.5" x14ac:dyDescent="0.85">
      <c r="A599" s="18">
        <v>1</v>
      </c>
      <c r="B599" s="57">
        <f>SUBTOTAL(103,$A$558:A599)</f>
        <v>42</v>
      </c>
      <c r="C599" s="22" t="s">
        <v>1361</v>
      </c>
      <c r="D599" s="29">
        <f t="shared" si="93"/>
        <v>1040953.78</v>
      </c>
      <c r="E599" s="29">
        <v>0</v>
      </c>
      <c r="F599" s="29">
        <v>0</v>
      </c>
      <c r="G599" s="29">
        <v>0</v>
      </c>
      <c r="H599" s="29">
        <v>0</v>
      </c>
      <c r="I599" s="29">
        <v>0</v>
      </c>
      <c r="J599" s="29">
        <v>0</v>
      </c>
      <c r="K599" s="31">
        <v>0</v>
      </c>
      <c r="L599" s="29">
        <v>0</v>
      </c>
      <c r="M599" s="29">
        <v>0</v>
      </c>
      <c r="N599" s="29">
        <v>0</v>
      </c>
      <c r="O599" s="29">
        <v>0</v>
      </c>
      <c r="P599" s="29">
        <v>0</v>
      </c>
      <c r="Q599" s="29">
        <v>554</v>
      </c>
      <c r="R599" s="29">
        <v>1025570.23</v>
      </c>
      <c r="S599" s="29">
        <v>0</v>
      </c>
      <c r="T599" s="29">
        <v>0</v>
      </c>
      <c r="U599" s="29">
        <v>0</v>
      </c>
      <c r="V599" s="29">
        <v>0</v>
      </c>
      <c r="W599" s="29">
        <v>0</v>
      </c>
      <c r="X599" s="29">
        <v>0</v>
      </c>
      <c r="Y599" s="29">
        <v>0</v>
      </c>
      <c r="Z599" s="29">
        <v>0</v>
      </c>
      <c r="AA599" s="29">
        <v>0</v>
      </c>
      <c r="AB599" s="29">
        <v>0</v>
      </c>
      <c r="AC599" s="29">
        <v>15383.55</v>
      </c>
      <c r="AD599" s="29">
        <v>0</v>
      </c>
      <c r="AE599" s="29">
        <v>0</v>
      </c>
      <c r="AF599" s="32" t="s">
        <v>268</v>
      </c>
      <c r="AG599" s="32">
        <v>2021</v>
      </c>
      <c r="AH599" s="33">
        <v>2021</v>
      </c>
      <c r="BZ599" s="61"/>
      <c r="CD599" s="18" t="e">
        <f>VLOOKUP(C599,CE:CF,2,FALSE)</f>
        <v>#N/A</v>
      </c>
    </row>
    <row r="600" spans="1:84" ht="61.5" x14ac:dyDescent="0.85">
      <c r="A600" s="18">
        <v>1</v>
      </c>
      <c r="B600" s="57">
        <f>SUBTOTAL(103,$A$558:A600)</f>
        <v>43</v>
      </c>
      <c r="C600" s="22" t="s">
        <v>1106</v>
      </c>
      <c r="D600" s="29">
        <f t="shared" si="93"/>
        <v>2839946.57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v>0</v>
      </c>
      <c r="K600" s="31">
        <v>0</v>
      </c>
      <c r="L600" s="29">
        <v>0</v>
      </c>
      <c r="M600" s="29">
        <v>453.4</v>
      </c>
      <c r="N600" s="29">
        <v>2797976.92</v>
      </c>
      <c r="O600" s="29">
        <v>0</v>
      </c>
      <c r="P600" s="29">
        <v>0</v>
      </c>
      <c r="Q600" s="29">
        <v>0</v>
      </c>
      <c r="R600" s="29">
        <v>0</v>
      </c>
      <c r="S600" s="29">
        <v>0</v>
      </c>
      <c r="T600" s="29">
        <v>0</v>
      </c>
      <c r="U600" s="29">
        <v>0</v>
      </c>
      <c r="V600" s="29">
        <v>0</v>
      </c>
      <c r="W600" s="29">
        <v>0</v>
      </c>
      <c r="X600" s="29">
        <v>0</v>
      </c>
      <c r="Y600" s="29">
        <v>0</v>
      </c>
      <c r="Z600" s="29">
        <v>0</v>
      </c>
      <c r="AA600" s="29">
        <v>0</v>
      </c>
      <c r="AB600" s="29">
        <v>0</v>
      </c>
      <c r="AC600" s="29">
        <v>41969.65</v>
      </c>
      <c r="AD600" s="29">
        <v>0</v>
      </c>
      <c r="AE600" s="29">
        <v>0</v>
      </c>
      <c r="AF600" s="32" t="s">
        <v>268</v>
      </c>
      <c r="AG600" s="32">
        <v>2021</v>
      </c>
      <c r="AH600" s="33">
        <v>2021</v>
      </c>
      <c r="BZ600" s="61"/>
      <c r="CD600" s="18">
        <f>VLOOKUP(C600,CE:CF,2,FALSE)</f>
        <v>453.4</v>
      </c>
    </row>
    <row r="601" spans="1:84" ht="61.5" x14ac:dyDescent="0.85">
      <c r="A601" s="18">
        <v>1</v>
      </c>
      <c r="B601" s="57">
        <f>SUBTOTAL(103,$A$558:A601)</f>
        <v>44</v>
      </c>
      <c r="C601" s="22" t="s">
        <v>1109</v>
      </c>
      <c r="D601" s="29">
        <f t="shared" si="93"/>
        <v>3246745.9499999997</v>
      </c>
      <c r="E601" s="29">
        <v>0</v>
      </c>
      <c r="F601" s="29">
        <v>0</v>
      </c>
      <c r="G601" s="29">
        <v>0</v>
      </c>
      <c r="H601" s="29">
        <v>0</v>
      </c>
      <c r="I601" s="29">
        <v>0</v>
      </c>
      <c r="J601" s="29">
        <v>0</v>
      </c>
      <c r="K601" s="31">
        <v>0</v>
      </c>
      <c r="L601" s="29">
        <v>0</v>
      </c>
      <c r="M601" s="29">
        <v>1093</v>
      </c>
      <c r="N601" s="29">
        <v>3199000.86</v>
      </c>
      <c r="O601" s="29">
        <v>0</v>
      </c>
      <c r="P601" s="29">
        <v>0</v>
      </c>
      <c r="Q601" s="29">
        <v>0</v>
      </c>
      <c r="R601" s="29">
        <v>0</v>
      </c>
      <c r="S601" s="29">
        <v>0</v>
      </c>
      <c r="T601" s="29">
        <v>0</v>
      </c>
      <c r="U601" s="29">
        <v>0</v>
      </c>
      <c r="V601" s="29">
        <v>0</v>
      </c>
      <c r="W601" s="29">
        <v>0</v>
      </c>
      <c r="X601" s="29">
        <v>0</v>
      </c>
      <c r="Y601" s="29">
        <v>0</v>
      </c>
      <c r="Z601" s="29">
        <v>0</v>
      </c>
      <c r="AA601" s="29">
        <v>0</v>
      </c>
      <c r="AB601" s="29">
        <v>0</v>
      </c>
      <c r="AC601" s="29">
        <v>47745.09</v>
      </c>
      <c r="AD601" s="29">
        <v>0</v>
      </c>
      <c r="AE601" s="29">
        <v>0</v>
      </c>
      <c r="AF601" s="32" t="s">
        <v>268</v>
      </c>
      <c r="AG601" s="32">
        <v>2021</v>
      </c>
      <c r="AH601" s="33">
        <v>2021</v>
      </c>
      <c r="BZ601" s="61"/>
      <c r="CD601" s="18">
        <f>VLOOKUP(C601,CE:CF,2,FALSE)</f>
        <v>1093</v>
      </c>
    </row>
    <row r="602" spans="1:84" ht="61.5" x14ac:dyDescent="0.85">
      <c r="A602" s="18">
        <v>1</v>
      </c>
      <c r="B602" s="57">
        <f>SUBTOTAL(103,$A$558:A602)</f>
        <v>45</v>
      </c>
      <c r="C602" s="22" t="s">
        <v>1120</v>
      </c>
      <c r="D602" s="29">
        <f t="shared" si="93"/>
        <v>2329425</v>
      </c>
      <c r="E602" s="29">
        <v>0</v>
      </c>
      <c r="F602" s="29">
        <v>0</v>
      </c>
      <c r="G602" s="29">
        <v>0</v>
      </c>
      <c r="H602" s="29">
        <v>0</v>
      </c>
      <c r="I602" s="29">
        <v>0</v>
      </c>
      <c r="J602" s="29">
        <v>0</v>
      </c>
      <c r="K602" s="31">
        <v>0</v>
      </c>
      <c r="L602" s="29">
        <v>0</v>
      </c>
      <c r="M602" s="29">
        <v>543.4</v>
      </c>
      <c r="N602" s="29">
        <v>2295000</v>
      </c>
      <c r="O602" s="29">
        <v>0</v>
      </c>
      <c r="P602" s="29">
        <v>0</v>
      </c>
      <c r="Q602" s="29">
        <v>0</v>
      </c>
      <c r="R602" s="29">
        <v>0</v>
      </c>
      <c r="S602" s="29">
        <v>0</v>
      </c>
      <c r="T602" s="29">
        <v>0</v>
      </c>
      <c r="U602" s="29">
        <v>0</v>
      </c>
      <c r="V602" s="29">
        <v>0</v>
      </c>
      <c r="W602" s="29">
        <v>0</v>
      </c>
      <c r="X602" s="29">
        <v>0</v>
      </c>
      <c r="Y602" s="29">
        <v>0</v>
      </c>
      <c r="Z602" s="29">
        <v>0</v>
      </c>
      <c r="AA602" s="29">
        <v>0</v>
      </c>
      <c r="AB602" s="29">
        <v>0</v>
      </c>
      <c r="AC602" s="29">
        <v>34425</v>
      </c>
      <c r="AD602" s="29">
        <v>0</v>
      </c>
      <c r="AE602" s="29">
        <v>0</v>
      </c>
      <c r="AF602" s="32" t="s">
        <v>268</v>
      </c>
      <c r="AG602" s="32">
        <v>2021</v>
      </c>
      <c r="AH602" s="33">
        <v>2021</v>
      </c>
      <c r="BZ602" s="61"/>
      <c r="CD602" s="18" t="e">
        <f>VLOOKUP(C602,CE:CF,2,FALSE)</f>
        <v>#N/A</v>
      </c>
    </row>
    <row r="603" spans="1:84" ht="61.5" x14ac:dyDescent="0.85">
      <c r="A603" s="18">
        <v>1</v>
      </c>
      <c r="B603" s="57">
        <f>SUBTOTAL(103,$A$558:A603)</f>
        <v>46</v>
      </c>
      <c r="C603" s="22" t="s">
        <v>1121</v>
      </c>
      <c r="D603" s="29">
        <f t="shared" si="93"/>
        <v>2694825</v>
      </c>
      <c r="E603" s="29">
        <v>0</v>
      </c>
      <c r="F603" s="29">
        <v>0</v>
      </c>
      <c r="G603" s="29">
        <v>0</v>
      </c>
      <c r="H603" s="29">
        <v>0</v>
      </c>
      <c r="I603" s="29">
        <v>0</v>
      </c>
      <c r="J603" s="29">
        <v>0</v>
      </c>
      <c r="K603" s="31">
        <v>0</v>
      </c>
      <c r="L603" s="29">
        <v>0</v>
      </c>
      <c r="M603" s="29">
        <v>665</v>
      </c>
      <c r="N603" s="29">
        <v>2655000</v>
      </c>
      <c r="O603" s="29">
        <v>0</v>
      </c>
      <c r="P603" s="29">
        <v>0</v>
      </c>
      <c r="Q603" s="29">
        <v>0</v>
      </c>
      <c r="R603" s="29">
        <v>0</v>
      </c>
      <c r="S603" s="29">
        <v>0</v>
      </c>
      <c r="T603" s="29">
        <v>0</v>
      </c>
      <c r="U603" s="29">
        <v>0</v>
      </c>
      <c r="V603" s="29">
        <v>0</v>
      </c>
      <c r="W603" s="29">
        <v>0</v>
      </c>
      <c r="X603" s="29">
        <v>0</v>
      </c>
      <c r="Y603" s="29">
        <v>0</v>
      </c>
      <c r="Z603" s="29">
        <v>0</v>
      </c>
      <c r="AA603" s="29">
        <v>0</v>
      </c>
      <c r="AB603" s="29">
        <v>0</v>
      </c>
      <c r="AC603" s="29">
        <v>39825</v>
      </c>
      <c r="AD603" s="29">
        <v>0</v>
      </c>
      <c r="AE603" s="29">
        <v>0</v>
      </c>
      <c r="AF603" s="32" t="s">
        <v>268</v>
      </c>
      <c r="AG603" s="32">
        <v>2021</v>
      </c>
      <c r="AH603" s="33">
        <v>2021</v>
      </c>
      <c r="BZ603" s="61"/>
      <c r="CD603" s="18" t="e">
        <f>VLOOKUP(C603,CE:CF,2,FALSE)</f>
        <v>#N/A</v>
      </c>
    </row>
    <row r="604" spans="1:84" ht="61.5" x14ac:dyDescent="0.85">
      <c r="A604" s="18">
        <v>1</v>
      </c>
      <c r="B604" s="57">
        <f>SUBTOTAL(103,$A$558:A604)</f>
        <v>47</v>
      </c>
      <c r="C604" s="22" t="s">
        <v>1602</v>
      </c>
      <c r="D604" s="29">
        <f t="shared" si="93"/>
        <v>3060225</v>
      </c>
      <c r="E604" s="29">
        <v>0</v>
      </c>
      <c r="F604" s="29">
        <v>0</v>
      </c>
      <c r="G604" s="29">
        <v>0</v>
      </c>
      <c r="H604" s="29">
        <v>0</v>
      </c>
      <c r="I604" s="29">
        <v>0</v>
      </c>
      <c r="J604" s="29">
        <v>0</v>
      </c>
      <c r="K604" s="31">
        <v>0</v>
      </c>
      <c r="L604" s="29">
        <v>0</v>
      </c>
      <c r="M604" s="29">
        <v>900</v>
      </c>
      <c r="N604" s="29">
        <v>3015000</v>
      </c>
      <c r="O604" s="29">
        <v>0</v>
      </c>
      <c r="P604" s="29">
        <v>0</v>
      </c>
      <c r="Q604" s="29">
        <v>0</v>
      </c>
      <c r="R604" s="29">
        <v>0</v>
      </c>
      <c r="S604" s="29">
        <v>0</v>
      </c>
      <c r="T604" s="29">
        <v>0</v>
      </c>
      <c r="U604" s="29">
        <v>0</v>
      </c>
      <c r="V604" s="29">
        <v>0</v>
      </c>
      <c r="W604" s="29">
        <v>0</v>
      </c>
      <c r="X604" s="29">
        <v>0</v>
      </c>
      <c r="Y604" s="29">
        <v>0</v>
      </c>
      <c r="Z604" s="29">
        <v>0</v>
      </c>
      <c r="AA604" s="29">
        <v>0</v>
      </c>
      <c r="AB604" s="29">
        <v>0</v>
      </c>
      <c r="AC604" s="29">
        <v>45225</v>
      </c>
      <c r="AD604" s="29">
        <v>0</v>
      </c>
      <c r="AE604" s="29">
        <v>0</v>
      </c>
      <c r="AF604" s="32" t="s">
        <v>268</v>
      </c>
      <c r="AG604" s="32">
        <v>2021</v>
      </c>
      <c r="AH604" s="33">
        <v>2021</v>
      </c>
      <c r="BZ604" s="61"/>
      <c r="CD604" s="18" t="e">
        <f>VLOOKUP(C604,CE:CF,2,FALSE)</f>
        <v>#N/A</v>
      </c>
    </row>
    <row r="605" spans="1:84" ht="61.5" x14ac:dyDescent="0.85">
      <c r="A605" s="18">
        <v>1</v>
      </c>
      <c r="B605" s="57">
        <f>SUBTOTAL(103,$A$558:A605)</f>
        <v>48</v>
      </c>
      <c r="C605" s="22" t="s">
        <v>1604</v>
      </c>
      <c r="D605" s="29">
        <f t="shared" si="93"/>
        <v>3158279.48</v>
      </c>
      <c r="E605" s="29">
        <v>0</v>
      </c>
      <c r="F605" s="29">
        <v>0</v>
      </c>
      <c r="G605" s="29">
        <v>0</v>
      </c>
      <c r="H605" s="29">
        <v>0</v>
      </c>
      <c r="I605" s="29">
        <v>0</v>
      </c>
      <c r="J605" s="29">
        <v>0</v>
      </c>
      <c r="K605" s="31">
        <v>0</v>
      </c>
      <c r="L605" s="29">
        <v>0</v>
      </c>
      <c r="M605" s="29">
        <v>0</v>
      </c>
      <c r="N605" s="29">
        <v>0</v>
      </c>
      <c r="O605" s="29">
        <v>0</v>
      </c>
      <c r="P605" s="29">
        <v>0</v>
      </c>
      <c r="Q605" s="29">
        <v>1343.2</v>
      </c>
      <c r="R605" s="29">
        <v>3013086.71</v>
      </c>
      <c r="S605" s="29">
        <v>0</v>
      </c>
      <c r="T605" s="29">
        <v>0</v>
      </c>
      <c r="U605" s="29">
        <v>0</v>
      </c>
      <c r="V605" s="29">
        <v>0</v>
      </c>
      <c r="W605" s="29">
        <v>0</v>
      </c>
      <c r="X605" s="29">
        <v>0</v>
      </c>
      <c r="Y605" s="29">
        <v>0</v>
      </c>
      <c r="Z605" s="29">
        <v>0</v>
      </c>
      <c r="AA605" s="29">
        <v>0</v>
      </c>
      <c r="AB605" s="29">
        <v>0</v>
      </c>
      <c r="AC605" s="29">
        <v>45196.3</v>
      </c>
      <c r="AD605" s="29">
        <v>99996.47</v>
      </c>
      <c r="AE605" s="29">
        <v>0</v>
      </c>
      <c r="AF605" s="32">
        <v>2021</v>
      </c>
      <c r="AG605" s="32">
        <v>2021</v>
      </c>
      <c r="AH605" s="33">
        <v>2021</v>
      </c>
      <c r="BZ605" s="61"/>
      <c r="CD605" s="18" t="e">
        <f>VLOOKUP(C605,CE:CF,2,FALSE)</f>
        <v>#N/A</v>
      </c>
    </row>
    <row r="606" spans="1:84" ht="61.5" x14ac:dyDescent="0.85">
      <c r="A606" s="18">
        <v>1</v>
      </c>
      <c r="B606" s="57">
        <f>SUBTOTAL(103,$A$558:A606)</f>
        <v>49</v>
      </c>
      <c r="C606" s="22" t="s">
        <v>1673</v>
      </c>
      <c r="D606" s="29">
        <f t="shared" ref="D606:D612" si="94">E606+F606+G606+H606+I606+J606+L606+N606+P606+R606+T606+U606+V606+W606+X606+Y606+Z606+AA606+AB606+AC606+AD606+AE606</f>
        <v>2873967.7</v>
      </c>
      <c r="E606" s="29">
        <v>0</v>
      </c>
      <c r="F606" s="29">
        <v>0</v>
      </c>
      <c r="G606" s="29">
        <v>0</v>
      </c>
      <c r="H606" s="29">
        <v>0</v>
      </c>
      <c r="I606" s="29">
        <v>0</v>
      </c>
      <c r="J606" s="29">
        <v>0</v>
      </c>
      <c r="K606" s="64">
        <v>2</v>
      </c>
      <c r="L606" s="29">
        <f>1436983.85*2</f>
        <v>2873967.7</v>
      </c>
      <c r="M606" s="29">
        <v>0</v>
      </c>
      <c r="N606" s="29">
        <v>0</v>
      </c>
      <c r="O606" s="29">
        <v>0</v>
      </c>
      <c r="P606" s="29">
        <v>0</v>
      </c>
      <c r="Q606" s="29">
        <v>0</v>
      </c>
      <c r="R606" s="29">
        <v>0</v>
      </c>
      <c r="S606" s="29">
        <v>0</v>
      </c>
      <c r="T606" s="29">
        <v>0</v>
      </c>
      <c r="U606" s="29">
        <v>0</v>
      </c>
      <c r="V606" s="29">
        <v>0</v>
      </c>
      <c r="W606" s="29">
        <v>0</v>
      </c>
      <c r="X606" s="29">
        <v>0</v>
      </c>
      <c r="Y606" s="29">
        <v>0</v>
      </c>
      <c r="Z606" s="29">
        <v>0</v>
      </c>
      <c r="AA606" s="29">
        <v>0</v>
      </c>
      <c r="AB606" s="29">
        <v>0</v>
      </c>
      <c r="AC606" s="29">
        <v>0</v>
      </c>
      <c r="AD606" s="29">
        <v>0</v>
      </c>
      <c r="AE606" s="29">
        <v>0</v>
      </c>
      <c r="AF606" s="32" t="s">
        <v>268</v>
      </c>
      <c r="AG606" s="32">
        <v>2021</v>
      </c>
      <c r="AH606" s="33" t="s">
        <v>268</v>
      </c>
      <c r="BZ606" s="61"/>
      <c r="CD606" s="18" t="e">
        <f>VLOOKUP(C606,CE:CF,2,FALSE)</f>
        <v>#N/A</v>
      </c>
    </row>
    <row r="607" spans="1:84" ht="61.5" x14ac:dyDescent="0.85">
      <c r="A607" s="18">
        <v>1</v>
      </c>
      <c r="B607" s="57">
        <f>SUBTOTAL(103,$A$558:A607)</f>
        <v>50</v>
      </c>
      <c r="C607" s="22" t="s">
        <v>479</v>
      </c>
      <c r="D607" s="29">
        <f t="shared" si="94"/>
        <v>4050838.2899999996</v>
      </c>
      <c r="E607" s="29">
        <v>0</v>
      </c>
      <c r="F607" s="29">
        <v>0</v>
      </c>
      <c r="G607" s="29">
        <v>0</v>
      </c>
      <c r="H607" s="29">
        <v>0</v>
      </c>
      <c r="I607" s="29">
        <v>0</v>
      </c>
      <c r="J607" s="29">
        <v>0</v>
      </c>
      <c r="K607" s="31">
        <v>0</v>
      </c>
      <c r="L607" s="29">
        <v>0</v>
      </c>
      <c r="M607" s="29">
        <v>600</v>
      </c>
      <c r="N607" s="29">
        <v>3892486.84</v>
      </c>
      <c r="O607" s="29">
        <v>0</v>
      </c>
      <c r="P607" s="29">
        <v>0</v>
      </c>
      <c r="Q607" s="29">
        <v>0</v>
      </c>
      <c r="R607" s="29">
        <v>0</v>
      </c>
      <c r="S607" s="29">
        <v>0</v>
      </c>
      <c r="T607" s="29">
        <v>0</v>
      </c>
      <c r="U607" s="29">
        <v>0</v>
      </c>
      <c r="V607" s="29">
        <v>0</v>
      </c>
      <c r="W607" s="29">
        <v>0</v>
      </c>
      <c r="X607" s="29">
        <v>0</v>
      </c>
      <c r="Y607" s="29">
        <v>0</v>
      </c>
      <c r="Z607" s="29">
        <v>0</v>
      </c>
      <c r="AA607" s="29">
        <v>0</v>
      </c>
      <c r="AB607" s="29">
        <v>0</v>
      </c>
      <c r="AC607" s="29">
        <v>58387.3</v>
      </c>
      <c r="AD607" s="29">
        <v>99964.15</v>
      </c>
      <c r="AE607" s="29">
        <v>0</v>
      </c>
      <c r="AF607" s="32">
        <v>2021</v>
      </c>
      <c r="AG607" s="32">
        <v>2021</v>
      </c>
      <c r="AH607" s="32">
        <v>2021</v>
      </c>
      <c r="AT607" s="18" t="e">
        <f>VLOOKUP(C607,AW:AX,2,FALSE)</f>
        <v>#N/A</v>
      </c>
      <c r="AW607" s="18" t="s">
        <v>49</v>
      </c>
      <c r="AX607" s="18">
        <v>1</v>
      </c>
      <c r="BZ607" s="61"/>
      <c r="CD607" s="18" t="e">
        <f>VLOOKUP(C607,CE:CF,2,FALSE)</f>
        <v>#N/A</v>
      </c>
      <c r="CE607" s="85" t="s">
        <v>515</v>
      </c>
      <c r="CF607" s="85">
        <v>1603.24</v>
      </c>
    </row>
    <row r="608" spans="1:84" ht="61.5" x14ac:dyDescent="0.85">
      <c r="A608" s="18">
        <v>1</v>
      </c>
      <c r="B608" s="57">
        <f>SUBTOTAL(103,$A$558:A608)</f>
        <v>51</v>
      </c>
      <c r="C608" s="22" t="s">
        <v>489</v>
      </c>
      <c r="D608" s="29">
        <f t="shared" si="94"/>
        <v>1987488.72</v>
      </c>
      <c r="E608" s="29">
        <v>0</v>
      </c>
      <c r="F608" s="29">
        <v>0</v>
      </c>
      <c r="G608" s="29">
        <v>0</v>
      </c>
      <c r="H608" s="29">
        <v>0</v>
      </c>
      <c r="I608" s="29">
        <v>0</v>
      </c>
      <c r="J608" s="29">
        <v>0</v>
      </c>
      <c r="K608" s="31">
        <v>0</v>
      </c>
      <c r="L608" s="29">
        <v>0</v>
      </c>
      <c r="M608" s="29">
        <v>0</v>
      </c>
      <c r="N608" s="29">
        <v>0</v>
      </c>
      <c r="O608" s="29">
        <v>0</v>
      </c>
      <c r="P608" s="29">
        <v>0</v>
      </c>
      <c r="Q608" s="29">
        <v>541.86</v>
      </c>
      <c r="R608" s="29">
        <v>1958116.97</v>
      </c>
      <c r="S608" s="29">
        <v>0</v>
      </c>
      <c r="T608" s="29">
        <v>0</v>
      </c>
      <c r="U608" s="29">
        <v>0</v>
      </c>
      <c r="V608" s="29">
        <v>0</v>
      </c>
      <c r="W608" s="29">
        <v>0</v>
      </c>
      <c r="X608" s="29">
        <v>0</v>
      </c>
      <c r="Y608" s="29">
        <v>0</v>
      </c>
      <c r="Z608" s="29">
        <v>0</v>
      </c>
      <c r="AA608" s="29">
        <v>0</v>
      </c>
      <c r="AB608" s="29">
        <v>0</v>
      </c>
      <c r="AC608" s="29">
        <v>29371.75</v>
      </c>
      <c r="AD608" s="29">
        <v>0</v>
      </c>
      <c r="AE608" s="29">
        <v>0</v>
      </c>
      <c r="AF608" s="32" t="s">
        <v>268</v>
      </c>
      <c r="AG608" s="32">
        <v>2021</v>
      </c>
      <c r="AH608" s="32">
        <v>2021</v>
      </c>
      <c r="AT608" s="18" t="e">
        <f>VLOOKUP(C608,AW:AX,2,FALSE)</f>
        <v>#N/A</v>
      </c>
      <c r="AW608" s="18" t="s">
        <v>805</v>
      </c>
      <c r="AX608" s="18">
        <v>1</v>
      </c>
      <c r="BZ608" s="61"/>
      <c r="CD608" s="18" t="e">
        <f>VLOOKUP(C608,CE:CF,2,FALSE)</f>
        <v>#N/A</v>
      </c>
      <c r="CE608" s="85" t="s">
        <v>655</v>
      </c>
      <c r="CF608" s="85">
        <v>900</v>
      </c>
    </row>
    <row r="609" spans="1:84" ht="61.5" x14ac:dyDescent="0.85">
      <c r="A609" s="18">
        <v>1</v>
      </c>
      <c r="B609" s="57">
        <f>SUBTOTAL(103,$A$558:A609)</f>
        <v>52</v>
      </c>
      <c r="C609" s="22" t="s">
        <v>494</v>
      </c>
      <c r="D609" s="29">
        <f t="shared" si="94"/>
        <v>4667101.3599999994</v>
      </c>
      <c r="E609" s="29">
        <v>0</v>
      </c>
      <c r="F609" s="29">
        <v>0</v>
      </c>
      <c r="G609" s="29">
        <v>0</v>
      </c>
      <c r="H609" s="29">
        <v>0</v>
      </c>
      <c r="I609" s="29">
        <v>0</v>
      </c>
      <c r="J609" s="29">
        <v>0</v>
      </c>
      <c r="K609" s="64">
        <v>1</v>
      </c>
      <c r="L609" s="29">
        <v>2270000</v>
      </c>
      <c r="M609" s="29">
        <v>1020</v>
      </c>
      <c r="N609" s="29">
        <v>2126475.19</v>
      </c>
      <c r="O609" s="29">
        <v>0</v>
      </c>
      <c r="P609" s="29">
        <v>0</v>
      </c>
      <c r="Q609" s="29">
        <v>0</v>
      </c>
      <c r="R609" s="29">
        <v>0</v>
      </c>
      <c r="S609" s="29">
        <v>0</v>
      </c>
      <c r="T609" s="29">
        <v>0</v>
      </c>
      <c r="U609" s="29">
        <v>0</v>
      </c>
      <c r="V609" s="29">
        <v>0</v>
      </c>
      <c r="W609" s="29">
        <v>0</v>
      </c>
      <c r="X609" s="29">
        <v>0</v>
      </c>
      <c r="Y609" s="29">
        <v>0</v>
      </c>
      <c r="Z609" s="29">
        <v>0</v>
      </c>
      <c r="AA609" s="29">
        <v>0</v>
      </c>
      <c r="AB609" s="29">
        <v>0</v>
      </c>
      <c r="AC609" s="29">
        <v>31897.13</v>
      </c>
      <c r="AD609" s="37">
        <v>238729.04</v>
      </c>
      <c r="AE609" s="29">
        <v>0</v>
      </c>
      <c r="AF609" s="32">
        <v>2021</v>
      </c>
      <c r="AG609" s="32">
        <v>2021</v>
      </c>
      <c r="AH609" s="32">
        <v>2021</v>
      </c>
      <c r="AT609" s="18" t="e">
        <f>VLOOKUP(C609,AW:AX,2,FALSE)</f>
        <v>#N/A</v>
      </c>
      <c r="BZ609" s="61"/>
      <c r="CD609" s="18" t="e">
        <f>VLOOKUP(C609,CE:CF,2,FALSE)</f>
        <v>#N/A</v>
      </c>
      <c r="CE609" s="85" t="s">
        <v>168</v>
      </c>
      <c r="CF609" s="85">
        <v>412.82</v>
      </c>
    </row>
    <row r="610" spans="1:84" ht="61.5" x14ac:dyDescent="0.85">
      <c r="A610" s="18">
        <v>1</v>
      </c>
      <c r="B610" s="57">
        <f>SUBTOTAL(103,$A$558:A610)</f>
        <v>53</v>
      </c>
      <c r="C610" s="22" t="s">
        <v>495</v>
      </c>
      <c r="D610" s="29">
        <f t="shared" si="94"/>
        <v>1135747.27</v>
      </c>
      <c r="E610" s="29">
        <v>0</v>
      </c>
      <c r="F610" s="29">
        <v>0</v>
      </c>
      <c r="G610" s="29">
        <v>0</v>
      </c>
      <c r="H610" s="29">
        <v>0</v>
      </c>
      <c r="I610" s="29">
        <v>0</v>
      </c>
      <c r="J610" s="29">
        <v>0</v>
      </c>
      <c r="K610" s="31">
        <v>0</v>
      </c>
      <c r="L610" s="29">
        <v>0</v>
      </c>
      <c r="M610" s="29">
        <v>350</v>
      </c>
      <c r="N610" s="29">
        <v>1118962.83</v>
      </c>
      <c r="O610" s="29">
        <v>0</v>
      </c>
      <c r="P610" s="29">
        <v>0</v>
      </c>
      <c r="Q610" s="29">
        <v>0</v>
      </c>
      <c r="R610" s="29">
        <v>0</v>
      </c>
      <c r="S610" s="29">
        <v>0</v>
      </c>
      <c r="T610" s="29">
        <v>0</v>
      </c>
      <c r="U610" s="29">
        <v>0</v>
      </c>
      <c r="V610" s="29">
        <v>0</v>
      </c>
      <c r="W610" s="29">
        <v>0</v>
      </c>
      <c r="X610" s="29">
        <v>0</v>
      </c>
      <c r="Y610" s="29">
        <v>0</v>
      </c>
      <c r="Z610" s="29">
        <v>0</v>
      </c>
      <c r="AA610" s="29">
        <v>0</v>
      </c>
      <c r="AB610" s="29">
        <v>0</v>
      </c>
      <c r="AC610" s="29">
        <v>16784.439999999999</v>
      </c>
      <c r="AD610" s="29">
        <v>0</v>
      </c>
      <c r="AE610" s="29">
        <v>0</v>
      </c>
      <c r="AF610" s="32" t="s">
        <v>268</v>
      </c>
      <c r="AG610" s="32">
        <v>2021</v>
      </c>
      <c r="AH610" s="32">
        <v>2021</v>
      </c>
      <c r="AT610" s="18" t="e">
        <f>VLOOKUP(C610,AW:AX,2,FALSE)</f>
        <v>#N/A</v>
      </c>
      <c r="BZ610" s="61"/>
      <c r="CD610" s="18" t="e">
        <f>VLOOKUP(C610,CE:CF,2,FALSE)</f>
        <v>#N/A</v>
      </c>
      <c r="CE610" s="85" t="s">
        <v>1280</v>
      </c>
      <c r="CF610" s="85">
        <v>735</v>
      </c>
    </row>
    <row r="611" spans="1:84" ht="61.5" x14ac:dyDescent="0.85">
      <c r="A611" s="18">
        <v>1</v>
      </c>
      <c r="B611" s="57">
        <f>SUBTOTAL(103,$A$558:A611)</f>
        <v>54</v>
      </c>
      <c r="C611" s="22" t="s">
        <v>501</v>
      </c>
      <c r="D611" s="29">
        <f t="shared" si="94"/>
        <v>1994020.5499999998</v>
      </c>
      <c r="E611" s="29">
        <v>0</v>
      </c>
      <c r="F611" s="29">
        <v>0</v>
      </c>
      <c r="G611" s="29">
        <v>0</v>
      </c>
      <c r="H611" s="29">
        <v>0</v>
      </c>
      <c r="I611" s="29">
        <v>0</v>
      </c>
      <c r="J611" s="29">
        <v>0</v>
      </c>
      <c r="K611" s="31">
        <v>0</v>
      </c>
      <c r="L611" s="29">
        <v>0</v>
      </c>
      <c r="M611" s="134">
        <v>479</v>
      </c>
      <c r="N611" s="134">
        <v>1966877.64</v>
      </c>
      <c r="O611" s="29">
        <v>0</v>
      </c>
      <c r="P611" s="29">
        <v>0</v>
      </c>
      <c r="Q611" s="29">
        <v>0</v>
      </c>
      <c r="R611" s="29">
        <v>0</v>
      </c>
      <c r="S611" s="29">
        <v>0</v>
      </c>
      <c r="T611" s="29">
        <v>0</v>
      </c>
      <c r="U611" s="29">
        <v>0</v>
      </c>
      <c r="V611" s="29">
        <v>0</v>
      </c>
      <c r="W611" s="29">
        <v>0</v>
      </c>
      <c r="X611" s="29">
        <v>0</v>
      </c>
      <c r="Y611" s="29">
        <v>0</v>
      </c>
      <c r="Z611" s="29">
        <v>0</v>
      </c>
      <c r="AA611" s="29">
        <v>0</v>
      </c>
      <c r="AB611" s="29">
        <v>0</v>
      </c>
      <c r="AC611" s="29">
        <v>27142.91</v>
      </c>
      <c r="AD611" s="29">
        <v>0</v>
      </c>
      <c r="AE611" s="29">
        <v>0</v>
      </c>
      <c r="AF611" s="32" t="s">
        <v>268</v>
      </c>
      <c r="AG611" s="32">
        <v>2021</v>
      </c>
      <c r="AH611" s="32">
        <v>2021</v>
      </c>
      <c r="AT611" s="18" t="e">
        <f>VLOOKUP(C611,AW:AX,2,FALSE)</f>
        <v>#N/A</v>
      </c>
      <c r="BZ611" s="61"/>
      <c r="CD611" s="18" t="e">
        <f>VLOOKUP(C611,CE:CF,2,FALSE)</f>
        <v>#N/A</v>
      </c>
      <c r="CE611" s="85" t="s">
        <v>517</v>
      </c>
      <c r="CF611" s="85">
        <v>777.1</v>
      </c>
    </row>
    <row r="612" spans="1:84" ht="61.5" x14ac:dyDescent="0.85">
      <c r="A612" s="18">
        <v>1</v>
      </c>
      <c r="B612" s="57">
        <f>SUBTOTAL(103,$A$558:A612)</f>
        <v>55</v>
      </c>
      <c r="C612" s="22" t="s">
        <v>1600</v>
      </c>
      <c r="D612" s="29">
        <f t="shared" si="94"/>
        <v>2018639.07</v>
      </c>
      <c r="E612" s="29">
        <v>0</v>
      </c>
      <c r="F612" s="29">
        <v>0</v>
      </c>
      <c r="G612" s="29">
        <v>0</v>
      </c>
      <c r="H612" s="29">
        <v>0</v>
      </c>
      <c r="I612" s="29">
        <v>0</v>
      </c>
      <c r="J612" s="29">
        <v>0</v>
      </c>
      <c r="K612" s="31">
        <v>0</v>
      </c>
      <c r="L612" s="29">
        <v>0</v>
      </c>
      <c r="M612" s="134">
        <v>573</v>
      </c>
      <c r="N612" s="134">
        <v>1991161.05</v>
      </c>
      <c r="O612" s="29">
        <v>0</v>
      </c>
      <c r="P612" s="29">
        <v>0</v>
      </c>
      <c r="Q612" s="29">
        <v>0</v>
      </c>
      <c r="R612" s="29">
        <v>0</v>
      </c>
      <c r="S612" s="29">
        <v>0</v>
      </c>
      <c r="T612" s="29">
        <v>0</v>
      </c>
      <c r="U612" s="29">
        <v>0</v>
      </c>
      <c r="V612" s="29">
        <v>0</v>
      </c>
      <c r="W612" s="29">
        <v>0</v>
      </c>
      <c r="X612" s="29">
        <v>0</v>
      </c>
      <c r="Y612" s="29">
        <v>0</v>
      </c>
      <c r="Z612" s="29">
        <v>0</v>
      </c>
      <c r="AA612" s="29">
        <v>0</v>
      </c>
      <c r="AB612" s="29">
        <v>0</v>
      </c>
      <c r="AC612" s="134">
        <v>27478.02</v>
      </c>
      <c r="AD612" s="29">
        <v>0</v>
      </c>
      <c r="AE612" s="29">
        <v>0</v>
      </c>
      <c r="AF612" s="32" t="s">
        <v>268</v>
      </c>
      <c r="AG612" s="32">
        <v>2021</v>
      </c>
      <c r="AH612" s="32">
        <v>2021</v>
      </c>
      <c r="BZ612" s="61"/>
      <c r="CD612" s="18" t="e">
        <f>VLOOKUP(C612,CE:CF,2,FALSE)</f>
        <v>#N/A</v>
      </c>
      <c r="CE612" s="85" t="s">
        <v>1540</v>
      </c>
      <c r="CF612" s="85">
        <v>747.3</v>
      </c>
    </row>
    <row r="613" spans="1:84" ht="61.5" x14ac:dyDescent="0.85">
      <c r="A613" s="18">
        <v>1</v>
      </c>
      <c r="B613" s="57">
        <f>SUBTOTAL(103,$A$558:A613)</f>
        <v>56</v>
      </c>
      <c r="C613" s="22" t="s">
        <v>1686</v>
      </c>
      <c r="D613" s="29">
        <f t="shared" ref="D613:D619" si="95">E613+F613+G613+H613+I613+J613+L613+N613+P613+R613+T613+U613+V613+W613+X613+Y613+Z613+AA613+AB613+AC613+AD613+AE613</f>
        <v>6634451.1399999997</v>
      </c>
      <c r="E613" s="29">
        <v>0</v>
      </c>
      <c r="F613" s="29">
        <v>0</v>
      </c>
      <c r="G613" s="29">
        <v>0</v>
      </c>
      <c r="H613" s="29">
        <v>0</v>
      </c>
      <c r="I613" s="29">
        <v>0</v>
      </c>
      <c r="J613" s="29">
        <v>0</v>
      </c>
      <c r="K613" s="31">
        <v>4</v>
      </c>
      <c r="L613" s="29">
        <v>6501580.1399999997</v>
      </c>
      <c r="M613" s="29">
        <v>0</v>
      </c>
      <c r="N613" s="29">
        <v>0</v>
      </c>
      <c r="O613" s="29">
        <v>0</v>
      </c>
      <c r="P613" s="29">
        <v>0</v>
      </c>
      <c r="Q613" s="29">
        <v>0</v>
      </c>
      <c r="R613" s="29">
        <v>0</v>
      </c>
      <c r="S613" s="29">
        <v>0</v>
      </c>
      <c r="T613" s="29">
        <v>0</v>
      </c>
      <c r="U613" s="29">
        <v>0</v>
      </c>
      <c r="V613" s="29">
        <v>0</v>
      </c>
      <c r="W613" s="29">
        <v>0</v>
      </c>
      <c r="X613" s="29">
        <v>0</v>
      </c>
      <c r="Y613" s="29">
        <v>0</v>
      </c>
      <c r="Z613" s="29">
        <v>0</v>
      </c>
      <c r="AA613" s="29">
        <v>0</v>
      </c>
      <c r="AB613" s="29">
        <v>0</v>
      </c>
      <c r="AC613" s="29">
        <v>0</v>
      </c>
      <c r="AD613" s="29">
        <v>132871</v>
      </c>
      <c r="AE613" s="29">
        <v>0</v>
      </c>
      <c r="AF613" s="32">
        <v>2021</v>
      </c>
      <c r="AG613" s="32">
        <v>2021</v>
      </c>
      <c r="AH613" s="33" t="s">
        <v>268</v>
      </c>
      <c r="BZ613" s="61"/>
      <c r="CD613" s="18" t="e">
        <f>VLOOKUP(C613,CE:CF,2,FALSE)</f>
        <v>#N/A</v>
      </c>
    </row>
    <row r="614" spans="1:84" ht="61.5" x14ac:dyDescent="0.85">
      <c r="A614" s="18">
        <v>1</v>
      </c>
      <c r="B614" s="57">
        <f>SUBTOTAL(103,$A$558:A614)</f>
        <v>57</v>
      </c>
      <c r="C614" s="22" t="s">
        <v>1687</v>
      </c>
      <c r="D614" s="29">
        <f t="shared" si="95"/>
        <v>4622678.45</v>
      </c>
      <c r="E614" s="29">
        <v>0</v>
      </c>
      <c r="F614" s="29">
        <v>0</v>
      </c>
      <c r="G614" s="29">
        <v>0</v>
      </c>
      <c r="H614" s="29">
        <v>0</v>
      </c>
      <c r="I614" s="29">
        <v>0</v>
      </c>
      <c r="J614" s="29">
        <v>0</v>
      </c>
      <c r="K614" s="31">
        <v>0</v>
      </c>
      <c r="L614" s="29">
        <v>0</v>
      </c>
      <c r="M614" s="29">
        <v>952</v>
      </c>
      <c r="N614" s="29">
        <v>4455865</v>
      </c>
      <c r="O614" s="29">
        <v>0</v>
      </c>
      <c r="P614" s="29">
        <v>0</v>
      </c>
      <c r="Q614" s="29">
        <v>0</v>
      </c>
      <c r="R614" s="29">
        <v>0</v>
      </c>
      <c r="S614" s="29">
        <v>0</v>
      </c>
      <c r="T614" s="29">
        <v>0</v>
      </c>
      <c r="U614" s="29">
        <v>0</v>
      </c>
      <c r="V614" s="29">
        <v>0</v>
      </c>
      <c r="W614" s="29">
        <v>0</v>
      </c>
      <c r="X614" s="29">
        <v>0</v>
      </c>
      <c r="Y614" s="29">
        <v>0</v>
      </c>
      <c r="Z614" s="29">
        <v>0</v>
      </c>
      <c r="AA614" s="29">
        <v>0</v>
      </c>
      <c r="AB614" s="29">
        <v>0</v>
      </c>
      <c r="AC614" s="29">
        <v>66837.98</v>
      </c>
      <c r="AD614" s="29">
        <v>99975.47</v>
      </c>
      <c r="AE614" s="29">
        <v>0</v>
      </c>
      <c r="AF614" s="32">
        <v>2021</v>
      </c>
      <c r="AG614" s="32">
        <v>2021</v>
      </c>
      <c r="AH614" s="32">
        <v>2021</v>
      </c>
      <c r="BZ614" s="61"/>
      <c r="CD614" s="18" t="e">
        <f>VLOOKUP(C614,CE:CF,2,FALSE)</f>
        <v>#N/A</v>
      </c>
    </row>
    <row r="615" spans="1:84" ht="61.5" x14ac:dyDescent="0.85">
      <c r="A615" s="18">
        <v>1</v>
      </c>
      <c r="B615" s="57">
        <f>SUBTOTAL(103,$A$558:A615)</f>
        <v>58</v>
      </c>
      <c r="C615" s="22" t="s">
        <v>1858</v>
      </c>
      <c r="D615" s="29">
        <f t="shared" si="95"/>
        <v>2729561.1</v>
      </c>
      <c r="E615" s="29">
        <v>0</v>
      </c>
      <c r="F615" s="29">
        <v>0</v>
      </c>
      <c r="G615" s="29">
        <v>0</v>
      </c>
      <c r="H615" s="29">
        <v>0</v>
      </c>
      <c r="I615" s="29">
        <v>0</v>
      </c>
      <c r="J615" s="29">
        <v>0</v>
      </c>
      <c r="K615" s="31">
        <v>0</v>
      </c>
      <c r="L615" s="29">
        <v>0</v>
      </c>
      <c r="M615" s="29">
        <v>598</v>
      </c>
      <c r="N615" s="29">
        <v>2590720.06</v>
      </c>
      <c r="O615" s="29">
        <v>0</v>
      </c>
      <c r="P615" s="29">
        <v>0</v>
      </c>
      <c r="Q615" s="29">
        <v>0</v>
      </c>
      <c r="R615" s="29">
        <v>0</v>
      </c>
      <c r="S615" s="29">
        <v>0</v>
      </c>
      <c r="T615" s="29">
        <v>0</v>
      </c>
      <c r="U615" s="29">
        <v>0</v>
      </c>
      <c r="V615" s="29">
        <v>0</v>
      </c>
      <c r="W615" s="29">
        <v>0</v>
      </c>
      <c r="X615" s="29">
        <v>0</v>
      </c>
      <c r="Y615" s="29">
        <v>0</v>
      </c>
      <c r="Z615" s="29">
        <v>0</v>
      </c>
      <c r="AA615" s="29">
        <v>0</v>
      </c>
      <c r="AB615" s="29">
        <v>0</v>
      </c>
      <c r="AC615" s="29">
        <v>38860.800000000003</v>
      </c>
      <c r="AD615" s="29">
        <v>99980.24</v>
      </c>
      <c r="AE615" s="29">
        <v>0</v>
      </c>
      <c r="AF615" s="32">
        <v>2021</v>
      </c>
      <c r="AG615" s="32">
        <v>2021</v>
      </c>
      <c r="AH615" s="32">
        <v>2021</v>
      </c>
      <c r="BZ615" s="61"/>
      <c r="CD615" s="18" t="e">
        <f>VLOOKUP(C615,CE:CF,2,FALSE)</f>
        <v>#N/A</v>
      </c>
    </row>
    <row r="616" spans="1:84" ht="61.5" x14ac:dyDescent="0.85">
      <c r="A616" s="18">
        <v>1</v>
      </c>
      <c r="B616" s="57">
        <f>SUBTOTAL(103,$A$558:A616)</f>
        <v>59</v>
      </c>
      <c r="C616" s="22" t="s">
        <v>1913</v>
      </c>
      <c r="D616" s="29">
        <f t="shared" si="95"/>
        <v>4474632.67</v>
      </c>
      <c r="E616" s="29">
        <v>0</v>
      </c>
      <c r="F616" s="29">
        <v>0</v>
      </c>
      <c r="G616" s="29">
        <v>0</v>
      </c>
      <c r="H616" s="29">
        <v>0</v>
      </c>
      <c r="I616" s="29">
        <v>0</v>
      </c>
      <c r="J616" s="29">
        <v>0</v>
      </c>
      <c r="K616" s="31">
        <v>0</v>
      </c>
      <c r="L616" s="29">
        <v>0</v>
      </c>
      <c r="M616" s="29">
        <v>960</v>
      </c>
      <c r="N616" s="29">
        <v>4310000</v>
      </c>
      <c r="O616" s="29">
        <v>0</v>
      </c>
      <c r="P616" s="29">
        <v>0</v>
      </c>
      <c r="Q616" s="29">
        <v>0</v>
      </c>
      <c r="R616" s="29">
        <v>0</v>
      </c>
      <c r="S616" s="29">
        <v>0</v>
      </c>
      <c r="T616" s="29">
        <v>0</v>
      </c>
      <c r="U616" s="29">
        <v>0</v>
      </c>
      <c r="V616" s="29">
        <v>0</v>
      </c>
      <c r="W616" s="29">
        <v>0</v>
      </c>
      <c r="X616" s="29">
        <v>0</v>
      </c>
      <c r="Y616" s="29">
        <v>0</v>
      </c>
      <c r="Z616" s="29">
        <v>0</v>
      </c>
      <c r="AA616" s="29">
        <v>0</v>
      </c>
      <c r="AB616" s="29">
        <v>0</v>
      </c>
      <c r="AC616" s="29">
        <v>64650</v>
      </c>
      <c r="AD616" s="29">
        <v>99982.67</v>
      </c>
      <c r="AE616" s="29">
        <v>0</v>
      </c>
      <c r="AF616" s="32">
        <v>2021</v>
      </c>
      <c r="AG616" s="32">
        <v>2021</v>
      </c>
      <c r="AH616" s="32">
        <v>2021</v>
      </c>
      <c r="BZ616" s="61"/>
      <c r="CD616" s="18" t="e">
        <f>VLOOKUP(C616,CE:CF,2,FALSE)</f>
        <v>#N/A</v>
      </c>
    </row>
    <row r="617" spans="1:84" ht="61.5" x14ac:dyDescent="0.85">
      <c r="A617" s="18">
        <v>1</v>
      </c>
      <c r="B617" s="57">
        <f>SUBTOTAL(103,$A$558:A617)</f>
        <v>60</v>
      </c>
      <c r="C617" s="22" t="s">
        <v>1914</v>
      </c>
      <c r="D617" s="29">
        <f t="shared" si="95"/>
        <v>4362978.1900000004</v>
      </c>
      <c r="E617" s="29">
        <v>0</v>
      </c>
      <c r="F617" s="29">
        <v>0</v>
      </c>
      <c r="G617" s="29">
        <v>0</v>
      </c>
      <c r="H617" s="29">
        <v>0</v>
      </c>
      <c r="I617" s="29">
        <v>0</v>
      </c>
      <c r="J617" s="29">
        <v>0</v>
      </c>
      <c r="K617" s="31">
        <v>0</v>
      </c>
      <c r="L617" s="29">
        <v>0</v>
      </c>
      <c r="M617" s="29">
        <v>855</v>
      </c>
      <c r="N617" s="29">
        <v>4200000</v>
      </c>
      <c r="O617" s="29">
        <v>0</v>
      </c>
      <c r="P617" s="29">
        <v>0</v>
      </c>
      <c r="Q617" s="29">
        <v>0</v>
      </c>
      <c r="R617" s="29">
        <v>0</v>
      </c>
      <c r="S617" s="29">
        <v>0</v>
      </c>
      <c r="T617" s="29">
        <v>0</v>
      </c>
      <c r="U617" s="29">
        <v>0</v>
      </c>
      <c r="V617" s="29">
        <v>0</v>
      </c>
      <c r="W617" s="29">
        <v>0</v>
      </c>
      <c r="X617" s="29">
        <v>0</v>
      </c>
      <c r="Y617" s="29">
        <v>0</v>
      </c>
      <c r="Z617" s="29">
        <v>0</v>
      </c>
      <c r="AA617" s="29">
        <v>0</v>
      </c>
      <c r="AB617" s="29">
        <v>0</v>
      </c>
      <c r="AC617" s="29">
        <v>63000</v>
      </c>
      <c r="AD617" s="29">
        <v>99978.19</v>
      </c>
      <c r="AE617" s="29">
        <v>0</v>
      </c>
      <c r="AF617" s="32">
        <v>2021</v>
      </c>
      <c r="AG617" s="32">
        <v>2021</v>
      </c>
      <c r="AH617" s="32">
        <v>2021</v>
      </c>
      <c r="BZ617" s="61"/>
      <c r="CD617" s="18" t="e">
        <f>VLOOKUP(C617,CE:CF,2,FALSE)</f>
        <v>#N/A</v>
      </c>
    </row>
    <row r="618" spans="1:84" ht="61.5" x14ac:dyDescent="0.85">
      <c r="A618" s="18">
        <v>1</v>
      </c>
      <c r="B618" s="57">
        <f>SUBTOTAL(103,$A$558:A618)</f>
        <v>61</v>
      </c>
      <c r="C618" s="22" t="s">
        <v>1915</v>
      </c>
      <c r="D618" s="29">
        <f t="shared" si="95"/>
        <v>4362980.45</v>
      </c>
      <c r="E618" s="29">
        <v>0</v>
      </c>
      <c r="F618" s="29">
        <v>0</v>
      </c>
      <c r="G618" s="29">
        <v>0</v>
      </c>
      <c r="H618" s="29">
        <v>0</v>
      </c>
      <c r="I618" s="29">
        <v>0</v>
      </c>
      <c r="J618" s="29">
        <v>0</v>
      </c>
      <c r="K618" s="31">
        <v>0</v>
      </c>
      <c r="L618" s="29">
        <v>0</v>
      </c>
      <c r="M618" s="29">
        <v>855</v>
      </c>
      <c r="N618" s="29">
        <v>4200000</v>
      </c>
      <c r="O618" s="29">
        <v>0</v>
      </c>
      <c r="P618" s="29">
        <v>0</v>
      </c>
      <c r="Q618" s="29">
        <v>0</v>
      </c>
      <c r="R618" s="29">
        <v>0</v>
      </c>
      <c r="S618" s="29">
        <v>0</v>
      </c>
      <c r="T618" s="29">
        <v>0</v>
      </c>
      <c r="U618" s="29">
        <v>0</v>
      </c>
      <c r="V618" s="29">
        <v>0</v>
      </c>
      <c r="W618" s="29">
        <v>0</v>
      </c>
      <c r="X618" s="29">
        <v>0</v>
      </c>
      <c r="Y618" s="29">
        <v>0</v>
      </c>
      <c r="Z618" s="29">
        <v>0</v>
      </c>
      <c r="AA618" s="29">
        <v>0</v>
      </c>
      <c r="AB618" s="29">
        <v>0</v>
      </c>
      <c r="AC618" s="29">
        <v>63000</v>
      </c>
      <c r="AD618" s="29">
        <v>99980.45</v>
      </c>
      <c r="AE618" s="29">
        <v>0</v>
      </c>
      <c r="AF618" s="32">
        <v>2021</v>
      </c>
      <c r="AG618" s="32">
        <v>2021</v>
      </c>
      <c r="AH618" s="32">
        <v>2021</v>
      </c>
      <c r="BZ618" s="61"/>
      <c r="CD618" s="18" t="e">
        <f>VLOOKUP(C618,CE:CF,2,FALSE)</f>
        <v>#N/A</v>
      </c>
    </row>
    <row r="619" spans="1:84" ht="61.5" x14ac:dyDescent="0.85">
      <c r="A619" s="18">
        <v>1</v>
      </c>
      <c r="B619" s="57">
        <f>SUBTOTAL(103,$A$558:A619)</f>
        <v>62</v>
      </c>
      <c r="C619" s="22" t="s">
        <v>1916</v>
      </c>
      <c r="D619" s="29">
        <f t="shared" si="95"/>
        <v>5174988.24</v>
      </c>
      <c r="E619" s="29">
        <v>0</v>
      </c>
      <c r="F619" s="29">
        <v>0</v>
      </c>
      <c r="G619" s="29">
        <v>0</v>
      </c>
      <c r="H619" s="29">
        <v>0</v>
      </c>
      <c r="I619" s="29">
        <v>0</v>
      </c>
      <c r="J619" s="29">
        <v>0</v>
      </c>
      <c r="K619" s="31">
        <v>0</v>
      </c>
      <c r="L619" s="29">
        <v>0</v>
      </c>
      <c r="M619" s="29">
        <v>1036</v>
      </c>
      <c r="N619" s="29">
        <v>5000000</v>
      </c>
      <c r="O619" s="29">
        <v>0</v>
      </c>
      <c r="P619" s="29">
        <v>0</v>
      </c>
      <c r="Q619" s="29">
        <v>0</v>
      </c>
      <c r="R619" s="29">
        <v>0</v>
      </c>
      <c r="S619" s="29">
        <v>0</v>
      </c>
      <c r="T619" s="29">
        <v>0</v>
      </c>
      <c r="U619" s="29">
        <v>0</v>
      </c>
      <c r="V619" s="29">
        <v>0</v>
      </c>
      <c r="W619" s="29">
        <v>0</v>
      </c>
      <c r="X619" s="29">
        <v>0</v>
      </c>
      <c r="Y619" s="29">
        <v>0</v>
      </c>
      <c r="Z619" s="29">
        <v>0</v>
      </c>
      <c r="AA619" s="29">
        <v>0</v>
      </c>
      <c r="AB619" s="29">
        <v>0</v>
      </c>
      <c r="AC619" s="29">
        <v>75000</v>
      </c>
      <c r="AD619" s="29">
        <v>99988.24</v>
      </c>
      <c r="AE619" s="29">
        <v>0</v>
      </c>
      <c r="AF619" s="32">
        <v>2021</v>
      </c>
      <c r="AG619" s="32">
        <v>2021</v>
      </c>
      <c r="AH619" s="32">
        <v>2021</v>
      </c>
      <c r="BZ619" s="61"/>
      <c r="CD619" s="18" t="e">
        <f>VLOOKUP(C619,CE:CF,2,FALSE)</f>
        <v>#N/A</v>
      </c>
    </row>
    <row r="620" spans="1:84" ht="61.5" x14ac:dyDescent="0.85">
      <c r="A620" s="18">
        <v>1</v>
      </c>
      <c r="B620" s="57">
        <f>SUBTOTAL(103,$A$558:A620)</f>
        <v>63</v>
      </c>
      <c r="C620" s="22" t="s">
        <v>1054</v>
      </c>
      <c r="D620" s="29">
        <f t="shared" ref="D620:D625" si="96">E620+F620+G620+H620+I620+J620+L620+N620+P620+R620+T620+U620+V620+W620+X620+Y620+Z620+AA620+AB620+AC620+AD620+AE620</f>
        <v>2112589</v>
      </c>
      <c r="E620" s="29">
        <v>0</v>
      </c>
      <c r="F620" s="29">
        <v>0</v>
      </c>
      <c r="G620" s="29">
        <v>0</v>
      </c>
      <c r="H620" s="29">
        <v>0</v>
      </c>
      <c r="I620" s="29">
        <v>0</v>
      </c>
      <c r="J620" s="29">
        <v>0</v>
      </c>
      <c r="K620" s="64">
        <v>0</v>
      </c>
      <c r="L620" s="29">
        <v>0</v>
      </c>
      <c r="M620" s="29">
        <v>500</v>
      </c>
      <c r="N620" s="29">
        <v>2081368.47</v>
      </c>
      <c r="O620" s="29">
        <v>0</v>
      </c>
      <c r="P620" s="29">
        <v>0</v>
      </c>
      <c r="Q620" s="29">
        <v>0</v>
      </c>
      <c r="R620" s="29">
        <v>0</v>
      </c>
      <c r="S620" s="29">
        <v>0</v>
      </c>
      <c r="T620" s="29">
        <v>0</v>
      </c>
      <c r="U620" s="29">
        <v>0</v>
      </c>
      <c r="V620" s="29">
        <v>0</v>
      </c>
      <c r="W620" s="29">
        <v>0</v>
      </c>
      <c r="X620" s="29">
        <v>0</v>
      </c>
      <c r="Y620" s="29">
        <v>0</v>
      </c>
      <c r="Z620" s="29">
        <v>0</v>
      </c>
      <c r="AA620" s="29">
        <v>0</v>
      </c>
      <c r="AB620" s="29">
        <v>0</v>
      </c>
      <c r="AC620" s="29">
        <v>31220.53</v>
      </c>
      <c r="AD620" s="29">
        <v>0</v>
      </c>
      <c r="AE620" s="29">
        <v>0</v>
      </c>
      <c r="AF620" s="32" t="s">
        <v>268</v>
      </c>
      <c r="AG620" s="32">
        <v>2021</v>
      </c>
      <c r="AH620" s="32">
        <v>2021</v>
      </c>
      <c r="AT620" s="18" t="e">
        <f>VLOOKUP(C620,AW:AX,2,FALSE)</f>
        <v>#N/A</v>
      </c>
      <c r="AW620" s="18" t="s">
        <v>389</v>
      </c>
      <c r="AX620" s="18">
        <v>1</v>
      </c>
      <c r="BZ620" s="61"/>
      <c r="CD620" s="18" t="e">
        <f>VLOOKUP(C620,CE:CF,2,FALSE)</f>
        <v>#N/A</v>
      </c>
      <c r="CE620" s="85" t="s">
        <v>490</v>
      </c>
      <c r="CF620" s="85">
        <v>761.5</v>
      </c>
    </row>
    <row r="621" spans="1:84" ht="61.5" x14ac:dyDescent="0.85">
      <c r="A621" s="18">
        <v>1</v>
      </c>
      <c r="B621" s="57">
        <f>SUBTOTAL(103,$A$558:A621)</f>
        <v>64</v>
      </c>
      <c r="C621" s="22" t="s">
        <v>486</v>
      </c>
      <c r="D621" s="29">
        <f t="shared" si="96"/>
        <v>2556530.7300000004</v>
      </c>
      <c r="E621" s="29">
        <v>0</v>
      </c>
      <c r="F621" s="29">
        <v>0</v>
      </c>
      <c r="G621" s="29">
        <v>0</v>
      </c>
      <c r="H621" s="29">
        <v>0</v>
      </c>
      <c r="I621" s="29">
        <v>0</v>
      </c>
      <c r="J621" s="29">
        <v>0</v>
      </c>
      <c r="K621" s="64">
        <v>0</v>
      </c>
      <c r="L621" s="29">
        <v>0</v>
      </c>
      <c r="M621" s="37">
        <v>693</v>
      </c>
      <c r="N621" s="29">
        <v>2518749.4900000002</v>
      </c>
      <c r="O621" s="29">
        <v>0</v>
      </c>
      <c r="P621" s="29">
        <v>0</v>
      </c>
      <c r="Q621" s="29">
        <v>0</v>
      </c>
      <c r="R621" s="29">
        <v>0</v>
      </c>
      <c r="S621" s="29">
        <v>0</v>
      </c>
      <c r="T621" s="29">
        <v>0</v>
      </c>
      <c r="U621" s="29">
        <v>0</v>
      </c>
      <c r="V621" s="29">
        <v>0</v>
      </c>
      <c r="W621" s="29">
        <v>0</v>
      </c>
      <c r="X621" s="29">
        <v>0</v>
      </c>
      <c r="Y621" s="29">
        <v>0</v>
      </c>
      <c r="Z621" s="29">
        <v>0</v>
      </c>
      <c r="AA621" s="29">
        <v>0</v>
      </c>
      <c r="AB621" s="29">
        <v>0</v>
      </c>
      <c r="AC621" s="29">
        <v>37781.24</v>
      </c>
      <c r="AD621" s="29">
        <v>0</v>
      </c>
      <c r="AE621" s="29">
        <v>0</v>
      </c>
      <c r="AF621" s="32" t="s">
        <v>268</v>
      </c>
      <c r="AG621" s="32">
        <v>2021</v>
      </c>
      <c r="AH621" s="32">
        <v>2021</v>
      </c>
      <c r="AT621" s="18" t="e">
        <f>VLOOKUP(C621,AW:AX,2,FALSE)</f>
        <v>#N/A</v>
      </c>
      <c r="AW621" s="18" t="s">
        <v>429</v>
      </c>
      <c r="AX621" s="18">
        <v>1</v>
      </c>
      <c r="BZ621" s="61"/>
      <c r="CD621" s="18" t="e">
        <f>VLOOKUP(C621,CE:CF,2,FALSE)</f>
        <v>#N/A</v>
      </c>
      <c r="CE621" s="85" t="s">
        <v>449</v>
      </c>
      <c r="CF621" s="85">
        <v>865.12</v>
      </c>
    </row>
    <row r="622" spans="1:84" ht="61.5" x14ac:dyDescent="0.85">
      <c r="A622" s="18">
        <v>1</v>
      </c>
      <c r="B622" s="57">
        <f>SUBTOTAL(103,$A$558:A622)</f>
        <v>65</v>
      </c>
      <c r="C622" s="22" t="s">
        <v>1085</v>
      </c>
      <c r="D622" s="29">
        <f t="shared" si="96"/>
        <v>2262188.67</v>
      </c>
      <c r="E622" s="29">
        <v>0</v>
      </c>
      <c r="F622" s="29">
        <v>0</v>
      </c>
      <c r="G622" s="29">
        <v>0</v>
      </c>
      <c r="H622" s="29">
        <v>0</v>
      </c>
      <c r="I622" s="29">
        <v>0</v>
      </c>
      <c r="J622" s="29">
        <v>0</v>
      </c>
      <c r="K622" s="64">
        <v>0</v>
      </c>
      <c r="L622" s="29">
        <v>0</v>
      </c>
      <c r="M622" s="37">
        <v>1224</v>
      </c>
      <c r="N622" s="29">
        <v>2228922.0099999998</v>
      </c>
      <c r="O622" s="29">
        <v>0</v>
      </c>
      <c r="P622" s="29">
        <v>0</v>
      </c>
      <c r="Q622" s="29"/>
      <c r="R622" s="29">
        <v>0</v>
      </c>
      <c r="S622" s="29">
        <v>0</v>
      </c>
      <c r="T622" s="29">
        <v>0</v>
      </c>
      <c r="U622" s="29">
        <v>0</v>
      </c>
      <c r="V622" s="29">
        <v>0</v>
      </c>
      <c r="W622" s="29">
        <v>0</v>
      </c>
      <c r="X622" s="29">
        <v>0</v>
      </c>
      <c r="Y622" s="29">
        <v>0</v>
      </c>
      <c r="Z622" s="29">
        <v>0</v>
      </c>
      <c r="AA622" s="29">
        <v>0</v>
      </c>
      <c r="AB622" s="29">
        <v>0</v>
      </c>
      <c r="AC622" s="29">
        <v>33266.660000000003</v>
      </c>
      <c r="AD622" s="29">
        <v>0</v>
      </c>
      <c r="AE622" s="29">
        <v>0</v>
      </c>
      <c r="AF622" s="32" t="s">
        <v>268</v>
      </c>
      <c r="AG622" s="32">
        <v>2021</v>
      </c>
      <c r="AH622" s="32">
        <v>2021</v>
      </c>
      <c r="BZ622" s="61"/>
      <c r="CD622" s="18">
        <f>VLOOKUP(C622,CE:CF,2,FALSE)</f>
        <v>1147.7</v>
      </c>
      <c r="CE622" s="85" t="s">
        <v>1170</v>
      </c>
      <c r="CF622" s="85">
        <v>1906.5</v>
      </c>
    </row>
    <row r="623" spans="1:84" ht="61.5" x14ac:dyDescent="0.85">
      <c r="A623" s="18">
        <v>1</v>
      </c>
      <c r="B623" s="57">
        <f>SUBTOTAL(103,$A$558:A623)</f>
        <v>66</v>
      </c>
      <c r="C623" s="22" t="s">
        <v>1573</v>
      </c>
      <c r="D623" s="29">
        <f t="shared" si="96"/>
        <v>4976291.25</v>
      </c>
      <c r="E623" s="29">
        <v>0</v>
      </c>
      <c r="F623" s="29">
        <v>0</v>
      </c>
      <c r="G623" s="29">
        <v>0</v>
      </c>
      <c r="H623" s="29">
        <v>0</v>
      </c>
      <c r="I623" s="29">
        <v>0</v>
      </c>
      <c r="J623" s="29">
        <v>0</v>
      </c>
      <c r="K623" s="64">
        <v>0</v>
      </c>
      <c r="L623" s="29">
        <v>0</v>
      </c>
      <c r="M623" s="29">
        <v>1119</v>
      </c>
      <c r="N623" s="29">
        <v>4902750</v>
      </c>
      <c r="O623" s="29">
        <v>0</v>
      </c>
      <c r="P623" s="29">
        <v>0</v>
      </c>
      <c r="Q623" s="29">
        <v>0</v>
      </c>
      <c r="R623" s="29">
        <v>0</v>
      </c>
      <c r="S623" s="29">
        <v>0</v>
      </c>
      <c r="T623" s="29">
        <v>0</v>
      </c>
      <c r="U623" s="29">
        <v>0</v>
      </c>
      <c r="V623" s="29">
        <v>0</v>
      </c>
      <c r="W623" s="29">
        <v>0</v>
      </c>
      <c r="X623" s="29">
        <v>0</v>
      </c>
      <c r="Y623" s="29">
        <v>0</v>
      </c>
      <c r="Z623" s="29">
        <v>0</v>
      </c>
      <c r="AA623" s="29">
        <v>0</v>
      </c>
      <c r="AB623" s="29">
        <v>0</v>
      </c>
      <c r="AC623" s="29">
        <v>73541.25</v>
      </c>
      <c r="AD623" s="29">
        <v>0</v>
      </c>
      <c r="AE623" s="29">
        <v>0</v>
      </c>
      <c r="AF623" s="32" t="s">
        <v>268</v>
      </c>
      <c r="AG623" s="32">
        <v>2021</v>
      </c>
      <c r="AH623" s="32">
        <v>2021</v>
      </c>
      <c r="BZ623" s="61"/>
      <c r="CD623" s="18" t="e">
        <f>VLOOKUP(C623,CE:CF,2,FALSE)</f>
        <v>#N/A</v>
      </c>
      <c r="CE623" s="85" t="s">
        <v>1226</v>
      </c>
      <c r="CF623" s="85">
        <v>901.42</v>
      </c>
    </row>
    <row r="624" spans="1:84" ht="61.5" x14ac:dyDescent="0.85">
      <c r="A624" s="18">
        <v>1</v>
      </c>
      <c r="B624" s="57">
        <f>SUBTOTAL(103,$A$558:A624)</f>
        <v>67</v>
      </c>
      <c r="C624" s="22" t="s">
        <v>575</v>
      </c>
      <c r="D624" s="29">
        <f t="shared" si="96"/>
        <v>1966231.38</v>
      </c>
      <c r="E624" s="29">
        <v>0</v>
      </c>
      <c r="F624" s="29">
        <v>0</v>
      </c>
      <c r="G624" s="29">
        <v>0</v>
      </c>
      <c r="H624" s="29">
        <v>0</v>
      </c>
      <c r="I624" s="29">
        <v>0</v>
      </c>
      <c r="J624" s="29">
        <v>0</v>
      </c>
      <c r="K624" s="64">
        <v>0</v>
      </c>
      <c r="L624" s="29">
        <v>0</v>
      </c>
      <c r="M624" s="29">
        <v>917.7</v>
      </c>
      <c r="N624" s="29">
        <v>1939466.75</v>
      </c>
      <c r="O624" s="29">
        <v>0</v>
      </c>
      <c r="P624" s="29">
        <v>0</v>
      </c>
      <c r="Q624" s="29">
        <v>0</v>
      </c>
      <c r="R624" s="29">
        <v>0</v>
      </c>
      <c r="S624" s="29">
        <v>0</v>
      </c>
      <c r="T624" s="29">
        <v>0</v>
      </c>
      <c r="U624" s="29">
        <v>0</v>
      </c>
      <c r="V624" s="29">
        <v>0</v>
      </c>
      <c r="W624" s="29">
        <v>0</v>
      </c>
      <c r="X624" s="29">
        <v>0</v>
      </c>
      <c r="Y624" s="29">
        <v>0</v>
      </c>
      <c r="Z624" s="29">
        <v>0</v>
      </c>
      <c r="AA624" s="29">
        <v>0</v>
      </c>
      <c r="AB624" s="29">
        <v>0</v>
      </c>
      <c r="AC624" s="29">
        <v>26764.63</v>
      </c>
      <c r="AD624" s="29">
        <v>0</v>
      </c>
      <c r="AE624" s="29">
        <v>0</v>
      </c>
      <c r="AF624" s="32" t="s">
        <v>268</v>
      </c>
      <c r="AG624" s="32">
        <v>2021</v>
      </c>
      <c r="AH624" s="32">
        <v>2021</v>
      </c>
      <c r="AT624" s="18" t="e">
        <f>VLOOKUP(C624,AW:AX,2,FALSE)</f>
        <v>#N/A</v>
      </c>
      <c r="BZ624" s="61"/>
    </row>
    <row r="625" spans="1:84" ht="61.5" x14ac:dyDescent="0.85">
      <c r="A625" s="18">
        <v>1</v>
      </c>
      <c r="B625" s="57">
        <f>SUBTOTAL(103,$A$558:A625)</f>
        <v>68</v>
      </c>
      <c r="C625" s="22" t="s">
        <v>1574</v>
      </c>
      <c r="D625" s="29">
        <f t="shared" si="96"/>
        <v>2739411.65</v>
      </c>
      <c r="E625" s="29">
        <v>0</v>
      </c>
      <c r="F625" s="29">
        <v>0</v>
      </c>
      <c r="G625" s="29">
        <v>0</v>
      </c>
      <c r="H625" s="29">
        <v>0</v>
      </c>
      <c r="I625" s="29">
        <v>0</v>
      </c>
      <c r="J625" s="29">
        <v>0</v>
      </c>
      <c r="K625" s="64">
        <v>0</v>
      </c>
      <c r="L625" s="29">
        <v>0</v>
      </c>
      <c r="M625" s="29">
        <v>0</v>
      </c>
      <c r="N625" s="29">
        <v>0</v>
      </c>
      <c r="O625" s="29">
        <v>0</v>
      </c>
      <c r="P625" s="29">
        <v>0</v>
      </c>
      <c r="Q625" s="29">
        <v>1314</v>
      </c>
      <c r="R625" s="29">
        <v>2698927.73</v>
      </c>
      <c r="S625" s="29">
        <v>0</v>
      </c>
      <c r="T625" s="29">
        <v>0</v>
      </c>
      <c r="U625" s="29">
        <v>0</v>
      </c>
      <c r="V625" s="29">
        <v>0</v>
      </c>
      <c r="W625" s="29">
        <v>0</v>
      </c>
      <c r="X625" s="29">
        <v>0</v>
      </c>
      <c r="Y625" s="29">
        <v>0</v>
      </c>
      <c r="Z625" s="29">
        <v>0</v>
      </c>
      <c r="AA625" s="29">
        <v>0</v>
      </c>
      <c r="AB625" s="29">
        <v>0</v>
      </c>
      <c r="AC625" s="29">
        <v>40483.919999999998</v>
      </c>
      <c r="AD625" s="29">
        <v>0</v>
      </c>
      <c r="AE625" s="29">
        <v>0</v>
      </c>
      <c r="AF625" s="32" t="s">
        <v>268</v>
      </c>
      <c r="AG625" s="32">
        <v>2021</v>
      </c>
      <c r="AH625" s="32">
        <v>2021</v>
      </c>
      <c r="BZ625" s="61"/>
      <c r="CD625" s="18" t="e">
        <f>VLOOKUP(C625,CE:CF,2,FALSE)</f>
        <v>#N/A</v>
      </c>
      <c r="CE625" s="85" t="s">
        <v>44</v>
      </c>
      <c r="CF625" s="85">
        <v>631</v>
      </c>
    </row>
    <row r="626" spans="1:84" ht="61.5" x14ac:dyDescent="0.85">
      <c r="A626" s="18">
        <v>1</v>
      </c>
      <c r="B626" s="57">
        <f>SUBTOTAL(103,$A$558:A626)</f>
        <v>69</v>
      </c>
      <c r="C626" s="22" t="s">
        <v>496</v>
      </c>
      <c r="D626" s="29">
        <f t="shared" ref="D626:D631" si="97">E626+F626+G626+H626+I626+J626+L626+N626+P626+R626+T626+U626+V626+W626+X626+Y626+Z626+AA626+AB626+AC626+AD626+AE626</f>
        <v>4074712.4</v>
      </c>
      <c r="E626" s="29">
        <v>0</v>
      </c>
      <c r="F626" s="29">
        <v>0</v>
      </c>
      <c r="G626" s="29">
        <v>0</v>
      </c>
      <c r="H626" s="29">
        <v>0</v>
      </c>
      <c r="I626" s="29">
        <v>0</v>
      </c>
      <c r="J626" s="29">
        <v>0</v>
      </c>
      <c r="K626" s="64">
        <v>0</v>
      </c>
      <c r="L626" s="29">
        <v>0</v>
      </c>
      <c r="M626" s="29">
        <v>800</v>
      </c>
      <c r="N626" s="29">
        <v>4014495</v>
      </c>
      <c r="O626" s="29">
        <v>0</v>
      </c>
      <c r="P626" s="29">
        <v>0</v>
      </c>
      <c r="Q626" s="29">
        <v>0</v>
      </c>
      <c r="R626" s="29">
        <v>0</v>
      </c>
      <c r="S626" s="29">
        <v>0</v>
      </c>
      <c r="T626" s="29">
        <v>0</v>
      </c>
      <c r="U626" s="29">
        <v>0</v>
      </c>
      <c r="V626" s="29">
        <v>0</v>
      </c>
      <c r="W626" s="29">
        <v>0</v>
      </c>
      <c r="X626" s="29">
        <v>0</v>
      </c>
      <c r="Y626" s="29">
        <v>0</v>
      </c>
      <c r="Z626" s="29">
        <v>0</v>
      </c>
      <c r="AA626" s="29">
        <v>0</v>
      </c>
      <c r="AB626" s="29">
        <v>0</v>
      </c>
      <c r="AC626" s="29">
        <v>60217.4</v>
      </c>
      <c r="AD626" s="29">
        <v>0</v>
      </c>
      <c r="AE626" s="29">
        <v>0</v>
      </c>
      <c r="AF626" s="32" t="s">
        <v>268</v>
      </c>
      <c r="AG626" s="32">
        <v>2021</v>
      </c>
      <c r="AH626" s="32">
        <v>2021</v>
      </c>
      <c r="AT626" s="18" t="e">
        <f>VLOOKUP(C626,AW:AX,2,FALSE)</f>
        <v>#N/A</v>
      </c>
      <c r="BZ626" s="61"/>
      <c r="CD626" s="18" t="e">
        <f>VLOOKUP(C626,CE:CF,2,FALSE)</f>
        <v>#N/A</v>
      </c>
      <c r="CE626" s="85" t="s">
        <v>151</v>
      </c>
      <c r="CF626" s="85">
        <v>833.9</v>
      </c>
    </row>
    <row r="627" spans="1:84" ht="61.5" x14ac:dyDescent="0.85">
      <c r="A627" s="18">
        <v>1</v>
      </c>
      <c r="B627" s="57">
        <f>SUBTOTAL(103,$A$558:A627)</f>
        <v>70</v>
      </c>
      <c r="C627" s="22" t="s">
        <v>1575</v>
      </c>
      <c r="D627" s="29">
        <f>E627+F627+G627+H627+I627+J627+L627+N627+P627+R627+T627+U627+V627+W627+X627+Y627+Z627+AA627+AB627+AC627+AD627+AE627</f>
        <v>2349713.39</v>
      </c>
      <c r="E627" s="29">
        <v>0</v>
      </c>
      <c r="F627" s="29">
        <v>0</v>
      </c>
      <c r="G627" s="29">
        <v>0</v>
      </c>
      <c r="H627" s="29">
        <v>0</v>
      </c>
      <c r="I627" s="29">
        <v>0</v>
      </c>
      <c r="J627" s="29">
        <v>0</v>
      </c>
      <c r="K627" s="64">
        <v>0</v>
      </c>
      <c r="L627" s="29">
        <v>0</v>
      </c>
      <c r="M627" s="29">
        <v>536.86</v>
      </c>
      <c r="N627" s="84">
        <v>2315673</v>
      </c>
      <c r="O627" s="29">
        <v>0</v>
      </c>
      <c r="P627" s="29">
        <v>0</v>
      </c>
      <c r="Q627" s="29">
        <v>0</v>
      </c>
      <c r="R627" s="29">
        <v>0</v>
      </c>
      <c r="S627" s="29">
        <v>0</v>
      </c>
      <c r="T627" s="29">
        <v>0</v>
      </c>
      <c r="U627" s="29">
        <v>0</v>
      </c>
      <c r="V627" s="29">
        <v>0</v>
      </c>
      <c r="W627" s="29">
        <v>0</v>
      </c>
      <c r="X627" s="29">
        <v>0</v>
      </c>
      <c r="Y627" s="29">
        <v>0</v>
      </c>
      <c r="Z627" s="29">
        <v>0</v>
      </c>
      <c r="AA627" s="29">
        <v>0</v>
      </c>
      <c r="AB627" s="29">
        <v>0</v>
      </c>
      <c r="AC627" s="29">
        <v>34040.39</v>
      </c>
      <c r="AD627" s="29">
        <v>0</v>
      </c>
      <c r="AE627" s="29">
        <v>0</v>
      </c>
      <c r="AF627" s="32" t="s">
        <v>268</v>
      </c>
      <c r="AG627" s="32">
        <v>2021</v>
      </c>
      <c r="AH627" s="32">
        <v>2021</v>
      </c>
      <c r="BZ627" s="61"/>
      <c r="CD627" s="18" t="e">
        <f>VLOOKUP(C627,CE:CF,2,FALSE)</f>
        <v>#N/A</v>
      </c>
      <c r="CE627" s="85" t="s">
        <v>43</v>
      </c>
      <c r="CF627" s="85">
        <v>566</v>
      </c>
    </row>
    <row r="628" spans="1:84" ht="61.5" x14ac:dyDescent="0.85">
      <c r="A628" s="18">
        <v>1</v>
      </c>
      <c r="B628" s="57">
        <f>SUBTOTAL(103,$A$558:A628)</f>
        <v>71</v>
      </c>
      <c r="C628" s="22" t="s">
        <v>500</v>
      </c>
      <c r="D628" s="29">
        <f t="shared" si="97"/>
        <v>685138.2</v>
      </c>
      <c r="E628" s="29">
        <v>0</v>
      </c>
      <c r="F628" s="29">
        <v>0</v>
      </c>
      <c r="G628" s="29">
        <v>600000</v>
      </c>
      <c r="H628" s="29">
        <v>0</v>
      </c>
      <c r="I628" s="29">
        <v>0</v>
      </c>
      <c r="J628" s="29">
        <v>0</v>
      </c>
      <c r="K628" s="64">
        <v>0</v>
      </c>
      <c r="L628" s="29">
        <v>0</v>
      </c>
      <c r="M628" s="29">
        <v>0</v>
      </c>
      <c r="N628" s="29">
        <v>0</v>
      </c>
      <c r="O628" s="29">
        <v>0</v>
      </c>
      <c r="P628" s="29">
        <v>0</v>
      </c>
      <c r="Q628" s="29">
        <v>0</v>
      </c>
      <c r="R628" s="29">
        <v>0</v>
      </c>
      <c r="S628" s="29">
        <v>0</v>
      </c>
      <c r="T628" s="29">
        <v>0</v>
      </c>
      <c r="U628" s="29">
        <v>0</v>
      </c>
      <c r="V628" s="29">
        <v>0</v>
      </c>
      <c r="W628" s="29">
        <v>0</v>
      </c>
      <c r="X628" s="29">
        <v>0</v>
      </c>
      <c r="Y628" s="29">
        <v>0</v>
      </c>
      <c r="Z628" s="29">
        <v>0</v>
      </c>
      <c r="AA628" s="29">
        <v>0</v>
      </c>
      <c r="AB628" s="29">
        <v>0</v>
      </c>
      <c r="AC628" s="29">
        <v>9000</v>
      </c>
      <c r="AD628" s="29">
        <v>76138.2</v>
      </c>
      <c r="AE628" s="29">
        <v>0</v>
      </c>
      <c r="AF628" s="32">
        <v>2021</v>
      </c>
      <c r="AG628" s="32">
        <v>2021</v>
      </c>
      <c r="AH628" s="32">
        <v>2021</v>
      </c>
      <c r="AT628" s="18" t="e">
        <f>VLOOKUP(C628,AW:AX,2,FALSE)</f>
        <v>#N/A</v>
      </c>
      <c r="BZ628" s="61"/>
      <c r="CD628" s="18" t="e">
        <f>VLOOKUP(C628,CE:CF,2,FALSE)</f>
        <v>#N/A</v>
      </c>
      <c r="CE628" s="85" t="s">
        <v>513</v>
      </c>
      <c r="CF628" s="85">
        <v>702.2</v>
      </c>
    </row>
    <row r="629" spans="1:84" ht="61.5" x14ac:dyDescent="0.85">
      <c r="A629" s="18">
        <v>1</v>
      </c>
      <c r="B629" s="57">
        <f>SUBTOTAL(103,$A$558:A629)</f>
        <v>72</v>
      </c>
      <c r="C629" s="22" t="s">
        <v>502</v>
      </c>
      <c r="D629" s="29">
        <f>E629+F629+G629+H629+I629+J629+L629+N629+P629+R629+T629+U629+V629+W629+X629+Y629+Z629+AA629+AB629+AC629+AD629+AE629</f>
        <v>2489210.85</v>
      </c>
      <c r="E629" s="29">
        <v>0</v>
      </c>
      <c r="F629" s="29">
        <v>0</v>
      </c>
      <c r="G629" s="29">
        <v>0</v>
      </c>
      <c r="H629" s="29">
        <v>0</v>
      </c>
      <c r="I629" s="29">
        <v>0</v>
      </c>
      <c r="J629" s="29">
        <v>0</v>
      </c>
      <c r="K629" s="64">
        <v>0</v>
      </c>
      <c r="L629" s="29">
        <v>0</v>
      </c>
      <c r="M629" s="29">
        <v>605</v>
      </c>
      <c r="N629" s="29">
        <v>2452424.48</v>
      </c>
      <c r="O629" s="29">
        <v>0</v>
      </c>
      <c r="P629" s="29">
        <v>0</v>
      </c>
      <c r="Q629" s="29">
        <v>0</v>
      </c>
      <c r="R629" s="29">
        <v>0</v>
      </c>
      <c r="S629" s="29">
        <v>0</v>
      </c>
      <c r="T629" s="29">
        <v>0</v>
      </c>
      <c r="U629" s="29">
        <v>0</v>
      </c>
      <c r="V629" s="29">
        <v>0</v>
      </c>
      <c r="W629" s="29">
        <v>0</v>
      </c>
      <c r="X629" s="29">
        <v>0</v>
      </c>
      <c r="Y629" s="29">
        <v>0</v>
      </c>
      <c r="Z629" s="29">
        <v>0</v>
      </c>
      <c r="AA629" s="29">
        <v>0</v>
      </c>
      <c r="AB629" s="29">
        <v>0</v>
      </c>
      <c r="AC629" s="29">
        <v>36786.370000000003</v>
      </c>
      <c r="AD629" s="29">
        <v>0</v>
      </c>
      <c r="AE629" s="29">
        <v>0</v>
      </c>
      <c r="AF629" s="32" t="s">
        <v>268</v>
      </c>
      <c r="AG629" s="32">
        <v>2021</v>
      </c>
      <c r="AH629" s="32">
        <v>2021</v>
      </c>
      <c r="AT629" s="18" t="e">
        <f>VLOOKUP(C629,AW:AX,2,FALSE)</f>
        <v>#N/A</v>
      </c>
      <c r="BZ629" s="61"/>
      <c r="CD629" s="18" t="e">
        <f>VLOOKUP(C629,CE:CF,2,FALSE)</f>
        <v>#N/A</v>
      </c>
      <c r="CE629" s="85" t="s">
        <v>518</v>
      </c>
      <c r="CF629" s="85">
        <v>1000</v>
      </c>
    </row>
    <row r="630" spans="1:84" ht="61.5" x14ac:dyDescent="0.85">
      <c r="A630" s="18">
        <v>1</v>
      </c>
      <c r="B630" s="57">
        <f>SUBTOTAL(103,$A$558:A630)</f>
        <v>73</v>
      </c>
      <c r="C630" s="22" t="s">
        <v>525</v>
      </c>
      <c r="D630" s="29">
        <f>E630+F630+G630+H630+I630+J630+L630+N630+P630+R630+T630+U630+V630+W630+X630+Y630+Z630+AA630+AB630+AC630+AD630+AE630</f>
        <v>1957983.6400000001</v>
      </c>
      <c r="E630" s="29">
        <v>0</v>
      </c>
      <c r="F630" s="29">
        <v>0</v>
      </c>
      <c r="G630" s="29">
        <v>0</v>
      </c>
      <c r="H630" s="29">
        <v>0</v>
      </c>
      <c r="I630" s="29">
        <v>0</v>
      </c>
      <c r="J630" s="29">
        <v>0</v>
      </c>
      <c r="K630" s="64">
        <v>0</v>
      </c>
      <c r="L630" s="29">
        <v>0</v>
      </c>
      <c r="M630" s="37">
        <v>549</v>
      </c>
      <c r="N630" s="37">
        <v>1931331.27</v>
      </c>
      <c r="O630" s="29">
        <v>0</v>
      </c>
      <c r="P630" s="29">
        <v>0</v>
      </c>
      <c r="Q630" s="29">
        <v>0</v>
      </c>
      <c r="R630" s="29">
        <v>0</v>
      </c>
      <c r="S630" s="29">
        <v>0</v>
      </c>
      <c r="T630" s="29">
        <v>0</v>
      </c>
      <c r="U630" s="29">
        <v>0</v>
      </c>
      <c r="V630" s="29">
        <v>0</v>
      </c>
      <c r="W630" s="29">
        <v>0</v>
      </c>
      <c r="X630" s="29">
        <v>0</v>
      </c>
      <c r="Y630" s="29">
        <v>0</v>
      </c>
      <c r="Z630" s="29">
        <v>0</v>
      </c>
      <c r="AA630" s="29">
        <v>0</v>
      </c>
      <c r="AB630" s="29">
        <v>0</v>
      </c>
      <c r="AC630" s="37">
        <v>26652.37</v>
      </c>
      <c r="AD630" s="29">
        <v>0</v>
      </c>
      <c r="AE630" s="29">
        <v>0</v>
      </c>
      <c r="AF630" s="32" t="s">
        <v>268</v>
      </c>
      <c r="AG630" s="32">
        <v>2021</v>
      </c>
      <c r="AH630" s="32">
        <v>2021</v>
      </c>
      <c r="AT630" s="18" t="e">
        <f>VLOOKUP(C630,AW:AX,2,FALSE)</f>
        <v>#N/A</v>
      </c>
      <c r="BZ630" s="61"/>
      <c r="CD630" s="18" t="e">
        <f>VLOOKUP(C630,CE:CF,2,FALSE)</f>
        <v>#N/A</v>
      </c>
      <c r="CE630" s="85" t="s">
        <v>1155</v>
      </c>
      <c r="CF630" s="85">
        <v>1206.22</v>
      </c>
    </row>
    <row r="631" spans="1:84" ht="61.5" x14ac:dyDescent="0.85">
      <c r="A631" s="18">
        <v>1</v>
      </c>
      <c r="B631" s="57">
        <f>SUBTOTAL(103,$A$558:A631)</f>
        <v>74</v>
      </c>
      <c r="C631" s="22" t="s">
        <v>1363</v>
      </c>
      <c r="D631" s="29">
        <f t="shared" si="97"/>
        <v>2009865.45</v>
      </c>
      <c r="E631" s="29">
        <v>0</v>
      </c>
      <c r="F631" s="29">
        <v>0</v>
      </c>
      <c r="G631" s="29">
        <v>0</v>
      </c>
      <c r="H631" s="29">
        <v>0</v>
      </c>
      <c r="I631" s="29">
        <v>0</v>
      </c>
      <c r="J631" s="29">
        <v>0</v>
      </c>
      <c r="K631" s="64">
        <v>0</v>
      </c>
      <c r="L631" s="29">
        <v>0</v>
      </c>
      <c r="M631" s="29">
        <v>0</v>
      </c>
      <c r="N631" s="29">
        <v>0</v>
      </c>
      <c r="O631" s="29">
        <v>0</v>
      </c>
      <c r="P631" s="29">
        <v>0</v>
      </c>
      <c r="Q631" s="37">
        <v>736</v>
      </c>
      <c r="R631" s="29">
        <v>1980163</v>
      </c>
      <c r="S631" s="29">
        <v>0</v>
      </c>
      <c r="T631" s="29">
        <v>0</v>
      </c>
      <c r="U631" s="29">
        <v>0</v>
      </c>
      <c r="V631" s="29">
        <v>0</v>
      </c>
      <c r="W631" s="29">
        <v>0</v>
      </c>
      <c r="X631" s="29">
        <v>0</v>
      </c>
      <c r="Y631" s="29">
        <v>0</v>
      </c>
      <c r="Z631" s="29">
        <v>0</v>
      </c>
      <c r="AA631" s="29">
        <v>0</v>
      </c>
      <c r="AB631" s="29">
        <v>0</v>
      </c>
      <c r="AC631" s="29">
        <v>29702.45</v>
      </c>
      <c r="AD631" s="29">
        <v>0</v>
      </c>
      <c r="AE631" s="29">
        <v>0</v>
      </c>
      <c r="AF631" s="32" t="s">
        <v>268</v>
      </c>
      <c r="AG631" s="32">
        <v>2021</v>
      </c>
      <c r="AH631" s="32">
        <v>2021</v>
      </c>
      <c r="BZ631" s="61"/>
      <c r="CD631" s="18" t="e">
        <f>VLOOKUP(C631,CE:CF,2,FALSE)</f>
        <v>#N/A</v>
      </c>
      <c r="CE631" s="85" t="s">
        <v>627</v>
      </c>
      <c r="CF631" s="85">
        <v>563.1</v>
      </c>
    </row>
    <row r="632" spans="1:84" ht="61.5" x14ac:dyDescent="0.85">
      <c r="A632" s="18">
        <v>1</v>
      </c>
      <c r="B632" s="57">
        <f>SUBTOTAL(103,$A$558:A632)</f>
        <v>75</v>
      </c>
      <c r="C632" s="22" t="s">
        <v>1603</v>
      </c>
      <c r="D632" s="29">
        <f>E632+F632+G632+H632+I632+J632+L632+N632+P632+R632+T632+U632+V632+W632+X632+Y632+Z632+AA632+AB632+AC632+AD632+AE632</f>
        <v>3504472.23</v>
      </c>
      <c r="E632" s="29">
        <v>0</v>
      </c>
      <c r="F632" s="29">
        <v>0</v>
      </c>
      <c r="G632" s="29">
        <v>0</v>
      </c>
      <c r="H632" s="29">
        <v>0</v>
      </c>
      <c r="I632" s="29">
        <v>0</v>
      </c>
      <c r="J632" s="29">
        <v>0</v>
      </c>
      <c r="K632" s="64">
        <v>0</v>
      </c>
      <c r="L632" s="29">
        <v>0</v>
      </c>
      <c r="M632" s="37">
        <v>819.16</v>
      </c>
      <c r="N632" s="37">
        <v>3456768.82</v>
      </c>
      <c r="O632" s="29">
        <v>0</v>
      </c>
      <c r="P632" s="29">
        <v>0</v>
      </c>
      <c r="Q632" s="29">
        <v>0</v>
      </c>
      <c r="R632" s="29">
        <v>0</v>
      </c>
      <c r="S632" s="29">
        <v>0</v>
      </c>
      <c r="T632" s="29">
        <v>0</v>
      </c>
      <c r="U632" s="29">
        <v>0</v>
      </c>
      <c r="V632" s="29">
        <v>0</v>
      </c>
      <c r="W632" s="29">
        <v>0</v>
      </c>
      <c r="X632" s="29">
        <v>0</v>
      </c>
      <c r="Y632" s="29">
        <v>0</v>
      </c>
      <c r="Z632" s="29">
        <v>0</v>
      </c>
      <c r="AA632" s="29">
        <v>0</v>
      </c>
      <c r="AB632" s="29">
        <v>0</v>
      </c>
      <c r="AC632" s="29">
        <v>47703.41</v>
      </c>
      <c r="AD632" s="29">
        <v>0</v>
      </c>
      <c r="AE632" s="29">
        <v>0</v>
      </c>
      <c r="AF632" s="32" t="s">
        <v>268</v>
      </c>
      <c r="AG632" s="32">
        <v>2021</v>
      </c>
      <c r="AH632" s="32">
        <v>2021</v>
      </c>
      <c r="BZ632" s="61"/>
      <c r="CD632" s="18" t="e">
        <f>VLOOKUP(C632,CE:CF,2,FALSE)</f>
        <v>#N/A</v>
      </c>
    </row>
    <row r="633" spans="1:84" ht="61.5" x14ac:dyDescent="0.85">
      <c r="A633" s="18">
        <v>1</v>
      </c>
      <c r="B633" s="57">
        <f>SUBTOTAL(103,$A$558:A633)</f>
        <v>76</v>
      </c>
      <c r="C633" s="22" t="s">
        <v>566</v>
      </c>
      <c r="D633" s="29">
        <f>E633+F633+G633+H633+I633+J633+L633+N633+P633+R633+T633+U633+V633+W633+X633+Y633+Z633+AA633+AB633+AC633+AD633+AE633</f>
        <v>908808.26</v>
      </c>
      <c r="E633" s="29">
        <v>0</v>
      </c>
      <c r="F633" s="29">
        <v>0</v>
      </c>
      <c r="G633" s="29">
        <v>0</v>
      </c>
      <c r="H633" s="29">
        <v>0</v>
      </c>
      <c r="I633" s="29">
        <v>0</v>
      </c>
      <c r="J633" s="29">
        <v>0</v>
      </c>
      <c r="K633" s="64">
        <v>0</v>
      </c>
      <c r="L633" s="29">
        <v>0</v>
      </c>
      <c r="M633" s="29">
        <v>230</v>
      </c>
      <c r="N633" s="29">
        <v>895377.6</v>
      </c>
      <c r="O633" s="29">
        <v>0</v>
      </c>
      <c r="P633" s="29">
        <v>0</v>
      </c>
      <c r="Q633" s="29">
        <v>0</v>
      </c>
      <c r="R633" s="29">
        <v>0</v>
      </c>
      <c r="S633" s="29">
        <v>0</v>
      </c>
      <c r="T633" s="29">
        <v>0</v>
      </c>
      <c r="U633" s="29">
        <v>0</v>
      </c>
      <c r="V633" s="29">
        <v>0</v>
      </c>
      <c r="W633" s="29">
        <v>0</v>
      </c>
      <c r="X633" s="29">
        <v>0</v>
      </c>
      <c r="Y633" s="29">
        <v>0</v>
      </c>
      <c r="Z633" s="29">
        <v>0</v>
      </c>
      <c r="AA633" s="29">
        <v>0</v>
      </c>
      <c r="AB633" s="29">
        <v>0</v>
      </c>
      <c r="AC633" s="29">
        <v>13430.66</v>
      </c>
      <c r="AD633" s="29">
        <v>0</v>
      </c>
      <c r="AE633" s="29">
        <v>0</v>
      </c>
      <c r="AF633" s="32" t="s">
        <v>268</v>
      </c>
      <c r="AG633" s="32">
        <v>2021</v>
      </c>
      <c r="AH633" s="32">
        <v>2021</v>
      </c>
      <c r="BZ633" s="61"/>
      <c r="CD633" s="18" t="e">
        <f>VLOOKUP(C633,CE:CF,2,FALSE)</f>
        <v>#N/A</v>
      </c>
    </row>
    <row r="634" spans="1:84" ht="61.5" x14ac:dyDescent="0.85">
      <c r="A634" s="18">
        <v>1</v>
      </c>
      <c r="B634" s="57">
        <f>SUBTOTAL(103,$A$558:A634)</f>
        <v>77</v>
      </c>
      <c r="C634" s="22" t="s">
        <v>488</v>
      </c>
      <c r="D634" s="29">
        <f t="shared" si="93"/>
        <v>3422878.75</v>
      </c>
      <c r="E634" s="29">
        <v>0</v>
      </c>
      <c r="F634" s="29">
        <v>0</v>
      </c>
      <c r="G634" s="29">
        <v>0</v>
      </c>
      <c r="H634" s="29">
        <v>0</v>
      </c>
      <c r="I634" s="29">
        <v>0</v>
      </c>
      <c r="J634" s="29">
        <v>0</v>
      </c>
      <c r="K634" s="31">
        <v>0</v>
      </c>
      <c r="L634" s="29">
        <v>0</v>
      </c>
      <c r="M634" s="37">
        <v>710</v>
      </c>
      <c r="N634" s="37">
        <v>3376286</v>
      </c>
      <c r="O634" s="29">
        <v>0</v>
      </c>
      <c r="P634" s="29">
        <v>0</v>
      </c>
      <c r="Q634" s="29">
        <v>0</v>
      </c>
      <c r="R634" s="29">
        <v>0</v>
      </c>
      <c r="S634" s="29">
        <v>0</v>
      </c>
      <c r="T634" s="29">
        <v>0</v>
      </c>
      <c r="U634" s="29">
        <v>0</v>
      </c>
      <c r="V634" s="29">
        <v>0</v>
      </c>
      <c r="W634" s="29">
        <v>0</v>
      </c>
      <c r="X634" s="29">
        <v>0</v>
      </c>
      <c r="Y634" s="29">
        <v>0</v>
      </c>
      <c r="Z634" s="29">
        <v>0</v>
      </c>
      <c r="AA634" s="29">
        <v>0</v>
      </c>
      <c r="AB634" s="29">
        <v>0</v>
      </c>
      <c r="AC634" s="37">
        <v>46592.75</v>
      </c>
      <c r="AD634" s="29">
        <v>0</v>
      </c>
      <c r="AE634" s="29">
        <v>0</v>
      </c>
      <c r="AF634" s="32" t="s">
        <v>268</v>
      </c>
      <c r="AG634" s="32">
        <v>2021</v>
      </c>
      <c r="AH634" s="32">
        <v>2021</v>
      </c>
      <c r="AT634" s="18" t="e">
        <f>VLOOKUP(C634,AW:AX,2,FALSE)</f>
        <v>#N/A</v>
      </c>
      <c r="AW634" s="18" t="s">
        <v>778</v>
      </c>
      <c r="AX634" s="18">
        <v>1</v>
      </c>
      <c r="BZ634" s="61"/>
      <c r="CD634" s="18" t="e">
        <f>VLOOKUP(C634,CE:CF,2,FALSE)</f>
        <v>#N/A</v>
      </c>
      <c r="CE634" s="85" t="s">
        <v>762</v>
      </c>
      <c r="CF634" s="85">
        <v>1319.27</v>
      </c>
    </row>
    <row r="635" spans="1:84" ht="61.5" x14ac:dyDescent="0.85">
      <c r="A635" s="18">
        <v>1</v>
      </c>
      <c r="B635" s="57">
        <f>SUBTOTAL(103,$A$558:A635)</f>
        <v>78</v>
      </c>
      <c r="C635" s="22" t="s">
        <v>1088</v>
      </c>
      <c r="D635" s="29">
        <f t="shared" si="93"/>
        <v>4249442.9799999995</v>
      </c>
      <c r="E635" s="29">
        <v>0</v>
      </c>
      <c r="F635" s="29">
        <v>0</v>
      </c>
      <c r="G635" s="29">
        <v>0</v>
      </c>
      <c r="H635" s="29">
        <v>0</v>
      </c>
      <c r="I635" s="29">
        <v>0</v>
      </c>
      <c r="J635" s="29">
        <v>0</v>
      </c>
      <c r="K635" s="64">
        <v>0</v>
      </c>
      <c r="L635" s="29">
        <v>0</v>
      </c>
      <c r="M635" s="29">
        <v>0</v>
      </c>
      <c r="N635" s="29">
        <v>0</v>
      </c>
      <c r="O635" s="29">
        <v>0</v>
      </c>
      <c r="P635" s="29">
        <v>0</v>
      </c>
      <c r="Q635" s="37">
        <v>1131.4000000000001</v>
      </c>
      <c r="R635" s="37">
        <v>4186952.71</v>
      </c>
      <c r="S635" s="29">
        <v>0</v>
      </c>
      <c r="T635" s="29">
        <v>0</v>
      </c>
      <c r="U635" s="29">
        <v>0</v>
      </c>
      <c r="V635" s="29">
        <v>0</v>
      </c>
      <c r="W635" s="29">
        <v>0</v>
      </c>
      <c r="X635" s="29">
        <v>0</v>
      </c>
      <c r="Y635" s="29">
        <v>0</v>
      </c>
      <c r="Z635" s="29">
        <v>0</v>
      </c>
      <c r="AA635" s="29">
        <v>0</v>
      </c>
      <c r="AB635" s="29">
        <v>0</v>
      </c>
      <c r="AC635" s="37">
        <v>62490.27</v>
      </c>
      <c r="AD635" s="29">
        <v>0</v>
      </c>
      <c r="AE635" s="29">
        <v>0</v>
      </c>
      <c r="AF635" s="32" t="s">
        <v>268</v>
      </c>
      <c r="AG635" s="32">
        <v>2021</v>
      </c>
      <c r="AH635" s="32">
        <v>2021</v>
      </c>
      <c r="BZ635" s="61"/>
      <c r="CD635" s="18" t="e">
        <f>VLOOKUP(C635,CE:CF,2,FALSE)</f>
        <v>#N/A</v>
      </c>
      <c r="CE635" s="85" t="s">
        <v>1178</v>
      </c>
      <c r="CF635" s="85">
        <v>2073.9</v>
      </c>
    </row>
    <row r="636" spans="1:84" ht="61.5" x14ac:dyDescent="0.85">
      <c r="A636" s="18">
        <v>1</v>
      </c>
      <c r="B636" s="57">
        <f>SUBTOTAL(103,$A$558:A636)</f>
        <v>79</v>
      </c>
      <c r="C636" s="22" t="s">
        <v>1118</v>
      </c>
      <c r="D636" s="29">
        <f t="shared" si="93"/>
        <v>3481968.05</v>
      </c>
      <c r="E636" s="29">
        <v>0</v>
      </c>
      <c r="F636" s="29">
        <v>0</v>
      </c>
      <c r="G636" s="29">
        <v>0</v>
      </c>
      <c r="H636" s="29">
        <v>0</v>
      </c>
      <c r="I636" s="29">
        <v>0</v>
      </c>
      <c r="J636" s="29">
        <v>0</v>
      </c>
      <c r="K636" s="64">
        <v>0</v>
      </c>
      <c r="L636" s="29">
        <v>0</v>
      </c>
      <c r="M636" s="29">
        <v>0</v>
      </c>
      <c r="N636" s="29">
        <v>0</v>
      </c>
      <c r="O636" s="29">
        <v>780</v>
      </c>
      <c r="P636" s="29">
        <v>3331988.23</v>
      </c>
      <c r="Q636" s="29">
        <v>0</v>
      </c>
      <c r="R636" s="29">
        <v>0</v>
      </c>
      <c r="S636" s="29">
        <v>0</v>
      </c>
      <c r="T636" s="29">
        <v>0</v>
      </c>
      <c r="U636" s="29">
        <v>0</v>
      </c>
      <c r="V636" s="29">
        <v>0</v>
      </c>
      <c r="W636" s="29">
        <v>0</v>
      </c>
      <c r="X636" s="29">
        <v>0</v>
      </c>
      <c r="Y636" s="29">
        <v>0</v>
      </c>
      <c r="Z636" s="29">
        <v>0</v>
      </c>
      <c r="AA636" s="29">
        <v>0</v>
      </c>
      <c r="AB636" s="29">
        <v>0</v>
      </c>
      <c r="AC636" s="29">
        <v>49979.82</v>
      </c>
      <c r="AD636" s="29">
        <v>100000</v>
      </c>
      <c r="AE636" s="29">
        <v>0</v>
      </c>
      <c r="AF636" s="32">
        <v>2021</v>
      </c>
      <c r="AG636" s="32">
        <v>2021</v>
      </c>
      <c r="AH636" s="32">
        <v>2021</v>
      </c>
      <c r="BZ636" s="61"/>
      <c r="CD636" s="18" t="e">
        <f>VLOOKUP(C636,CE:CF,2,FALSE)</f>
        <v>#N/A</v>
      </c>
      <c r="CE636" s="85" t="s">
        <v>5</v>
      </c>
      <c r="CF636" s="85">
        <v>722.14</v>
      </c>
    </row>
    <row r="637" spans="1:84" ht="61.5" x14ac:dyDescent="0.85">
      <c r="A637" s="18">
        <v>1</v>
      </c>
      <c r="B637" s="57">
        <f>SUBTOTAL(103,$A$558:A637)</f>
        <v>80</v>
      </c>
      <c r="C637" s="22" t="s">
        <v>577</v>
      </c>
      <c r="D637" s="29">
        <f t="shared" ref="D637:D648" si="98">E637+F637+G637+H637+I637+J637+L637+N637+P637+R637+T637+U637+V637+W637+X637+Y637+Z637+AA637+AB637+AC637+AD637+AE637</f>
        <v>2647477.29</v>
      </c>
      <c r="E637" s="29">
        <v>0</v>
      </c>
      <c r="F637" s="29">
        <v>0</v>
      </c>
      <c r="G637" s="29">
        <v>0</v>
      </c>
      <c r="H637" s="29">
        <v>0</v>
      </c>
      <c r="I637" s="29">
        <v>0</v>
      </c>
      <c r="J637" s="29">
        <v>0</v>
      </c>
      <c r="K637" s="64">
        <v>0</v>
      </c>
      <c r="L637" s="29">
        <v>0</v>
      </c>
      <c r="M637" s="29">
        <v>557</v>
      </c>
      <c r="N637" s="29">
        <v>2509849.61</v>
      </c>
      <c r="O637" s="29">
        <v>0</v>
      </c>
      <c r="P637" s="29">
        <v>0</v>
      </c>
      <c r="Q637" s="29">
        <v>0</v>
      </c>
      <c r="R637" s="29">
        <v>0</v>
      </c>
      <c r="S637" s="29">
        <v>0</v>
      </c>
      <c r="T637" s="29">
        <v>0</v>
      </c>
      <c r="U637" s="29">
        <v>0</v>
      </c>
      <c r="V637" s="29">
        <v>0</v>
      </c>
      <c r="W637" s="29">
        <v>0</v>
      </c>
      <c r="X637" s="29">
        <v>0</v>
      </c>
      <c r="Y637" s="29">
        <v>0</v>
      </c>
      <c r="Z637" s="29">
        <v>0</v>
      </c>
      <c r="AA637" s="29">
        <v>0</v>
      </c>
      <c r="AB637" s="29">
        <v>0</v>
      </c>
      <c r="AC637" s="29">
        <v>37647.74</v>
      </c>
      <c r="AD637" s="29">
        <v>99979.94</v>
      </c>
      <c r="AE637" s="29">
        <v>0</v>
      </c>
      <c r="AF637" s="32">
        <v>2021</v>
      </c>
      <c r="AG637" s="32">
        <v>2021</v>
      </c>
      <c r="AH637" s="32">
        <v>2021</v>
      </c>
      <c r="AT637" s="18" t="e">
        <f>VLOOKUP(C637,AW:AX,2,FALSE)</f>
        <v>#N/A</v>
      </c>
      <c r="BZ637" s="61"/>
    </row>
    <row r="638" spans="1:84" ht="61.5" x14ac:dyDescent="0.85">
      <c r="A638" s="18">
        <v>1</v>
      </c>
      <c r="B638" s="57">
        <f>SUBTOTAL(103,$A$558:A638)</f>
        <v>81</v>
      </c>
      <c r="C638" s="22" t="s">
        <v>585</v>
      </c>
      <c r="D638" s="29">
        <f t="shared" si="98"/>
        <v>2934054.27</v>
      </c>
      <c r="E638" s="29">
        <v>0</v>
      </c>
      <c r="F638" s="29">
        <v>0</v>
      </c>
      <c r="G638" s="29">
        <v>0</v>
      </c>
      <c r="H638" s="29">
        <v>0</v>
      </c>
      <c r="I638" s="29">
        <v>0</v>
      </c>
      <c r="J638" s="29">
        <v>0</v>
      </c>
      <c r="K638" s="64">
        <v>0</v>
      </c>
      <c r="L638" s="29">
        <v>0</v>
      </c>
      <c r="M638" s="29">
        <v>621.5</v>
      </c>
      <c r="N638" s="29">
        <v>2792184.81</v>
      </c>
      <c r="O638" s="29">
        <v>0</v>
      </c>
      <c r="P638" s="29">
        <v>0</v>
      </c>
      <c r="Q638" s="29">
        <v>0</v>
      </c>
      <c r="R638" s="29">
        <v>0</v>
      </c>
      <c r="S638" s="29">
        <v>0</v>
      </c>
      <c r="T638" s="29">
        <v>0</v>
      </c>
      <c r="U638" s="29">
        <v>0</v>
      </c>
      <c r="V638" s="29">
        <v>0</v>
      </c>
      <c r="W638" s="29">
        <v>0</v>
      </c>
      <c r="X638" s="29">
        <v>0</v>
      </c>
      <c r="Y638" s="29">
        <v>0</v>
      </c>
      <c r="Z638" s="29">
        <v>0</v>
      </c>
      <c r="AA638" s="29">
        <v>0</v>
      </c>
      <c r="AB638" s="29">
        <v>0</v>
      </c>
      <c r="AC638" s="29">
        <v>41882.769999999997</v>
      </c>
      <c r="AD638" s="29">
        <v>99986.69</v>
      </c>
      <c r="AE638" s="29">
        <v>0</v>
      </c>
      <c r="AF638" s="32">
        <v>2021</v>
      </c>
      <c r="AG638" s="32">
        <v>2021</v>
      </c>
      <c r="AH638" s="32">
        <v>2021</v>
      </c>
      <c r="AT638" s="18" t="e">
        <f>VLOOKUP(C638,AW:AX,2,FALSE)</f>
        <v>#N/A</v>
      </c>
      <c r="BZ638" s="61"/>
    </row>
    <row r="639" spans="1:84" ht="61.5" x14ac:dyDescent="0.85">
      <c r="A639" s="18">
        <v>1</v>
      </c>
      <c r="B639" s="57">
        <f>SUBTOTAL(103,$A$558:A639)</f>
        <v>82</v>
      </c>
      <c r="C639" s="22" t="s">
        <v>589</v>
      </c>
      <c r="D639" s="29">
        <f t="shared" si="98"/>
        <v>2671247.02</v>
      </c>
      <c r="E639" s="29">
        <v>0</v>
      </c>
      <c r="F639" s="29">
        <v>0</v>
      </c>
      <c r="G639" s="29">
        <v>0</v>
      </c>
      <c r="H639" s="29">
        <v>0</v>
      </c>
      <c r="I639" s="29">
        <v>0</v>
      </c>
      <c r="J639" s="29">
        <v>0</v>
      </c>
      <c r="K639" s="64">
        <v>0</v>
      </c>
      <c r="L639" s="29">
        <v>0</v>
      </c>
      <c r="M639" s="29">
        <v>562</v>
      </c>
      <c r="N639" s="29">
        <v>2533263.77</v>
      </c>
      <c r="O639" s="29">
        <v>0</v>
      </c>
      <c r="P639" s="29">
        <v>0</v>
      </c>
      <c r="Q639" s="29">
        <v>0</v>
      </c>
      <c r="R639" s="29">
        <v>0</v>
      </c>
      <c r="S639" s="29">
        <v>0</v>
      </c>
      <c r="T639" s="29">
        <v>0</v>
      </c>
      <c r="U639" s="29">
        <v>0</v>
      </c>
      <c r="V639" s="29">
        <v>0</v>
      </c>
      <c r="W639" s="29">
        <v>0</v>
      </c>
      <c r="X639" s="29">
        <v>0</v>
      </c>
      <c r="Y639" s="29">
        <v>0</v>
      </c>
      <c r="Z639" s="29">
        <v>0</v>
      </c>
      <c r="AA639" s="29">
        <v>0</v>
      </c>
      <c r="AB639" s="29">
        <v>0</v>
      </c>
      <c r="AC639" s="29">
        <v>37998.959999999999</v>
      </c>
      <c r="AD639" s="29">
        <v>99984.29</v>
      </c>
      <c r="AE639" s="29">
        <v>0</v>
      </c>
      <c r="AF639" s="32">
        <v>2021</v>
      </c>
      <c r="AG639" s="32">
        <v>2021</v>
      </c>
      <c r="AH639" s="32">
        <v>2021</v>
      </c>
      <c r="AT639" s="18" t="e">
        <f>VLOOKUP(C639,AW:AX,2,FALSE)</f>
        <v>#N/A</v>
      </c>
      <c r="BZ639" s="61"/>
    </row>
    <row r="640" spans="1:84" ht="61.5" x14ac:dyDescent="0.85">
      <c r="A640" s="18">
        <v>1</v>
      </c>
      <c r="B640" s="57">
        <f>SUBTOTAL(103,$A$558:A640)</f>
        <v>83</v>
      </c>
      <c r="C640" s="22" t="s">
        <v>596</v>
      </c>
      <c r="D640" s="29">
        <f t="shared" si="98"/>
        <v>3840496.51</v>
      </c>
      <c r="E640" s="29">
        <v>0</v>
      </c>
      <c r="F640" s="29">
        <v>0</v>
      </c>
      <c r="G640" s="29">
        <v>0</v>
      </c>
      <c r="H640" s="29">
        <v>0</v>
      </c>
      <c r="I640" s="29">
        <v>0</v>
      </c>
      <c r="J640" s="29">
        <v>0</v>
      </c>
      <c r="K640" s="64">
        <v>0</v>
      </c>
      <c r="L640" s="29">
        <v>0</v>
      </c>
      <c r="M640" s="29">
        <v>952</v>
      </c>
      <c r="N640" s="29">
        <v>3783740.4</v>
      </c>
      <c r="O640" s="29">
        <v>0</v>
      </c>
      <c r="P640" s="29">
        <v>0</v>
      </c>
      <c r="Q640" s="29">
        <v>0</v>
      </c>
      <c r="R640" s="29">
        <v>0</v>
      </c>
      <c r="S640" s="29">
        <v>0</v>
      </c>
      <c r="T640" s="29">
        <v>0</v>
      </c>
      <c r="U640" s="29">
        <v>0</v>
      </c>
      <c r="V640" s="29">
        <v>0</v>
      </c>
      <c r="W640" s="29">
        <v>0</v>
      </c>
      <c r="X640" s="29">
        <v>0</v>
      </c>
      <c r="Y640" s="29">
        <v>0</v>
      </c>
      <c r="Z640" s="29">
        <v>0</v>
      </c>
      <c r="AA640" s="29">
        <v>0</v>
      </c>
      <c r="AB640" s="29">
        <v>0</v>
      </c>
      <c r="AC640" s="29">
        <v>56756.11</v>
      </c>
      <c r="AD640" s="29">
        <v>0</v>
      </c>
      <c r="AE640" s="29">
        <v>0</v>
      </c>
      <c r="AF640" s="32" t="s">
        <v>268</v>
      </c>
      <c r="AG640" s="32">
        <v>2021</v>
      </c>
      <c r="AH640" s="32">
        <v>2021</v>
      </c>
      <c r="AT640" s="18" t="e">
        <f>VLOOKUP(C640,AW:AX,2,FALSE)</f>
        <v>#N/A</v>
      </c>
      <c r="BZ640" s="61"/>
    </row>
    <row r="641" spans="1:84" ht="61.5" x14ac:dyDescent="0.85">
      <c r="A641" s="18">
        <v>1</v>
      </c>
      <c r="B641" s="57">
        <f>SUBTOTAL(103,$A$558:A641)</f>
        <v>84</v>
      </c>
      <c r="C641" s="22" t="s">
        <v>582</v>
      </c>
      <c r="D641" s="29">
        <f t="shared" si="98"/>
        <v>2251988.91</v>
      </c>
      <c r="E641" s="29">
        <v>0</v>
      </c>
      <c r="F641" s="29">
        <v>0</v>
      </c>
      <c r="G641" s="29">
        <v>0</v>
      </c>
      <c r="H641" s="29">
        <v>0</v>
      </c>
      <c r="I641" s="29">
        <v>0</v>
      </c>
      <c r="J641" s="29">
        <v>0</v>
      </c>
      <c r="K641" s="64">
        <v>1</v>
      </c>
      <c r="L641" s="29">
        <v>2150000</v>
      </c>
      <c r="M641" s="29">
        <v>0</v>
      </c>
      <c r="N641" s="29">
        <v>0</v>
      </c>
      <c r="O641" s="29">
        <v>0</v>
      </c>
      <c r="P641" s="29">
        <v>0</v>
      </c>
      <c r="Q641" s="29">
        <v>0</v>
      </c>
      <c r="R641" s="29">
        <v>0</v>
      </c>
      <c r="S641" s="29">
        <v>0</v>
      </c>
      <c r="T641" s="29">
        <v>0</v>
      </c>
      <c r="U641" s="29">
        <v>0</v>
      </c>
      <c r="V641" s="29">
        <v>0</v>
      </c>
      <c r="W641" s="29">
        <v>0</v>
      </c>
      <c r="X641" s="29">
        <v>0</v>
      </c>
      <c r="Y641" s="29">
        <v>0</v>
      </c>
      <c r="Z641" s="29">
        <v>0</v>
      </c>
      <c r="AA641" s="29">
        <v>0</v>
      </c>
      <c r="AB641" s="29">
        <v>0</v>
      </c>
      <c r="AC641" s="29">
        <v>0</v>
      </c>
      <c r="AD641" s="37">
        <v>101988.91</v>
      </c>
      <c r="AE641" s="29">
        <v>0</v>
      </c>
      <c r="AF641" s="32">
        <v>2021</v>
      </c>
      <c r="AG641" s="32">
        <v>2021</v>
      </c>
      <c r="AH641" s="32" t="s">
        <v>268</v>
      </c>
      <c r="AT641" s="18" t="e">
        <f>VLOOKUP(C641,AW:AX,2,FALSE)</f>
        <v>#N/A</v>
      </c>
      <c r="BZ641" s="61"/>
    </row>
    <row r="642" spans="1:84" ht="61.5" x14ac:dyDescent="0.85">
      <c r="A642" s="18">
        <v>1</v>
      </c>
      <c r="B642" s="57">
        <f>SUBTOTAL(103,$A$558:A642)</f>
        <v>85</v>
      </c>
      <c r="C642" s="22" t="s">
        <v>1093</v>
      </c>
      <c r="D642" s="29">
        <f t="shared" si="98"/>
        <v>3336923.37</v>
      </c>
      <c r="E642" s="29">
        <v>0</v>
      </c>
      <c r="F642" s="29">
        <v>0</v>
      </c>
      <c r="G642" s="29">
        <v>0</v>
      </c>
      <c r="H642" s="29">
        <v>0</v>
      </c>
      <c r="I642" s="29">
        <v>0</v>
      </c>
      <c r="J642" s="29">
        <v>0</v>
      </c>
      <c r="K642" s="64">
        <v>0</v>
      </c>
      <c r="L642" s="29">
        <v>0</v>
      </c>
      <c r="M642" s="29">
        <v>0</v>
      </c>
      <c r="N642" s="29">
        <v>0</v>
      </c>
      <c r="O642" s="29">
        <v>0</v>
      </c>
      <c r="P642" s="29">
        <v>0</v>
      </c>
      <c r="Q642" s="29">
        <v>1524.32</v>
      </c>
      <c r="R642" s="29">
        <v>3287609.23</v>
      </c>
      <c r="S642" s="29">
        <v>0</v>
      </c>
      <c r="T642" s="29">
        <v>0</v>
      </c>
      <c r="U642" s="29">
        <v>0</v>
      </c>
      <c r="V642" s="29">
        <v>0</v>
      </c>
      <c r="W642" s="29">
        <v>0</v>
      </c>
      <c r="X642" s="29">
        <v>0</v>
      </c>
      <c r="Y642" s="29">
        <v>0</v>
      </c>
      <c r="Z642" s="29">
        <v>0</v>
      </c>
      <c r="AA642" s="29">
        <v>0</v>
      </c>
      <c r="AB642" s="29">
        <v>0</v>
      </c>
      <c r="AC642" s="29">
        <v>49314.14</v>
      </c>
      <c r="AD642" s="29">
        <v>0</v>
      </c>
      <c r="AE642" s="29">
        <v>0</v>
      </c>
      <c r="AF642" s="32" t="s">
        <v>268</v>
      </c>
      <c r="AG642" s="32">
        <v>2021</v>
      </c>
      <c r="AH642" s="32">
        <v>2021</v>
      </c>
      <c r="BZ642" s="61"/>
      <c r="CD642" s="18" t="e">
        <f>VLOOKUP(C642,CE:CF,2,FALSE)</f>
        <v>#N/A</v>
      </c>
    </row>
    <row r="643" spans="1:84" ht="61.5" x14ac:dyDescent="0.85">
      <c r="A643" s="18">
        <v>1</v>
      </c>
      <c r="B643" s="57">
        <f>SUBTOTAL(103,$A$558:A643)</f>
        <v>86</v>
      </c>
      <c r="C643" s="22" t="s">
        <v>791</v>
      </c>
      <c r="D643" s="29">
        <f t="shared" si="98"/>
        <v>1125497.8499999999</v>
      </c>
      <c r="E643" s="29">
        <v>0</v>
      </c>
      <c r="F643" s="29">
        <v>0</v>
      </c>
      <c r="G643" s="29">
        <v>0</v>
      </c>
      <c r="H643" s="29">
        <v>0</v>
      </c>
      <c r="I643" s="29">
        <v>0</v>
      </c>
      <c r="J643" s="29">
        <v>0</v>
      </c>
      <c r="K643" s="64">
        <v>0</v>
      </c>
      <c r="L643" s="29">
        <v>0</v>
      </c>
      <c r="M643" s="29">
        <v>310.2</v>
      </c>
      <c r="N643" s="37">
        <v>1110177.3999999999</v>
      </c>
      <c r="O643" s="29">
        <v>0</v>
      </c>
      <c r="P643" s="29">
        <v>0</v>
      </c>
      <c r="Q643" s="29">
        <v>0</v>
      </c>
      <c r="R643" s="29">
        <v>0</v>
      </c>
      <c r="S643" s="29">
        <v>0</v>
      </c>
      <c r="T643" s="29">
        <v>0</v>
      </c>
      <c r="U643" s="29">
        <v>0</v>
      </c>
      <c r="V643" s="29">
        <v>0</v>
      </c>
      <c r="W643" s="29">
        <v>0</v>
      </c>
      <c r="X643" s="29">
        <v>0</v>
      </c>
      <c r="Y643" s="29">
        <v>0</v>
      </c>
      <c r="Z643" s="29">
        <v>0</v>
      </c>
      <c r="AA643" s="29">
        <v>0</v>
      </c>
      <c r="AB643" s="29">
        <v>0</v>
      </c>
      <c r="AC643" s="29">
        <v>15320.45</v>
      </c>
      <c r="AD643" s="29">
        <v>0</v>
      </c>
      <c r="AE643" s="29">
        <v>0</v>
      </c>
      <c r="AF643" s="32" t="s">
        <v>268</v>
      </c>
      <c r="AG643" s="32">
        <v>2021</v>
      </c>
      <c r="AH643" s="32">
        <v>2021</v>
      </c>
      <c r="AT643" s="18" t="e">
        <f>VLOOKUP(C643,AW:AX,2,FALSE)</f>
        <v>#N/A</v>
      </c>
      <c r="BZ643" s="61"/>
      <c r="CD643" s="18" t="e">
        <f>VLOOKUP(C643,CE:CF,2,FALSE)</f>
        <v>#N/A</v>
      </c>
    </row>
    <row r="644" spans="1:84" ht="61.5" x14ac:dyDescent="0.85">
      <c r="A644" s="18">
        <v>1</v>
      </c>
      <c r="B644" s="57">
        <f>SUBTOTAL(103,$A$558:A644)</f>
        <v>87</v>
      </c>
      <c r="C644" s="22" t="s">
        <v>523</v>
      </c>
      <c r="D644" s="29">
        <f t="shared" ref="D644" si="99">E644+F644+G644+H644+I644+J644+L644+N644+P644+R644+T644+U644+V644+W644+X644+Y644+Z644+AA644+AB644+AC644+AD644+AE644</f>
        <v>3949680.45</v>
      </c>
      <c r="E644" s="29">
        <v>0</v>
      </c>
      <c r="F644" s="29">
        <v>0</v>
      </c>
      <c r="G644" s="29">
        <v>0</v>
      </c>
      <c r="H644" s="29">
        <v>0</v>
      </c>
      <c r="I644" s="29">
        <v>0</v>
      </c>
      <c r="J644" s="29">
        <v>0</v>
      </c>
      <c r="K644" s="64">
        <v>0</v>
      </c>
      <c r="L644" s="29">
        <v>0</v>
      </c>
      <c r="M644" s="29">
        <v>904</v>
      </c>
      <c r="N644" s="29">
        <v>3891310.79</v>
      </c>
      <c r="O644" s="29">
        <v>0</v>
      </c>
      <c r="P644" s="29">
        <v>0</v>
      </c>
      <c r="Q644" s="29">
        <v>0</v>
      </c>
      <c r="R644" s="29">
        <v>0</v>
      </c>
      <c r="S644" s="29">
        <v>0</v>
      </c>
      <c r="T644" s="29">
        <v>0</v>
      </c>
      <c r="U644" s="29">
        <v>0</v>
      </c>
      <c r="V644" s="29">
        <v>0</v>
      </c>
      <c r="W644" s="29">
        <v>0</v>
      </c>
      <c r="X644" s="29">
        <v>0</v>
      </c>
      <c r="Y644" s="29">
        <v>0</v>
      </c>
      <c r="Z644" s="29">
        <v>0</v>
      </c>
      <c r="AA644" s="29">
        <v>0</v>
      </c>
      <c r="AB644" s="29">
        <v>0</v>
      </c>
      <c r="AC644" s="29">
        <v>58369.66</v>
      </c>
      <c r="AD644" s="29">
        <v>0</v>
      </c>
      <c r="AE644" s="29">
        <v>0</v>
      </c>
      <c r="AF644" s="32" t="s">
        <v>268</v>
      </c>
      <c r="AG644" s="32">
        <v>2021</v>
      </c>
      <c r="AH644" s="32">
        <v>2021</v>
      </c>
      <c r="AT644" s="18" t="e">
        <f>VLOOKUP(C644,AW:AX,2,FALSE)</f>
        <v>#N/A</v>
      </c>
      <c r="BZ644" s="61"/>
      <c r="CD644" s="18">
        <f>VLOOKUP(C644,CE:CF,2,FALSE)</f>
        <v>904</v>
      </c>
      <c r="CE644" s="85" t="s">
        <v>1274</v>
      </c>
      <c r="CF644" s="85">
        <v>1674.7</v>
      </c>
    </row>
    <row r="645" spans="1:84" ht="61.5" x14ac:dyDescent="0.85">
      <c r="A645" s="18">
        <v>1</v>
      </c>
      <c r="B645" s="57">
        <f>SUBTOTAL(103,$A$558:A645)</f>
        <v>88</v>
      </c>
      <c r="C645" s="22" t="s">
        <v>571</v>
      </c>
      <c r="D645" s="29">
        <f t="shared" si="98"/>
        <v>3593332.35</v>
      </c>
      <c r="E645" s="29">
        <v>0</v>
      </c>
      <c r="F645" s="29">
        <v>0</v>
      </c>
      <c r="G645" s="29">
        <v>0</v>
      </c>
      <c r="H645" s="29">
        <v>0</v>
      </c>
      <c r="I645" s="29">
        <v>0</v>
      </c>
      <c r="J645" s="29">
        <v>0</v>
      </c>
      <c r="K645" s="64">
        <v>0</v>
      </c>
      <c r="L645" s="29">
        <v>0</v>
      </c>
      <c r="M645" s="29">
        <v>760.2</v>
      </c>
      <c r="N645" s="29">
        <f>3441706.75-42589.75</f>
        <v>3399117</v>
      </c>
      <c r="O645" s="29">
        <v>0</v>
      </c>
      <c r="P645" s="29">
        <v>0</v>
      </c>
      <c r="Q645" s="29">
        <v>0</v>
      </c>
      <c r="R645" s="29">
        <v>0</v>
      </c>
      <c r="S645" s="29">
        <v>0</v>
      </c>
      <c r="T645" s="29">
        <v>0</v>
      </c>
      <c r="U645" s="29">
        <v>0</v>
      </c>
      <c r="V645" s="29">
        <v>0</v>
      </c>
      <c r="W645" s="29">
        <v>0</v>
      </c>
      <c r="X645" s="29">
        <v>0</v>
      </c>
      <c r="Y645" s="29">
        <v>0</v>
      </c>
      <c r="Z645" s="29">
        <v>0</v>
      </c>
      <c r="AA645" s="29">
        <v>0</v>
      </c>
      <c r="AB645" s="29">
        <v>0</v>
      </c>
      <c r="AC645" s="29">
        <f>51625.6-638.85</f>
        <v>50986.75</v>
      </c>
      <c r="AD645" s="29">
        <v>143228.6</v>
      </c>
      <c r="AE645" s="29">
        <v>0</v>
      </c>
      <c r="AF645" s="32">
        <v>2021</v>
      </c>
      <c r="AG645" s="32">
        <v>2021</v>
      </c>
      <c r="AH645" s="33">
        <v>2021</v>
      </c>
      <c r="AT645" s="18" t="e">
        <f>VLOOKUP(C645,AW:AX,2,FALSE)</f>
        <v>#N/A</v>
      </c>
      <c r="BZ645" s="61"/>
    </row>
    <row r="646" spans="1:84" ht="61.5" x14ac:dyDescent="0.85">
      <c r="A646" s="18">
        <v>1</v>
      </c>
      <c r="B646" s="57">
        <f>SUBTOTAL(103,$A$558:A646)</f>
        <v>89</v>
      </c>
      <c r="C646" s="22" t="s">
        <v>1370</v>
      </c>
      <c r="D646" s="29">
        <f t="shared" ref="D646:D647" si="100">E646+F646+G646+H646+I646+J646+L646+N646+P646+R646+T646+U646+V646+W646+X646+Y646+Z646+AA646+AB646+AC646+AD646+AE646</f>
        <v>8004176.4600000009</v>
      </c>
      <c r="E646" s="29">
        <v>0</v>
      </c>
      <c r="F646" s="29">
        <v>0</v>
      </c>
      <c r="G646" s="29">
        <v>0</v>
      </c>
      <c r="H646" s="29">
        <v>0</v>
      </c>
      <c r="I646" s="29">
        <v>0</v>
      </c>
      <c r="J646" s="29">
        <v>0</v>
      </c>
      <c r="K646" s="64">
        <v>0</v>
      </c>
      <c r="L646" s="29">
        <v>0</v>
      </c>
      <c r="M646" s="29">
        <v>2314</v>
      </c>
      <c r="N646" s="29">
        <f>7724464.79-82517.97</f>
        <v>7641946.8200000003</v>
      </c>
      <c r="O646" s="29">
        <v>0</v>
      </c>
      <c r="P646" s="29">
        <v>0</v>
      </c>
      <c r="Q646" s="29">
        <v>0</v>
      </c>
      <c r="R646" s="29">
        <v>0</v>
      </c>
      <c r="S646" s="29">
        <v>0</v>
      </c>
      <c r="T646" s="29">
        <v>0</v>
      </c>
      <c r="U646" s="29">
        <v>0</v>
      </c>
      <c r="V646" s="29">
        <v>0</v>
      </c>
      <c r="W646" s="29">
        <v>0</v>
      </c>
      <c r="X646" s="29">
        <v>0</v>
      </c>
      <c r="Y646" s="29">
        <v>0</v>
      </c>
      <c r="Z646" s="29">
        <v>0</v>
      </c>
      <c r="AA646" s="29">
        <v>0</v>
      </c>
      <c r="AB646" s="29">
        <v>0</v>
      </c>
      <c r="AC646" s="29">
        <f>115866.97-1237.77</f>
        <v>114629.2</v>
      </c>
      <c r="AD646" s="29">
        <v>247600.44</v>
      </c>
      <c r="AE646" s="29">
        <v>0</v>
      </c>
      <c r="AF646" s="32">
        <v>2021</v>
      </c>
      <c r="AG646" s="32">
        <v>2021</v>
      </c>
      <c r="AH646" s="33">
        <v>2021</v>
      </c>
      <c r="BZ646" s="61"/>
    </row>
    <row r="647" spans="1:84" ht="61.5" x14ac:dyDescent="0.85">
      <c r="A647" s="18">
        <v>1</v>
      </c>
      <c r="B647" s="57">
        <f>SUBTOTAL(103,$A$558:A647)</f>
        <v>90</v>
      </c>
      <c r="C647" s="22" t="s">
        <v>2456</v>
      </c>
      <c r="D647" s="29">
        <f t="shared" si="100"/>
        <v>4430001.0199999996</v>
      </c>
      <c r="E647" s="29">
        <v>0</v>
      </c>
      <c r="F647" s="29">
        <v>0</v>
      </c>
      <c r="G647" s="29">
        <v>0</v>
      </c>
      <c r="H647" s="29">
        <v>0</v>
      </c>
      <c r="I647" s="29">
        <v>0</v>
      </c>
      <c r="J647" s="29">
        <v>0</v>
      </c>
      <c r="K647" s="64">
        <v>0</v>
      </c>
      <c r="L647" s="29">
        <v>0</v>
      </c>
      <c r="M647" s="29">
        <v>879</v>
      </c>
      <c r="N647" s="29">
        <f>4264610-40722.51</f>
        <v>4223887.49</v>
      </c>
      <c r="O647" s="29">
        <v>0</v>
      </c>
      <c r="P647" s="29">
        <v>0</v>
      </c>
      <c r="Q647" s="29">
        <v>0</v>
      </c>
      <c r="R647" s="29">
        <v>0</v>
      </c>
      <c r="S647" s="29">
        <v>0</v>
      </c>
      <c r="T647" s="29">
        <v>0</v>
      </c>
      <c r="U647" s="29">
        <v>0</v>
      </c>
      <c r="V647" s="29">
        <v>0</v>
      </c>
      <c r="W647" s="29">
        <v>0</v>
      </c>
      <c r="X647" s="29">
        <v>0</v>
      </c>
      <c r="Y647" s="29">
        <v>0</v>
      </c>
      <c r="Z647" s="29">
        <v>0</v>
      </c>
      <c r="AA647" s="29">
        <v>0</v>
      </c>
      <c r="AB647" s="29">
        <v>0</v>
      </c>
      <c r="AC647" s="29">
        <v>63358.31</v>
      </c>
      <c r="AD647" s="29">
        <v>142755.22</v>
      </c>
      <c r="AE647" s="29">
        <v>0</v>
      </c>
      <c r="AF647" s="32">
        <v>2021</v>
      </c>
      <c r="AG647" s="32">
        <v>2021</v>
      </c>
      <c r="AH647" s="33">
        <v>2021</v>
      </c>
      <c r="BZ647" s="61"/>
    </row>
    <row r="648" spans="1:84" ht="61.5" x14ac:dyDescent="0.85">
      <c r="A648" s="18">
        <v>1</v>
      </c>
      <c r="B648" s="57">
        <f>SUBTOTAL(103,$A$558:A648)</f>
        <v>91</v>
      </c>
      <c r="C648" s="22" t="s">
        <v>524</v>
      </c>
      <c r="D648" s="29">
        <f t="shared" si="98"/>
        <v>4549868.84</v>
      </c>
      <c r="E648" s="29">
        <v>0</v>
      </c>
      <c r="F648" s="29">
        <v>0</v>
      </c>
      <c r="G648" s="29">
        <v>0</v>
      </c>
      <c r="H648" s="29">
        <v>0</v>
      </c>
      <c r="I648" s="29">
        <v>0</v>
      </c>
      <c r="J648" s="29">
        <v>0</v>
      </c>
      <c r="K648" s="64">
        <v>2</v>
      </c>
      <c r="L648" s="29">
        <v>4419868.84</v>
      </c>
      <c r="M648" s="29">
        <v>0</v>
      </c>
      <c r="N648" s="29">
        <v>0</v>
      </c>
      <c r="O648" s="29">
        <v>0</v>
      </c>
      <c r="P648" s="29">
        <v>0</v>
      </c>
      <c r="Q648" s="29">
        <v>0</v>
      </c>
      <c r="R648" s="29">
        <v>0</v>
      </c>
      <c r="S648" s="29">
        <v>0</v>
      </c>
      <c r="T648" s="29">
        <v>0</v>
      </c>
      <c r="U648" s="29">
        <v>0</v>
      </c>
      <c r="V648" s="29">
        <v>0</v>
      </c>
      <c r="W648" s="29">
        <v>0</v>
      </c>
      <c r="X648" s="29">
        <v>0</v>
      </c>
      <c r="Y648" s="29">
        <v>0</v>
      </c>
      <c r="Z648" s="29">
        <v>0</v>
      </c>
      <c r="AA648" s="29">
        <v>0</v>
      </c>
      <c r="AB648" s="29">
        <v>0</v>
      </c>
      <c r="AC648" s="29">
        <v>0</v>
      </c>
      <c r="AD648" s="29">
        <v>130000</v>
      </c>
      <c r="AE648" s="29">
        <v>0</v>
      </c>
      <c r="AF648" s="32">
        <v>2021</v>
      </c>
      <c r="AG648" s="32">
        <v>2021</v>
      </c>
      <c r="AH648" s="33" t="s">
        <v>268</v>
      </c>
      <c r="BZ648" s="61"/>
    </row>
    <row r="649" spans="1:84" ht="61.5" x14ac:dyDescent="0.85">
      <c r="B649" s="22" t="s">
        <v>748</v>
      </c>
      <c r="C649" s="338"/>
      <c r="D649" s="339">
        <f t="shared" ref="D649:AE649" si="101">SUM(D650:D680)</f>
        <v>99817914.609999999</v>
      </c>
      <c r="E649" s="29">
        <f t="shared" si="101"/>
        <v>215356.42</v>
      </c>
      <c r="F649" s="29">
        <f t="shared" si="101"/>
        <v>0</v>
      </c>
      <c r="G649" s="29">
        <f t="shared" si="101"/>
        <v>10409909.83</v>
      </c>
      <c r="H649" s="29">
        <f t="shared" si="101"/>
        <v>525966</v>
      </c>
      <c r="I649" s="29">
        <f t="shared" si="101"/>
        <v>2012492.6</v>
      </c>
      <c r="J649" s="29">
        <f t="shared" si="101"/>
        <v>0</v>
      </c>
      <c r="K649" s="31">
        <f t="shared" si="101"/>
        <v>0</v>
      </c>
      <c r="L649" s="29">
        <f t="shared" si="101"/>
        <v>0</v>
      </c>
      <c r="M649" s="29">
        <f t="shared" si="101"/>
        <v>14401.84</v>
      </c>
      <c r="N649" s="29">
        <f t="shared" si="101"/>
        <v>67046035.329999991</v>
      </c>
      <c r="O649" s="29">
        <f t="shared" si="101"/>
        <v>0</v>
      </c>
      <c r="P649" s="29">
        <f t="shared" si="101"/>
        <v>0</v>
      </c>
      <c r="Q649" s="29">
        <f t="shared" si="101"/>
        <v>3932.58</v>
      </c>
      <c r="R649" s="29">
        <f t="shared" si="101"/>
        <v>15733814.440000001</v>
      </c>
      <c r="S649" s="29">
        <f t="shared" si="101"/>
        <v>0</v>
      </c>
      <c r="T649" s="29">
        <f t="shared" si="101"/>
        <v>0</v>
      </c>
      <c r="U649" s="29">
        <f t="shared" si="101"/>
        <v>0</v>
      </c>
      <c r="V649" s="29">
        <f t="shared" si="101"/>
        <v>0</v>
      </c>
      <c r="W649" s="29">
        <f t="shared" si="101"/>
        <v>0</v>
      </c>
      <c r="X649" s="29">
        <f t="shared" si="101"/>
        <v>0</v>
      </c>
      <c r="Y649" s="29">
        <f t="shared" si="101"/>
        <v>0</v>
      </c>
      <c r="Z649" s="29">
        <f t="shared" si="101"/>
        <v>0</v>
      </c>
      <c r="AA649" s="29">
        <f t="shared" si="101"/>
        <v>0</v>
      </c>
      <c r="AB649" s="29">
        <f t="shared" si="101"/>
        <v>0</v>
      </c>
      <c r="AC649" s="29">
        <f t="shared" si="101"/>
        <v>1396407.5600000003</v>
      </c>
      <c r="AD649" s="29">
        <f t="shared" si="101"/>
        <v>2357932.4300000002</v>
      </c>
      <c r="AE649" s="29">
        <f t="shared" si="101"/>
        <v>120000</v>
      </c>
      <c r="AF649" s="62" t="s">
        <v>743</v>
      </c>
      <c r="AG649" s="62" t="s">
        <v>743</v>
      </c>
      <c r="AH649" s="77" t="s">
        <v>743</v>
      </c>
      <c r="AT649" s="18" t="e">
        <f>VLOOKUP(C649,AW:AX,2,FALSE)</f>
        <v>#N/A</v>
      </c>
      <c r="BZ649" s="61">
        <v>53022412.590000004</v>
      </c>
      <c r="CB649" s="61">
        <f>BZ649-D649</f>
        <v>-46795502.019999996</v>
      </c>
      <c r="CD649" s="18" t="e">
        <f>VLOOKUP(C649,CE:CF,2,FALSE)</f>
        <v>#N/A</v>
      </c>
    </row>
    <row r="650" spans="1:84" ht="61.5" x14ac:dyDescent="0.85">
      <c r="A650" s="18">
        <v>1</v>
      </c>
      <c r="B650" s="57">
        <f>SUBTOTAL(103,$A$558:A650)</f>
        <v>92</v>
      </c>
      <c r="C650" s="22" t="s">
        <v>453</v>
      </c>
      <c r="D650" s="29">
        <f t="shared" ref="D650:D659" si="102">E650+F650+G650+H650+I650+J650+L650+N650+P650+R650+T650+U650+V650+W650+X650+Y650+Z650+AA650+AB650+AC650+AD650+AE650</f>
        <v>3167655.13</v>
      </c>
      <c r="E650" s="29">
        <v>0</v>
      </c>
      <c r="F650" s="29">
        <v>0</v>
      </c>
      <c r="G650" s="29">
        <v>0</v>
      </c>
      <c r="H650" s="29">
        <v>0</v>
      </c>
      <c r="I650" s="29">
        <v>0</v>
      </c>
      <c r="J650" s="29">
        <v>0</v>
      </c>
      <c r="K650" s="31">
        <v>0</v>
      </c>
      <c r="L650" s="29">
        <v>0</v>
      </c>
      <c r="M650" s="29">
        <v>631.76</v>
      </c>
      <c r="N650" s="29">
        <v>3051556</v>
      </c>
      <c r="O650" s="29">
        <v>0</v>
      </c>
      <c r="P650" s="29">
        <v>0</v>
      </c>
      <c r="Q650" s="29">
        <v>0</v>
      </c>
      <c r="R650" s="29">
        <v>0</v>
      </c>
      <c r="S650" s="29">
        <v>0</v>
      </c>
      <c r="T650" s="29">
        <v>0</v>
      </c>
      <c r="U650" s="29">
        <v>0</v>
      </c>
      <c r="V650" s="29">
        <v>0</v>
      </c>
      <c r="W650" s="29">
        <v>0</v>
      </c>
      <c r="X650" s="29">
        <v>0</v>
      </c>
      <c r="Y650" s="29">
        <v>0</v>
      </c>
      <c r="Z650" s="29">
        <v>0</v>
      </c>
      <c r="AA650" s="29">
        <v>0</v>
      </c>
      <c r="AB650" s="29">
        <v>0</v>
      </c>
      <c r="AC650" s="29">
        <f>ROUND(N650*1.5%,2)</f>
        <v>45773.34</v>
      </c>
      <c r="AD650" s="29">
        <v>70325.789999999994</v>
      </c>
      <c r="AE650" s="29">
        <v>0</v>
      </c>
      <c r="AF650" s="32">
        <v>2021</v>
      </c>
      <c r="AG650" s="32">
        <v>2021</v>
      </c>
      <c r="AH650" s="33">
        <v>2021</v>
      </c>
      <c r="AT650" s="18" t="e">
        <f>VLOOKUP(C650,AW:AX,2,FALSE)</f>
        <v>#N/A</v>
      </c>
      <c r="BZ650" s="61"/>
      <c r="CD650" s="18" t="e">
        <f>VLOOKUP(C650,CE:CF,2,FALSE)</f>
        <v>#N/A</v>
      </c>
    </row>
    <row r="651" spans="1:84" ht="61.5" x14ac:dyDescent="0.85">
      <c r="A651" s="18">
        <v>1</v>
      </c>
      <c r="B651" s="57">
        <f>SUBTOTAL(103,$A$558:A651)</f>
        <v>93</v>
      </c>
      <c r="C651" s="22" t="s">
        <v>454</v>
      </c>
      <c r="D651" s="29">
        <f t="shared" si="102"/>
        <v>2301582.35</v>
      </c>
      <c r="E651" s="29">
        <v>0</v>
      </c>
      <c r="F651" s="29">
        <v>0</v>
      </c>
      <c r="G651" s="29">
        <v>0</v>
      </c>
      <c r="H651" s="29">
        <v>0</v>
      </c>
      <c r="I651" s="29">
        <v>0</v>
      </c>
      <c r="J651" s="29">
        <v>0</v>
      </c>
      <c r="K651" s="31">
        <v>0</v>
      </c>
      <c r="L651" s="29">
        <v>0</v>
      </c>
      <c r="M651" s="29">
        <v>0</v>
      </c>
      <c r="N651" s="29">
        <v>0</v>
      </c>
      <c r="O651" s="29">
        <v>0</v>
      </c>
      <c r="P651" s="29">
        <v>0</v>
      </c>
      <c r="Q651" s="29">
        <v>439.04</v>
      </c>
      <c r="R651" s="29">
        <v>2139490</v>
      </c>
      <c r="S651" s="29">
        <v>0</v>
      </c>
      <c r="T651" s="29">
        <v>0</v>
      </c>
      <c r="U651" s="29">
        <v>0</v>
      </c>
      <c r="V651" s="29">
        <v>0</v>
      </c>
      <c r="W651" s="29">
        <v>0</v>
      </c>
      <c r="X651" s="29">
        <v>0</v>
      </c>
      <c r="Y651" s="29">
        <v>0</v>
      </c>
      <c r="Z651" s="29">
        <v>0</v>
      </c>
      <c r="AA651" s="29">
        <v>0</v>
      </c>
      <c r="AB651" s="29">
        <v>0</v>
      </c>
      <c r="AC651" s="29">
        <f>ROUND(R651*1.5%,2)</f>
        <v>32092.35</v>
      </c>
      <c r="AD651" s="29">
        <v>130000</v>
      </c>
      <c r="AE651" s="29">
        <v>0</v>
      </c>
      <c r="AF651" s="32">
        <v>2021</v>
      </c>
      <c r="AG651" s="32">
        <v>2021</v>
      </c>
      <c r="AH651" s="33">
        <v>2021</v>
      </c>
      <c r="AT651" s="18" t="e">
        <f>VLOOKUP(C651,AW:AX,2,FALSE)</f>
        <v>#N/A</v>
      </c>
      <c r="BZ651" s="61"/>
      <c r="CD651" s="18" t="e">
        <f>VLOOKUP(C651,CE:CF,2,FALSE)</f>
        <v>#N/A</v>
      </c>
    </row>
    <row r="652" spans="1:84" ht="61.5" x14ac:dyDescent="0.85">
      <c r="A652" s="18">
        <v>1</v>
      </c>
      <c r="B652" s="57">
        <f>SUBTOTAL(103,$A$558:A652)</f>
        <v>94</v>
      </c>
      <c r="C652" s="22" t="s">
        <v>455</v>
      </c>
      <c r="D652" s="29">
        <f t="shared" si="102"/>
        <v>4857937.9999999991</v>
      </c>
      <c r="E652" s="29">
        <v>0</v>
      </c>
      <c r="F652" s="29">
        <v>0</v>
      </c>
      <c r="G652" s="29">
        <v>0</v>
      </c>
      <c r="H652" s="29">
        <v>0</v>
      </c>
      <c r="I652" s="29">
        <v>0</v>
      </c>
      <c r="J652" s="29">
        <v>0</v>
      </c>
      <c r="K652" s="31">
        <v>0</v>
      </c>
      <c r="L652" s="29">
        <v>0</v>
      </c>
      <c r="M652" s="29">
        <v>886</v>
      </c>
      <c r="N652" s="29">
        <f>4638362.56+43531.35</f>
        <v>4681893.9099999992</v>
      </c>
      <c r="O652" s="29">
        <v>0</v>
      </c>
      <c r="P652" s="29">
        <v>0</v>
      </c>
      <c r="Q652" s="29">
        <v>0</v>
      </c>
      <c r="R652" s="29">
        <v>0</v>
      </c>
      <c r="S652" s="29">
        <v>0</v>
      </c>
      <c r="T652" s="29">
        <v>0</v>
      </c>
      <c r="U652" s="29">
        <v>0</v>
      </c>
      <c r="V652" s="29">
        <v>0</v>
      </c>
      <c r="W652" s="29">
        <v>0</v>
      </c>
      <c r="X652" s="29">
        <v>0</v>
      </c>
      <c r="Y652" s="29">
        <v>0</v>
      </c>
      <c r="Z652" s="29">
        <v>0</v>
      </c>
      <c r="AA652" s="29">
        <v>0</v>
      </c>
      <c r="AB652" s="29">
        <v>0</v>
      </c>
      <c r="AC652" s="29">
        <f>ROUND(N652*1.5%,2)</f>
        <v>70228.41</v>
      </c>
      <c r="AD652" s="29">
        <v>105815.67999999999</v>
      </c>
      <c r="AE652" s="29">
        <v>0</v>
      </c>
      <c r="AF652" s="32">
        <v>2021</v>
      </c>
      <c r="AG652" s="32">
        <v>2021</v>
      </c>
      <c r="AH652" s="33">
        <v>2021</v>
      </c>
      <c r="AT652" s="18" t="e">
        <f>VLOOKUP(C652,AW:AX,2,FALSE)</f>
        <v>#N/A</v>
      </c>
      <c r="BZ652" s="61"/>
      <c r="CD652" s="18" t="e">
        <f>VLOOKUP(C652,CE:CF,2,FALSE)</f>
        <v>#N/A</v>
      </c>
    </row>
    <row r="653" spans="1:84" ht="61.5" x14ac:dyDescent="0.85">
      <c r="A653" s="18">
        <v>1</v>
      </c>
      <c r="B653" s="57">
        <f>SUBTOTAL(103,$A$558:A653)</f>
        <v>95</v>
      </c>
      <c r="C653" s="22" t="s">
        <v>456</v>
      </c>
      <c r="D653" s="29">
        <f t="shared" si="102"/>
        <v>3345121.12</v>
      </c>
      <c r="E653" s="29">
        <v>0</v>
      </c>
      <c r="F653" s="29">
        <v>0</v>
      </c>
      <c r="G653" s="29">
        <v>0</v>
      </c>
      <c r="H653" s="29">
        <v>0</v>
      </c>
      <c r="I653" s="29">
        <v>0</v>
      </c>
      <c r="J653" s="29">
        <v>0</v>
      </c>
      <c r="K653" s="31">
        <v>0</v>
      </c>
      <c r="L653" s="29">
        <v>0</v>
      </c>
      <c r="M653" s="29">
        <v>604</v>
      </c>
      <c r="N653" s="29">
        <v>3147902.58</v>
      </c>
      <c r="O653" s="29">
        <v>0</v>
      </c>
      <c r="P653" s="29">
        <v>0</v>
      </c>
      <c r="Q653" s="29">
        <v>0</v>
      </c>
      <c r="R653" s="29">
        <v>0</v>
      </c>
      <c r="S653" s="29">
        <v>0</v>
      </c>
      <c r="T653" s="29">
        <v>0</v>
      </c>
      <c r="U653" s="29">
        <v>0</v>
      </c>
      <c r="V653" s="29">
        <v>0</v>
      </c>
      <c r="W653" s="29">
        <v>0</v>
      </c>
      <c r="X653" s="29">
        <v>0</v>
      </c>
      <c r="Y653" s="29">
        <v>0</v>
      </c>
      <c r="Z653" s="29">
        <v>0</v>
      </c>
      <c r="AA653" s="29">
        <v>0</v>
      </c>
      <c r="AB653" s="29">
        <v>0</v>
      </c>
      <c r="AC653" s="29">
        <f>ROUND(N653*1.5%,2)</f>
        <v>47218.54</v>
      </c>
      <c r="AD653" s="29">
        <v>150000</v>
      </c>
      <c r="AE653" s="29">
        <v>0</v>
      </c>
      <c r="AF653" s="32">
        <v>2021</v>
      </c>
      <c r="AG653" s="32">
        <v>2021</v>
      </c>
      <c r="AH653" s="33">
        <v>2021</v>
      </c>
      <c r="AT653" s="18" t="e">
        <f>VLOOKUP(C653,AW:AX,2,FALSE)</f>
        <v>#N/A</v>
      </c>
      <c r="BZ653" s="61"/>
      <c r="CD653" s="18" t="e">
        <f>VLOOKUP(C653,CE:CF,2,FALSE)</f>
        <v>#N/A</v>
      </c>
    </row>
    <row r="654" spans="1:84" ht="61.5" x14ac:dyDescent="0.85">
      <c r="A654" s="18">
        <v>1</v>
      </c>
      <c r="B654" s="57">
        <f>SUBTOTAL(103,$A$558:A654)</f>
        <v>96</v>
      </c>
      <c r="C654" s="22" t="s">
        <v>457</v>
      </c>
      <c r="D654" s="29">
        <f t="shared" si="102"/>
        <v>3345121.12</v>
      </c>
      <c r="E654" s="29">
        <v>0</v>
      </c>
      <c r="F654" s="29">
        <v>0</v>
      </c>
      <c r="G654" s="29">
        <v>0</v>
      </c>
      <c r="H654" s="29">
        <v>0</v>
      </c>
      <c r="I654" s="29">
        <v>0</v>
      </c>
      <c r="J654" s="29">
        <v>0</v>
      </c>
      <c r="K654" s="31">
        <v>0</v>
      </c>
      <c r="L654" s="29">
        <v>0</v>
      </c>
      <c r="M654" s="29">
        <v>604</v>
      </c>
      <c r="N654" s="29">
        <v>3147902.58</v>
      </c>
      <c r="O654" s="29">
        <v>0</v>
      </c>
      <c r="P654" s="29">
        <v>0</v>
      </c>
      <c r="Q654" s="29">
        <v>0</v>
      </c>
      <c r="R654" s="29">
        <v>0</v>
      </c>
      <c r="S654" s="29">
        <v>0</v>
      </c>
      <c r="T654" s="29">
        <v>0</v>
      </c>
      <c r="U654" s="29">
        <v>0</v>
      </c>
      <c r="V654" s="29">
        <v>0</v>
      </c>
      <c r="W654" s="29">
        <v>0</v>
      </c>
      <c r="X654" s="29">
        <v>0</v>
      </c>
      <c r="Y654" s="29">
        <v>0</v>
      </c>
      <c r="Z654" s="29">
        <v>0</v>
      </c>
      <c r="AA654" s="29">
        <v>0</v>
      </c>
      <c r="AB654" s="29">
        <v>0</v>
      </c>
      <c r="AC654" s="29">
        <f>ROUND(N654*1.5%,2)</f>
        <v>47218.54</v>
      </c>
      <c r="AD654" s="29">
        <v>150000</v>
      </c>
      <c r="AE654" s="29">
        <v>0</v>
      </c>
      <c r="AF654" s="32">
        <v>2021</v>
      </c>
      <c r="AG654" s="32">
        <v>2021</v>
      </c>
      <c r="AH654" s="33">
        <v>2021</v>
      </c>
      <c r="AT654" s="18" t="e">
        <f>VLOOKUP(C654,AW:AX,2,FALSE)</f>
        <v>#N/A</v>
      </c>
      <c r="BZ654" s="61"/>
      <c r="CD654" s="18" t="e">
        <f>VLOOKUP(C654,CE:CF,2,FALSE)</f>
        <v>#N/A</v>
      </c>
    </row>
    <row r="655" spans="1:84" ht="61.5" x14ac:dyDescent="0.85">
      <c r="A655" s="18">
        <v>1</v>
      </c>
      <c r="B655" s="57">
        <f>SUBTOTAL(103,$A$558:A655)</f>
        <v>97</v>
      </c>
      <c r="C655" s="22" t="s">
        <v>458</v>
      </c>
      <c r="D655" s="29">
        <f t="shared" si="102"/>
        <v>3146129.7399999998</v>
      </c>
      <c r="E655" s="29">
        <v>0</v>
      </c>
      <c r="F655" s="29">
        <v>0</v>
      </c>
      <c r="G655" s="29">
        <v>0</v>
      </c>
      <c r="H655" s="29">
        <v>0</v>
      </c>
      <c r="I655" s="29">
        <v>0</v>
      </c>
      <c r="J655" s="29">
        <v>0</v>
      </c>
      <c r="K655" s="31">
        <v>0</v>
      </c>
      <c r="L655" s="29">
        <v>0</v>
      </c>
      <c r="M655" s="29">
        <v>665.55</v>
      </c>
      <c r="N655" s="29">
        <v>3025129</v>
      </c>
      <c r="O655" s="29">
        <v>0</v>
      </c>
      <c r="P655" s="29">
        <v>0</v>
      </c>
      <c r="Q655" s="29">
        <v>0</v>
      </c>
      <c r="R655" s="29">
        <v>0</v>
      </c>
      <c r="S655" s="29">
        <v>0</v>
      </c>
      <c r="T655" s="29">
        <v>0</v>
      </c>
      <c r="U655" s="29">
        <v>0</v>
      </c>
      <c r="V655" s="29">
        <v>0</v>
      </c>
      <c r="W655" s="29">
        <v>0</v>
      </c>
      <c r="X655" s="29">
        <v>0</v>
      </c>
      <c r="Y655" s="29">
        <v>0</v>
      </c>
      <c r="Z655" s="29">
        <v>0</v>
      </c>
      <c r="AA655" s="29">
        <v>0</v>
      </c>
      <c r="AB655" s="29">
        <v>0</v>
      </c>
      <c r="AC655" s="29">
        <f>ROUND(N655*1.5%,2)</f>
        <v>45376.94</v>
      </c>
      <c r="AD655" s="29">
        <v>75623.8</v>
      </c>
      <c r="AE655" s="29">
        <v>0</v>
      </c>
      <c r="AF655" s="32">
        <v>2021</v>
      </c>
      <c r="AG655" s="32">
        <v>2021</v>
      </c>
      <c r="AH655" s="33">
        <v>2021</v>
      </c>
      <c r="AT655" s="18" t="e">
        <f>VLOOKUP(C655,AW:AX,2,FALSE)</f>
        <v>#N/A</v>
      </c>
      <c r="BZ655" s="61"/>
      <c r="CD655" s="18" t="e">
        <f>VLOOKUP(C655,CE:CF,2,FALSE)</f>
        <v>#N/A</v>
      </c>
    </row>
    <row r="656" spans="1:84" ht="61.5" x14ac:dyDescent="0.85">
      <c r="A656" s="18">
        <v>1</v>
      </c>
      <c r="B656" s="57">
        <f>SUBTOTAL(103,$A$558:A656)</f>
        <v>98</v>
      </c>
      <c r="C656" s="22" t="s">
        <v>459</v>
      </c>
      <c r="D656" s="29">
        <f t="shared" si="102"/>
        <v>1442033.72</v>
      </c>
      <c r="E656" s="29">
        <v>0</v>
      </c>
      <c r="F656" s="29">
        <v>0</v>
      </c>
      <c r="G656" s="29">
        <v>0</v>
      </c>
      <c r="H656" s="29">
        <v>0</v>
      </c>
      <c r="I656" s="29">
        <v>0</v>
      </c>
      <c r="J656" s="29">
        <v>0</v>
      </c>
      <c r="K656" s="31">
        <v>0</v>
      </c>
      <c r="L656" s="29">
        <v>0</v>
      </c>
      <c r="M656" s="29">
        <v>0</v>
      </c>
      <c r="N656" s="29">
        <v>0</v>
      </c>
      <c r="O656" s="29">
        <v>0</v>
      </c>
      <c r="P656" s="29">
        <v>0</v>
      </c>
      <c r="Q656" s="29">
        <v>409.5</v>
      </c>
      <c r="R656" s="29">
        <f>856113.08+436530.98</f>
        <v>1292644.06</v>
      </c>
      <c r="S656" s="29">
        <v>0</v>
      </c>
      <c r="T656" s="29">
        <v>0</v>
      </c>
      <c r="U656" s="29">
        <v>0</v>
      </c>
      <c r="V656" s="29">
        <v>0</v>
      </c>
      <c r="W656" s="29">
        <v>0</v>
      </c>
      <c r="X656" s="29">
        <v>0</v>
      </c>
      <c r="Y656" s="29">
        <v>0</v>
      </c>
      <c r="Z656" s="29">
        <v>0</v>
      </c>
      <c r="AA656" s="29">
        <v>0</v>
      </c>
      <c r="AB656" s="29">
        <v>0</v>
      </c>
      <c r="AC656" s="29">
        <f>ROUND(R656*1.5%,2)</f>
        <v>19389.66</v>
      </c>
      <c r="AD656" s="29">
        <v>130000</v>
      </c>
      <c r="AE656" s="29">
        <v>0</v>
      </c>
      <c r="AF656" s="32">
        <v>2021</v>
      </c>
      <c r="AG656" s="32">
        <v>2021</v>
      </c>
      <c r="AH656" s="33">
        <v>2021</v>
      </c>
      <c r="AT656" s="18" t="e">
        <f>VLOOKUP(C656,AW:AX,2,FALSE)</f>
        <v>#N/A</v>
      </c>
      <c r="BZ656" s="61"/>
      <c r="CD656" s="18" t="e">
        <f>VLOOKUP(C656,CE:CF,2,FALSE)</f>
        <v>#N/A</v>
      </c>
    </row>
    <row r="657" spans="1:84" ht="61.5" x14ac:dyDescent="0.85">
      <c r="A657" s="18">
        <v>1</v>
      </c>
      <c r="B657" s="57">
        <f>SUBTOTAL(103,$A$558:A657)</f>
        <v>99</v>
      </c>
      <c r="C657" s="22" t="s">
        <v>462</v>
      </c>
      <c r="D657" s="29">
        <f t="shared" si="102"/>
        <v>4038383.5199999996</v>
      </c>
      <c r="E657" s="29">
        <f>177249.6+38106.82</f>
        <v>215356.42</v>
      </c>
      <c r="F657" s="29">
        <v>0</v>
      </c>
      <c r="G657" s="29">
        <v>2456692.4499999997</v>
      </c>
      <c r="H657" s="29">
        <v>525966</v>
      </c>
      <c r="I657" s="29">
        <v>485121.6</v>
      </c>
      <c r="J657" s="29">
        <v>0</v>
      </c>
      <c r="K657" s="31">
        <v>0</v>
      </c>
      <c r="L657" s="29">
        <v>0</v>
      </c>
      <c r="M657" s="29">
        <v>0</v>
      </c>
      <c r="N657" s="29">
        <v>0</v>
      </c>
      <c r="O657" s="29">
        <v>0</v>
      </c>
      <c r="P657" s="29">
        <v>0</v>
      </c>
      <c r="Q657" s="29">
        <v>0</v>
      </c>
      <c r="R657" s="29">
        <v>0</v>
      </c>
      <c r="S657" s="29">
        <v>0</v>
      </c>
      <c r="T657" s="29">
        <v>0</v>
      </c>
      <c r="U657" s="29">
        <v>0</v>
      </c>
      <c r="V657" s="29">
        <v>0</v>
      </c>
      <c r="W657" s="29">
        <v>0</v>
      </c>
      <c r="X657" s="29">
        <v>0</v>
      </c>
      <c r="Y657" s="29">
        <v>0</v>
      </c>
      <c r="Z657" s="29">
        <v>0</v>
      </c>
      <c r="AA657" s="29">
        <v>0</v>
      </c>
      <c r="AB657" s="29">
        <v>0</v>
      </c>
      <c r="AC657" s="29">
        <f>ROUND((E657+F657+G657+H657+I657+J657)*1.5%,2)</f>
        <v>55247.05</v>
      </c>
      <c r="AD657" s="29">
        <v>300000</v>
      </c>
      <c r="AE657" s="29">
        <v>0</v>
      </c>
      <c r="AF657" s="32">
        <v>2021</v>
      </c>
      <c r="AG657" s="32">
        <v>2021</v>
      </c>
      <c r="AH657" s="33">
        <v>2021</v>
      </c>
      <c r="AT657" s="18" t="e">
        <f>VLOOKUP(C657,AW:AX,2,FALSE)</f>
        <v>#N/A</v>
      </c>
      <c r="BZ657" s="61"/>
      <c r="CD657" s="18" t="e">
        <f>VLOOKUP(C657,CE:CF,2,FALSE)</f>
        <v>#N/A</v>
      </c>
    </row>
    <row r="658" spans="1:84" ht="61.5" x14ac:dyDescent="0.85">
      <c r="A658" s="18">
        <v>1</v>
      </c>
      <c r="B658" s="57">
        <f>SUBTOTAL(103,$A$558:A658)</f>
        <v>100</v>
      </c>
      <c r="C658" s="22" t="s">
        <v>463</v>
      </c>
      <c r="D658" s="29">
        <f t="shared" si="102"/>
        <v>7926122.8699999992</v>
      </c>
      <c r="E658" s="29">
        <v>0</v>
      </c>
      <c r="F658" s="29">
        <v>0</v>
      </c>
      <c r="G658" s="29">
        <v>0</v>
      </c>
      <c r="H658" s="29">
        <v>0</v>
      </c>
      <c r="I658" s="29">
        <v>0</v>
      </c>
      <c r="J658" s="29">
        <v>0</v>
      </c>
      <c r="K658" s="31">
        <v>0</v>
      </c>
      <c r="L658" s="29">
        <v>0</v>
      </c>
      <c r="M658" s="29">
        <v>3073.45</v>
      </c>
      <c r="N658" s="29">
        <v>7704518</v>
      </c>
      <c r="O658" s="29">
        <v>0</v>
      </c>
      <c r="P658" s="29">
        <v>0</v>
      </c>
      <c r="Q658" s="29">
        <v>0</v>
      </c>
      <c r="R658" s="29">
        <v>0</v>
      </c>
      <c r="S658" s="29">
        <v>0</v>
      </c>
      <c r="T658" s="29">
        <v>0</v>
      </c>
      <c r="U658" s="29">
        <v>0</v>
      </c>
      <c r="V658" s="29">
        <v>0</v>
      </c>
      <c r="W658" s="29">
        <v>0</v>
      </c>
      <c r="X658" s="29">
        <v>0</v>
      </c>
      <c r="Y658" s="29">
        <v>0</v>
      </c>
      <c r="Z658" s="29">
        <v>0</v>
      </c>
      <c r="AA658" s="29">
        <v>0</v>
      </c>
      <c r="AB658" s="29">
        <v>0</v>
      </c>
      <c r="AC658" s="29">
        <f>ROUND(N658*1.5%,2)</f>
        <v>115567.77</v>
      </c>
      <c r="AD658" s="29">
        <v>106037.1</v>
      </c>
      <c r="AE658" s="29">
        <v>0</v>
      </c>
      <c r="AF658" s="32">
        <v>2021</v>
      </c>
      <c r="AG658" s="32">
        <v>2021</v>
      </c>
      <c r="AH658" s="33">
        <v>2021</v>
      </c>
      <c r="AT658" s="18" t="e">
        <f>VLOOKUP(C658,AW:AX,2,FALSE)</f>
        <v>#N/A</v>
      </c>
      <c r="BZ658" s="61"/>
      <c r="CD658" s="18" t="e">
        <f>VLOOKUP(C658,CE:CF,2,FALSE)</f>
        <v>#N/A</v>
      </c>
    </row>
    <row r="659" spans="1:84" ht="61.5" x14ac:dyDescent="0.85">
      <c r="A659" s="18">
        <v>1</v>
      </c>
      <c r="B659" s="57">
        <f>SUBTOTAL(103,$A$558:A659)</f>
        <v>101</v>
      </c>
      <c r="C659" s="22" t="s">
        <v>443</v>
      </c>
      <c r="D659" s="29">
        <f t="shared" si="102"/>
        <v>4800723</v>
      </c>
      <c r="E659" s="29">
        <v>0</v>
      </c>
      <c r="F659" s="29">
        <v>0</v>
      </c>
      <c r="G659" s="29">
        <v>0</v>
      </c>
      <c r="H659" s="29">
        <v>0</v>
      </c>
      <c r="I659" s="29">
        <v>0</v>
      </c>
      <c r="J659" s="29">
        <v>0</v>
      </c>
      <c r="K659" s="31">
        <v>0</v>
      </c>
      <c r="L659" s="29">
        <v>0</v>
      </c>
      <c r="M659" s="29">
        <v>850</v>
      </c>
      <c r="N659" s="29">
        <f>4729776.35</f>
        <v>4729776.3499999996</v>
      </c>
      <c r="O659" s="29">
        <v>0</v>
      </c>
      <c r="P659" s="29">
        <v>0</v>
      </c>
      <c r="Q659" s="29">
        <v>0</v>
      </c>
      <c r="R659" s="29">
        <v>0</v>
      </c>
      <c r="S659" s="29">
        <v>0</v>
      </c>
      <c r="T659" s="29">
        <v>0</v>
      </c>
      <c r="U659" s="29">
        <v>0</v>
      </c>
      <c r="V659" s="29">
        <v>0</v>
      </c>
      <c r="W659" s="29">
        <v>0</v>
      </c>
      <c r="X659" s="29">
        <v>0</v>
      </c>
      <c r="Y659" s="29">
        <v>0</v>
      </c>
      <c r="Z659" s="29">
        <v>0</v>
      </c>
      <c r="AA659" s="29">
        <v>0</v>
      </c>
      <c r="AB659" s="29">
        <v>0</v>
      </c>
      <c r="AC659" s="29">
        <f t="shared" ref="AC659:AC665" si="103">ROUND(N659*1.5%,2)</f>
        <v>70946.649999999994</v>
      </c>
      <c r="AD659" s="29">
        <v>0</v>
      </c>
      <c r="AE659" s="29">
        <v>0</v>
      </c>
      <c r="AF659" s="32" t="s">
        <v>268</v>
      </c>
      <c r="AG659" s="32">
        <v>2021</v>
      </c>
      <c r="AH659" s="33">
        <v>2021</v>
      </c>
      <c r="AT659" s="18" t="e">
        <f>VLOOKUP(C659,AW:AX,2,FALSE)</f>
        <v>#N/A</v>
      </c>
      <c r="BZ659" s="61"/>
      <c r="CD659" s="18" t="e">
        <f>VLOOKUP(C659,CE:CF,2,FALSE)</f>
        <v>#N/A</v>
      </c>
    </row>
    <row r="660" spans="1:84" ht="61.5" x14ac:dyDescent="0.85">
      <c r="A660" s="18">
        <v>1</v>
      </c>
      <c r="B660" s="57">
        <f>SUBTOTAL(103,$A$558:A660)</f>
        <v>102</v>
      </c>
      <c r="C660" s="22" t="s">
        <v>1276</v>
      </c>
      <c r="D660" s="29">
        <f t="shared" ref="D660:D670" si="104">E660+F660+G660+H660+I660+J660+L660+N660+P660+R660+T660+U660+V660+W660+X660+Y660+Z660+AA660+AB660+AC660+AD660+AE660</f>
        <v>3854496</v>
      </c>
      <c r="E660" s="29">
        <v>0</v>
      </c>
      <c r="F660" s="29">
        <v>0</v>
      </c>
      <c r="G660" s="29">
        <v>0</v>
      </c>
      <c r="H660" s="29">
        <v>0</v>
      </c>
      <c r="I660" s="29">
        <v>0</v>
      </c>
      <c r="J660" s="29">
        <v>0</v>
      </c>
      <c r="K660" s="31">
        <v>0</v>
      </c>
      <c r="L660" s="29">
        <v>0</v>
      </c>
      <c r="M660" s="29">
        <v>716.68</v>
      </c>
      <c r="N660" s="29">
        <f>3767437.77+77001.06-117688.02</f>
        <v>3726750.81</v>
      </c>
      <c r="O660" s="29">
        <v>0</v>
      </c>
      <c r="P660" s="29">
        <v>0</v>
      </c>
      <c r="Q660" s="29">
        <v>0</v>
      </c>
      <c r="R660" s="29">
        <v>0</v>
      </c>
      <c r="S660" s="29">
        <v>0</v>
      </c>
      <c r="T660" s="29">
        <v>0</v>
      </c>
      <c r="U660" s="29">
        <v>0</v>
      </c>
      <c r="V660" s="29">
        <v>0</v>
      </c>
      <c r="W660" s="29">
        <v>0</v>
      </c>
      <c r="X660" s="29">
        <v>0</v>
      </c>
      <c r="Y660" s="29">
        <v>0</v>
      </c>
      <c r="Z660" s="29">
        <v>0</v>
      </c>
      <c r="AA660" s="29">
        <v>0</v>
      </c>
      <c r="AB660" s="29">
        <v>0</v>
      </c>
      <c r="AC660" s="29">
        <f t="shared" si="103"/>
        <v>55901.26</v>
      </c>
      <c r="AD660" s="29">
        <v>71843.929999999993</v>
      </c>
      <c r="AE660" s="29">
        <v>0</v>
      </c>
      <c r="AF660" s="32">
        <v>2021</v>
      </c>
      <c r="AG660" s="32">
        <v>2021</v>
      </c>
      <c r="AH660" s="33">
        <v>2021</v>
      </c>
      <c r="AT660" s="18" t="e">
        <f>VLOOKUP(C660,AW:AX,2,FALSE)</f>
        <v>#N/A</v>
      </c>
      <c r="BZ660" s="61"/>
      <c r="CD660" s="18" t="e">
        <f>VLOOKUP(C660,CE:CF,2,FALSE)</f>
        <v>#N/A</v>
      </c>
    </row>
    <row r="661" spans="1:84" ht="61.5" x14ac:dyDescent="0.85">
      <c r="A661" s="18">
        <v>1</v>
      </c>
      <c r="B661" s="57">
        <f>SUBTOTAL(103,$A$558:A661)</f>
        <v>103</v>
      </c>
      <c r="C661" s="22" t="s">
        <v>461</v>
      </c>
      <c r="D661" s="29">
        <f t="shared" si="104"/>
        <v>3793636.92</v>
      </c>
      <c r="E661" s="29">
        <v>0</v>
      </c>
      <c r="F661" s="29">
        <v>0</v>
      </c>
      <c r="G661" s="29">
        <v>0</v>
      </c>
      <c r="H661" s="29">
        <v>0</v>
      </c>
      <c r="I661" s="29">
        <v>0</v>
      </c>
      <c r="J661" s="29">
        <v>0</v>
      </c>
      <c r="K661" s="31">
        <v>0</v>
      </c>
      <c r="L661" s="29">
        <v>0</v>
      </c>
      <c r="M661" s="29">
        <v>724</v>
      </c>
      <c r="N661" s="29">
        <f>3589790.07+76955.1</f>
        <v>3666745.17</v>
      </c>
      <c r="O661" s="29">
        <v>0</v>
      </c>
      <c r="P661" s="29">
        <v>0</v>
      </c>
      <c r="Q661" s="29">
        <v>0</v>
      </c>
      <c r="R661" s="29">
        <v>0</v>
      </c>
      <c r="S661" s="29">
        <v>0</v>
      </c>
      <c r="T661" s="29">
        <v>0</v>
      </c>
      <c r="U661" s="29">
        <v>0</v>
      </c>
      <c r="V661" s="29">
        <v>0</v>
      </c>
      <c r="W661" s="29">
        <v>0</v>
      </c>
      <c r="X661" s="29">
        <v>0</v>
      </c>
      <c r="Y661" s="29">
        <v>0</v>
      </c>
      <c r="Z661" s="29">
        <v>0</v>
      </c>
      <c r="AA661" s="29">
        <v>0</v>
      </c>
      <c r="AB661" s="29">
        <v>0</v>
      </c>
      <c r="AC661" s="29">
        <f t="shared" si="103"/>
        <v>55001.18</v>
      </c>
      <c r="AD661" s="29">
        <v>71890.570000000007</v>
      </c>
      <c r="AE661" s="29">
        <v>0</v>
      </c>
      <c r="AF661" s="32">
        <v>2021</v>
      </c>
      <c r="AG661" s="32">
        <v>2021</v>
      </c>
      <c r="AH661" s="33">
        <v>2021</v>
      </c>
      <c r="AT661" s="18" t="e">
        <f>VLOOKUP(C661,AW:AX,2,FALSE)</f>
        <v>#N/A</v>
      </c>
      <c r="BZ661" s="61"/>
      <c r="CD661" s="18" t="e">
        <f>VLOOKUP(C661,CE:CF,2,FALSE)</f>
        <v>#N/A</v>
      </c>
    </row>
    <row r="662" spans="1:84" ht="61.5" x14ac:dyDescent="0.85">
      <c r="A662" s="18">
        <v>1</v>
      </c>
      <c r="B662" s="57">
        <f>SUBTOTAL(103,$A$558:A662)</f>
        <v>104</v>
      </c>
      <c r="C662" s="22" t="s">
        <v>1611</v>
      </c>
      <c r="D662" s="29">
        <f t="shared" si="104"/>
        <v>3607695.84</v>
      </c>
      <c r="E662" s="29">
        <v>0</v>
      </c>
      <c r="F662" s="29">
        <v>0</v>
      </c>
      <c r="G662" s="29">
        <v>0</v>
      </c>
      <c r="H662" s="29">
        <v>0</v>
      </c>
      <c r="I662" s="29">
        <v>0</v>
      </c>
      <c r="J662" s="29">
        <v>0</v>
      </c>
      <c r="K662" s="31">
        <v>0</v>
      </c>
      <c r="L662" s="29">
        <v>0</v>
      </c>
      <c r="M662" s="29">
        <v>627.6</v>
      </c>
      <c r="N662" s="29">
        <v>3436153.54</v>
      </c>
      <c r="O662" s="29">
        <v>0</v>
      </c>
      <c r="P662" s="29">
        <v>0</v>
      </c>
      <c r="Q662" s="29">
        <v>0</v>
      </c>
      <c r="R662" s="29">
        <v>0</v>
      </c>
      <c r="S662" s="29">
        <v>0</v>
      </c>
      <c r="T662" s="29">
        <v>0</v>
      </c>
      <c r="U662" s="29">
        <v>0</v>
      </c>
      <c r="V662" s="29">
        <v>0</v>
      </c>
      <c r="W662" s="29">
        <v>0</v>
      </c>
      <c r="X662" s="29">
        <v>0</v>
      </c>
      <c r="Y662" s="29">
        <v>0</v>
      </c>
      <c r="Z662" s="29">
        <v>0</v>
      </c>
      <c r="AA662" s="29">
        <v>0</v>
      </c>
      <c r="AB662" s="29">
        <v>0</v>
      </c>
      <c r="AC662" s="29">
        <f t="shared" si="103"/>
        <v>51542.3</v>
      </c>
      <c r="AD662" s="29">
        <v>120000</v>
      </c>
      <c r="AE662" s="29">
        <v>0</v>
      </c>
      <c r="AF662" s="32">
        <v>2021</v>
      </c>
      <c r="AG662" s="32">
        <v>2021</v>
      </c>
      <c r="AH662" s="33">
        <v>2021</v>
      </c>
      <c r="BZ662" s="61"/>
      <c r="CD662" s="18" t="e">
        <f>VLOOKUP(C662,CE:CF,2,FALSE)</f>
        <v>#N/A</v>
      </c>
    </row>
    <row r="663" spans="1:84" ht="61.5" x14ac:dyDescent="0.85">
      <c r="A663" s="18">
        <v>1</v>
      </c>
      <c r="B663" s="57">
        <f>SUBTOTAL(103,$A$558:A663)</f>
        <v>105</v>
      </c>
      <c r="C663" s="22" t="s">
        <v>1612</v>
      </c>
      <c r="D663" s="29">
        <f t="shared" si="104"/>
        <v>1597480.36</v>
      </c>
      <c r="E663" s="29">
        <v>0</v>
      </c>
      <c r="F663" s="29">
        <v>0</v>
      </c>
      <c r="G663" s="29">
        <v>0</v>
      </c>
      <c r="H663" s="29">
        <v>0</v>
      </c>
      <c r="I663" s="29">
        <v>0</v>
      </c>
      <c r="J663" s="29">
        <v>0</v>
      </c>
      <c r="K663" s="31">
        <v>0</v>
      </c>
      <c r="L663" s="29">
        <v>0</v>
      </c>
      <c r="M663" s="29">
        <v>277.89999999999998</v>
      </c>
      <c r="N663" s="29">
        <v>1495054.54</v>
      </c>
      <c r="O663" s="29">
        <v>0</v>
      </c>
      <c r="P663" s="29">
        <v>0</v>
      </c>
      <c r="Q663" s="29">
        <v>0</v>
      </c>
      <c r="R663" s="29">
        <v>0</v>
      </c>
      <c r="S663" s="29">
        <v>0</v>
      </c>
      <c r="T663" s="29">
        <v>0</v>
      </c>
      <c r="U663" s="29">
        <v>0</v>
      </c>
      <c r="V663" s="29">
        <v>0</v>
      </c>
      <c r="W663" s="29">
        <v>0</v>
      </c>
      <c r="X663" s="29">
        <v>0</v>
      </c>
      <c r="Y663" s="29">
        <v>0</v>
      </c>
      <c r="Z663" s="29">
        <v>0</v>
      </c>
      <c r="AA663" s="29">
        <v>0</v>
      </c>
      <c r="AB663" s="29">
        <v>0</v>
      </c>
      <c r="AC663" s="29">
        <f t="shared" si="103"/>
        <v>22425.82</v>
      </c>
      <c r="AD663" s="29">
        <v>80000</v>
      </c>
      <c r="AE663" s="29">
        <v>0</v>
      </c>
      <c r="AF663" s="32">
        <v>2021</v>
      </c>
      <c r="AG663" s="32">
        <v>2021</v>
      </c>
      <c r="AH663" s="33">
        <v>2021</v>
      </c>
      <c r="BZ663" s="61"/>
      <c r="CD663" s="18" t="e">
        <f>VLOOKUP(C663,CE:CF,2,FALSE)</f>
        <v>#N/A</v>
      </c>
    </row>
    <row r="664" spans="1:84" ht="61.5" x14ac:dyDescent="0.85">
      <c r="A664" s="18">
        <v>1</v>
      </c>
      <c r="B664" s="57">
        <f>SUBTOTAL(103,$A$558:A664)</f>
        <v>106</v>
      </c>
      <c r="C664" s="22" t="s">
        <v>1613</v>
      </c>
      <c r="D664" s="29">
        <f t="shared" si="104"/>
        <v>3132303.1599999997</v>
      </c>
      <c r="E664" s="29">
        <v>0</v>
      </c>
      <c r="F664" s="29">
        <v>0</v>
      </c>
      <c r="G664" s="29">
        <v>0</v>
      </c>
      <c r="H664" s="29">
        <v>0</v>
      </c>
      <c r="I664" s="29">
        <v>0</v>
      </c>
      <c r="J664" s="29">
        <v>0</v>
      </c>
      <c r="K664" s="31">
        <v>0</v>
      </c>
      <c r="L664" s="29">
        <v>0</v>
      </c>
      <c r="M664" s="29">
        <v>544.9</v>
      </c>
      <c r="N664" s="29">
        <v>2987490.8</v>
      </c>
      <c r="O664" s="29">
        <v>0</v>
      </c>
      <c r="P664" s="29">
        <v>0</v>
      </c>
      <c r="Q664" s="29">
        <v>0</v>
      </c>
      <c r="R664" s="29">
        <v>0</v>
      </c>
      <c r="S664" s="29">
        <v>0</v>
      </c>
      <c r="T664" s="29">
        <v>0</v>
      </c>
      <c r="U664" s="29">
        <v>0</v>
      </c>
      <c r="V664" s="29">
        <v>0</v>
      </c>
      <c r="W664" s="29">
        <v>0</v>
      </c>
      <c r="X664" s="29">
        <v>0</v>
      </c>
      <c r="Y664" s="29">
        <v>0</v>
      </c>
      <c r="Z664" s="29">
        <v>0</v>
      </c>
      <c r="AA664" s="29">
        <v>0</v>
      </c>
      <c r="AB664" s="29">
        <v>0</v>
      </c>
      <c r="AC664" s="29">
        <f t="shared" si="103"/>
        <v>44812.36</v>
      </c>
      <c r="AD664" s="29">
        <v>100000</v>
      </c>
      <c r="AE664" s="29">
        <v>0</v>
      </c>
      <c r="AF664" s="32">
        <v>2021</v>
      </c>
      <c r="AG664" s="32">
        <v>2021</v>
      </c>
      <c r="AH664" s="33">
        <v>2021</v>
      </c>
      <c r="BZ664" s="61"/>
      <c r="CD664" s="18" t="e">
        <f>VLOOKUP(C664,CE:CF,2,FALSE)</f>
        <v>#N/A</v>
      </c>
    </row>
    <row r="665" spans="1:84" ht="61.5" x14ac:dyDescent="0.85">
      <c r="A665" s="18">
        <v>1</v>
      </c>
      <c r="B665" s="57">
        <f>SUBTOTAL(103,$A$558:A665)</f>
        <v>107</v>
      </c>
      <c r="C665" s="22" t="s">
        <v>1614</v>
      </c>
      <c r="D665" s="29">
        <f t="shared" si="104"/>
        <v>1937212.2999999998</v>
      </c>
      <c r="E665" s="29">
        <v>0</v>
      </c>
      <c r="F665" s="29">
        <v>0</v>
      </c>
      <c r="G665" s="29">
        <v>0</v>
      </c>
      <c r="H665" s="29">
        <v>0</v>
      </c>
      <c r="I665" s="29">
        <v>0</v>
      </c>
      <c r="J665" s="29">
        <v>0</v>
      </c>
      <c r="K665" s="31">
        <v>0</v>
      </c>
      <c r="L665" s="29">
        <v>0</v>
      </c>
      <c r="M665" s="29">
        <v>337</v>
      </c>
      <c r="N665" s="29">
        <v>1810059.9</v>
      </c>
      <c r="O665" s="29">
        <v>0</v>
      </c>
      <c r="P665" s="29">
        <v>0</v>
      </c>
      <c r="Q665" s="29">
        <v>0</v>
      </c>
      <c r="R665" s="29">
        <v>0</v>
      </c>
      <c r="S665" s="29">
        <v>0</v>
      </c>
      <c r="T665" s="29">
        <v>0</v>
      </c>
      <c r="U665" s="29">
        <v>0</v>
      </c>
      <c r="V665" s="29">
        <v>0</v>
      </c>
      <c r="W665" s="29">
        <v>0</v>
      </c>
      <c r="X665" s="29">
        <v>0</v>
      </c>
      <c r="Y665" s="29">
        <v>0</v>
      </c>
      <c r="Z665" s="29">
        <v>0</v>
      </c>
      <c r="AA665" s="29">
        <v>0</v>
      </c>
      <c r="AB665" s="29">
        <v>0</v>
      </c>
      <c r="AC665" s="29">
        <f t="shared" si="103"/>
        <v>27150.9</v>
      </c>
      <c r="AD665" s="29">
        <f>100000+1.5</f>
        <v>100001.5</v>
      </c>
      <c r="AE665" s="29">
        <v>0</v>
      </c>
      <c r="AF665" s="32">
        <v>2021</v>
      </c>
      <c r="AG665" s="32">
        <v>2021</v>
      </c>
      <c r="AH665" s="33">
        <v>2021</v>
      </c>
      <c r="BZ665" s="61"/>
      <c r="CD665" s="18" t="e">
        <f>VLOOKUP(C665,CE:CF,2,FALSE)</f>
        <v>#N/A</v>
      </c>
    </row>
    <row r="666" spans="1:84" ht="61.5" x14ac:dyDescent="0.85">
      <c r="A666" s="18">
        <v>1</v>
      </c>
      <c r="B666" s="57">
        <f>SUBTOTAL(103,$A$558:A666)</f>
        <v>108</v>
      </c>
      <c r="C666" s="22" t="s">
        <v>474</v>
      </c>
      <c r="D666" s="29">
        <f>E666+F666+G666+H666+I666+J666+L666+N666+P666+R666+T666+U666+V666+W666+X666+Y666+Z666+AA666+AB666+AC666+AD666+AE666</f>
        <v>2847699.39</v>
      </c>
      <c r="E666" s="28">
        <v>0</v>
      </c>
      <c r="F666" s="30">
        <v>0</v>
      </c>
      <c r="G666" s="28">
        <v>0</v>
      </c>
      <c r="H666" s="30">
        <v>0</v>
      </c>
      <c r="I666" s="30">
        <v>0</v>
      </c>
      <c r="J666" s="30">
        <v>0</v>
      </c>
      <c r="K666" s="74">
        <v>0</v>
      </c>
      <c r="L666" s="30">
        <v>0</v>
      </c>
      <c r="M666" s="29">
        <v>510</v>
      </c>
      <c r="N666" s="29">
        <f>2425465.71+232366.2</f>
        <v>2657831.91</v>
      </c>
      <c r="O666" s="30">
        <v>0</v>
      </c>
      <c r="P666" s="30">
        <v>0</v>
      </c>
      <c r="Q666" s="30">
        <v>0</v>
      </c>
      <c r="R666" s="30">
        <v>0</v>
      </c>
      <c r="S666" s="30">
        <v>0</v>
      </c>
      <c r="T666" s="30">
        <v>0</v>
      </c>
      <c r="U666" s="30">
        <v>0</v>
      </c>
      <c r="V666" s="30">
        <v>0</v>
      </c>
      <c r="W666" s="30">
        <v>0</v>
      </c>
      <c r="X666" s="30">
        <v>0</v>
      </c>
      <c r="Y666" s="30">
        <v>0</v>
      </c>
      <c r="Z666" s="30">
        <v>0</v>
      </c>
      <c r="AA666" s="29">
        <v>0</v>
      </c>
      <c r="AB666" s="29">
        <v>0</v>
      </c>
      <c r="AC666" s="29">
        <f>ROUND(N666*1.5%,2)</f>
        <v>39867.480000000003</v>
      </c>
      <c r="AD666" s="29">
        <v>150000</v>
      </c>
      <c r="AE666" s="29">
        <v>0</v>
      </c>
      <c r="AF666" s="32">
        <v>2021</v>
      </c>
      <c r="AG666" s="32">
        <v>2021</v>
      </c>
      <c r="AH666" s="33">
        <v>2021</v>
      </c>
      <c r="AT666" s="18" t="e">
        <f>VLOOKUP(C666,AW:AX,2,FALSE)</f>
        <v>#N/A</v>
      </c>
      <c r="BZ666" s="61"/>
    </row>
    <row r="667" spans="1:84" ht="61.5" x14ac:dyDescent="0.85">
      <c r="A667" s="18">
        <v>1</v>
      </c>
      <c r="B667" s="57">
        <f>SUBTOTAL(103,$A$558:A667)</f>
        <v>109</v>
      </c>
      <c r="C667" s="22" t="s">
        <v>1125</v>
      </c>
      <c r="D667" s="29">
        <f t="shared" si="104"/>
        <v>2152387.4200000004</v>
      </c>
      <c r="E667" s="29">
        <v>0</v>
      </c>
      <c r="F667" s="29">
        <v>0</v>
      </c>
      <c r="G667" s="93">
        <f>1920578.74+200000</f>
        <v>2120578.7400000002</v>
      </c>
      <c r="H667" s="29">
        <v>0</v>
      </c>
      <c r="I667" s="29">
        <v>0</v>
      </c>
      <c r="J667" s="29">
        <v>0</v>
      </c>
      <c r="K667" s="64">
        <v>0</v>
      </c>
      <c r="L667" s="29">
        <v>0</v>
      </c>
      <c r="M667" s="29">
        <v>0</v>
      </c>
      <c r="N667" s="29">
        <v>0</v>
      </c>
      <c r="O667" s="29">
        <v>0</v>
      </c>
      <c r="P667" s="29">
        <v>0</v>
      </c>
      <c r="Q667" s="29">
        <v>0</v>
      </c>
      <c r="R667" s="29">
        <v>0</v>
      </c>
      <c r="S667" s="29">
        <v>0</v>
      </c>
      <c r="T667" s="29">
        <v>0</v>
      </c>
      <c r="U667" s="29">
        <v>0</v>
      </c>
      <c r="V667" s="29">
        <v>0</v>
      </c>
      <c r="W667" s="29">
        <v>0</v>
      </c>
      <c r="X667" s="29">
        <v>0</v>
      </c>
      <c r="Y667" s="29">
        <v>0</v>
      </c>
      <c r="Z667" s="29">
        <v>0</v>
      </c>
      <c r="AA667" s="29">
        <v>0</v>
      </c>
      <c r="AB667" s="29">
        <v>0</v>
      </c>
      <c r="AC667" s="29">
        <f>ROUND((E667+F667+G667+H667+I667+J667)*1.5%,2)</f>
        <v>31808.68</v>
      </c>
      <c r="AD667" s="29">
        <v>0</v>
      </c>
      <c r="AE667" s="29">
        <v>0</v>
      </c>
      <c r="AF667" s="32" t="s">
        <v>268</v>
      </c>
      <c r="AG667" s="32">
        <v>2021</v>
      </c>
      <c r="AH667" s="33">
        <v>2021</v>
      </c>
      <c r="BZ667" s="61"/>
      <c r="CD667" s="18" t="e">
        <f>VLOOKUP(C667,CE:CF,2,FALSE)</f>
        <v>#N/A</v>
      </c>
      <c r="CE667" s="85" t="s">
        <v>187</v>
      </c>
      <c r="CF667" s="85">
        <v>1028.5999999999999</v>
      </c>
    </row>
    <row r="668" spans="1:84" ht="61.5" x14ac:dyDescent="0.85">
      <c r="A668" s="18">
        <v>1</v>
      </c>
      <c r="B668" s="57">
        <f>SUBTOTAL(103,$A$558:A668)</f>
        <v>110</v>
      </c>
      <c r="C668" s="22" t="s">
        <v>1130</v>
      </c>
      <c r="D668" s="29">
        <f t="shared" si="104"/>
        <v>534516.64</v>
      </c>
      <c r="E668" s="29">
        <v>0</v>
      </c>
      <c r="F668" s="29">
        <v>0</v>
      </c>
      <c r="G668" s="29">
        <f>326617.38+200000</f>
        <v>526617.38</v>
      </c>
      <c r="H668" s="29">
        <v>0</v>
      </c>
      <c r="I668" s="29">
        <v>0</v>
      </c>
      <c r="J668" s="29">
        <v>0</v>
      </c>
      <c r="K668" s="64">
        <v>0</v>
      </c>
      <c r="L668" s="29">
        <v>0</v>
      </c>
      <c r="M668" s="29">
        <v>0</v>
      </c>
      <c r="N668" s="29">
        <v>0</v>
      </c>
      <c r="O668" s="29">
        <v>0</v>
      </c>
      <c r="P668" s="29">
        <v>0</v>
      </c>
      <c r="Q668" s="29">
        <v>0</v>
      </c>
      <c r="R668" s="29">
        <v>0</v>
      </c>
      <c r="S668" s="29">
        <v>0</v>
      </c>
      <c r="T668" s="29">
        <v>0</v>
      </c>
      <c r="U668" s="29">
        <v>0</v>
      </c>
      <c r="V668" s="29">
        <v>0</v>
      </c>
      <c r="W668" s="29">
        <v>0</v>
      </c>
      <c r="X668" s="29">
        <v>0</v>
      </c>
      <c r="Y668" s="29">
        <v>0</v>
      </c>
      <c r="Z668" s="29">
        <v>0</v>
      </c>
      <c r="AA668" s="29">
        <v>0</v>
      </c>
      <c r="AB668" s="29">
        <v>0</v>
      </c>
      <c r="AC668" s="29">
        <f>ROUND((E668+F668+G668+H668+I668+J668)*1.5%,2)</f>
        <v>7899.26</v>
      </c>
      <c r="AD668" s="29">
        <v>0</v>
      </c>
      <c r="AE668" s="29">
        <v>0</v>
      </c>
      <c r="AF668" s="32" t="s">
        <v>268</v>
      </c>
      <c r="AG668" s="32">
        <v>2021</v>
      </c>
      <c r="AH668" s="33">
        <v>2021</v>
      </c>
      <c r="BZ668" s="61"/>
      <c r="CD668" s="18" t="e">
        <f>VLOOKUP(C668,CE:CF,2,FALSE)</f>
        <v>#N/A</v>
      </c>
      <c r="CE668" s="85" t="s">
        <v>222</v>
      </c>
      <c r="CF668" s="85">
        <v>289.86</v>
      </c>
    </row>
    <row r="669" spans="1:84" ht="61.5" x14ac:dyDescent="0.85">
      <c r="A669" s="18">
        <v>1</v>
      </c>
      <c r="B669" s="57">
        <f>SUBTOTAL(103,$A$558:A669)</f>
        <v>111</v>
      </c>
      <c r="C669" s="22" t="s">
        <v>1135</v>
      </c>
      <c r="D669" s="29">
        <f t="shared" si="104"/>
        <v>1370144.55</v>
      </c>
      <c r="E669" s="28">
        <v>0</v>
      </c>
      <c r="F669" s="29">
        <v>0</v>
      </c>
      <c r="G669" s="29">
        <v>1349896.11</v>
      </c>
      <c r="H669" s="28">
        <v>0</v>
      </c>
      <c r="I669" s="29">
        <v>0</v>
      </c>
      <c r="J669" s="29">
        <v>0</v>
      </c>
      <c r="K669" s="64">
        <v>0</v>
      </c>
      <c r="L669" s="29">
        <v>0</v>
      </c>
      <c r="M669" s="29">
        <v>0</v>
      </c>
      <c r="N669" s="29">
        <v>0</v>
      </c>
      <c r="O669" s="29">
        <v>0</v>
      </c>
      <c r="P669" s="29">
        <v>0</v>
      </c>
      <c r="Q669" s="29">
        <v>0</v>
      </c>
      <c r="R669" s="29">
        <v>0</v>
      </c>
      <c r="S669" s="29">
        <v>0</v>
      </c>
      <c r="T669" s="29">
        <v>0</v>
      </c>
      <c r="U669" s="29">
        <v>0</v>
      </c>
      <c r="V669" s="29">
        <v>0</v>
      </c>
      <c r="W669" s="29">
        <v>0</v>
      </c>
      <c r="X669" s="29">
        <v>0</v>
      </c>
      <c r="Y669" s="29">
        <v>0</v>
      </c>
      <c r="Z669" s="29">
        <v>0</v>
      </c>
      <c r="AA669" s="29">
        <v>0</v>
      </c>
      <c r="AB669" s="29">
        <v>0</v>
      </c>
      <c r="AC669" s="29">
        <f>ROUND((E669+F669+G669+H669+I669+J669)*1.5%,2)</f>
        <v>20248.439999999999</v>
      </c>
      <c r="AD669" s="29">
        <v>0</v>
      </c>
      <c r="AE669" s="29">
        <v>0</v>
      </c>
      <c r="AF669" s="32" t="s">
        <v>268</v>
      </c>
      <c r="AG669" s="32">
        <v>2021</v>
      </c>
      <c r="AH669" s="33">
        <v>2021</v>
      </c>
      <c r="BZ669" s="61"/>
      <c r="CD669" s="18" t="e">
        <f>VLOOKUP(C669,CE:CF,2,FALSE)</f>
        <v>#N/A</v>
      </c>
      <c r="CE669" s="85" t="s">
        <v>620</v>
      </c>
      <c r="CF669" s="85">
        <v>384.56</v>
      </c>
    </row>
    <row r="670" spans="1:84" ht="61.5" x14ac:dyDescent="0.85">
      <c r="A670" s="18">
        <v>1</v>
      </c>
      <c r="B670" s="57">
        <f>SUBTOTAL(103,$A$558:A670)</f>
        <v>112</v>
      </c>
      <c r="C670" s="22" t="s">
        <v>1137</v>
      </c>
      <c r="D670" s="29">
        <f t="shared" si="104"/>
        <v>4024964.16</v>
      </c>
      <c r="E670" s="29">
        <v>0</v>
      </c>
      <c r="F670" s="29">
        <v>0</v>
      </c>
      <c r="G670" s="93">
        <f>2238110.93+200000</f>
        <v>2438110.9300000002</v>
      </c>
      <c r="H670" s="28">
        <v>0</v>
      </c>
      <c r="I670" s="134">
        <v>1527371</v>
      </c>
      <c r="J670" s="29">
        <v>0</v>
      </c>
      <c r="K670" s="64">
        <v>0</v>
      </c>
      <c r="L670" s="29">
        <v>0</v>
      </c>
      <c r="M670" s="29">
        <v>0</v>
      </c>
      <c r="N670" s="29">
        <v>0</v>
      </c>
      <c r="O670" s="29">
        <v>0</v>
      </c>
      <c r="P670" s="29">
        <v>0</v>
      </c>
      <c r="Q670" s="29">
        <v>0</v>
      </c>
      <c r="R670" s="29">
        <v>0</v>
      </c>
      <c r="S670" s="29">
        <v>0</v>
      </c>
      <c r="T670" s="29">
        <v>0</v>
      </c>
      <c r="U670" s="29">
        <v>0</v>
      </c>
      <c r="V670" s="29">
        <v>0</v>
      </c>
      <c r="W670" s="29">
        <v>0</v>
      </c>
      <c r="X670" s="29">
        <v>0</v>
      </c>
      <c r="Y670" s="29">
        <v>0</v>
      </c>
      <c r="Z670" s="29">
        <v>0</v>
      </c>
      <c r="AA670" s="29">
        <v>0</v>
      </c>
      <c r="AB670" s="29">
        <v>0</v>
      </c>
      <c r="AC670" s="29">
        <f>ROUND((E670+F670+G670+H670+I670+J670)*1.5%,2)</f>
        <v>59482.23</v>
      </c>
      <c r="AD670" s="29">
        <v>0</v>
      </c>
      <c r="AE670" s="29">
        <v>0</v>
      </c>
      <c r="AF670" s="32" t="s">
        <v>268</v>
      </c>
      <c r="AG670" s="32">
        <v>2021</v>
      </c>
      <c r="AH670" s="33">
        <v>2021</v>
      </c>
      <c r="BZ670" s="61"/>
      <c r="CD670" s="18" t="e">
        <f>VLOOKUP(C670,CE:CF,2,FALSE)</f>
        <v>#N/A</v>
      </c>
      <c r="CE670" s="85" t="s">
        <v>1098</v>
      </c>
      <c r="CF670" s="85">
        <v>946</v>
      </c>
    </row>
    <row r="671" spans="1:84" ht="61.5" x14ac:dyDescent="0.85">
      <c r="A671" s="18">
        <v>1</v>
      </c>
      <c r="B671" s="57">
        <f>SUBTOTAL(103,$A$558:A671)</f>
        <v>113</v>
      </c>
      <c r="C671" s="22" t="s">
        <v>1133</v>
      </c>
      <c r="D671" s="29">
        <f t="shared" ref="D671:D680" si="105">E671+F671+G671+H671+I671+J671+L671+N671+P671+R671+T671+U671+V671+W671+X671+Y671+Z671+AA671+AB671+AC671+AD671+AE671</f>
        <v>1971369.43</v>
      </c>
      <c r="E671" s="29">
        <v>0</v>
      </c>
      <c r="F671" s="29">
        <v>0</v>
      </c>
      <c r="G671" s="29">
        <v>0</v>
      </c>
      <c r="H671" s="29">
        <v>0</v>
      </c>
      <c r="I671" s="29">
        <v>0</v>
      </c>
      <c r="J671" s="29">
        <v>0</v>
      </c>
      <c r="K671" s="64">
        <v>0</v>
      </c>
      <c r="L671" s="29">
        <v>0</v>
      </c>
      <c r="M671" s="29">
        <v>0</v>
      </c>
      <c r="N671" s="29">
        <v>0</v>
      </c>
      <c r="O671" s="29">
        <v>0</v>
      </c>
      <c r="P671" s="29">
        <v>0</v>
      </c>
      <c r="Q671" s="29">
        <v>450.1</v>
      </c>
      <c r="R671" s="29">
        <v>1824009.29</v>
      </c>
      <c r="S671" s="29">
        <v>0</v>
      </c>
      <c r="T671" s="29">
        <v>0</v>
      </c>
      <c r="U671" s="29">
        <v>0</v>
      </c>
      <c r="V671" s="29">
        <v>0</v>
      </c>
      <c r="W671" s="29">
        <v>0</v>
      </c>
      <c r="X671" s="29">
        <v>0</v>
      </c>
      <c r="Y671" s="29">
        <v>0</v>
      </c>
      <c r="Z671" s="29">
        <v>0</v>
      </c>
      <c r="AA671" s="29">
        <v>0</v>
      </c>
      <c r="AB671" s="29">
        <v>0</v>
      </c>
      <c r="AC671" s="29">
        <f>ROUND(R671*1.5%,2)</f>
        <v>27360.14</v>
      </c>
      <c r="AD671" s="29">
        <v>0</v>
      </c>
      <c r="AE671" s="29">
        <v>120000</v>
      </c>
      <c r="AF671" s="32" t="s">
        <v>268</v>
      </c>
      <c r="AG671" s="32">
        <v>2021</v>
      </c>
      <c r="AH671" s="33">
        <v>2021</v>
      </c>
      <c r="BZ671" s="61"/>
      <c r="CD671" s="18" t="e">
        <f>VLOOKUP(C671,CE:CF,2,FALSE)</f>
        <v>#N/A</v>
      </c>
      <c r="CE671" s="85" t="s">
        <v>441</v>
      </c>
      <c r="CF671" s="85">
        <v>592.20000000000005</v>
      </c>
    </row>
    <row r="672" spans="1:84" ht="61.5" x14ac:dyDescent="0.85">
      <c r="A672" s="18">
        <v>1</v>
      </c>
      <c r="B672" s="57">
        <f>SUBTOTAL(103,$A$558:A672)</f>
        <v>114</v>
      </c>
      <c r="C672" s="22" t="s">
        <v>452</v>
      </c>
      <c r="D672" s="29">
        <f t="shared" si="105"/>
        <v>2358287.8899999997</v>
      </c>
      <c r="E672" s="29">
        <v>0</v>
      </c>
      <c r="F672" s="29">
        <v>0</v>
      </c>
      <c r="G672" s="29">
        <v>0</v>
      </c>
      <c r="H672" s="29">
        <v>0</v>
      </c>
      <c r="I672" s="29">
        <v>0</v>
      </c>
      <c r="J672" s="29">
        <v>0</v>
      </c>
      <c r="K672" s="64">
        <v>0</v>
      </c>
      <c r="L672" s="29">
        <v>0</v>
      </c>
      <c r="M672" s="29">
        <v>0</v>
      </c>
      <c r="N672" s="29">
        <v>0</v>
      </c>
      <c r="O672" s="29">
        <v>0</v>
      </c>
      <c r="P672" s="29">
        <v>0</v>
      </c>
      <c r="Q672" s="29">
        <v>538.6</v>
      </c>
      <c r="R672" s="29">
        <v>2323436.34</v>
      </c>
      <c r="S672" s="29">
        <v>0</v>
      </c>
      <c r="T672" s="29">
        <v>0</v>
      </c>
      <c r="U672" s="29">
        <v>0</v>
      </c>
      <c r="V672" s="29">
        <v>0</v>
      </c>
      <c r="W672" s="29">
        <v>0</v>
      </c>
      <c r="X672" s="29">
        <v>0</v>
      </c>
      <c r="Y672" s="29">
        <v>0</v>
      </c>
      <c r="Z672" s="29">
        <v>0</v>
      </c>
      <c r="AA672" s="29">
        <v>0</v>
      </c>
      <c r="AB672" s="29">
        <v>0</v>
      </c>
      <c r="AC672" s="29">
        <f>ROUND(R672*1.5%,2)</f>
        <v>34851.550000000003</v>
      </c>
      <c r="AD672" s="29">
        <v>0</v>
      </c>
      <c r="AE672" s="29">
        <v>0</v>
      </c>
      <c r="AF672" s="32" t="s">
        <v>268</v>
      </c>
      <c r="AG672" s="32">
        <v>2021</v>
      </c>
      <c r="AH672" s="33">
        <v>2021</v>
      </c>
      <c r="AT672" s="18" t="e">
        <f>VLOOKUP(C672,AW:AX,2,FALSE)</f>
        <v>#N/A</v>
      </c>
      <c r="BZ672" s="61"/>
      <c r="CD672" s="18" t="e">
        <f>VLOOKUP(C672,CE:CF,2,FALSE)</f>
        <v>#N/A</v>
      </c>
      <c r="CE672" s="85" t="s">
        <v>1257</v>
      </c>
      <c r="CF672" s="85">
        <v>437.4</v>
      </c>
    </row>
    <row r="673" spans="1:84" ht="61.5" x14ac:dyDescent="0.85">
      <c r="A673" s="18">
        <v>1</v>
      </c>
      <c r="B673" s="57">
        <f>SUBTOTAL(103,$A$558:A673)</f>
        <v>115</v>
      </c>
      <c r="C673" s="22" t="s">
        <v>1126</v>
      </c>
      <c r="D673" s="29">
        <f t="shared" si="105"/>
        <v>2333192.16</v>
      </c>
      <c r="E673" s="29">
        <v>0</v>
      </c>
      <c r="F673" s="29">
        <v>0</v>
      </c>
      <c r="G673" s="29">
        <v>0</v>
      </c>
      <c r="H673" s="29">
        <v>0</v>
      </c>
      <c r="I673" s="29">
        <v>0</v>
      </c>
      <c r="J673" s="29">
        <v>0</v>
      </c>
      <c r="K673" s="64">
        <v>0</v>
      </c>
      <c r="L673" s="29">
        <v>0</v>
      </c>
      <c r="M673" s="29">
        <v>0</v>
      </c>
      <c r="N673" s="29">
        <v>0</v>
      </c>
      <c r="O673" s="29">
        <v>0</v>
      </c>
      <c r="P673" s="29">
        <v>0</v>
      </c>
      <c r="Q673" s="29">
        <v>741.84</v>
      </c>
      <c r="R673" s="29">
        <f>1798711.49+500000</f>
        <v>2298711.4900000002</v>
      </c>
      <c r="S673" s="29">
        <v>0</v>
      </c>
      <c r="T673" s="29">
        <v>0</v>
      </c>
      <c r="U673" s="29">
        <v>0</v>
      </c>
      <c r="V673" s="29">
        <v>0</v>
      </c>
      <c r="W673" s="29">
        <v>0</v>
      </c>
      <c r="X673" s="29">
        <v>0</v>
      </c>
      <c r="Y673" s="29">
        <v>0</v>
      </c>
      <c r="Z673" s="29">
        <v>0</v>
      </c>
      <c r="AA673" s="29">
        <v>0</v>
      </c>
      <c r="AB673" s="29">
        <v>0</v>
      </c>
      <c r="AC673" s="29">
        <f>ROUND(R673*1.5%,2)</f>
        <v>34480.67</v>
      </c>
      <c r="AD673" s="29">
        <v>0</v>
      </c>
      <c r="AE673" s="29">
        <v>0</v>
      </c>
      <c r="AF673" s="32" t="s">
        <v>268</v>
      </c>
      <c r="AG673" s="32">
        <v>2021</v>
      </c>
      <c r="AH673" s="33">
        <v>2021</v>
      </c>
      <c r="BZ673" s="61"/>
      <c r="CD673" s="18" t="e">
        <f>VLOOKUP(C673,CE:CF,2,FALSE)</f>
        <v>#N/A</v>
      </c>
      <c r="CE673" s="85" t="s">
        <v>186</v>
      </c>
      <c r="CF673" s="85">
        <v>578.4</v>
      </c>
    </row>
    <row r="674" spans="1:84" ht="61.5" x14ac:dyDescent="0.85">
      <c r="A674" s="18">
        <v>1</v>
      </c>
      <c r="B674" s="57">
        <f>SUBTOTAL(103,$A$558:A674)</f>
        <v>116</v>
      </c>
      <c r="C674" s="22" t="s">
        <v>1136</v>
      </c>
      <c r="D674" s="29">
        <f t="shared" si="105"/>
        <v>1540784.43</v>
      </c>
      <c r="E674" s="29">
        <v>0</v>
      </c>
      <c r="F674" s="29">
        <v>0</v>
      </c>
      <c r="G674" s="29">
        <f>1318014.22+200000</f>
        <v>1518014.22</v>
      </c>
      <c r="H674" s="29">
        <v>0</v>
      </c>
      <c r="I674" s="29">
        <v>0</v>
      </c>
      <c r="J674" s="29">
        <v>0</v>
      </c>
      <c r="K674" s="64">
        <v>0</v>
      </c>
      <c r="L674" s="29">
        <v>0</v>
      </c>
      <c r="M674" s="29">
        <v>0</v>
      </c>
      <c r="N674" s="29">
        <v>0</v>
      </c>
      <c r="O674" s="29">
        <v>0</v>
      </c>
      <c r="P674" s="29">
        <v>0</v>
      </c>
      <c r="Q674" s="29">
        <v>0</v>
      </c>
      <c r="R674" s="29">
        <v>0</v>
      </c>
      <c r="S674" s="29">
        <v>0</v>
      </c>
      <c r="T674" s="29">
        <v>0</v>
      </c>
      <c r="U674" s="29">
        <v>0</v>
      </c>
      <c r="V674" s="29">
        <v>0</v>
      </c>
      <c r="W674" s="29">
        <v>0</v>
      </c>
      <c r="X674" s="29">
        <v>0</v>
      </c>
      <c r="Y674" s="29">
        <v>0</v>
      </c>
      <c r="Z674" s="29">
        <v>0</v>
      </c>
      <c r="AA674" s="29">
        <v>0</v>
      </c>
      <c r="AB674" s="29">
        <v>0</v>
      </c>
      <c r="AC674" s="29">
        <f>ROUND((E674+F674+G674+H674+I674+J674)*1.5%,2)</f>
        <v>22770.21</v>
      </c>
      <c r="AD674" s="29">
        <v>0</v>
      </c>
      <c r="AE674" s="29">
        <v>0</v>
      </c>
      <c r="AF674" s="32" t="s">
        <v>268</v>
      </c>
      <c r="AG674" s="32">
        <v>2021</v>
      </c>
      <c r="AH674" s="33">
        <v>2021</v>
      </c>
      <c r="BZ674" s="61"/>
      <c r="CD674" s="18" t="e">
        <f>VLOOKUP(C674,CE:CF,2,FALSE)</f>
        <v>#N/A</v>
      </c>
      <c r="CE674" s="85" t="s">
        <v>1272</v>
      </c>
      <c r="CF674" s="85">
        <v>500</v>
      </c>
    </row>
    <row r="675" spans="1:84" ht="61.5" x14ac:dyDescent="0.85">
      <c r="A675" s="18">
        <v>1</v>
      </c>
      <c r="B675" s="57">
        <f>SUBTOTAL(103,$A$558:A675)</f>
        <v>117</v>
      </c>
      <c r="C675" s="22" t="s">
        <v>460</v>
      </c>
      <c r="D675" s="29">
        <f t="shared" si="105"/>
        <v>2256753.77</v>
      </c>
      <c r="E675" s="29">
        <v>0</v>
      </c>
      <c r="F675" s="29">
        <v>0</v>
      </c>
      <c r="G675" s="29">
        <v>0</v>
      </c>
      <c r="H675" s="29">
        <v>0</v>
      </c>
      <c r="I675" s="29">
        <v>0</v>
      </c>
      <c r="J675" s="29">
        <v>0</v>
      </c>
      <c r="K675" s="64">
        <v>0</v>
      </c>
      <c r="L675" s="29">
        <v>0</v>
      </c>
      <c r="M675" s="37">
        <v>625.1</v>
      </c>
      <c r="N675" s="37">
        <v>2242290.9900000002</v>
      </c>
      <c r="O675" s="29">
        <v>0</v>
      </c>
      <c r="P675" s="29">
        <v>0</v>
      </c>
      <c r="Q675" s="29">
        <v>0</v>
      </c>
      <c r="R675" s="29">
        <v>0</v>
      </c>
      <c r="S675" s="29">
        <v>0</v>
      </c>
      <c r="T675" s="29">
        <v>0</v>
      </c>
      <c r="U675" s="29">
        <v>0</v>
      </c>
      <c r="V675" s="29">
        <v>0</v>
      </c>
      <c r="W675" s="29">
        <v>0</v>
      </c>
      <c r="X675" s="29">
        <v>0</v>
      </c>
      <c r="Y675" s="29">
        <v>0</v>
      </c>
      <c r="Z675" s="29">
        <v>0</v>
      </c>
      <c r="AA675" s="29">
        <v>0</v>
      </c>
      <c r="AB675" s="29">
        <v>0</v>
      </c>
      <c r="AC675" s="37">
        <v>14462.78</v>
      </c>
      <c r="AD675" s="29">
        <v>0</v>
      </c>
      <c r="AE675" s="29">
        <v>0</v>
      </c>
      <c r="AF675" s="32" t="s">
        <v>268</v>
      </c>
      <c r="AG675" s="32">
        <v>2021</v>
      </c>
      <c r="AH675" s="33">
        <v>2021</v>
      </c>
      <c r="BZ675" s="61"/>
      <c r="CD675" s="18" t="e">
        <f>VLOOKUP(C675,CE:CF,2,FALSE)</f>
        <v>#N/A</v>
      </c>
      <c r="CE675" s="85" t="s">
        <v>440</v>
      </c>
      <c r="CF675" s="85">
        <v>598</v>
      </c>
    </row>
    <row r="676" spans="1:84" ht="61.5" x14ac:dyDescent="0.85">
      <c r="A676" s="18">
        <v>1</v>
      </c>
      <c r="B676" s="57">
        <f>SUBTOTAL(103,$A$558:A676)</f>
        <v>118</v>
      </c>
      <c r="C676" s="22" t="s">
        <v>1275</v>
      </c>
      <c r="D676" s="29">
        <f t="shared" si="105"/>
        <v>2922293.2399999998</v>
      </c>
      <c r="E676" s="29">
        <v>0</v>
      </c>
      <c r="F676" s="29">
        <v>0</v>
      </c>
      <c r="G676" s="29">
        <v>0</v>
      </c>
      <c r="H676" s="29">
        <v>0</v>
      </c>
      <c r="I676" s="29">
        <v>0</v>
      </c>
      <c r="J676" s="29">
        <v>0</v>
      </c>
      <c r="K676" s="64">
        <v>0</v>
      </c>
      <c r="L676" s="29">
        <v>0</v>
      </c>
      <c r="M676" s="29">
        <v>0</v>
      </c>
      <c r="N676" s="29">
        <v>0</v>
      </c>
      <c r="O676" s="29">
        <v>0</v>
      </c>
      <c r="P676" s="29">
        <v>0</v>
      </c>
      <c r="Q676" s="29">
        <v>718.9</v>
      </c>
      <c r="R676" s="29">
        <v>2879106.6399999997</v>
      </c>
      <c r="S676" s="29">
        <v>0</v>
      </c>
      <c r="T676" s="29">
        <v>0</v>
      </c>
      <c r="U676" s="29">
        <v>0</v>
      </c>
      <c r="V676" s="29">
        <v>0</v>
      </c>
      <c r="W676" s="29">
        <v>0</v>
      </c>
      <c r="X676" s="29">
        <v>0</v>
      </c>
      <c r="Y676" s="29">
        <v>0</v>
      </c>
      <c r="Z676" s="29">
        <v>0</v>
      </c>
      <c r="AA676" s="29">
        <v>0</v>
      </c>
      <c r="AB676" s="29">
        <v>0</v>
      </c>
      <c r="AC676" s="29">
        <f>ROUND(R676*1.5%,2)</f>
        <v>43186.6</v>
      </c>
      <c r="AD676" s="29">
        <v>0</v>
      </c>
      <c r="AE676" s="29">
        <v>0</v>
      </c>
      <c r="AF676" s="32" t="s">
        <v>268</v>
      </c>
      <c r="AG676" s="32">
        <v>2021</v>
      </c>
      <c r="AH676" s="33">
        <v>2021</v>
      </c>
      <c r="BZ676" s="61"/>
      <c r="CD676" s="18" t="e">
        <f>VLOOKUP(C676,CE:CF,2,FALSE)</f>
        <v>#N/A</v>
      </c>
      <c r="CE676" s="85" t="s">
        <v>616</v>
      </c>
      <c r="CF676" s="85">
        <v>486.27</v>
      </c>
    </row>
    <row r="677" spans="1:84" ht="61.5" x14ac:dyDescent="0.85">
      <c r="A677" s="18">
        <v>1</v>
      </c>
      <c r="B677" s="57">
        <f>SUBTOTAL(103,$A$558:A677)</f>
        <v>119</v>
      </c>
      <c r="C677" s="22" t="s">
        <v>1544</v>
      </c>
      <c r="D677" s="29">
        <f t="shared" si="105"/>
        <v>3147456.93</v>
      </c>
      <c r="E677" s="29">
        <v>0</v>
      </c>
      <c r="F677" s="29">
        <v>0</v>
      </c>
      <c r="G677" s="29">
        <v>0</v>
      </c>
      <c r="H677" s="29">
        <v>0</v>
      </c>
      <c r="I677" s="29">
        <v>0</v>
      </c>
      <c r="J677" s="29">
        <v>0</v>
      </c>
      <c r="K677" s="64">
        <v>0</v>
      </c>
      <c r="L677" s="29">
        <v>0</v>
      </c>
      <c r="M677" s="29">
        <v>0</v>
      </c>
      <c r="N677" s="29">
        <v>0</v>
      </c>
      <c r="O677" s="29">
        <v>0</v>
      </c>
      <c r="P677" s="29">
        <v>0</v>
      </c>
      <c r="Q677" s="29">
        <v>634.6</v>
      </c>
      <c r="R677" s="29">
        <f>2776416.62+200000</f>
        <v>2976416.62</v>
      </c>
      <c r="S677" s="29">
        <v>0</v>
      </c>
      <c r="T677" s="29">
        <v>0</v>
      </c>
      <c r="U677" s="29">
        <v>0</v>
      </c>
      <c r="V677" s="29">
        <v>0</v>
      </c>
      <c r="W677" s="29">
        <v>0</v>
      </c>
      <c r="X677" s="29">
        <v>0</v>
      </c>
      <c r="Y677" s="29">
        <v>0</v>
      </c>
      <c r="Z677" s="29">
        <v>0</v>
      </c>
      <c r="AA677" s="29">
        <v>0</v>
      </c>
      <c r="AB677" s="29">
        <v>0</v>
      </c>
      <c r="AC677" s="29">
        <f>ROUND(R677*1.5%,2)</f>
        <v>44646.25</v>
      </c>
      <c r="AD677" s="29">
        <f>120000+6394.06</f>
        <v>126394.06</v>
      </c>
      <c r="AE677" s="29">
        <v>0</v>
      </c>
      <c r="AF677" s="32">
        <v>2021</v>
      </c>
      <c r="AG677" s="32">
        <v>2021</v>
      </c>
      <c r="AH677" s="33">
        <v>2021</v>
      </c>
      <c r="BZ677" s="61"/>
      <c r="CD677" s="18" t="e">
        <f>VLOOKUP(C677,CE:CF,2,FALSE)</f>
        <v>#N/A</v>
      </c>
      <c r="CE677" s="85" t="s">
        <v>116</v>
      </c>
      <c r="CF677" s="85">
        <v>1151</v>
      </c>
    </row>
    <row r="678" spans="1:84" ht="61.5" x14ac:dyDescent="0.85">
      <c r="A678" s="18">
        <v>1</v>
      </c>
      <c r="B678" s="57">
        <f>SUBTOTAL(103,$A$558:A678)</f>
        <v>120</v>
      </c>
      <c r="C678" s="22" t="s">
        <v>451</v>
      </c>
      <c r="D678" s="29">
        <f t="shared" si="105"/>
        <v>2775034.26</v>
      </c>
      <c r="E678" s="29">
        <v>0</v>
      </c>
      <c r="F678" s="29">
        <v>0</v>
      </c>
      <c r="G678" s="29">
        <v>0</v>
      </c>
      <c r="H678" s="29">
        <v>0</v>
      </c>
      <c r="I678" s="29">
        <v>0</v>
      </c>
      <c r="J678" s="29">
        <v>0</v>
      </c>
      <c r="K678" s="64">
        <v>0</v>
      </c>
      <c r="L678" s="29">
        <v>0</v>
      </c>
      <c r="M678" s="37">
        <v>841</v>
      </c>
      <c r="N678" s="37">
        <v>2757250</v>
      </c>
      <c r="O678" s="29">
        <v>0</v>
      </c>
      <c r="P678" s="29">
        <v>0</v>
      </c>
      <c r="Q678" s="29">
        <v>0</v>
      </c>
      <c r="R678" s="29">
        <v>0</v>
      </c>
      <c r="S678" s="29">
        <v>0</v>
      </c>
      <c r="T678" s="29">
        <v>0</v>
      </c>
      <c r="U678" s="29">
        <v>0</v>
      </c>
      <c r="V678" s="29">
        <v>0</v>
      </c>
      <c r="W678" s="29">
        <v>0</v>
      </c>
      <c r="X678" s="29">
        <v>0</v>
      </c>
      <c r="Y678" s="29">
        <v>0</v>
      </c>
      <c r="Z678" s="29">
        <v>0</v>
      </c>
      <c r="AA678" s="29">
        <v>0</v>
      </c>
      <c r="AB678" s="29">
        <v>0</v>
      </c>
      <c r="AC678" s="37">
        <v>17784.259999999998</v>
      </c>
      <c r="AD678" s="29">
        <v>0</v>
      </c>
      <c r="AE678" s="29">
        <v>0</v>
      </c>
      <c r="AF678" s="32" t="s">
        <v>268</v>
      </c>
      <c r="AG678" s="32">
        <v>2021</v>
      </c>
      <c r="AH678" s="33">
        <v>2021</v>
      </c>
      <c r="AT678" s="18" t="e">
        <f>VLOOKUP(C678,AW:AX,2,FALSE)</f>
        <v>#N/A</v>
      </c>
      <c r="BZ678" s="61"/>
      <c r="CD678" s="18">
        <f>VLOOKUP(C678,CE:CF,2,FALSE)</f>
        <v>860.91</v>
      </c>
      <c r="CE678" s="85" t="s">
        <v>1254</v>
      </c>
      <c r="CF678" s="85">
        <v>949</v>
      </c>
    </row>
    <row r="679" spans="1:84" ht="61.5" x14ac:dyDescent="0.85">
      <c r="A679" s="18">
        <v>1</v>
      </c>
      <c r="B679" s="57">
        <f>SUBTOTAL(103,$A$558:A679)</f>
        <v>121</v>
      </c>
      <c r="C679" s="22" t="s">
        <v>1917</v>
      </c>
      <c r="D679" s="29">
        <f t="shared" si="105"/>
        <v>9319463.129999999</v>
      </c>
      <c r="E679" s="29">
        <v>0</v>
      </c>
      <c r="F679" s="29">
        <v>0</v>
      </c>
      <c r="G679" s="29">
        <v>0</v>
      </c>
      <c r="H679" s="29">
        <v>0</v>
      </c>
      <c r="I679" s="29">
        <v>0</v>
      </c>
      <c r="J679" s="29">
        <v>0</v>
      </c>
      <c r="K679" s="64">
        <v>0</v>
      </c>
      <c r="L679" s="29">
        <v>0</v>
      </c>
      <c r="M679" s="29">
        <v>1261</v>
      </c>
      <c r="N679" s="29">
        <f>7706785.59+1074534.97+203371.54+0.36+0.35-0.07</f>
        <v>8984692.7399999984</v>
      </c>
      <c r="O679" s="29">
        <v>0</v>
      </c>
      <c r="P679" s="29">
        <v>0</v>
      </c>
      <c r="Q679" s="29">
        <v>0</v>
      </c>
      <c r="R679" s="29">
        <v>0</v>
      </c>
      <c r="S679" s="29">
        <v>0</v>
      </c>
      <c r="T679" s="29">
        <v>0</v>
      </c>
      <c r="U679" s="29">
        <v>0</v>
      </c>
      <c r="V679" s="29">
        <v>0</v>
      </c>
      <c r="W679" s="29">
        <v>0</v>
      </c>
      <c r="X679" s="29">
        <v>0</v>
      </c>
      <c r="Y679" s="29">
        <v>0</v>
      </c>
      <c r="Z679" s="29">
        <v>0</v>
      </c>
      <c r="AA679" s="29">
        <v>0</v>
      </c>
      <c r="AB679" s="29">
        <v>0</v>
      </c>
      <c r="AC679" s="29">
        <f>ROUND(N679*1.5%,2)</f>
        <v>134770.39000000001</v>
      </c>
      <c r="AD679" s="29">
        <v>200000</v>
      </c>
      <c r="AE679" s="29">
        <v>0</v>
      </c>
      <c r="AF679" s="32">
        <v>2021</v>
      </c>
      <c r="AG679" s="32">
        <v>2021</v>
      </c>
      <c r="AH679" s="33">
        <v>2021</v>
      </c>
      <c r="BZ679" s="61"/>
      <c r="CD679" s="18" t="e">
        <f>VLOOKUP(C679,CE:CF,2,FALSE)</f>
        <v>#N/A</v>
      </c>
      <c r="CE679" s="85" t="s">
        <v>116</v>
      </c>
      <c r="CF679" s="85">
        <v>1151</v>
      </c>
    </row>
    <row r="680" spans="1:84" ht="61.5" x14ac:dyDescent="0.85">
      <c r="A680" s="18">
        <v>1</v>
      </c>
      <c r="B680" s="57">
        <f>SUBTOTAL(103,$A$558:A680)</f>
        <v>122</v>
      </c>
      <c r="C680" s="22" t="s">
        <v>2291</v>
      </c>
      <c r="D680" s="29">
        <f t="shared" si="105"/>
        <v>3969932.0599999996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1">
        <v>0</v>
      </c>
      <c r="L680" s="29">
        <v>0</v>
      </c>
      <c r="M680" s="29">
        <v>621.9</v>
      </c>
      <c r="N680" s="29">
        <v>3793036.51</v>
      </c>
      <c r="O680" s="29">
        <v>0</v>
      </c>
      <c r="P680" s="29">
        <v>0</v>
      </c>
      <c r="Q680" s="29">
        <v>0</v>
      </c>
      <c r="R680" s="29">
        <v>0</v>
      </c>
      <c r="S680" s="29">
        <v>0</v>
      </c>
      <c r="T680" s="29">
        <v>0</v>
      </c>
      <c r="U680" s="29">
        <v>0</v>
      </c>
      <c r="V680" s="29">
        <v>0</v>
      </c>
      <c r="W680" s="29">
        <v>0</v>
      </c>
      <c r="X680" s="29">
        <v>0</v>
      </c>
      <c r="Y680" s="29">
        <v>0</v>
      </c>
      <c r="Z680" s="29">
        <v>0</v>
      </c>
      <c r="AA680" s="29">
        <v>0</v>
      </c>
      <c r="AB680" s="29">
        <v>0</v>
      </c>
      <c r="AC680" s="29">
        <f>ROUND(N680*1.5%,2)</f>
        <v>56895.55</v>
      </c>
      <c r="AD680" s="29">
        <v>120000</v>
      </c>
      <c r="AE680" s="29">
        <v>0</v>
      </c>
      <c r="AF680" s="32">
        <v>2021</v>
      </c>
      <c r="AG680" s="32">
        <v>2021</v>
      </c>
      <c r="AH680" s="33">
        <v>2021</v>
      </c>
      <c r="AT680" s="18" t="e">
        <f>VLOOKUP(C680,AW:AX,2,FALSE)</f>
        <v>#N/A</v>
      </c>
      <c r="BZ680" s="61"/>
      <c r="CD680" s="18" t="e">
        <f>VLOOKUP(C680,CE:CF,2,FALSE)</f>
        <v>#N/A</v>
      </c>
    </row>
    <row r="681" spans="1:84" ht="61.5" x14ac:dyDescent="0.85">
      <c r="B681" s="22" t="s">
        <v>749</v>
      </c>
      <c r="C681" s="338"/>
      <c r="D681" s="339">
        <f t="shared" ref="D681:AE681" si="106">SUM(D682:D740)</f>
        <v>231365022.94000003</v>
      </c>
      <c r="E681" s="29">
        <f t="shared" si="106"/>
        <v>0</v>
      </c>
      <c r="F681" s="29">
        <f t="shared" si="106"/>
        <v>0</v>
      </c>
      <c r="G681" s="29">
        <f t="shared" si="106"/>
        <v>32258416.649999999</v>
      </c>
      <c r="H681" s="29">
        <f t="shared" si="106"/>
        <v>527209</v>
      </c>
      <c r="I681" s="29">
        <f t="shared" si="106"/>
        <v>5166211.0299999993</v>
      </c>
      <c r="J681" s="29">
        <f t="shared" si="106"/>
        <v>0</v>
      </c>
      <c r="K681" s="31">
        <f t="shared" si="106"/>
        <v>20</v>
      </c>
      <c r="L681" s="29">
        <f t="shared" si="106"/>
        <v>44870255.739999995</v>
      </c>
      <c r="M681" s="29">
        <f t="shared" si="106"/>
        <v>19069.13</v>
      </c>
      <c r="N681" s="29">
        <f t="shared" si="106"/>
        <v>98877852.239999995</v>
      </c>
      <c r="O681" s="29">
        <f t="shared" si="106"/>
        <v>0</v>
      </c>
      <c r="P681" s="29">
        <f t="shared" si="106"/>
        <v>0</v>
      </c>
      <c r="Q681" s="29">
        <f t="shared" si="106"/>
        <v>4169.95</v>
      </c>
      <c r="R681" s="29">
        <f t="shared" si="106"/>
        <v>15104092.92</v>
      </c>
      <c r="S681" s="29">
        <f t="shared" si="106"/>
        <v>121.1</v>
      </c>
      <c r="T681" s="29">
        <f t="shared" si="106"/>
        <v>3011824.03</v>
      </c>
      <c r="U681" s="29">
        <f t="shared" si="106"/>
        <v>10293307.390000001</v>
      </c>
      <c r="V681" s="29">
        <f t="shared" si="106"/>
        <v>0</v>
      </c>
      <c r="W681" s="29">
        <f t="shared" si="106"/>
        <v>0</v>
      </c>
      <c r="X681" s="29">
        <f t="shared" si="106"/>
        <v>0</v>
      </c>
      <c r="Y681" s="29">
        <f t="shared" si="106"/>
        <v>0</v>
      </c>
      <c r="Z681" s="29">
        <f t="shared" si="106"/>
        <v>0</v>
      </c>
      <c r="AA681" s="29">
        <f t="shared" si="106"/>
        <v>0</v>
      </c>
      <c r="AB681" s="29">
        <f t="shared" si="106"/>
        <v>12000000</v>
      </c>
      <c r="AC681" s="29">
        <f t="shared" si="106"/>
        <v>2605873.27</v>
      </c>
      <c r="AD681" s="29">
        <f t="shared" si="106"/>
        <v>6529980.6699999999</v>
      </c>
      <c r="AE681" s="29">
        <f t="shared" si="106"/>
        <v>120000</v>
      </c>
      <c r="AF681" s="62" t="s">
        <v>743</v>
      </c>
      <c r="AG681" s="62" t="s">
        <v>743</v>
      </c>
      <c r="AH681" s="77" t="s">
        <v>743</v>
      </c>
      <c r="AT681" s="18" t="e">
        <f>VLOOKUP(C681,AW:AX,2,FALSE)</f>
        <v>#N/A</v>
      </c>
      <c r="BZ681" s="61">
        <v>95396897.950000003</v>
      </c>
      <c r="CB681" s="61">
        <f>BZ681-D681</f>
        <v>-135968124.99000001</v>
      </c>
      <c r="CD681" s="18" t="e">
        <f>VLOOKUP(C681,CE:CF,2,FALSE)</f>
        <v>#N/A</v>
      </c>
    </row>
    <row r="682" spans="1:84" ht="61.5" x14ac:dyDescent="0.85">
      <c r="A682" s="18">
        <v>1</v>
      </c>
      <c r="B682" s="57">
        <f>SUBTOTAL(103,$A$558:A682)</f>
        <v>123</v>
      </c>
      <c r="C682" s="22" t="s">
        <v>399</v>
      </c>
      <c r="D682" s="29">
        <f t="shared" ref="D682:D711" si="107">E682+F682+G682+H682+I682+J682+L682+N682+P682+R682+T682+U682+V682+W682+X682+Y682+Z682+AA682+AB682+AC682+AD682+AE682</f>
        <v>11288397.499999998</v>
      </c>
      <c r="E682" s="29">
        <v>0</v>
      </c>
      <c r="F682" s="29">
        <v>0</v>
      </c>
      <c r="G682" s="29">
        <v>2100000</v>
      </c>
      <c r="H682" s="29">
        <v>0</v>
      </c>
      <c r="I682" s="29">
        <v>0</v>
      </c>
      <c r="J682" s="29">
        <v>0</v>
      </c>
      <c r="K682" s="31">
        <v>0</v>
      </c>
      <c r="L682" s="29">
        <v>0</v>
      </c>
      <c r="M682" s="29">
        <v>1170</v>
      </c>
      <c r="N682" s="29">
        <f>5962368.83+1948170.8</f>
        <v>7910539.6299999999</v>
      </c>
      <c r="O682" s="29">
        <v>0</v>
      </c>
      <c r="P682" s="29">
        <v>0</v>
      </c>
      <c r="Q682" s="29">
        <v>0</v>
      </c>
      <c r="R682" s="29">
        <v>0</v>
      </c>
      <c r="S682" s="29">
        <v>0</v>
      </c>
      <c r="T682" s="29">
        <v>0</v>
      </c>
      <c r="U682" s="29">
        <v>0</v>
      </c>
      <c r="V682" s="29">
        <v>0</v>
      </c>
      <c r="W682" s="29">
        <v>0</v>
      </c>
      <c r="X682" s="29">
        <v>0</v>
      </c>
      <c r="Y682" s="29">
        <v>0</v>
      </c>
      <c r="Z682" s="29">
        <v>0</v>
      </c>
      <c r="AA682" s="29">
        <v>0</v>
      </c>
      <c r="AB682" s="29">
        <v>800000</v>
      </c>
      <c r="AC682" s="29">
        <f t="shared" ref="AC682" si="108">ROUND((N682+E682+F682+G682+H682+I682+J682+L682+P682+R682+T682+U682+V682+W682+X682+Y682+Z682+AA682+AB682)*1.5%,2)</f>
        <v>162158.09</v>
      </c>
      <c r="AD682" s="29">
        <f>180000+135699.78</f>
        <v>315699.78000000003</v>
      </c>
      <c r="AE682" s="29">
        <v>0</v>
      </c>
      <c r="AF682" s="32">
        <v>2021</v>
      </c>
      <c r="AG682" s="32">
        <v>2021</v>
      </c>
      <c r="AH682" s="33">
        <v>2021</v>
      </c>
      <c r="AT682" s="18" t="e">
        <f>VLOOKUP(C682,AW:AX,2,FALSE)</f>
        <v>#N/A</v>
      </c>
      <c r="BZ682" s="61"/>
      <c r="CD682" s="18" t="e">
        <f>VLOOKUP(C682,CE:CF,2,FALSE)</f>
        <v>#N/A</v>
      </c>
    </row>
    <row r="683" spans="1:84" ht="61.5" x14ac:dyDescent="0.85">
      <c r="A683" s="18">
        <v>1</v>
      </c>
      <c r="B683" s="57">
        <f>SUBTOTAL(103,$A$558:A683)</f>
        <v>124</v>
      </c>
      <c r="C683" s="22" t="s">
        <v>401</v>
      </c>
      <c r="D683" s="29">
        <f t="shared" si="107"/>
        <v>4870838.3400000008</v>
      </c>
      <c r="E683" s="29">
        <v>0</v>
      </c>
      <c r="F683" s="29">
        <v>0</v>
      </c>
      <c r="G683" s="29">
        <v>0</v>
      </c>
      <c r="H683" s="29">
        <v>0</v>
      </c>
      <c r="I683" s="29">
        <v>0</v>
      </c>
      <c r="J683" s="29">
        <v>0</v>
      </c>
      <c r="K683" s="31">
        <v>0</v>
      </c>
      <c r="L683" s="29">
        <v>0</v>
      </c>
      <c r="M683" s="29">
        <v>880</v>
      </c>
      <c r="N683" s="29">
        <v>4694502.57</v>
      </c>
      <c r="O683" s="29">
        <v>0</v>
      </c>
      <c r="P683" s="29">
        <v>0</v>
      </c>
      <c r="Q683" s="29">
        <v>0</v>
      </c>
      <c r="R683" s="29">
        <v>0</v>
      </c>
      <c r="S683" s="29">
        <v>0</v>
      </c>
      <c r="T683" s="29">
        <v>0</v>
      </c>
      <c r="U683" s="29">
        <v>0</v>
      </c>
      <c r="V683" s="29">
        <v>0</v>
      </c>
      <c r="W683" s="29">
        <v>0</v>
      </c>
      <c r="X683" s="29">
        <v>0</v>
      </c>
      <c r="Y683" s="29">
        <v>0</v>
      </c>
      <c r="Z683" s="29">
        <v>0</v>
      </c>
      <c r="AA683" s="29">
        <v>0</v>
      </c>
      <c r="AB683" s="29">
        <v>0</v>
      </c>
      <c r="AC683" s="29">
        <f>ROUND((N683+E683+F683+G683+H683+I683+J683+L683+P683+R683+T683+U683+V683+W683+X683+Y683+Z683+AA683+AB683)*1.5%,2)-0.01</f>
        <v>70417.53</v>
      </c>
      <c r="AD683" s="29">
        <v>105918.24</v>
      </c>
      <c r="AE683" s="29">
        <v>0</v>
      </c>
      <c r="AF683" s="32">
        <v>2021</v>
      </c>
      <c r="AG683" s="32">
        <v>2021</v>
      </c>
      <c r="AH683" s="33">
        <v>2021</v>
      </c>
      <c r="AT683" s="18" t="e">
        <f>VLOOKUP(C683,AW:AX,2,FALSE)</f>
        <v>#N/A</v>
      </c>
      <c r="BZ683" s="61"/>
      <c r="CD683" s="18" t="e">
        <f>VLOOKUP(C683,CE:CF,2,FALSE)</f>
        <v>#N/A</v>
      </c>
    </row>
    <row r="684" spans="1:84" ht="61.5" x14ac:dyDescent="0.85">
      <c r="A684" s="18">
        <v>1</v>
      </c>
      <c r="B684" s="57">
        <f>SUBTOTAL(103,$A$558:A684)</f>
        <v>125</v>
      </c>
      <c r="C684" s="22" t="s">
        <v>402</v>
      </c>
      <c r="D684" s="29">
        <f t="shared" si="107"/>
        <v>3522876.8499999996</v>
      </c>
      <c r="E684" s="29">
        <v>0</v>
      </c>
      <c r="F684" s="29">
        <v>0</v>
      </c>
      <c r="G684" s="29">
        <v>0</v>
      </c>
      <c r="H684" s="29">
        <v>0</v>
      </c>
      <c r="I684" s="29">
        <v>0</v>
      </c>
      <c r="J684" s="29">
        <v>0</v>
      </c>
      <c r="K684" s="31">
        <v>0</v>
      </c>
      <c r="L684" s="29">
        <v>0</v>
      </c>
      <c r="M684" s="29">
        <v>650</v>
      </c>
      <c r="N684" s="29">
        <v>3366626.44</v>
      </c>
      <c r="O684" s="29">
        <v>0</v>
      </c>
      <c r="P684" s="29">
        <v>0</v>
      </c>
      <c r="Q684" s="29">
        <v>0</v>
      </c>
      <c r="R684" s="29">
        <v>0</v>
      </c>
      <c r="S684" s="29">
        <v>0</v>
      </c>
      <c r="T684" s="29">
        <v>0</v>
      </c>
      <c r="U684" s="29">
        <v>0</v>
      </c>
      <c r="V684" s="29">
        <v>0</v>
      </c>
      <c r="W684" s="29">
        <v>0</v>
      </c>
      <c r="X684" s="29">
        <v>0</v>
      </c>
      <c r="Y684" s="29">
        <v>0</v>
      </c>
      <c r="Z684" s="29">
        <v>0</v>
      </c>
      <c r="AA684" s="29">
        <v>0</v>
      </c>
      <c r="AB684" s="29">
        <v>0</v>
      </c>
      <c r="AC684" s="29">
        <f>ROUND(N684*1.5%,2)</f>
        <v>50499.4</v>
      </c>
      <c r="AD684" s="29">
        <v>105751.01</v>
      </c>
      <c r="AE684" s="29">
        <v>0</v>
      </c>
      <c r="AF684" s="32">
        <v>2021</v>
      </c>
      <c r="AG684" s="32">
        <v>2021</v>
      </c>
      <c r="AH684" s="33">
        <v>2021</v>
      </c>
      <c r="AT684" s="18" t="e">
        <f>VLOOKUP(C684,AW:AX,2,FALSE)</f>
        <v>#N/A</v>
      </c>
      <c r="BZ684" s="61"/>
      <c r="CD684" s="18" t="e">
        <f>VLOOKUP(C684,CE:CF,2,FALSE)</f>
        <v>#N/A</v>
      </c>
    </row>
    <row r="685" spans="1:84" ht="61.5" x14ac:dyDescent="0.85">
      <c r="A685" s="18">
        <v>1</v>
      </c>
      <c r="B685" s="57">
        <f>SUBTOTAL(103,$A$558:A685)</f>
        <v>126</v>
      </c>
      <c r="C685" s="22" t="s">
        <v>403</v>
      </c>
      <c r="D685" s="29">
        <f t="shared" si="107"/>
        <v>3494220.47</v>
      </c>
      <c r="E685" s="29">
        <v>0</v>
      </c>
      <c r="F685" s="29">
        <v>0</v>
      </c>
      <c r="G685" s="29">
        <v>0</v>
      </c>
      <c r="H685" s="29">
        <v>0</v>
      </c>
      <c r="I685" s="29">
        <v>0</v>
      </c>
      <c r="J685" s="29">
        <v>0</v>
      </c>
      <c r="K685" s="31">
        <v>0</v>
      </c>
      <c r="L685" s="29">
        <v>0</v>
      </c>
      <c r="M685" s="29">
        <v>620</v>
      </c>
      <c r="N685" s="29">
        <v>3367204.33</v>
      </c>
      <c r="O685" s="29">
        <v>0</v>
      </c>
      <c r="P685" s="29">
        <v>0</v>
      </c>
      <c r="Q685" s="29">
        <v>0</v>
      </c>
      <c r="R685" s="29">
        <v>0</v>
      </c>
      <c r="S685" s="29">
        <v>0</v>
      </c>
      <c r="T685" s="29">
        <v>0</v>
      </c>
      <c r="U685" s="29">
        <v>0</v>
      </c>
      <c r="V685" s="29">
        <v>0</v>
      </c>
      <c r="W685" s="29">
        <v>0</v>
      </c>
      <c r="X685" s="29">
        <v>0</v>
      </c>
      <c r="Y685" s="29">
        <v>0</v>
      </c>
      <c r="Z685" s="29">
        <v>0</v>
      </c>
      <c r="AA685" s="29">
        <v>0</v>
      </c>
      <c r="AB685" s="29">
        <v>0</v>
      </c>
      <c r="AC685" s="37">
        <v>43311.67</v>
      </c>
      <c r="AD685" s="29">
        <v>83704.47</v>
      </c>
      <c r="AE685" s="29">
        <v>0</v>
      </c>
      <c r="AF685" s="32">
        <v>2021</v>
      </c>
      <c r="AG685" s="32">
        <v>2021</v>
      </c>
      <c r="AH685" s="33">
        <v>2021</v>
      </c>
      <c r="AT685" s="18" t="e">
        <f>VLOOKUP(C685,AW:AX,2,FALSE)</f>
        <v>#N/A</v>
      </c>
      <c r="BZ685" s="61"/>
      <c r="CD685" s="18" t="e">
        <f>VLOOKUP(C685,CE:CF,2,FALSE)</f>
        <v>#N/A</v>
      </c>
    </row>
    <row r="686" spans="1:84" ht="61.5" x14ac:dyDescent="0.85">
      <c r="A686" s="18">
        <v>1</v>
      </c>
      <c r="B686" s="57">
        <f>SUBTOTAL(103,$A$558:A686)</f>
        <v>127</v>
      </c>
      <c r="C686" s="22" t="s">
        <v>404</v>
      </c>
      <c r="D686" s="29">
        <f t="shared" si="107"/>
        <v>2797619.9899999998</v>
      </c>
      <c r="E686" s="29">
        <v>0</v>
      </c>
      <c r="F686" s="29">
        <v>0</v>
      </c>
      <c r="G686" s="29">
        <v>0</v>
      </c>
      <c r="H686" s="29">
        <v>0</v>
      </c>
      <c r="I686" s="29">
        <v>0</v>
      </c>
      <c r="J686" s="29">
        <v>0</v>
      </c>
      <c r="K686" s="31">
        <v>0</v>
      </c>
      <c r="L686" s="29">
        <v>0</v>
      </c>
      <c r="M686" s="29">
        <v>640</v>
      </c>
      <c r="N686" s="29">
        <v>2761222.44</v>
      </c>
      <c r="O686" s="29">
        <v>0</v>
      </c>
      <c r="P686" s="29">
        <v>0</v>
      </c>
      <c r="Q686" s="29">
        <v>0</v>
      </c>
      <c r="R686" s="29">
        <v>0</v>
      </c>
      <c r="S686" s="29">
        <v>0</v>
      </c>
      <c r="T686" s="29">
        <v>0</v>
      </c>
      <c r="U686" s="29">
        <v>0</v>
      </c>
      <c r="V686" s="29">
        <v>0</v>
      </c>
      <c r="W686" s="29">
        <v>0</v>
      </c>
      <c r="X686" s="29">
        <v>0</v>
      </c>
      <c r="Y686" s="29">
        <v>0</v>
      </c>
      <c r="Z686" s="29">
        <v>0</v>
      </c>
      <c r="AA686" s="29">
        <v>0</v>
      </c>
      <c r="AB686" s="29">
        <v>0</v>
      </c>
      <c r="AC686" s="29">
        <v>36397.550000000003</v>
      </c>
      <c r="AD686" s="29">
        <v>0</v>
      </c>
      <c r="AE686" s="29">
        <v>0</v>
      </c>
      <c r="AF686" s="32" t="s">
        <v>268</v>
      </c>
      <c r="AG686" s="32">
        <v>2021</v>
      </c>
      <c r="AH686" s="33">
        <v>2021</v>
      </c>
      <c r="AT686" s="18" t="e">
        <f>VLOOKUP(C686,AW:AX,2,FALSE)</f>
        <v>#N/A</v>
      </c>
      <c r="BZ686" s="61"/>
      <c r="CD686" s="18" t="e">
        <f>VLOOKUP(C686,CE:CF,2,FALSE)</f>
        <v>#N/A</v>
      </c>
    </row>
    <row r="687" spans="1:84" ht="61.5" x14ac:dyDescent="0.85">
      <c r="A687" s="18">
        <v>1</v>
      </c>
      <c r="B687" s="57">
        <f>SUBTOTAL(103,$A$558:A687)</f>
        <v>128</v>
      </c>
      <c r="C687" s="22" t="s">
        <v>198</v>
      </c>
      <c r="D687" s="29">
        <f t="shared" si="107"/>
        <v>1577910.0299999998</v>
      </c>
      <c r="E687" s="29">
        <v>0</v>
      </c>
      <c r="F687" s="29">
        <v>0</v>
      </c>
      <c r="G687" s="29">
        <v>958416.65</v>
      </c>
      <c r="H687" s="29">
        <v>527209</v>
      </c>
      <c r="I687" s="29">
        <v>0</v>
      </c>
      <c r="J687" s="29">
        <v>0</v>
      </c>
      <c r="K687" s="31">
        <v>0</v>
      </c>
      <c r="L687" s="29">
        <v>0</v>
      </c>
      <c r="M687" s="29">
        <v>0</v>
      </c>
      <c r="N687" s="29">
        <v>0</v>
      </c>
      <c r="O687" s="29">
        <v>0</v>
      </c>
      <c r="P687" s="29">
        <v>0</v>
      </c>
      <c r="Q687" s="29">
        <v>0</v>
      </c>
      <c r="R687" s="29">
        <v>0</v>
      </c>
      <c r="S687" s="29">
        <v>0</v>
      </c>
      <c r="T687" s="29">
        <v>0</v>
      </c>
      <c r="U687" s="29">
        <v>0</v>
      </c>
      <c r="V687" s="29">
        <v>0</v>
      </c>
      <c r="W687" s="29">
        <v>0</v>
      </c>
      <c r="X687" s="29">
        <v>0</v>
      </c>
      <c r="Y687" s="29">
        <v>0</v>
      </c>
      <c r="Z687" s="29">
        <v>0</v>
      </c>
      <c r="AA687" s="29">
        <v>0</v>
      </c>
      <c r="AB687" s="29">
        <v>0</v>
      </c>
      <c r="AC687" s="29">
        <f>ROUND((E687+F687+G687+H687+I687+J687)*1.5%,2)</f>
        <v>22284.38</v>
      </c>
      <c r="AD687" s="29">
        <v>70000</v>
      </c>
      <c r="AE687" s="29">
        <v>0</v>
      </c>
      <c r="AF687" s="32">
        <v>2021</v>
      </c>
      <c r="AG687" s="32">
        <v>2021</v>
      </c>
      <c r="AH687" s="33">
        <v>2021</v>
      </c>
      <c r="AT687" s="18" t="e">
        <f>VLOOKUP(C687,AW:AX,2,FALSE)</f>
        <v>#N/A</v>
      </c>
      <c r="BZ687" s="61"/>
      <c r="CD687" s="18" t="e">
        <f>VLOOKUP(C687,CE:CF,2,FALSE)</f>
        <v>#N/A</v>
      </c>
    </row>
    <row r="688" spans="1:84" ht="61.5" x14ac:dyDescent="0.85">
      <c r="A688" s="18">
        <v>1</v>
      </c>
      <c r="B688" s="57">
        <f>SUBTOTAL(103,$A$558:A688)</f>
        <v>129</v>
      </c>
      <c r="C688" s="22" t="s">
        <v>199</v>
      </c>
      <c r="D688" s="29">
        <f t="shared" si="107"/>
        <v>783943</v>
      </c>
      <c r="E688" s="29">
        <v>0</v>
      </c>
      <c r="F688" s="29">
        <v>0</v>
      </c>
      <c r="G688" s="29">
        <v>0</v>
      </c>
      <c r="H688" s="29">
        <v>0</v>
      </c>
      <c r="I688" s="29">
        <v>703392.12</v>
      </c>
      <c r="J688" s="29">
        <v>0</v>
      </c>
      <c r="K688" s="31">
        <v>0</v>
      </c>
      <c r="L688" s="29">
        <v>0</v>
      </c>
      <c r="M688" s="29">
        <v>0</v>
      </c>
      <c r="N688" s="29">
        <v>0</v>
      </c>
      <c r="O688" s="29">
        <v>0</v>
      </c>
      <c r="P688" s="29">
        <v>0</v>
      </c>
      <c r="Q688" s="29">
        <v>0</v>
      </c>
      <c r="R688" s="29">
        <v>0</v>
      </c>
      <c r="S688" s="29">
        <v>0</v>
      </c>
      <c r="T688" s="29">
        <v>0</v>
      </c>
      <c r="U688" s="29">
        <v>0</v>
      </c>
      <c r="V688" s="29">
        <v>0</v>
      </c>
      <c r="W688" s="29">
        <v>0</v>
      </c>
      <c r="X688" s="29">
        <v>0</v>
      </c>
      <c r="Y688" s="29">
        <v>0</v>
      </c>
      <c r="Z688" s="29">
        <v>0</v>
      </c>
      <c r="AA688" s="29">
        <v>0</v>
      </c>
      <c r="AB688" s="29">
        <v>0</v>
      </c>
      <c r="AC688" s="29">
        <f>ROUND((E688+F688+G688+H688+I688+J688)*1.5%,2)</f>
        <v>10550.88</v>
      </c>
      <c r="AD688" s="29">
        <v>70000</v>
      </c>
      <c r="AE688" s="29">
        <v>0</v>
      </c>
      <c r="AF688" s="32">
        <v>2021</v>
      </c>
      <c r="AG688" s="32">
        <v>2021</v>
      </c>
      <c r="AH688" s="33">
        <v>2021</v>
      </c>
      <c r="AT688" s="18" t="e">
        <f>VLOOKUP(C688,AW:AX,2,FALSE)</f>
        <v>#N/A</v>
      </c>
      <c r="BZ688" s="61"/>
      <c r="CD688" s="18" t="e">
        <f>VLOOKUP(C688,CE:CF,2,FALSE)</f>
        <v>#N/A</v>
      </c>
    </row>
    <row r="689" spans="1:82" ht="61.5" x14ac:dyDescent="0.85">
      <c r="A689" s="18">
        <v>1</v>
      </c>
      <c r="B689" s="57">
        <f>SUBTOTAL(103,$A$558:A689)</f>
        <v>130</v>
      </c>
      <c r="C689" s="22" t="s">
        <v>200</v>
      </c>
      <c r="D689" s="29">
        <f t="shared" si="107"/>
        <v>776127.96</v>
      </c>
      <c r="E689" s="29">
        <v>0</v>
      </c>
      <c r="F689" s="29">
        <v>0</v>
      </c>
      <c r="G689" s="29">
        <v>0</v>
      </c>
      <c r="H689" s="29">
        <v>0</v>
      </c>
      <c r="I689" s="29">
        <v>695692.57</v>
      </c>
      <c r="J689" s="29">
        <v>0</v>
      </c>
      <c r="K689" s="31">
        <v>0</v>
      </c>
      <c r="L689" s="29">
        <v>0</v>
      </c>
      <c r="M689" s="29">
        <v>0</v>
      </c>
      <c r="N689" s="29">
        <v>0</v>
      </c>
      <c r="O689" s="29">
        <v>0</v>
      </c>
      <c r="P689" s="29">
        <v>0</v>
      </c>
      <c r="Q689" s="29">
        <v>0</v>
      </c>
      <c r="R689" s="29">
        <v>0</v>
      </c>
      <c r="S689" s="29">
        <v>0</v>
      </c>
      <c r="T689" s="29">
        <v>0</v>
      </c>
      <c r="U689" s="29">
        <v>0</v>
      </c>
      <c r="V689" s="29">
        <v>0</v>
      </c>
      <c r="W689" s="29">
        <v>0</v>
      </c>
      <c r="X689" s="29">
        <v>0</v>
      </c>
      <c r="Y689" s="29">
        <v>0</v>
      </c>
      <c r="Z689" s="29">
        <v>0</v>
      </c>
      <c r="AA689" s="29">
        <v>0</v>
      </c>
      <c r="AB689" s="29">
        <v>0</v>
      </c>
      <c r="AC689" s="29">
        <f>ROUND((E689+F689+G689+H689+I689+J689)*1.5%,2)</f>
        <v>10435.39</v>
      </c>
      <c r="AD689" s="29">
        <v>70000</v>
      </c>
      <c r="AE689" s="29">
        <v>0</v>
      </c>
      <c r="AF689" s="32">
        <v>2021</v>
      </c>
      <c r="AG689" s="32">
        <v>2021</v>
      </c>
      <c r="AH689" s="33">
        <v>2021</v>
      </c>
      <c r="AT689" s="18" t="e">
        <f>VLOOKUP(C689,AW:AX,2,FALSE)</f>
        <v>#N/A</v>
      </c>
      <c r="BZ689" s="61"/>
      <c r="CD689" s="18" t="e">
        <f>VLOOKUP(C689,CE:CF,2,FALSE)</f>
        <v>#N/A</v>
      </c>
    </row>
    <row r="690" spans="1:82" ht="61.5" x14ac:dyDescent="0.85">
      <c r="A690" s="18">
        <v>1</v>
      </c>
      <c r="B690" s="57">
        <f>SUBTOTAL(103,$A$558:A690)</f>
        <v>131</v>
      </c>
      <c r="C690" s="22" t="s">
        <v>405</v>
      </c>
      <c r="D690" s="29">
        <f t="shared" si="107"/>
        <v>2686506.29</v>
      </c>
      <c r="E690" s="29">
        <v>0</v>
      </c>
      <c r="F690" s="29">
        <v>0</v>
      </c>
      <c r="G690" s="29">
        <v>0</v>
      </c>
      <c r="H690" s="29">
        <v>0</v>
      </c>
      <c r="I690" s="29">
        <v>0</v>
      </c>
      <c r="J690" s="29">
        <v>0</v>
      </c>
      <c r="K690" s="31">
        <v>0</v>
      </c>
      <c r="L690" s="29">
        <v>0</v>
      </c>
      <c r="M690" s="29">
        <v>477</v>
      </c>
      <c r="N690" s="29">
        <v>2651802.31</v>
      </c>
      <c r="O690" s="29">
        <v>0</v>
      </c>
      <c r="P690" s="29">
        <v>0</v>
      </c>
      <c r="Q690" s="29">
        <v>0</v>
      </c>
      <c r="R690" s="29">
        <v>0</v>
      </c>
      <c r="S690" s="29">
        <v>0</v>
      </c>
      <c r="T690" s="29">
        <v>0</v>
      </c>
      <c r="U690" s="29">
        <v>0</v>
      </c>
      <c r="V690" s="29">
        <v>0</v>
      </c>
      <c r="W690" s="29">
        <v>0</v>
      </c>
      <c r="X690" s="29">
        <v>0</v>
      </c>
      <c r="Y690" s="29">
        <v>0</v>
      </c>
      <c r="Z690" s="29">
        <v>0</v>
      </c>
      <c r="AA690" s="29">
        <v>0</v>
      </c>
      <c r="AB690" s="29">
        <v>0</v>
      </c>
      <c r="AC690" s="29">
        <v>34703.980000000003</v>
      </c>
      <c r="AD690" s="29">
        <v>0</v>
      </c>
      <c r="AE690" s="29">
        <v>0</v>
      </c>
      <c r="AF690" s="32" t="s">
        <v>268</v>
      </c>
      <c r="AG690" s="32">
        <v>2021</v>
      </c>
      <c r="AH690" s="33">
        <v>2021</v>
      </c>
      <c r="AT690" s="18" t="e">
        <f>VLOOKUP(C690,AW:AX,2,FALSE)</f>
        <v>#N/A</v>
      </c>
      <c r="BZ690" s="61"/>
      <c r="CD690" s="18" t="e">
        <f>VLOOKUP(C690,CE:CF,2,FALSE)</f>
        <v>#N/A</v>
      </c>
    </row>
    <row r="691" spans="1:82" ht="61.5" x14ac:dyDescent="0.85">
      <c r="A691" s="18">
        <v>1</v>
      </c>
      <c r="B691" s="57">
        <f>SUBTOTAL(103,$A$558:A691)</f>
        <v>132</v>
      </c>
      <c r="C691" s="22" t="s">
        <v>406</v>
      </c>
      <c r="D691" s="29">
        <f t="shared" si="107"/>
        <v>2651701.0900000003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0</v>
      </c>
      <c r="K691" s="31">
        <v>0</v>
      </c>
      <c r="L691" s="29">
        <v>0</v>
      </c>
      <c r="M691" s="29">
        <v>472</v>
      </c>
      <c r="N691" s="29">
        <v>2616960.9300000002</v>
      </c>
      <c r="O691" s="29">
        <v>0</v>
      </c>
      <c r="P691" s="29">
        <v>0</v>
      </c>
      <c r="Q691" s="29">
        <v>0</v>
      </c>
      <c r="R691" s="29">
        <v>0</v>
      </c>
      <c r="S691" s="29">
        <v>0</v>
      </c>
      <c r="T691" s="29">
        <v>0</v>
      </c>
      <c r="U691" s="29">
        <v>0</v>
      </c>
      <c r="V691" s="29">
        <v>0</v>
      </c>
      <c r="W691" s="29">
        <v>0</v>
      </c>
      <c r="X691" s="29">
        <v>0</v>
      </c>
      <c r="Y691" s="29">
        <v>0</v>
      </c>
      <c r="Z691" s="29">
        <v>0</v>
      </c>
      <c r="AA691" s="29">
        <v>0</v>
      </c>
      <c r="AB691" s="29">
        <v>0</v>
      </c>
      <c r="AC691" s="29">
        <v>34740.160000000003</v>
      </c>
      <c r="AD691" s="29">
        <v>0</v>
      </c>
      <c r="AE691" s="29">
        <v>0</v>
      </c>
      <c r="AF691" s="32" t="s">
        <v>268</v>
      </c>
      <c r="AG691" s="32">
        <v>2021</v>
      </c>
      <c r="AH691" s="33">
        <v>2021</v>
      </c>
      <c r="AT691" s="18" t="e">
        <f>VLOOKUP(C691,AW:AX,2,FALSE)</f>
        <v>#N/A</v>
      </c>
      <c r="BZ691" s="61"/>
      <c r="CD691" s="18" t="e">
        <f>VLOOKUP(C691,CE:CF,2,FALSE)</f>
        <v>#N/A</v>
      </c>
    </row>
    <row r="692" spans="1:82" ht="61.5" x14ac:dyDescent="0.85">
      <c r="A692" s="18">
        <v>1</v>
      </c>
      <c r="B692" s="57">
        <f>SUBTOTAL(103,$A$558:A692)</f>
        <v>133</v>
      </c>
      <c r="C692" s="22" t="s">
        <v>407</v>
      </c>
      <c r="D692" s="29">
        <f t="shared" si="107"/>
        <v>2456912.8200000003</v>
      </c>
      <c r="E692" s="29">
        <v>0</v>
      </c>
      <c r="F692" s="29">
        <v>0</v>
      </c>
      <c r="G692" s="29">
        <v>0</v>
      </c>
      <c r="H692" s="29">
        <v>0</v>
      </c>
      <c r="I692" s="29">
        <v>0</v>
      </c>
      <c r="J692" s="29">
        <v>0</v>
      </c>
      <c r="K692" s="31">
        <v>0</v>
      </c>
      <c r="L692" s="29">
        <v>0</v>
      </c>
      <c r="M692" s="29">
        <v>440</v>
      </c>
      <c r="N692" s="29">
        <v>2302377.16</v>
      </c>
      <c r="O692" s="29">
        <v>0</v>
      </c>
      <c r="P692" s="29">
        <v>0</v>
      </c>
      <c r="Q692" s="29">
        <v>0</v>
      </c>
      <c r="R692" s="29">
        <v>0</v>
      </c>
      <c r="S692" s="29">
        <v>0</v>
      </c>
      <c r="T692" s="29">
        <v>0</v>
      </c>
      <c r="U692" s="29">
        <v>0</v>
      </c>
      <c r="V692" s="29">
        <v>0</v>
      </c>
      <c r="W692" s="29">
        <v>0</v>
      </c>
      <c r="X692" s="29">
        <v>0</v>
      </c>
      <c r="Y692" s="29">
        <v>0</v>
      </c>
      <c r="Z692" s="29">
        <v>0</v>
      </c>
      <c r="AA692" s="29">
        <v>0</v>
      </c>
      <c r="AB692" s="29">
        <v>0</v>
      </c>
      <c r="AC692" s="29">
        <f t="shared" ref="AC692:AC699" si="109">ROUND(N692*1.5%,2)</f>
        <v>34535.660000000003</v>
      </c>
      <c r="AD692" s="29">
        <v>120000</v>
      </c>
      <c r="AE692" s="29">
        <v>0</v>
      </c>
      <c r="AF692" s="32">
        <v>2021</v>
      </c>
      <c r="AG692" s="32">
        <v>2021</v>
      </c>
      <c r="AH692" s="33">
        <v>2021</v>
      </c>
      <c r="AT692" s="18" t="e">
        <f>VLOOKUP(C692,AW:AX,2,FALSE)</f>
        <v>#N/A</v>
      </c>
      <c r="BZ692" s="61"/>
      <c r="CD692" s="18" t="e">
        <f>VLOOKUP(C692,CE:CF,2,FALSE)</f>
        <v>#N/A</v>
      </c>
    </row>
    <row r="693" spans="1:82" ht="61.5" x14ac:dyDescent="0.85">
      <c r="A693" s="18">
        <v>1</v>
      </c>
      <c r="B693" s="57">
        <f>SUBTOTAL(103,$A$558:A693)</f>
        <v>134</v>
      </c>
      <c r="C693" s="22" t="s">
        <v>408</v>
      </c>
      <c r="D693" s="29">
        <f t="shared" si="107"/>
        <v>3762569.57</v>
      </c>
      <c r="E693" s="29">
        <v>0</v>
      </c>
      <c r="F693" s="29">
        <v>0</v>
      </c>
      <c r="G693" s="29">
        <v>0</v>
      </c>
      <c r="H693" s="29">
        <v>0</v>
      </c>
      <c r="I693" s="29">
        <v>0</v>
      </c>
      <c r="J693" s="29">
        <v>0</v>
      </c>
      <c r="K693" s="31">
        <v>0</v>
      </c>
      <c r="L693" s="29">
        <v>0</v>
      </c>
      <c r="M693" s="29">
        <v>658</v>
      </c>
      <c r="N693" s="29">
        <v>3529625.19</v>
      </c>
      <c r="O693" s="29">
        <v>0</v>
      </c>
      <c r="P693" s="29">
        <v>0</v>
      </c>
      <c r="Q693" s="29">
        <v>0</v>
      </c>
      <c r="R693" s="29">
        <v>0</v>
      </c>
      <c r="S693" s="29">
        <v>0</v>
      </c>
      <c r="T693" s="29">
        <v>0</v>
      </c>
      <c r="U693" s="29">
        <v>0</v>
      </c>
      <c r="V693" s="29">
        <v>0</v>
      </c>
      <c r="W693" s="29">
        <v>0</v>
      </c>
      <c r="X693" s="29">
        <v>0</v>
      </c>
      <c r="Y693" s="29">
        <v>0</v>
      </c>
      <c r="Z693" s="29">
        <v>0</v>
      </c>
      <c r="AA693" s="29">
        <v>0</v>
      </c>
      <c r="AB693" s="29">
        <v>0</v>
      </c>
      <c r="AC693" s="29">
        <f t="shared" ref="AC693:AC694" si="110">ROUND((N693+E693+F693+G693+H693+I693+J693+L693+P693+R693+T693+U693+V693+W693+X693+Y693+Z693+AA693+AB693)*1.5%,2)</f>
        <v>52944.38</v>
      </c>
      <c r="AD693" s="29">
        <f>180000</f>
        <v>180000</v>
      </c>
      <c r="AE693" s="29">
        <v>0</v>
      </c>
      <c r="AF693" s="32">
        <v>2021</v>
      </c>
      <c r="AG693" s="32">
        <v>2021</v>
      </c>
      <c r="AH693" s="33">
        <v>2021</v>
      </c>
      <c r="AT693" s="18" t="e">
        <f>VLOOKUP(C693,AW:AX,2,FALSE)</f>
        <v>#N/A</v>
      </c>
      <c r="BZ693" s="61"/>
      <c r="CD693" s="18" t="e">
        <f>VLOOKUP(C693,CE:CF,2,FALSE)</f>
        <v>#N/A</v>
      </c>
    </row>
    <row r="694" spans="1:82" ht="61.5" x14ac:dyDescent="0.85">
      <c r="A694" s="18">
        <v>1</v>
      </c>
      <c r="B694" s="57">
        <f>SUBTOTAL(103,$A$558:A694)</f>
        <v>135</v>
      </c>
      <c r="C694" s="22" t="s">
        <v>409</v>
      </c>
      <c r="D694" s="29">
        <f t="shared" si="107"/>
        <v>8724868.5500000007</v>
      </c>
      <c r="E694" s="29">
        <v>0</v>
      </c>
      <c r="F694" s="29">
        <v>0</v>
      </c>
      <c r="G694" s="29">
        <v>2100000</v>
      </c>
      <c r="H694" s="29">
        <v>0</v>
      </c>
      <c r="I694" s="29">
        <v>0</v>
      </c>
      <c r="J694" s="29">
        <v>0</v>
      </c>
      <c r="K694" s="31">
        <v>0</v>
      </c>
      <c r="L694" s="29">
        <v>0</v>
      </c>
      <c r="M694" s="29">
        <v>1134</v>
      </c>
      <c r="N694" s="29">
        <v>5408866.9900000002</v>
      </c>
      <c r="O694" s="29">
        <v>0</v>
      </c>
      <c r="P694" s="29">
        <v>0</v>
      </c>
      <c r="Q694" s="29">
        <v>0</v>
      </c>
      <c r="R694" s="29">
        <v>0</v>
      </c>
      <c r="S694" s="29">
        <v>0</v>
      </c>
      <c r="T694" s="29">
        <v>0</v>
      </c>
      <c r="U694" s="29">
        <v>0</v>
      </c>
      <c r="V694" s="29">
        <v>0</v>
      </c>
      <c r="W694" s="29">
        <v>0</v>
      </c>
      <c r="X694" s="29">
        <v>0</v>
      </c>
      <c r="Y694" s="29">
        <v>0</v>
      </c>
      <c r="Z694" s="29">
        <v>0</v>
      </c>
      <c r="AA694" s="29">
        <v>0</v>
      </c>
      <c r="AB694" s="29">
        <v>800000</v>
      </c>
      <c r="AC694" s="29">
        <f t="shared" si="110"/>
        <v>124633</v>
      </c>
      <c r="AD694" s="29">
        <f>180000+111368.56</f>
        <v>291368.56</v>
      </c>
      <c r="AE694" s="29">
        <v>0</v>
      </c>
      <c r="AF694" s="32">
        <v>2021</v>
      </c>
      <c r="AG694" s="32">
        <v>2021</v>
      </c>
      <c r="AH694" s="33">
        <v>2021</v>
      </c>
      <c r="AT694" s="18" t="e">
        <f>VLOOKUP(C694,AW:AX,2,FALSE)</f>
        <v>#N/A</v>
      </c>
      <c r="BZ694" s="61"/>
      <c r="CD694" s="18" t="e">
        <f>VLOOKUP(C694,CE:CF,2,FALSE)</f>
        <v>#N/A</v>
      </c>
    </row>
    <row r="695" spans="1:82" ht="61.5" x14ac:dyDescent="0.85">
      <c r="A695" s="18">
        <v>1</v>
      </c>
      <c r="B695" s="57">
        <f>SUBTOTAL(103,$A$558:A695)</f>
        <v>136</v>
      </c>
      <c r="C695" s="22" t="s">
        <v>410</v>
      </c>
      <c r="D695" s="29">
        <f t="shared" si="107"/>
        <v>2895000</v>
      </c>
      <c r="E695" s="29">
        <v>0</v>
      </c>
      <c r="F695" s="29">
        <v>0</v>
      </c>
      <c r="G695" s="29">
        <v>0</v>
      </c>
      <c r="H695" s="29">
        <v>0</v>
      </c>
      <c r="I695" s="29">
        <v>0</v>
      </c>
      <c r="J695" s="29">
        <v>0</v>
      </c>
      <c r="K695" s="31">
        <v>0</v>
      </c>
      <c r="L695" s="29">
        <v>0</v>
      </c>
      <c r="M695" s="29">
        <v>579</v>
      </c>
      <c r="N695" s="29">
        <v>2704433.5</v>
      </c>
      <c r="O695" s="29">
        <v>0</v>
      </c>
      <c r="P695" s="29">
        <v>0</v>
      </c>
      <c r="Q695" s="29">
        <v>0</v>
      </c>
      <c r="R695" s="29">
        <v>0</v>
      </c>
      <c r="S695" s="29">
        <v>0</v>
      </c>
      <c r="T695" s="29">
        <v>0</v>
      </c>
      <c r="U695" s="29">
        <v>0</v>
      </c>
      <c r="V695" s="29">
        <v>0</v>
      </c>
      <c r="W695" s="29">
        <v>0</v>
      </c>
      <c r="X695" s="29">
        <v>0</v>
      </c>
      <c r="Y695" s="29">
        <v>0</v>
      </c>
      <c r="Z695" s="29">
        <v>0</v>
      </c>
      <c r="AA695" s="29">
        <v>0</v>
      </c>
      <c r="AB695" s="29">
        <v>0</v>
      </c>
      <c r="AC695" s="29">
        <f t="shared" si="109"/>
        <v>40566.5</v>
      </c>
      <c r="AD695" s="29">
        <v>150000</v>
      </c>
      <c r="AE695" s="29">
        <v>0</v>
      </c>
      <c r="AF695" s="32">
        <v>2021</v>
      </c>
      <c r="AG695" s="32">
        <v>2021</v>
      </c>
      <c r="AH695" s="33">
        <v>2021</v>
      </c>
      <c r="AT695" s="18" t="e">
        <f>VLOOKUP(C695,AW:AX,2,FALSE)</f>
        <v>#N/A</v>
      </c>
      <c r="BZ695" s="61"/>
      <c r="CD695" s="18" t="e">
        <f>VLOOKUP(C695,CE:CF,2,FALSE)</f>
        <v>#N/A</v>
      </c>
    </row>
    <row r="696" spans="1:82" ht="61.5" x14ac:dyDescent="0.85">
      <c r="A696" s="18">
        <v>1</v>
      </c>
      <c r="B696" s="57">
        <f>SUBTOTAL(103,$A$558:A696)</f>
        <v>137</v>
      </c>
      <c r="C696" s="22" t="s">
        <v>411</v>
      </c>
      <c r="D696" s="29">
        <f t="shared" si="107"/>
        <v>2963667.8699999996</v>
      </c>
      <c r="E696" s="29">
        <v>0</v>
      </c>
      <c r="F696" s="29">
        <v>0</v>
      </c>
      <c r="G696" s="29">
        <v>0</v>
      </c>
      <c r="H696" s="29">
        <v>0</v>
      </c>
      <c r="I696" s="29">
        <v>0</v>
      </c>
      <c r="J696" s="29">
        <v>0</v>
      </c>
      <c r="K696" s="31">
        <v>0</v>
      </c>
      <c r="L696" s="29">
        <v>0</v>
      </c>
      <c r="M696" s="29">
        <v>563.65</v>
      </c>
      <c r="N696" s="29">
        <v>2924840.61</v>
      </c>
      <c r="O696" s="29">
        <v>0</v>
      </c>
      <c r="P696" s="29">
        <v>0</v>
      </c>
      <c r="Q696" s="29">
        <v>0</v>
      </c>
      <c r="R696" s="29">
        <v>0</v>
      </c>
      <c r="S696" s="29">
        <v>0</v>
      </c>
      <c r="T696" s="29">
        <v>0</v>
      </c>
      <c r="U696" s="29">
        <v>0</v>
      </c>
      <c r="V696" s="29">
        <v>0</v>
      </c>
      <c r="W696" s="29">
        <v>0</v>
      </c>
      <c r="X696" s="29">
        <v>0</v>
      </c>
      <c r="Y696" s="29">
        <v>0</v>
      </c>
      <c r="Z696" s="29">
        <v>0</v>
      </c>
      <c r="AA696" s="29">
        <v>0</v>
      </c>
      <c r="AB696" s="29">
        <v>0</v>
      </c>
      <c r="AC696" s="29">
        <v>38827.26</v>
      </c>
      <c r="AD696" s="29">
        <v>0</v>
      </c>
      <c r="AE696" s="29">
        <v>0</v>
      </c>
      <c r="AF696" s="32" t="s">
        <v>268</v>
      </c>
      <c r="AG696" s="32">
        <v>2021</v>
      </c>
      <c r="AH696" s="33">
        <v>2021</v>
      </c>
      <c r="AT696" s="18" t="e">
        <f>VLOOKUP(C696,AW:AX,2,FALSE)</f>
        <v>#N/A</v>
      </c>
      <c r="BZ696" s="61"/>
      <c r="CD696" s="18" t="e">
        <f>VLOOKUP(C696,CE:CF,2,FALSE)</f>
        <v>#N/A</v>
      </c>
    </row>
    <row r="697" spans="1:82" ht="61.5" x14ac:dyDescent="0.85">
      <c r="A697" s="18">
        <v>1</v>
      </c>
      <c r="B697" s="57">
        <f>SUBTOTAL(103,$A$558:A697)</f>
        <v>138</v>
      </c>
      <c r="C697" s="22" t="s">
        <v>412</v>
      </c>
      <c r="D697" s="29">
        <f t="shared" si="107"/>
        <v>1478880.1700000002</v>
      </c>
      <c r="E697" s="29">
        <v>0</v>
      </c>
      <c r="F697" s="29">
        <v>0</v>
      </c>
      <c r="G697" s="29">
        <v>0</v>
      </c>
      <c r="H697" s="29">
        <v>0</v>
      </c>
      <c r="I697" s="29">
        <v>0</v>
      </c>
      <c r="J697" s="29">
        <v>0</v>
      </c>
      <c r="K697" s="31">
        <v>0</v>
      </c>
      <c r="L697" s="29">
        <v>0</v>
      </c>
      <c r="M697" s="29">
        <v>265.04000000000002</v>
      </c>
      <c r="N697" s="29">
        <v>1457024.8</v>
      </c>
      <c r="O697" s="29">
        <v>0</v>
      </c>
      <c r="P697" s="29">
        <v>0</v>
      </c>
      <c r="Q697" s="29">
        <v>0</v>
      </c>
      <c r="R697" s="29">
        <v>0</v>
      </c>
      <c r="S697" s="29">
        <v>0</v>
      </c>
      <c r="T697" s="29">
        <v>0</v>
      </c>
      <c r="U697" s="29">
        <v>0</v>
      </c>
      <c r="V697" s="29">
        <v>0</v>
      </c>
      <c r="W697" s="29">
        <v>0</v>
      </c>
      <c r="X697" s="29">
        <v>0</v>
      </c>
      <c r="Y697" s="29">
        <v>0</v>
      </c>
      <c r="Z697" s="29">
        <v>0</v>
      </c>
      <c r="AA697" s="29">
        <v>0</v>
      </c>
      <c r="AB697" s="29">
        <v>0</v>
      </c>
      <c r="AC697" s="29">
        <f t="shared" si="109"/>
        <v>21855.37</v>
      </c>
      <c r="AD697" s="29">
        <v>0</v>
      </c>
      <c r="AE697" s="29">
        <v>0</v>
      </c>
      <c r="AF697" s="32" t="s">
        <v>268</v>
      </c>
      <c r="AG697" s="32">
        <v>2021</v>
      </c>
      <c r="AH697" s="33">
        <v>2021</v>
      </c>
      <c r="AT697" s="18" t="e">
        <f>VLOOKUP(C697,AW:AX,2,FALSE)</f>
        <v>#N/A</v>
      </c>
      <c r="BZ697" s="61"/>
      <c r="CD697" s="18" t="e">
        <f>VLOOKUP(C697,CE:CF,2,FALSE)</f>
        <v>#N/A</v>
      </c>
    </row>
    <row r="698" spans="1:82" ht="61.5" x14ac:dyDescent="0.85">
      <c r="A698" s="18">
        <v>1</v>
      </c>
      <c r="B698" s="57">
        <f>SUBTOTAL(103,$A$558:A698)</f>
        <v>139</v>
      </c>
      <c r="C698" s="22" t="s">
        <v>413</v>
      </c>
      <c r="D698" s="29">
        <f t="shared" si="107"/>
        <v>11271795.5</v>
      </c>
      <c r="E698" s="29">
        <v>0</v>
      </c>
      <c r="F698" s="29">
        <v>0</v>
      </c>
      <c r="G698" s="29">
        <v>2100000</v>
      </c>
      <c r="H698" s="29">
        <v>0</v>
      </c>
      <c r="I698" s="29">
        <v>0</v>
      </c>
      <c r="J698" s="29">
        <v>0</v>
      </c>
      <c r="K698" s="31">
        <v>0</v>
      </c>
      <c r="L698" s="29">
        <v>0</v>
      </c>
      <c r="M698" s="29">
        <v>1630</v>
      </c>
      <c r="N698" s="29">
        <v>7852216.75</v>
      </c>
      <c r="O698" s="29">
        <v>0</v>
      </c>
      <c r="P698" s="29">
        <v>0</v>
      </c>
      <c r="Q698" s="29">
        <v>0</v>
      </c>
      <c r="R698" s="29">
        <v>0</v>
      </c>
      <c r="S698" s="29">
        <v>0</v>
      </c>
      <c r="T698" s="29">
        <v>0</v>
      </c>
      <c r="U698" s="29">
        <v>0</v>
      </c>
      <c r="V698" s="29">
        <v>0</v>
      </c>
      <c r="W698" s="29">
        <v>0</v>
      </c>
      <c r="X698" s="29">
        <v>0</v>
      </c>
      <c r="Y698" s="29">
        <v>0</v>
      </c>
      <c r="Z698" s="29">
        <v>0</v>
      </c>
      <c r="AA698" s="29">
        <v>0</v>
      </c>
      <c r="AB698" s="29">
        <v>800000</v>
      </c>
      <c r="AC698" s="29">
        <f t="shared" ref="AC698" si="111">ROUND((N698+E698+F698+G698+H698+I698+J698+L698+P698+R698+T698+U698+V698+W698+X698+Y698+Z698+AA698+AB698)*1.5%,2)</f>
        <v>161283.25</v>
      </c>
      <c r="AD698" s="29">
        <f>180000+178295.5</f>
        <v>358295.5</v>
      </c>
      <c r="AE698" s="29">
        <v>0</v>
      </c>
      <c r="AF698" s="32">
        <v>2021</v>
      </c>
      <c r="AG698" s="32">
        <v>2021</v>
      </c>
      <c r="AH698" s="33">
        <v>2021</v>
      </c>
      <c r="AT698" s="18" t="e">
        <f>VLOOKUP(C698,AW:AX,2,FALSE)</f>
        <v>#N/A</v>
      </c>
      <c r="BZ698" s="61"/>
      <c r="CD698" s="18" t="e">
        <f>VLOOKUP(C698,CE:CF,2,FALSE)</f>
        <v>#N/A</v>
      </c>
    </row>
    <row r="699" spans="1:82" ht="61.5" x14ac:dyDescent="0.85">
      <c r="A699" s="18">
        <v>1</v>
      </c>
      <c r="B699" s="57">
        <f>SUBTOTAL(103,$A$558:A699)</f>
        <v>140</v>
      </c>
      <c r="C699" s="22" t="s">
        <v>414</v>
      </c>
      <c r="D699" s="29">
        <f t="shared" si="107"/>
        <v>2786349.04</v>
      </c>
      <c r="E699" s="29">
        <v>0</v>
      </c>
      <c r="F699" s="29">
        <v>0</v>
      </c>
      <c r="G699" s="29">
        <v>0</v>
      </c>
      <c r="H699" s="29">
        <v>0</v>
      </c>
      <c r="I699" s="29">
        <v>0</v>
      </c>
      <c r="J699" s="29">
        <v>0</v>
      </c>
      <c r="K699" s="31">
        <v>0</v>
      </c>
      <c r="L699" s="29">
        <v>0</v>
      </c>
      <c r="M699" s="29">
        <v>500</v>
      </c>
      <c r="N699" s="29">
        <v>2677587.98</v>
      </c>
      <c r="O699" s="29">
        <v>0</v>
      </c>
      <c r="P699" s="29">
        <v>0</v>
      </c>
      <c r="Q699" s="29">
        <v>0</v>
      </c>
      <c r="R699" s="29">
        <v>0</v>
      </c>
      <c r="S699" s="29">
        <v>0</v>
      </c>
      <c r="T699" s="29">
        <v>0</v>
      </c>
      <c r="U699" s="29">
        <v>0</v>
      </c>
      <c r="V699" s="29">
        <v>0</v>
      </c>
      <c r="W699" s="29">
        <v>0</v>
      </c>
      <c r="X699" s="29">
        <v>0</v>
      </c>
      <c r="Y699" s="29">
        <v>0</v>
      </c>
      <c r="Z699" s="29">
        <v>0</v>
      </c>
      <c r="AA699" s="29">
        <v>0</v>
      </c>
      <c r="AB699" s="29">
        <v>0</v>
      </c>
      <c r="AC699" s="29">
        <f t="shared" si="109"/>
        <v>40163.82</v>
      </c>
      <c r="AD699" s="29">
        <v>68597.240000000005</v>
      </c>
      <c r="AE699" s="29">
        <v>0</v>
      </c>
      <c r="AF699" s="32">
        <v>2021</v>
      </c>
      <c r="AG699" s="32">
        <v>2021</v>
      </c>
      <c r="AH699" s="33">
        <v>2021</v>
      </c>
      <c r="AT699" s="18" t="e">
        <f>VLOOKUP(C699,AW:AX,2,FALSE)</f>
        <v>#N/A</v>
      </c>
      <c r="BZ699" s="61"/>
      <c r="CD699" s="18" t="e">
        <f>VLOOKUP(C699,CE:CF,2,FALSE)</f>
        <v>#N/A</v>
      </c>
    </row>
    <row r="700" spans="1:82" ht="61.5" x14ac:dyDescent="0.85">
      <c r="A700" s="18">
        <v>1</v>
      </c>
      <c r="B700" s="57">
        <f>SUBTOTAL(103,$A$558:A700)</f>
        <v>141</v>
      </c>
      <c r="C700" s="22" t="s">
        <v>415</v>
      </c>
      <c r="D700" s="29">
        <f t="shared" si="107"/>
        <v>2063308.78</v>
      </c>
      <c r="E700" s="29">
        <v>0</v>
      </c>
      <c r="F700" s="29">
        <v>0</v>
      </c>
      <c r="G700" s="29">
        <v>0</v>
      </c>
      <c r="H700" s="29">
        <v>0</v>
      </c>
      <c r="I700" s="29">
        <v>0</v>
      </c>
      <c r="J700" s="29">
        <v>0</v>
      </c>
      <c r="K700" s="31">
        <v>0</v>
      </c>
      <c r="L700" s="29">
        <v>0</v>
      </c>
      <c r="M700" s="29">
        <v>379.64</v>
      </c>
      <c r="N700" s="29">
        <v>1978562</v>
      </c>
      <c r="O700" s="29">
        <v>0</v>
      </c>
      <c r="P700" s="29">
        <v>0</v>
      </c>
      <c r="Q700" s="29">
        <v>0</v>
      </c>
      <c r="R700" s="29">
        <v>0</v>
      </c>
      <c r="S700" s="29">
        <v>0</v>
      </c>
      <c r="T700" s="29">
        <v>0</v>
      </c>
      <c r="U700" s="29">
        <v>0</v>
      </c>
      <c r="V700" s="29">
        <v>0</v>
      </c>
      <c r="W700" s="29">
        <v>0</v>
      </c>
      <c r="X700" s="29">
        <v>0</v>
      </c>
      <c r="Y700" s="29">
        <v>0</v>
      </c>
      <c r="Z700" s="29">
        <v>0</v>
      </c>
      <c r="AA700" s="29">
        <v>0</v>
      </c>
      <c r="AB700" s="29">
        <v>0</v>
      </c>
      <c r="AC700" s="29">
        <v>26265.41</v>
      </c>
      <c r="AD700" s="29">
        <v>58481.37</v>
      </c>
      <c r="AE700" s="29">
        <v>0</v>
      </c>
      <c r="AF700" s="32">
        <v>2021</v>
      </c>
      <c r="AG700" s="32">
        <v>2021</v>
      </c>
      <c r="AH700" s="33">
        <v>2021</v>
      </c>
      <c r="AT700" s="18" t="e">
        <f>VLOOKUP(C700,AW:AX,2,FALSE)</f>
        <v>#N/A</v>
      </c>
      <c r="BZ700" s="61"/>
      <c r="CD700" s="18" t="e">
        <f>VLOOKUP(C700,CE:CF,2,FALSE)</f>
        <v>#N/A</v>
      </c>
    </row>
    <row r="701" spans="1:82" ht="61.5" x14ac:dyDescent="0.85">
      <c r="A701" s="18">
        <v>1</v>
      </c>
      <c r="B701" s="57">
        <f>SUBTOTAL(103,$A$558:A701)</f>
        <v>142</v>
      </c>
      <c r="C701" s="22" t="s">
        <v>201</v>
      </c>
      <c r="D701" s="29">
        <f t="shared" si="107"/>
        <v>3677950</v>
      </c>
      <c r="E701" s="29">
        <v>0</v>
      </c>
      <c r="F701" s="29">
        <v>0</v>
      </c>
      <c r="G701" s="29">
        <v>0</v>
      </c>
      <c r="H701" s="29">
        <v>0</v>
      </c>
      <c r="I701" s="29">
        <v>0</v>
      </c>
      <c r="J701" s="29">
        <v>0</v>
      </c>
      <c r="K701" s="31">
        <v>0</v>
      </c>
      <c r="L701" s="29">
        <v>0</v>
      </c>
      <c r="M701" s="29">
        <v>0</v>
      </c>
      <c r="N701" s="29">
        <v>0</v>
      </c>
      <c r="O701" s="29">
        <v>0</v>
      </c>
      <c r="P701" s="29">
        <v>0</v>
      </c>
      <c r="Q701" s="29">
        <v>0</v>
      </c>
      <c r="R701" s="29">
        <v>0</v>
      </c>
      <c r="S701" s="29">
        <v>0</v>
      </c>
      <c r="T701" s="29">
        <v>0</v>
      </c>
      <c r="U701" s="29">
        <v>3495517.24</v>
      </c>
      <c r="V701" s="29">
        <v>0</v>
      </c>
      <c r="W701" s="29">
        <v>0</v>
      </c>
      <c r="X701" s="29">
        <v>0</v>
      </c>
      <c r="Y701" s="29">
        <v>0</v>
      </c>
      <c r="Z701" s="29">
        <v>0</v>
      </c>
      <c r="AA701" s="29">
        <v>0</v>
      </c>
      <c r="AB701" s="29">
        <v>0</v>
      </c>
      <c r="AC701" s="29">
        <f>ROUND(U701*1.5%,2)</f>
        <v>52432.76</v>
      </c>
      <c r="AD701" s="29">
        <v>130000</v>
      </c>
      <c r="AE701" s="29">
        <v>0</v>
      </c>
      <c r="AF701" s="32">
        <v>2021</v>
      </c>
      <c r="AG701" s="32">
        <v>2021</v>
      </c>
      <c r="AH701" s="33">
        <v>2021</v>
      </c>
      <c r="AT701" s="18" t="e">
        <f>VLOOKUP(C701,AW:AX,2,FALSE)</f>
        <v>#N/A</v>
      </c>
      <c r="BZ701" s="61"/>
      <c r="CD701" s="18" t="e">
        <f>VLOOKUP(C701,CE:CF,2,FALSE)</f>
        <v>#N/A</v>
      </c>
    </row>
    <row r="702" spans="1:82" ht="61.5" x14ac:dyDescent="0.85">
      <c r="A702" s="18">
        <v>1</v>
      </c>
      <c r="B702" s="57">
        <f>SUBTOTAL(103,$A$558:A702)</f>
        <v>143</v>
      </c>
      <c r="C702" s="22" t="s">
        <v>203</v>
      </c>
      <c r="D702" s="29">
        <f t="shared" si="107"/>
        <v>3670000</v>
      </c>
      <c r="E702" s="29">
        <v>0</v>
      </c>
      <c r="F702" s="29">
        <v>0</v>
      </c>
      <c r="G702" s="29">
        <v>0</v>
      </c>
      <c r="H702" s="29">
        <v>0</v>
      </c>
      <c r="I702" s="29">
        <v>0</v>
      </c>
      <c r="J702" s="29">
        <v>0</v>
      </c>
      <c r="K702" s="31">
        <v>0</v>
      </c>
      <c r="L702" s="29">
        <v>0</v>
      </c>
      <c r="M702" s="29">
        <v>0</v>
      </c>
      <c r="N702" s="29">
        <v>0</v>
      </c>
      <c r="O702" s="29">
        <v>0</v>
      </c>
      <c r="P702" s="29">
        <v>0</v>
      </c>
      <c r="Q702" s="29">
        <v>0</v>
      </c>
      <c r="R702" s="29">
        <v>0</v>
      </c>
      <c r="S702" s="29">
        <v>0</v>
      </c>
      <c r="T702" s="29">
        <v>0</v>
      </c>
      <c r="U702" s="29">
        <v>3477832.51</v>
      </c>
      <c r="V702" s="29">
        <v>0</v>
      </c>
      <c r="W702" s="29">
        <v>0</v>
      </c>
      <c r="X702" s="29">
        <v>0</v>
      </c>
      <c r="Y702" s="29">
        <v>0</v>
      </c>
      <c r="Z702" s="29">
        <v>0</v>
      </c>
      <c r="AA702" s="29">
        <v>0</v>
      </c>
      <c r="AB702" s="29">
        <v>0</v>
      </c>
      <c r="AC702" s="29">
        <f>ROUND(U702*1.5%,2)</f>
        <v>52167.49</v>
      </c>
      <c r="AD702" s="29">
        <v>140000</v>
      </c>
      <c r="AE702" s="29">
        <v>0</v>
      </c>
      <c r="AF702" s="32">
        <v>2021</v>
      </c>
      <c r="AG702" s="32">
        <v>2021</v>
      </c>
      <c r="AH702" s="33">
        <v>2021</v>
      </c>
      <c r="AT702" s="18" t="e">
        <f>VLOOKUP(C702,AW:AX,2,FALSE)</f>
        <v>#N/A</v>
      </c>
      <c r="BZ702" s="61"/>
      <c r="CD702" s="18" t="e">
        <f>VLOOKUP(C702,CE:CF,2,FALSE)</f>
        <v>#N/A</v>
      </c>
    </row>
    <row r="703" spans="1:82" ht="61.5" x14ac:dyDescent="0.85">
      <c r="A703" s="18">
        <v>1</v>
      </c>
      <c r="B703" s="57">
        <f>SUBTOTAL(103,$A$558:A703)</f>
        <v>144</v>
      </c>
      <c r="C703" s="22" t="s">
        <v>202</v>
      </c>
      <c r="D703" s="29">
        <f t="shared" si="107"/>
        <v>3503417.49</v>
      </c>
      <c r="E703" s="29">
        <v>0</v>
      </c>
      <c r="F703" s="29">
        <v>0</v>
      </c>
      <c r="G703" s="29">
        <v>0</v>
      </c>
      <c r="H703" s="29">
        <v>0</v>
      </c>
      <c r="I703" s="29">
        <v>0</v>
      </c>
      <c r="J703" s="29">
        <v>0</v>
      </c>
      <c r="K703" s="31">
        <v>0</v>
      </c>
      <c r="L703" s="29">
        <v>0</v>
      </c>
      <c r="M703" s="29">
        <v>0</v>
      </c>
      <c r="N703" s="29">
        <v>0</v>
      </c>
      <c r="O703" s="29">
        <v>0</v>
      </c>
      <c r="P703" s="29">
        <v>0</v>
      </c>
      <c r="Q703" s="29">
        <v>0</v>
      </c>
      <c r="R703" s="29">
        <v>0</v>
      </c>
      <c r="S703" s="29">
        <v>0</v>
      </c>
      <c r="T703" s="29">
        <v>0</v>
      </c>
      <c r="U703" s="29">
        <v>3319957.64</v>
      </c>
      <c r="V703" s="29">
        <v>0</v>
      </c>
      <c r="W703" s="29">
        <v>0</v>
      </c>
      <c r="X703" s="29">
        <v>0</v>
      </c>
      <c r="Y703" s="29">
        <v>0</v>
      </c>
      <c r="Z703" s="29">
        <v>0</v>
      </c>
      <c r="AA703" s="29">
        <v>0</v>
      </c>
      <c r="AB703" s="29">
        <v>0</v>
      </c>
      <c r="AC703" s="29">
        <f>ROUND(U703*1.5%,2)</f>
        <v>49799.360000000001</v>
      </c>
      <c r="AD703" s="29">
        <f>150000-16339.51</f>
        <v>133660.49</v>
      </c>
      <c r="AE703" s="29">
        <v>0</v>
      </c>
      <c r="AF703" s="32">
        <v>2021</v>
      </c>
      <c r="AG703" s="32">
        <v>2021</v>
      </c>
      <c r="AH703" s="33">
        <v>2021</v>
      </c>
      <c r="AT703" s="18" t="e">
        <f>VLOOKUP(C703,AW:AX,2,FALSE)</f>
        <v>#N/A</v>
      </c>
      <c r="BZ703" s="61"/>
      <c r="CD703" s="18" t="e">
        <f>VLOOKUP(C703,CE:CF,2,FALSE)</f>
        <v>#N/A</v>
      </c>
    </row>
    <row r="704" spans="1:82" ht="61.5" x14ac:dyDescent="0.85">
      <c r="A704" s="18">
        <v>1</v>
      </c>
      <c r="B704" s="57">
        <f>SUBTOTAL(103,$A$558:A704)</f>
        <v>145</v>
      </c>
      <c r="C704" s="22" t="s">
        <v>416</v>
      </c>
      <c r="D704" s="29">
        <f t="shared" si="107"/>
        <v>2866181.7800000003</v>
      </c>
      <c r="E704" s="29">
        <v>0</v>
      </c>
      <c r="F704" s="29">
        <v>0</v>
      </c>
      <c r="G704" s="29">
        <v>0</v>
      </c>
      <c r="H704" s="29">
        <v>0</v>
      </c>
      <c r="I704" s="29">
        <v>0</v>
      </c>
      <c r="J704" s="29">
        <v>0</v>
      </c>
      <c r="K704" s="31">
        <v>0</v>
      </c>
      <c r="L704" s="29">
        <v>0</v>
      </c>
      <c r="M704" s="29">
        <v>689.86</v>
      </c>
      <c r="N704" s="29">
        <v>2724358</v>
      </c>
      <c r="O704" s="29">
        <v>0</v>
      </c>
      <c r="P704" s="29">
        <v>0</v>
      </c>
      <c r="Q704" s="29">
        <v>0</v>
      </c>
      <c r="R704" s="29">
        <v>0</v>
      </c>
      <c r="S704" s="29">
        <v>0</v>
      </c>
      <c r="T704" s="29">
        <v>0</v>
      </c>
      <c r="U704" s="29">
        <v>0</v>
      </c>
      <c r="V704" s="29">
        <v>0</v>
      </c>
      <c r="W704" s="29">
        <v>0</v>
      </c>
      <c r="X704" s="29">
        <v>0</v>
      </c>
      <c r="Y704" s="29">
        <v>0</v>
      </c>
      <c r="Z704" s="29">
        <v>0</v>
      </c>
      <c r="AA704" s="29">
        <v>0</v>
      </c>
      <c r="AB704" s="29">
        <v>0</v>
      </c>
      <c r="AC704" s="29">
        <v>36165.85</v>
      </c>
      <c r="AD704" s="29">
        <v>105657.93</v>
      </c>
      <c r="AE704" s="29">
        <v>0</v>
      </c>
      <c r="AF704" s="32">
        <v>2021</v>
      </c>
      <c r="AG704" s="32">
        <v>2021</v>
      </c>
      <c r="AH704" s="33">
        <v>2021</v>
      </c>
      <c r="AT704" s="18" t="e">
        <f>VLOOKUP(C704,AW:AX,2,FALSE)</f>
        <v>#N/A</v>
      </c>
      <c r="BZ704" s="61"/>
      <c r="CD704" s="18" t="e">
        <f>VLOOKUP(C704,CE:CF,2,FALSE)</f>
        <v>#N/A</v>
      </c>
    </row>
    <row r="705" spans="1:84" ht="61.5" x14ac:dyDescent="0.85">
      <c r="A705" s="18">
        <v>1</v>
      </c>
      <c r="B705" s="57">
        <f>SUBTOTAL(103,$A$558:A705)</f>
        <v>146</v>
      </c>
      <c r="C705" s="22" t="s">
        <v>425</v>
      </c>
      <c r="D705" s="29">
        <f t="shared" si="107"/>
        <v>3571530.1000000006</v>
      </c>
      <c r="E705" s="29">
        <v>0</v>
      </c>
      <c r="F705" s="29">
        <v>0</v>
      </c>
      <c r="G705" s="29">
        <v>0</v>
      </c>
      <c r="H705" s="29">
        <v>0</v>
      </c>
      <c r="I705" s="29">
        <v>0</v>
      </c>
      <c r="J705" s="29">
        <v>0</v>
      </c>
      <c r="K705" s="64">
        <v>0</v>
      </c>
      <c r="L705" s="29">
        <v>0</v>
      </c>
      <c r="M705" s="29">
        <v>734</v>
      </c>
      <c r="N705" s="29">
        <f>3341408.97-118226.61</f>
        <v>3223182.3600000003</v>
      </c>
      <c r="O705" s="29">
        <v>0</v>
      </c>
      <c r="P705" s="29">
        <v>0</v>
      </c>
      <c r="Q705" s="29">
        <v>0</v>
      </c>
      <c r="R705" s="29">
        <v>0</v>
      </c>
      <c r="S705" s="29">
        <v>0</v>
      </c>
      <c r="T705" s="29">
        <v>0</v>
      </c>
      <c r="U705" s="29">
        <v>0</v>
      </c>
      <c r="V705" s="29">
        <v>0</v>
      </c>
      <c r="W705" s="29">
        <v>0</v>
      </c>
      <c r="X705" s="29">
        <v>0</v>
      </c>
      <c r="Y705" s="29">
        <v>0</v>
      </c>
      <c r="Z705" s="29">
        <v>0</v>
      </c>
      <c r="AA705" s="29">
        <v>0</v>
      </c>
      <c r="AB705" s="29">
        <v>0</v>
      </c>
      <c r="AC705" s="29">
        <f>ROUND(N705*1.5%,2)</f>
        <v>48347.74</v>
      </c>
      <c r="AD705" s="29">
        <v>180000</v>
      </c>
      <c r="AE705" s="29">
        <v>120000</v>
      </c>
      <c r="AF705" s="32">
        <v>2021</v>
      </c>
      <c r="AG705" s="32">
        <v>2021</v>
      </c>
      <c r="AH705" s="33">
        <v>2021</v>
      </c>
      <c r="AT705" s="18" t="e">
        <f>VLOOKUP(C705,AW:AX,2,FALSE)</f>
        <v>#N/A</v>
      </c>
      <c r="BZ705" s="61"/>
    </row>
    <row r="706" spans="1:84" ht="61.5" x14ac:dyDescent="0.85">
      <c r="A706" s="18">
        <v>1</v>
      </c>
      <c r="B706" s="57">
        <f>SUBTOTAL(103,$A$558:A706)</f>
        <v>147</v>
      </c>
      <c r="C706" s="22" t="s">
        <v>418</v>
      </c>
      <c r="D706" s="29">
        <f t="shared" si="107"/>
        <v>4390734.43</v>
      </c>
      <c r="E706" s="29">
        <v>0</v>
      </c>
      <c r="F706" s="29">
        <v>0</v>
      </c>
      <c r="G706" s="29">
        <v>0</v>
      </c>
      <c r="H706" s="29">
        <v>0</v>
      </c>
      <c r="I706" s="29">
        <v>0</v>
      </c>
      <c r="J706" s="29">
        <v>0</v>
      </c>
      <c r="K706" s="31">
        <v>0</v>
      </c>
      <c r="L706" s="29">
        <v>0</v>
      </c>
      <c r="M706" s="29">
        <v>580</v>
      </c>
      <c r="N706" s="29">
        <f>4699507.39-501739.48</f>
        <v>4197767.91</v>
      </c>
      <c r="O706" s="29">
        <v>0</v>
      </c>
      <c r="P706" s="29">
        <v>0</v>
      </c>
      <c r="Q706" s="29">
        <v>0</v>
      </c>
      <c r="R706" s="29">
        <v>0</v>
      </c>
      <c r="S706" s="29">
        <v>0</v>
      </c>
      <c r="T706" s="29">
        <v>0</v>
      </c>
      <c r="U706" s="29">
        <v>0</v>
      </c>
      <c r="V706" s="29">
        <v>0</v>
      </c>
      <c r="W706" s="29">
        <v>0</v>
      </c>
      <c r="X706" s="29">
        <v>0</v>
      </c>
      <c r="Y706" s="29">
        <v>0</v>
      </c>
      <c r="Z706" s="29">
        <v>0</v>
      </c>
      <c r="AA706" s="29">
        <v>0</v>
      </c>
      <c r="AB706" s="29">
        <v>0</v>
      </c>
      <c r="AC706" s="29">
        <f>ROUND(N706*1.5%,2)</f>
        <v>62966.52</v>
      </c>
      <c r="AD706" s="29">
        <v>130000</v>
      </c>
      <c r="AE706" s="29">
        <v>0</v>
      </c>
      <c r="AF706" s="32">
        <v>2021</v>
      </c>
      <c r="AG706" s="32">
        <v>2021</v>
      </c>
      <c r="AH706" s="33">
        <v>2021</v>
      </c>
      <c r="AT706" s="18" t="e">
        <f>VLOOKUP(C706,AW:AX,2,FALSE)</f>
        <v>#N/A</v>
      </c>
      <c r="BZ706" s="61"/>
      <c r="CD706" s="18" t="e">
        <f>VLOOKUP(C706,CE:CF,2,FALSE)</f>
        <v>#N/A</v>
      </c>
    </row>
    <row r="707" spans="1:84" ht="61.5" x14ac:dyDescent="0.85">
      <c r="A707" s="18">
        <v>1</v>
      </c>
      <c r="B707" s="57">
        <f>SUBTOTAL(103,$A$558:A707)</f>
        <v>148</v>
      </c>
      <c r="C707" s="22" t="s">
        <v>419</v>
      </c>
      <c r="D707" s="29">
        <f t="shared" si="107"/>
        <v>3255890.12</v>
      </c>
      <c r="E707" s="29">
        <v>0</v>
      </c>
      <c r="F707" s="29">
        <v>0</v>
      </c>
      <c r="G707" s="29">
        <v>0</v>
      </c>
      <c r="H707" s="29">
        <v>0</v>
      </c>
      <c r="I707" s="29">
        <v>0</v>
      </c>
      <c r="J707" s="29">
        <v>0</v>
      </c>
      <c r="K707" s="31">
        <v>0</v>
      </c>
      <c r="L707" s="29">
        <v>0</v>
      </c>
      <c r="M707" s="37">
        <v>565</v>
      </c>
      <c r="N707" s="37">
        <v>3133199</v>
      </c>
      <c r="O707" s="29">
        <v>0</v>
      </c>
      <c r="P707" s="29">
        <v>0</v>
      </c>
      <c r="Q707" s="29">
        <v>0</v>
      </c>
      <c r="R707" s="29">
        <v>0</v>
      </c>
      <c r="S707" s="29">
        <v>0</v>
      </c>
      <c r="T707" s="29">
        <v>0</v>
      </c>
      <c r="U707" s="29">
        <v>0</v>
      </c>
      <c r="V707" s="29">
        <v>0</v>
      </c>
      <c r="W707" s="29">
        <v>0</v>
      </c>
      <c r="X707" s="29">
        <v>0</v>
      </c>
      <c r="Y707" s="29">
        <v>0</v>
      </c>
      <c r="Z707" s="29">
        <v>0</v>
      </c>
      <c r="AA707" s="29">
        <v>0</v>
      </c>
      <c r="AB707" s="29">
        <v>0</v>
      </c>
      <c r="AC707" s="37">
        <v>41593.22</v>
      </c>
      <c r="AD707" s="29">
        <v>81097.899999999994</v>
      </c>
      <c r="AE707" s="29">
        <v>0</v>
      </c>
      <c r="AF707" s="32">
        <v>2021</v>
      </c>
      <c r="AG707" s="32">
        <v>2021</v>
      </c>
      <c r="AH707" s="33">
        <v>2021</v>
      </c>
      <c r="AT707" s="18" t="e">
        <f>VLOOKUP(C707,AW:AX,2,FALSE)</f>
        <v>#N/A</v>
      </c>
      <c r="BZ707" s="61"/>
      <c r="CD707" s="18" t="e">
        <f>VLOOKUP(C707,CE:CF,2,FALSE)</f>
        <v>#N/A</v>
      </c>
    </row>
    <row r="708" spans="1:84" ht="61.5" x14ac:dyDescent="0.85">
      <c r="A708" s="18">
        <v>1</v>
      </c>
      <c r="B708" s="57">
        <f>SUBTOTAL(103,$A$558:A708)</f>
        <v>149</v>
      </c>
      <c r="C708" s="22" t="s">
        <v>420</v>
      </c>
      <c r="D708" s="29">
        <f t="shared" si="107"/>
        <v>2533670.4300000002</v>
      </c>
      <c r="E708" s="29">
        <v>0</v>
      </c>
      <c r="F708" s="29">
        <v>0</v>
      </c>
      <c r="G708" s="29">
        <v>0</v>
      </c>
      <c r="H708" s="29">
        <v>0</v>
      </c>
      <c r="I708" s="29">
        <v>0</v>
      </c>
      <c r="J708" s="29">
        <v>0</v>
      </c>
      <c r="K708" s="31">
        <v>0</v>
      </c>
      <c r="L708" s="29">
        <v>0</v>
      </c>
      <c r="M708" s="29">
        <v>481.94</v>
      </c>
      <c r="N708" s="29">
        <v>2500476.6</v>
      </c>
      <c r="O708" s="29">
        <v>0</v>
      </c>
      <c r="P708" s="29">
        <v>0</v>
      </c>
      <c r="Q708" s="29">
        <v>0</v>
      </c>
      <c r="R708" s="29">
        <v>0</v>
      </c>
      <c r="S708" s="29">
        <v>0</v>
      </c>
      <c r="T708" s="29">
        <v>0</v>
      </c>
      <c r="U708" s="29">
        <v>0</v>
      </c>
      <c r="V708" s="29">
        <v>0</v>
      </c>
      <c r="W708" s="29">
        <v>0</v>
      </c>
      <c r="X708" s="29">
        <v>0</v>
      </c>
      <c r="Y708" s="29">
        <v>0</v>
      </c>
      <c r="Z708" s="29">
        <v>0</v>
      </c>
      <c r="AA708" s="29">
        <v>0</v>
      </c>
      <c r="AB708" s="29">
        <v>0</v>
      </c>
      <c r="AC708" s="29">
        <v>33193.83</v>
      </c>
      <c r="AD708" s="29">
        <v>0</v>
      </c>
      <c r="AE708" s="29">
        <v>0</v>
      </c>
      <c r="AF708" s="32" t="s">
        <v>268</v>
      </c>
      <c r="AG708" s="32">
        <v>2021</v>
      </c>
      <c r="AH708" s="33">
        <v>2021</v>
      </c>
      <c r="AT708" s="18" t="e">
        <f>VLOOKUP(C708,AW:AX,2,FALSE)</f>
        <v>#N/A</v>
      </c>
      <c r="BZ708" s="61"/>
      <c r="CD708" s="18" t="e">
        <f>VLOOKUP(C708,CE:CF,2,FALSE)</f>
        <v>#N/A</v>
      </c>
    </row>
    <row r="709" spans="1:84" ht="61.5" x14ac:dyDescent="0.85">
      <c r="A709" s="18">
        <v>1</v>
      </c>
      <c r="B709" s="57">
        <f>SUBTOTAL(103,$A$558:A709)</f>
        <v>150</v>
      </c>
      <c r="C709" s="22" t="s">
        <v>1610</v>
      </c>
      <c r="D709" s="29">
        <f t="shared" si="107"/>
        <v>5101600</v>
      </c>
      <c r="E709" s="29">
        <v>0</v>
      </c>
      <c r="F709" s="29">
        <v>0</v>
      </c>
      <c r="G709" s="29">
        <v>0</v>
      </c>
      <c r="H709" s="29">
        <v>0</v>
      </c>
      <c r="I709" s="29">
        <v>0</v>
      </c>
      <c r="J709" s="29">
        <v>0</v>
      </c>
      <c r="K709" s="31">
        <v>0</v>
      </c>
      <c r="L709" s="29">
        <v>0</v>
      </c>
      <c r="M709" s="29">
        <v>911</v>
      </c>
      <c r="N709" s="29">
        <v>4878423.6500000004</v>
      </c>
      <c r="O709" s="29">
        <v>0</v>
      </c>
      <c r="P709" s="29">
        <v>0</v>
      </c>
      <c r="Q709" s="29">
        <v>0</v>
      </c>
      <c r="R709" s="29">
        <v>0</v>
      </c>
      <c r="S709" s="29">
        <v>0</v>
      </c>
      <c r="T709" s="29">
        <v>0</v>
      </c>
      <c r="U709" s="29">
        <v>0</v>
      </c>
      <c r="V709" s="29">
        <v>0</v>
      </c>
      <c r="W709" s="29">
        <v>0</v>
      </c>
      <c r="X709" s="29">
        <v>0</v>
      </c>
      <c r="Y709" s="29">
        <v>0</v>
      </c>
      <c r="Z709" s="29">
        <v>0</v>
      </c>
      <c r="AA709" s="29">
        <v>0</v>
      </c>
      <c r="AB709" s="29">
        <v>0</v>
      </c>
      <c r="AC709" s="29">
        <f t="shared" ref="AC709:AC714" si="112">ROUND(N709*1.5%,2)</f>
        <v>73176.350000000006</v>
      </c>
      <c r="AD709" s="29">
        <v>150000</v>
      </c>
      <c r="AE709" s="29">
        <v>0</v>
      </c>
      <c r="AF709" s="32">
        <v>2021</v>
      </c>
      <c r="AG709" s="32">
        <v>2021</v>
      </c>
      <c r="AH709" s="33">
        <v>2021</v>
      </c>
      <c r="BZ709" s="61"/>
      <c r="CD709" s="18" t="e">
        <f>VLOOKUP(C709,CE:CF,2,FALSE)</f>
        <v>#N/A</v>
      </c>
    </row>
    <row r="710" spans="1:84" ht="61.5" x14ac:dyDescent="0.85">
      <c r="A710" s="18">
        <v>1</v>
      </c>
      <c r="B710" s="57">
        <f>SUBTOTAL(103,$A$558:A710)</f>
        <v>151</v>
      </c>
      <c r="C710" s="22" t="s">
        <v>1639</v>
      </c>
      <c r="D710" s="29">
        <f t="shared" si="107"/>
        <v>2638742.77</v>
      </c>
      <c r="E710" s="29">
        <v>0</v>
      </c>
      <c r="F710" s="29">
        <v>0</v>
      </c>
      <c r="G710" s="29">
        <v>0</v>
      </c>
      <c r="H710" s="29">
        <v>0</v>
      </c>
      <c r="I710" s="29">
        <v>0</v>
      </c>
      <c r="J710" s="29">
        <v>0</v>
      </c>
      <c r="K710" s="31">
        <v>0</v>
      </c>
      <c r="L710" s="29">
        <v>0</v>
      </c>
      <c r="M710" s="29">
        <v>480</v>
      </c>
      <c r="N710" s="29">
        <v>2451963.3199999998</v>
      </c>
      <c r="O710" s="29">
        <v>0</v>
      </c>
      <c r="P710" s="29">
        <v>0</v>
      </c>
      <c r="Q710" s="29">
        <v>0</v>
      </c>
      <c r="R710" s="29">
        <v>0</v>
      </c>
      <c r="S710" s="29">
        <v>0</v>
      </c>
      <c r="T710" s="29">
        <v>0</v>
      </c>
      <c r="U710" s="29">
        <v>0</v>
      </c>
      <c r="V710" s="29">
        <v>0</v>
      </c>
      <c r="W710" s="29">
        <v>0</v>
      </c>
      <c r="X710" s="29">
        <v>0</v>
      </c>
      <c r="Y710" s="29">
        <v>0</v>
      </c>
      <c r="Z710" s="29">
        <v>0</v>
      </c>
      <c r="AA710" s="29">
        <v>0</v>
      </c>
      <c r="AB710" s="29">
        <v>0</v>
      </c>
      <c r="AC710" s="29">
        <f t="shared" si="112"/>
        <v>36779.449999999997</v>
      </c>
      <c r="AD710" s="29">
        <v>150000</v>
      </c>
      <c r="AE710" s="29">
        <v>0</v>
      </c>
      <c r="AF710" s="32">
        <v>2021</v>
      </c>
      <c r="AG710" s="32">
        <v>2021</v>
      </c>
      <c r="AH710" s="33">
        <v>2021</v>
      </c>
      <c r="BZ710" s="61"/>
      <c r="CD710" s="18" t="e">
        <f>VLOOKUP(C710,CE:CF,2,FALSE)</f>
        <v>#N/A</v>
      </c>
    </row>
    <row r="711" spans="1:84" ht="61.5" x14ac:dyDescent="0.85">
      <c r="A711" s="18">
        <v>1</v>
      </c>
      <c r="B711" s="57">
        <f>SUBTOTAL(103,$A$558:A711)</f>
        <v>152</v>
      </c>
      <c r="C711" s="22" t="s">
        <v>1640</v>
      </c>
      <c r="D711" s="29">
        <f t="shared" si="107"/>
        <v>3423151.78</v>
      </c>
      <c r="E711" s="29">
        <v>0</v>
      </c>
      <c r="F711" s="29">
        <v>0</v>
      </c>
      <c r="G711" s="29">
        <v>0</v>
      </c>
      <c r="H711" s="29">
        <v>0</v>
      </c>
      <c r="I711" s="29">
        <v>0</v>
      </c>
      <c r="J711" s="29">
        <v>0</v>
      </c>
      <c r="K711" s="31">
        <v>0</v>
      </c>
      <c r="L711" s="29">
        <v>0</v>
      </c>
      <c r="M711" s="29">
        <v>600</v>
      </c>
      <c r="N711" s="29">
        <v>3289927.34</v>
      </c>
      <c r="O711" s="29">
        <v>0</v>
      </c>
      <c r="P711" s="29">
        <v>0</v>
      </c>
      <c r="Q711" s="29">
        <v>0</v>
      </c>
      <c r="R711" s="29">
        <v>0</v>
      </c>
      <c r="S711" s="29">
        <v>0</v>
      </c>
      <c r="T711" s="29">
        <v>0</v>
      </c>
      <c r="U711" s="29">
        <v>0</v>
      </c>
      <c r="V711" s="29">
        <v>0</v>
      </c>
      <c r="W711" s="29">
        <v>0</v>
      </c>
      <c r="X711" s="29">
        <v>0</v>
      </c>
      <c r="Y711" s="29">
        <v>0</v>
      </c>
      <c r="Z711" s="29">
        <v>0</v>
      </c>
      <c r="AA711" s="29">
        <v>0</v>
      </c>
      <c r="AB711" s="29">
        <v>0</v>
      </c>
      <c r="AC711" s="29">
        <f t="shared" si="112"/>
        <v>49348.91</v>
      </c>
      <c r="AD711" s="29">
        <v>83875.53</v>
      </c>
      <c r="AE711" s="29">
        <v>0</v>
      </c>
      <c r="AF711" s="32">
        <v>2021</v>
      </c>
      <c r="AG711" s="32">
        <v>2021</v>
      </c>
      <c r="AH711" s="33">
        <v>2021</v>
      </c>
      <c r="BZ711" s="61"/>
      <c r="CD711" s="18" t="e">
        <f>VLOOKUP(C711,CE:CF,2,FALSE)</f>
        <v>#N/A</v>
      </c>
    </row>
    <row r="712" spans="1:84" ht="61.5" x14ac:dyDescent="0.85">
      <c r="A712" s="18">
        <v>1</v>
      </c>
      <c r="B712" s="57">
        <f>SUBTOTAL(103,$A$558:A712)</f>
        <v>153</v>
      </c>
      <c r="C712" s="22" t="s">
        <v>436</v>
      </c>
      <c r="D712" s="29">
        <f t="shared" ref="D712:D719" si="113">E712+F712+G712+H712+I712+J712+L712+N712+P712+R712+T712+U712+V712+W712+X712+Y712+Z712+AA712+AB712+AC712+AD712+AE712</f>
        <v>4331631.53</v>
      </c>
      <c r="E712" s="29">
        <v>0</v>
      </c>
      <c r="F712" s="29">
        <v>0</v>
      </c>
      <c r="G712" s="29">
        <v>0</v>
      </c>
      <c r="H712" s="29">
        <v>0</v>
      </c>
      <c r="I712" s="29">
        <v>0</v>
      </c>
      <c r="J712" s="29">
        <v>0</v>
      </c>
      <c r="K712" s="31">
        <v>2</v>
      </c>
      <c r="L712" s="29">
        <v>4331631.53</v>
      </c>
      <c r="M712" s="29">
        <v>0</v>
      </c>
      <c r="N712" s="29">
        <v>0</v>
      </c>
      <c r="O712" s="29">
        <v>0</v>
      </c>
      <c r="P712" s="29">
        <v>0</v>
      </c>
      <c r="Q712" s="29">
        <v>0</v>
      </c>
      <c r="R712" s="29">
        <v>0</v>
      </c>
      <c r="S712" s="29">
        <v>0</v>
      </c>
      <c r="T712" s="29">
        <v>0</v>
      </c>
      <c r="U712" s="29">
        <v>0</v>
      </c>
      <c r="V712" s="29">
        <v>0</v>
      </c>
      <c r="W712" s="29">
        <v>0</v>
      </c>
      <c r="X712" s="29">
        <v>0</v>
      </c>
      <c r="Y712" s="29">
        <v>0</v>
      </c>
      <c r="Z712" s="29">
        <v>0</v>
      </c>
      <c r="AA712" s="29">
        <v>0</v>
      </c>
      <c r="AB712" s="29">
        <v>0</v>
      </c>
      <c r="AC712" s="29">
        <f t="shared" si="112"/>
        <v>0</v>
      </c>
      <c r="AD712" s="29">
        <v>0</v>
      </c>
      <c r="AE712" s="29">
        <v>0</v>
      </c>
      <c r="AF712" s="33" t="s">
        <v>268</v>
      </c>
      <c r="AG712" s="32">
        <v>2021</v>
      </c>
      <c r="AH712" s="33" t="s">
        <v>268</v>
      </c>
      <c r="BZ712" s="61"/>
      <c r="CD712" s="18" t="e">
        <f>VLOOKUP(C712,CE:CF,2,FALSE)</f>
        <v>#N/A</v>
      </c>
    </row>
    <row r="713" spans="1:84" ht="61.5" x14ac:dyDescent="0.85">
      <c r="A713" s="18">
        <v>1</v>
      </c>
      <c r="B713" s="57">
        <f>SUBTOTAL(103,$A$558:A713)</f>
        <v>154</v>
      </c>
      <c r="C713" s="22" t="s">
        <v>1660</v>
      </c>
      <c r="D713" s="29">
        <f t="shared" si="113"/>
        <v>3238039.31</v>
      </c>
      <c r="E713" s="29">
        <v>0</v>
      </c>
      <c r="F713" s="29">
        <v>0</v>
      </c>
      <c r="G713" s="29">
        <v>0</v>
      </c>
      <c r="H713" s="29">
        <v>0</v>
      </c>
      <c r="I713" s="29">
        <v>0</v>
      </c>
      <c r="J713" s="29">
        <v>0</v>
      </c>
      <c r="K713" s="31">
        <v>0</v>
      </c>
      <c r="L713" s="29">
        <v>0</v>
      </c>
      <c r="M713" s="29">
        <v>600</v>
      </c>
      <c r="N713" s="29">
        <f>3120000+2620.93-1593.23</f>
        <v>3121027.7</v>
      </c>
      <c r="O713" s="29">
        <v>0</v>
      </c>
      <c r="P713" s="29">
        <v>0</v>
      </c>
      <c r="Q713" s="29">
        <v>0</v>
      </c>
      <c r="R713" s="29">
        <v>0</v>
      </c>
      <c r="S713" s="29">
        <v>0</v>
      </c>
      <c r="T713" s="29">
        <v>0</v>
      </c>
      <c r="U713" s="29">
        <v>0</v>
      </c>
      <c r="V713" s="29">
        <v>0</v>
      </c>
      <c r="W713" s="29">
        <v>0</v>
      </c>
      <c r="X713" s="29">
        <v>0</v>
      </c>
      <c r="Y713" s="29">
        <v>0</v>
      </c>
      <c r="Z713" s="29">
        <v>0</v>
      </c>
      <c r="AA713" s="29">
        <v>0</v>
      </c>
      <c r="AB713" s="29">
        <v>0</v>
      </c>
      <c r="AC713" s="29">
        <f t="shared" si="112"/>
        <v>46815.42</v>
      </c>
      <c r="AD713" s="29">
        <v>70196.19</v>
      </c>
      <c r="AE713" s="29">
        <v>0</v>
      </c>
      <c r="AF713" s="32">
        <v>2021</v>
      </c>
      <c r="AG713" s="32">
        <v>2021</v>
      </c>
      <c r="AH713" s="33">
        <v>2021</v>
      </c>
      <c r="BZ713" s="61"/>
      <c r="CD713" s="18" t="e">
        <f>VLOOKUP(C713,CE:CF,2,FALSE)</f>
        <v>#N/A</v>
      </c>
    </row>
    <row r="714" spans="1:84" ht="61.5" x14ac:dyDescent="0.85">
      <c r="A714" s="18">
        <v>1</v>
      </c>
      <c r="B714" s="57">
        <f>SUBTOTAL(103,$A$558:A714)</f>
        <v>155</v>
      </c>
      <c r="C714" s="22" t="s">
        <v>1661</v>
      </c>
      <c r="D714" s="29">
        <f t="shared" si="113"/>
        <v>2312994.5099999998</v>
      </c>
      <c r="E714" s="29">
        <v>0</v>
      </c>
      <c r="F714" s="29">
        <v>0</v>
      </c>
      <c r="G714" s="29">
        <v>0</v>
      </c>
      <c r="H714" s="29">
        <v>0</v>
      </c>
      <c r="I714" s="29">
        <v>0</v>
      </c>
      <c r="J714" s="29">
        <v>0</v>
      </c>
      <c r="K714" s="31">
        <v>0</v>
      </c>
      <c r="L714" s="29">
        <v>0</v>
      </c>
      <c r="M714" s="29">
        <v>440</v>
      </c>
      <c r="N714" s="29">
        <v>2214934.73</v>
      </c>
      <c r="O714" s="29">
        <v>0</v>
      </c>
      <c r="P714" s="29">
        <v>0</v>
      </c>
      <c r="Q714" s="29">
        <v>0</v>
      </c>
      <c r="R714" s="29">
        <v>0</v>
      </c>
      <c r="S714" s="29">
        <v>0</v>
      </c>
      <c r="T714" s="29">
        <v>0</v>
      </c>
      <c r="U714" s="29">
        <v>0</v>
      </c>
      <c r="V714" s="29">
        <v>0</v>
      </c>
      <c r="W714" s="29">
        <v>0</v>
      </c>
      <c r="X714" s="29">
        <v>0</v>
      </c>
      <c r="Y714" s="29">
        <v>0</v>
      </c>
      <c r="Z714" s="29">
        <v>0</v>
      </c>
      <c r="AA714" s="29">
        <v>0</v>
      </c>
      <c r="AB714" s="29">
        <v>0</v>
      </c>
      <c r="AC714" s="29">
        <f t="shared" si="112"/>
        <v>33224.019999999997</v>
      </c>
      <c r="AD714" s="134">
        <v>64835.76</v>
      </c>
      <c r="AE714" s="29">
        <v>0</v>
      </c>
      <c r="AF714" s="32">
        <v>2021</v>
      </c>
      <c r="AG714" s="32">
        <v>2021</v>
      </c>
      <c r="AH714" s="33">
        <v>2021</v>
      </c>
      <c r="BZ714" s="61"/>
      <c r="CD714" s="18" t="e">
        <f>VLOOKUP(C714,CE:CF,2,FALSE)</f>
        <v>#N/A</v>
      </c>
    </row>
    <row r="715" spans="1:84" ht="61.5" x14ac:dyDescent="0.85">
      <c r="A715" s="18">
        <v>1</v>
      </c>
      <c r="B715" s="57">
        <f>SUBTOTAL(103,$A$558:A715)</f>
        <v>156</v>
      </c>
      <c r="C715" s="22" t="s">
        <v>1141</v>
      </c>
      <c r="D715" s="29">
        <f t="shared" si="113"/>
        <v>2050106.0299999998</v>
      </c>
      <c r="E715" s="29">
        <v>0</v>
      </c>
      <c r="F715" s="29">
        <v>0</v>
      </c>
      <c r="G715" s="29">
        <v>0</v>
      </c>
      <c r="H715" s="29">
        <v>0</v>
      </c>
      <c r="I715" s="29">
        <v>0</v>
      </c>
      <c r="J715" s="29">
        <v>0</v>
      </c>
      <c r="K715" s="31">
        <v>0</v>
      </c>
      <c r="L715" s="29">
        <v>0</v>
      </c>
      <c r="M715" s="29">
        <v>0</v>
      </c>
      <c r="N715" s="29">
        <v>0</v>
      </c>
      <c r="O715" s="29">
        <v>0</v>
      </c>
      <c r="P715" s="29">
        <v>0</v>
      </c>
      <c r="Q715" s="29">
        <v>1645.95</v>
      </c>
      <c r="R715" s="29">
        <v>2019808.9</v>
      </c>
      <c r="S715" s="29">
        <v>0</v>
      </c>
      <c r="T715" s="29">
        <v>0</v>
      </c>
      <c r="U715" s="29">
        <v>0</v>
      </c>
      <c r="V715" s="29">
        <v>0</v>
      </c>
      <c r="W715" s="29">
        <v>0</v>
      </c>
      <c r="X715" s="29">
        <v>0</v>
      </c>
      <c r="Y715" s="29">
        <v>0</v>
      </c>
      <c r="Z715" s="29">
        <v>0</v>
      </c>
      <c r="AA715" s="29">
        <v>0</v>
      </c>
      <c r="AB715" s="29">
        <v>0</v>
      </c>
      <c r="AC715" s="29">
        <f>ROUND(R715*1.5%,2)</f>
        <v>30297.13</v>
      </c>
      <c r="AD715" s="29">
        <v>0</v>
      </c>
      <c r="AE715" s="29">
        <v>0</v>
      </c>
      <c r="AF715" s="32" t="s">
        <v>268</v>
      </c>
      <c r="AG715" s="32">
        <v>2021</v>
      </c>
      <c r="AH715" s="33">
        <v>2021</v>
      </c>
      <c r="BZ715" s="61"/>
      <c r="CD715" s="18" t="e">
        <f>VLOOKUP(C715,CE:CF,2,FALSE)</f>
        <v>#N/A</v>
      </c>
      <c r="CE715" s="85" t="s">
        <v>1219</v>
      </c>
      <c r="CF715" s="85">
        <v>542.66</v>
      </c>
    </row>
    <row r="716" spans="1:84" ht="61.5" x14ac:dyDescent="0.85">
      <c r="A716" s="18">
        <v>1</v>
      </c>
      <c r="B716" s="57">
        <f>SUBTOTAL(103,$A$558:A716)</f>
        <v>157</v>
      </c>
      <c r="C716" s="22" t="s">
        <v>1281</v>
      </c>
      <c r="D716" s="29">
        <f t="shared" si="113"/>
        <v>16352955.629999999</v>
      </c>
      <c r="E716" s="29">
        <v>0</v>
      </c>
      <c r="F716" s="29">
        <v>0</v>
      </c>
      <c r="G716" s="29">
        <v>2100000</v>
      </c>
      <c r="H716" s="29">
        <v>0</v>
      </c>
      <c r="I716" s="29">
        <v>0</v>
      </c>
      <c r="J716" s="29">
        <v>0</v>
      </c>
      <c r="K716" s="31">
        <v>0</v>
      </c>
      <c r="L716" s="29">
        <v>0</v>
      </c>
      <c r="M716" s="29">
        <v>0</v>
      </c>
      <c r="N716" s="29">
        <v>0</v>
      </c>
      <c r="O716" s="29">
        <v>0</v>
      </c>
      <c r="P716" s="29">
        <v>0</v>
      </c>
      <c r="Q716" s="29">
        <v>2524</v>
      </c>
      <c r="R716" s="29">
        <v>13084284.02</v>
      </c>
      <c r="S716" s="29">
        <v>0</v>
      </c>
      <c r="T716" s="29">
        <v>0</v>
      </c>
      <c r="U716" s="29">
        <v>0</v>
      </c>
      <c r="V716" s="29">
        <v>0</v>
      </c>
      <c r="W716" s="29">
        <v>0</v>
      </c>
      <c r="X716" s="29">
        <v>0</v>
      </c>
      <c r="Y716" s="29">
        <v>0</v>
      </c>
      <c r="Z716" s="29">
        <v>0</v>
      </c>
      <c r="AA716" s="29">
        <v>0</v>
      </c>
      <c r="AB716" s="29">
        <v>800000</v>
      </c>
      <c r="AC716" s="29">
        <f t="shared" ref="AC716" si="114">ROUND((N716+E716+F716+G716+H716+I716+J716+L716+P716+R716+T716+U716+V716+W716+X716+Y716+Z716+AA716+AB716)*1.5%,2)</f>
        <v>239764.26</v>
      </c>
      <c r="AD716" s="37">
        <v>128907.35</v>
      </c>
      <c r="AE716" s="29">
        <v>0</v>
      </c>
      <c r="AF716" s="32">
        <v>2021</v>
      </c>
      <c r="AG716" s="32">
        <v>2021</v>
      </c>
      <c r="AH716" s="33">
        <v>2021</v>
      </c>
      <c r="AI716" s="32">
        <v>2020</v>
      </c>
      <c r="AJ716" s="32">
        <v>2020</v>
      </c>
      <c r="AK716" s="32">
        <v>2020</v>
      </c>
      <c r="AL716" s="32">
        <v>2020</v>
      </c>
      <c r="AM716" s="32">
        <v>2020</v>
      </c>
      <c r="AN716" s="32">
        <v>2020</v>
      </c>
      <c r="AO716" s="32">
        <v>2020</v>
      </c>
      <c r="AP716" s="32">
        <v>2020</v>
      </c>
      <c r="AQ716" s="32">
        <v>2020</v>
      </c>
      <c r="AR716" s="32">
        <v>2020</v>
      </c>
      <c r="AS716" s="32">
        <v>2020</v>
      </c>
      <c r="AT716" s="32">
        <v>2020</v>
      </c>
      <c r="AU716" s="32">
        <v>2020</v>
      </c>
      <c r="AV716" s="32">
        <v>2020</v>
      </c>
      <c r="AW716" s="32">
        <v>2020</v>
      </c>
      <c r="AX716" s="32">
        <v>2020</v>
      </c>
      <c r="AY716" s="32">
        <v>2020</v>
      </c>
      <c r="AZ716" s="32">
        <v>2020</v>
      </c>
      <c r="BA716" s="32">
        <v>2020</v>
      </c>
      <c r="BB716" s="32">
        <v>2020</v>
      </c>
      <c r="BC716" s="32">
        <v>2020</v>
      </c>
      <c r="BD716" s="32">
        <v>2020</v>
      </c>
      <c r="BE716" s="32">
        <v>2020</v>
      </c>
      <c r="BF716" s="32">
        <v>2020</v>
      </c>
      <c r="BG716" s="32">
        <v>2020</v>
      </c>
      <c r="BH716" s="32">
        <v>2020</v>
      </c>
      <c r="BI716" s="32">
        <v>2020</v>
      </c>
      <c r="BJ716" s="32">
        <v>2020</v>
      </c>
      <c r="BK716" s="32">
        <v>2020</v>
      </c>
      <c r="BL716" s="32">
        <v>2020</v>
      </c>
      <c r="BM716" s="32">
        <v>2020</v>
      </c>
      <c r="BN716" s="32">
        <v>2020</v>
      </c>
      <c r="BO716" s="32">
        <v>2020</v>
      </c>
      <c r="BP716" s="32">
        <v>2020</v>
      </c>
      <c r="BQ716" s="32">
        <v>2020</v>
      </c>
      <c r="BR716" s="32">
        <v>2020</v>
      </c>
      <c r="BS716" s="32">
        <v>2020</v>
      </c>
      <c r="BT716" s="32">
        <v>2020</v>
      </c>
      <c r="BU716" s="32">
        <v>2020</v>
      </c>
      <c r="BV716" s="32">
        <v>2020</v>
      </c>
      <c r="BW716" s="32">
        <v>2020</v>
      </c>
      <c r="BZ716" s="61"/>
      <c r="CD716" s="18" t="e">
        <f>VLOOKUP(C716,CE:CF,2,FALSE)</f>
        <v>#N/A</v>
      </c>
    </row>
    <row r="717" spans="1:84" ht="61.5" x14ac:dyDescent="0.85">
      <c r="A717" s="18">
        <v>1</v>
      </c>
      <c r="B717" s="57">
        <f>SUBTOTAL(103,$A$558:A717)</f>
        <v>158</v>
      </c>
      <c r="C717" s="22" t="s">
        <v>1579</v>
      </c>
      <c r="D717" s="29">
        <f t="shared" si="113"/>
        <v>3057001.3899999997</v>
      </c>
      <c r="E717" s="29">
        <v>0</v>
      </c>
      <c r="F717" s="29">
        <v>0</v>
      </c>
      <c r="G717" s="29">
        <v>0</v>
      </c>
      <c r="H717" s="29">
        <v>0</v>
      </c>
      <c r="I717" s="29">
        <v>0</v>
      </c>
      <c r="J717" s="29">
        <v>0</v>
      </c>
      <c r="K717" s="31">
        <v>0</v>
      </c>
      <c r="L717" s="29">
        <v>0</v>
      </c>
      <c r="M717" s="29">
        <v>0</v>
      </c>
      <c r="N717" s="29">
        <v>0</v>
      </c>
      <c r="O717" s="29">
        <v>0</v>
      </c>
      <c r="P717" s="29">
        <v>0</v>
      </c>
      <c r="Q717" s="29">
        <v>0</v>
      </c>
      <c r="R717" s="29">
        <v>0</v>
      </c>
      <c r="S717" s="37">
        <v>121.1</v>
      </c>
      <c r="T717" s="37">
        <v>3011824.03</v>
      </c>
      <c r="U717" s="29">
        <v>0</v>
      </c>
      <c r="V717" s="29">
        <v>0</v>
      </c>
      <c r="W717" s="29">
        <v>0</v>
      </c>
      <c r="X717" s="29">
        <v>0</v>
      </c>
      <c r="Y717" s="29">
        <v>0</v>
      </c>
      <c r="Z717" s="29">
        <v>0</v>
      </c>
      <c r="AA717" s="29">
        <v>0</v>
      </c>
      <c r="AB717" s="29">
        <v>0</v>
      </c>
      <c r="AC717" s="29">
        <f>ROUND((N717+E717+F717+G717+H717+I717+J717+L717+P717+R717+T717+U717+V717+W717+X717+Y717+Z717+AA717+AB717)*1.5%,2)</f>
        <v>45177.36</v>
      </c>
      <c r="AD717" s="37">
        <v>0</v>
      </c>
      <c r="AE717" s="29">
        <v>0</v>
      </c>
      <c r="AF717" s="32" t="s">
        <v>268</v>
      </c>
      <c r="AG717" s="32">
        <v>2021</v>
      </c>
      <c r="AH717" s="33">
        <v>2021</v>
      </c>
      <c r="BZ717" s="61"/>
      <c r="CD717" s="18" t="e">
        <f>VLOOKUP(C717,CE:CF,2,FALSE)</f>
        <v>#N/A</v>
      </c>
    </row>
    <row r="718" spans="1:84" ht="61.5" x14ac:dyDescent="0.85">
      <c r="A718" s="18">
        <v>1</v>
      </c>
      <c r="B718" s="57">
        <f>SUBTOTAL(103,$A$558:A718)</f>
        <v>159</v>
      </c>
      <c r="C718" s="22" t="s">
        <v>1857</v>
      </c>
      <c r="D718" s="29">
        <f t="shared" si="113"/>
        <v>3368416.68</v>
      </c>
      <c r="E718" s="29">
        <v>0</v>
      </c>
      <c r="F718" s="29">
        <v>0</v>
      </c>
      <c r="G718" s="29">
        <v>0</v>
      </c>
      <c r="H718" s="29">
        <v>0</v>
      </c>
      <c r="I718" s="29">
        <v>3231796.34</v>
      </c>
      <c r="J718" s="29">
        <v>0</v>
      </c>
      <c r="K718" s="31">
        <v>0</v>
      </c>
      <c r="L718" s="29">
        <v>0</v>
      </c>
      <c r="M718" s="29">
        <v>0</v>
      </c>
      <c r="N718" s="29">
        <v>0</v>
      </c>
      <c r="O718" s="29">
        <v>0</v>
      </c>
      <c r="P718" s="29">
        <v>0</v>
      </c>
      <c r="Q718" s="29">
        <v>0</v>
      </c>
      <c r="R718" s="29">
        <v>0</v>
      </c>
      <c r="S718" s="29">
        <v>0</v>
      </c>
      <c r="T718" s="29">
        <v>0</v>
      </c>
      <c r="U718" s="29">
        <v>0</v>
      </c>
      <c r="V718" s="29">
        <v>0</v>
      </c>
      <c r="W718" s="29">
        <v>0</v>
      </c>
      <c r="X718" s="29">
        <v>0</v>
      </c>
      <c r="Y718" s="29">
        <v>0</v>
      </c>
      <c r="Z718" s="29">
        <v>0</v>
      </c>
      <c r="AA718" s="29">
        <v>0</v>
      </c>
      <c r="AB718" s="29">
        <v>0</v>
      </c>
      <c r="AC718" s="29">
        <f>ROUND((E718+F718+G718+H718+I718+J718)*1.5%,2)</f>
        <v>48476.95</v>
      </c>
      <c r="AD718" s="84">
        <v>88143.39</v>
      </c>
      <c r="AE718" s="29">
        <v>0</v>
      </c>
      <c r="AF718" s="32">
        <v>2021</v>
      </c>
      <c r="AG718" s="32">
        <v>2021</v>
      </c>
      <c r="AH718" s="33">
        <v>2021</v>
      </c>
      <c r="BZ718" s="61"/>
      <c r="CD718" s="18" t="e">
        <f>VLOOKUP(C718,CE:CF,2,FALSE)</f>
        <v>#N/A</v>
      </c>
    </row>
    <row r="719" spans="1:84" ht="61.5" x14ac:dyDescent="0.85">
      <c r="A719" s="18">
        <v>1</v>
      </c>
      <c r="B719" s="57">
        <f>SUBTOTAL(103,$A$558:A719)</f>
        <v>160</v>
      </c>
      <c r="C719" s="22" t="s">
        <v>1148</v>
      </c>
      <c r="D719" s="29">
        <f t="shared" si="113"/>
        <v>375226.5</v>
      </c>
      <c r="E719" s="29">
        <v>0</v>
      </c>
      <c r="F719" s="29">
        <v>0</v>
      </c>
      <c r="G719" s="29">
        <v>0</v>
      </c>
      <c r="H719" s="29">
        <v>0</v>
      </c>
      <c r="I719" s="335">
        <v>375226.5</v>
      </c>
      <c r="J719" s="29">
        <v>0</v>
      </c>
      <c r="K719" s="31">
        <v>0</v>
      </c>
      <c r="L719" s="29">
        <v>0</v>
      </c>
      <c r="M719" s="29">
        <v>0</v>
      </c>
      <c r="N719" s="29">
        <v>0</v>
      </c>
      <c r="O719" s="29">
        <v>0</v>
      </c>
      <c r="P719" s="29">
        <v>0</v>
      </c>
      <c r="Q719" s="29">
        <v>0</v>
      </c>
      <c r="R719" s="29">
        <v>0</v>
      </c>
      <c r="S719" s="29">
        <v>0</v>
      </c>
      <c r="T719" s="29">
        <v>0</v>
      </c>
      <c r="U719" s="29">
        <v>0</v>
      </c>
      <c r="V719" s="29">
        <v>0</v>
      </c>
      <c r="W719" s="29">
        <v>0</v>
      </c>
      <c r="X719" s="29">
        <v>0</v>
      </c>
      <c r="Y719" s="29">
        <v>0</v>
      </c>
      <c r="Z719" s="29">
        <v>0</v>
      </c>
      <c r="AA719" s="29">
        <v>0</v>
      </c>
      <c r="AB719" s="29">
        <v>0</v>
      </c>
      <c r="AC719" s="29">
        <v>0</v>
      </c>
      <c r="AD719" s="29">
        <v>0</v>
      </c>
      <c r="AE719" s="29">
        <v>0</v>
      </c>
      <c r="AF719" s="32" t="s">
        <v>268</v>
      </c>
      <c r="AG719" s="32">
        <v>2018</v>
      </c>
      <c r="AH719" s="32" t="s">
        <v>268</v>
      </c>
      <c r="BZ719" s="61"/>
      <c r="CD719" s="18" t="e">
        <f>VLOOKUP(C719,CE:CF,2,FALSE)</f>
        <v>#N/A</v>
      </c>
      <c r="CE719" s="85" t="s">
        <v>450</v>
      </c>
      <c r="CF719" s="85">
        <v>556.79999999999995</v>
      </c>
    </row>
    <row r="720" spans="1:84" ht="61.5" x14ac:dyDescent="0.85">
      <c r="A720" s="18">
        <v>1</v>
      </c>
      <c r="B720" s="57">
        <f>SUBTOTAL(103,$A$558:A720)</f>
        <v>161</v>
      </c>
      <c r="C720" s="22" t="s">
        <v>1149</v>
      </c>
      <c r="D720" s="29">
        <f t="shared" ref="D720:D740" si="115">E720+F720+G720+H720+I720+J720+L720+N720+P720+R720+T720+U720+V720+W720+X720+Y720+Z720+AA720+AB720+AC720+AD720+AE720</f>
        <v>160103.5</v>
      </c>
      <c r="E720" s="29">
        <v>0</v>
      </c>
      <c r="F720" s="29">
        <v>0</v>
      </c>
      <c r="G720" s="29">
        <v>0</v>
      </c>
      <c r="H720" s="29">
        <v>0</v>
      </c>
      <c r="I720" s="335">
        <v>160103.5</v>
      </c>
      <c r="J720" s="29">
        <v>0</v>
      </c>
      <c r="K720" s="31">
        <v>0</v>
      </c>
      <c r="L720" s="29">
        <v>0</v>
      </c>
      <c r="M720" s="29">
        <v>0</v>
      </c>
      <c r="N720" s="29">
        <v>0</v>
      </c>
      <c r="O720" s="29">
        <v>0</v>
      </c>
      <c r="P720" s="29">
        <v>0</v>
      </c>
      <c r="Q720" s="29">
        <v>0</v>
      </c>
      <c r="R720" s="29">
        <v>0</v>
      </c>
      <c r="S720" s="29">
        <v>0</v>
      </c>
      <c r="T720" s="29">
        <v>0</v>
      </c>
      <c r="U720" s="29">
        <v>0</v>
      </c>
      <c r="V720" s="29">
        <v>0</v>
      </c>
      <c r="W720" s="29">
        <v>0</v>
      </c>
      <c r="X720" s="29">
        <v>0</v>
      </c>
      <c r="Y720" s="29">
        <v>0</v>
      </c>
      <c r="Z720" s="29">
        <v>0</v>
      </c>
      <c r="AA720" s="29">
        <v>0</v>
      </c>
      <c r="AB720" s="29">
        <v>0</v>
      </c>
      <c r="AC720" s="29">
        <v>0</v>
      </c>
      <c r="AD720" s="29">
        <v>0</v>
      </c>
      <c r="AE720" s="29">
        <v>0</v>
      </c>
      <c r="AF720" s="32" t="s">
        <v>268</v>
      </c>
      <c r="AG720" s="32">
        <v>2018</v>
      </c>
      <c r="AH720" s="32" t="s">
        <v>268</v>
      </c>
      <c r="BZ720" s="61"/>
      <c r="CD720" s="18" t="e">
        <f>VLOOKUP(C720,CE:CF,2,FALSE)</f>
        <v>#N/A</v>
      </c>
      <c r="CE720" s="85" t="s">
        <v>667</v>
      </c>
      <c r="CF720" s="85">
        <v>243.96</v>
      </c>
    </row>
    <row r="721" spans="1:82" ht="61.5" x14ac:dyDescent="0.85">
      <c r="A721" s="18">
        <v>1</v>
      </c>
      <c r="B721" s="57">
        <f>SUBTOTAL(103,$A$558:A721)</f>
        <v>162</v>
      </c>
      <c r="C721" s="22" t="s">
        <v>2290</v>
      </c>
      <c r="D721" s="29">
        <f t="shared" si="115"/>
        <v>3952475.8999999994</v>
      </c>
      <c r="E721" s="29">
        <v>0</v>
      </c>
      <c r="F721" s="29">
        <v>0</v>
      </c>
      <c r="G721" s="29">
        <v>0</v>
      </c>
      <c r="H721" s="29">
        <v>0</v>
      </c>
      <c r="I721" s="29">
        <v>0</v>
      </c>
      <c r="J721" s="29">
        <v>0</v>
      </c>
      <c r="K721" s="31">
        <v>0</v>
      </c>
      <c r="L721" s="29">
        <v>0</v>
      </c>
      <c r="M721" s="29">
        <v>895</v>
      </c>
      <c r="N721" s="29">
        <f>3734798.78+52790.78-11751.23</f>
        <v>3775838.3299999996</v>
      </c>
      <c r="O721" s="29">
        <v>0</v>
      </c>
      <c r="P721" s="29">
        <v>0</v>
      </c>
      <c r="Q721" s="29">
        <v>0</v>
      </c>
      <c r="R721" s="29">
        <v>0</v>
      </c>
      <c r="S721" s="29">
        <v>0</v>
      </c>
      <c r="T721" s="29">
        <v>0</v>
      </c>
      <c r="U721" s="29">
        <v>0</v>
      </c>
      <c r="V721" s="29">
        <v>0</v>
      </c>
      <c r="W721" s="29">
        <v>0</v>
      </c>
      <c r="X721" s="29">
        <v>0</v>
      </c>
      <c r="Y721" s="29">
        <v>0</v>
      </c>
      <c r="Z721" s="29">
        <v>0</v>
      </c>
      <c r="AA721" s="29">
        <v>0</v>
      </c>
      <c r="AB721" s="29">
        <v>0</v>
      </c>
      <c r="AC721" s="29">
        <f>ROUND(N721*1.5%,2)</f>
        <v>56637.57</v>
      </c>
      <c r="AD721" s="29">
        <v>120000</v>
      </c>
      <c r="AE721" s="29">
        <v>0</v>
      </c>
      <c r="AF721" s="32">
        <v>2021</v>
      </c>
      <c r="AG721" s="32">
        <v>2021</v>
      </c>
      <c r="AH721" s="33">
        <v>2021</v>
      </c>
      <c r="BZ721" s="61"/>
      <c r="CD721" s="18" t="e">
        <f>VLOOKUP(C721,CE:CF,2,FALSE)</f>
        <v>#N/A</v>
      </c>
    </row>
    <row r="722" spans="1:82" ht="61.5" x14ac:dyDescent="0.85">
      <c r="A722" s="18">
        <v>1</v>
      </c>
      <c r="B722" s="57">
        <f>SUBTOTAL(103,$A$558:A722)</f>
        <v>163</v>
      </c>
      <c r="C722" s="22" t="s">
        <v>2289</v>
      </c>
      <c r="D722" s="29">
        <f t="shared" si="115"/>
        <v>5359795.0699999994</v>
      </c>
      <c r="E722" s="29">
        <v>0</v>
      </c>
      <c r="F722" s="29">
        <v>0</v>
      </c>
      <c r="G722" s="29">
        <v>0</v>
      </c>
      <c r="H722" s="29">
        <v>0</v>
      </c>
      <c r="I722" s="29">
        <v>0</v>
      </c>
      <c r="J722" s="29">
        <v>0</v>
      </c>
      <c r="K722" s="31">
        <v>0</v>
      </c>
      <c r="L722" s="29">
        <v>0</v>
      </c>
      <c r="M722" s="29">
        <v>1034</v>
      </c>
      <c r="N722" s="29">
        <f>6439514.18-1247597.86-29556.65</f>
        <v>5162359.669999999</v>
      </c>
      <c r="O722" s="29">
        <v>0</v>
      </c>
      <c r="P722" s="29">
        <v>0</v>
      </c>
      <c r="Q722" s="29">
        <v>0</v>
      </c>
      <c r="R722" s="29">
        <v>0</v>
      </c>
      <c r="S722" s="29">
        <v>0</v>
      </c>
      <c r="T722" s="29">
        <v>0</v>
      </c>
      <c r="U722" s="29">
        <v>0</v>
      </c>
      <c r="V722" s="29">
        <v>0</v>
      </c>
      <c r="W722" s="29">
        <v>0</v>
      </c>
      <c r="X722" s="29">
        <v>0</v>
      </c>
      <c r="Y722" s="29">
        <v>0</v>
      </c>
      <c r="Z722" s="29">
        <v>0</v>
      </c>
      <c r="AA722" s="29">
        <v>0</v>
      </c>
      <c r="AB722" s="29">
        <v>0</v>
      </c>
      <c r="AC722" s="29">
        <f>ROUND(N722*1.5%,2)</f>
        <v>77435.399999999994</v>
      </c>
      <c r="AD722" s="29">
        <v>120000</v>
      </c>
      <c r="AE722" s="29">
        <v>0</v>
      </c>
      <c r="AF722" s="32">
        <v>2021</v>
      </c>
      <c r="AG722" s="32">
        <v>2021</v>
      </c>
      <c r="AH722" s="33">
        <v>2021</v>
      </c>
      <c r="BZ722" s="61"/>
      <c r="CD722" s="18" t="e">
        <f>VLOOKUP(C722,CE:CF,2,FALSE)</f>
        <v>#N/A</v>
      </c>
    </row>
    <row r="723" spans="1:82" ht="61.5" x14ac:dyDescent="0.85">
      <c r="A723" s="18">
        <v>1</v>
      </c>
      <c r="B723" s="57">
        <f>SUBTOTAL(103,$A$558:A723)</f>
        <v>164</v>
      </c>
      <c r="C723" s="22" t="s">
        <v>2308</v>
      </c>
      <c r="D723" s="29">
        <f t="shared" si="115"/>
        <v>2339941.1800000002</v>
      </c>
      <c r="E723" s="29">
        <v>0</v>
      </c>
      <c r="F723" s="29">
        <v>0</v>
      </c>
      <c r="G723" s="29">
        <v>0</v>
      </c>
      <c r="H723" s="29">
        <v>0</v>
      </c>
      <c r="I723" s="29">
        <v>0</v>
      </c>
      <c r="J723" s="29">
        <v>0</v>
      </c>
      <c r="K723" s="64">
        <v>1</v>
      </c>
      <c r="L723" s="29">
        <v>2236302.4700000002</v>
      </c>
      <c r="M723" s="29">
        <v>0</v>
      </c>
      <c r="N723" s="29">
        <v>0</v>
      </c>
      <c r="O723" s="29">
        <v>0</v>
      </c>
      <c r="P723" s="29">
        <v>0</v>
      </c>
      <c r="Q723" s="29">
        <v>0</v>
      </c>
      <c r="R723" s="29">
        <v>0</v>
      </c>
      <c r="S723" s="29">
        <v>0</v>
      </c>
      <c r="T723" s="29">
        <v>0</v>
      </c>
      <c r="U723" s="29">
        <v>0</v>
      </c>
      <c r="V723" s="29">
        <v>0</v>
      </c>
      <c r="W723" s="29">
        <v>0</v>
      </c>
      <c r="X723" s="29">
        <v>0</v>
      </c>
      <c r="Y723" s="29">
        <v>0</v>
      </c>
      <c r="Z723" s="29">
        <v>0</v>
      </c>
      <c r="AA723" s="29">
        <v>0</v>
      </c>
      <c r="AB723" s="29">
        <v>0</v>
      </c>
      <c r="AC723" s="29">
        <f>ROUND(N723*1.5%,2)</f>
        <v>0</v>
      </c>
      <c r="AD723" s="37">
        <v>103638.71</v>
      </c>
      <c r="AE723" s="29">
        <v>0</v>
      </c>
      <c r="AF723" s="32">
        <v>2021</v>
      </c>
      <c r="AG723" s="32">
        <v>2021</v>
      </c>
      <c r="AH723" s="33" t="s">
        <v>268</v>
      </c>
      <c r="BZ723" s="61"/>
      <c r="CD723" s="18" t="e">
        <f>VLOOKUP(C723,CE:CF,2,FALSE)</f>
        <v>#N/A</v>
      </c>
    </row>
    <row r="724" spans="1:82" ht="61.5" x14ac:dyDescent="0.85">
      <c r="A724" s="18">
        <v>1</v>
      </c>
      <c r="B724" s="57">
        <f>SUBTOTAL(103,$A$558:A724)</f>
        <v>165</v>
      </c>
      <c r="C724" s="22" t="s">
        <v>2309</v>
      </c>
      <c r="D724" s="29">
        <f t="shared" si="115"/>
        <v>13632124.75</v>
      </c>
      <c r="E724" s="29">
        <v>0</v>
      </c>
      <c r="F724" s="29">
        <v>0</v>
      </c>
      <c r="G724" s="29">
        <v>0</v>
      </c>
      <c r="H724" s="29">
        <v>0</v>
      </c>
      <c r="I724" s="29">
        <v>0</v>
      </c>
      <c r="J724" s="29">
        <v>0</v>
      </c>
      <c r="K724" s="64">
        <v>6</v>
      </c>
      <c r="L724" s="29">
        <v>13515961.48</v>
      </c>
      <c r="M724" s="29">
        <v>0</v>
      </c>
      <c r="N724" s="29">
        <v>0</v>
      </c>
      <c r="O724" s="29">
        <v>0</v>
      </c>
      <c r="P724" s="29">
        <v>0</v>
      </c>
      <c r="Q724" s="29">
        <v>0</v>
      </c>
      <c r="R724" s="29">
        <v>0</v>
      </c>
      <c r="S724" s="29">
        <v>0</v>
      </c>
      <c r="T724" s="29">
        <v>0</v>
      </c>
      <c r="U724" s="29">
        <v>0</v>
      </c>
      <c r="V724" s="29">
        <v>0</v>
      </c>
      <c r="W724" s="29">
        <v>0</v>
      </c>
      <c r="X724" s="29">
        <v>0</v>
      </c>
      <c r="Y724" s="29">
        <v>0</v>
      </c>
      <c r="Z724" s="29">
        <v>0</v>
      </c>
      <c r="AA724" s="29">
        <v>0</v>
      </c>
      <c r="AB724" s="29">
        <v>0</v>
      </c>
      <c r="AC724" s="29">
        <f>ROUND(N724*1.5%,2)</f>
        <v>0</v>
      </c>
      <c r="AD724" s="37">
        <v>116163.27</v>
      </c>
      <c r="AE724" s="29">
        <v>0</v>
      </c>
      <c r="AF724" s="32">
        <v>2021</v>
      </c>
      <c r="AG724" s="32">
        <v>2021</v>
      </c>
      <c r="AH724" s="33" t="s">
        <v>268</v>
      </c>
      <c r="BZ724" s="61"/>
      <c r="CD724" s="18" t="e">
        <f>VLOOKUP(C724,CE:CF,2,FALSE)</f>
        <v>#N/A</v>
      </c>
    </row>
    <row r="725" spans="1:82" ht="61.5" x14ac:dyDescent="0.85">
      <c r="A725" s="18">
        <v>1</v>
      </c>
      <c r="B725" s="57">
        <f>SUBTOTAL(103,$A$558:A725)</f>
        <v>166</v>
      </c>
      <c r="C725" s="22" t="s">
        <v>388</v>
      </c>
      <c r="D725" s="29">
        <f t="shared" si="115"/>
        <v>3067061.7</v>
      </c>
      <c r="E725" s="29">
        <v>0</v>
      </c>
      <c r="F725" s="29">
        <v>0</v>
      </c>
      <c r="G725" s="29">
        <v>2100000</v>
      </c>
      <c r="H725" s="29">
        <v>0</v>
      </c>
      <c r="I725" s="29">
        <v>0</v>
      </c>
      <c r="J725" s="29">
        <v>0</v>
      </c>
      <c r="K725" s="31">
        <v>0</v>
      </c>
      <c r="L725" s="29">
        <v>0</v>
      </c>
      <c r="M725" s="29">
        <v>0</v>
      </c>
      <c r="N725" s="29">
        <v>0</v>
      </c>
      <c r="O725" s="29">
        <v>0</v>
      </c>
      <c r="P725" s="29">
        <v>0</v>
      </c>
      <c r="Q725" s="29">
        <v>0</v>
      </c>
      <c r="R725" s="29">
        <v>0</v>
      </c>
      <c r="S725" s="29">
        <v>0</v>
      </c>
      <c r="T725" s="29">
        <v>0</v>
      </c>
      <c r="U725" s="29">
        <v>0</v>
      </c>
      <c r="V725" s="29">
        <v>0</v>
      </c>
      <c r="W725" s="29">
        <v>0</v>
      </c>
      <c r="X725" s="29">
        <v>0</v>
      </c>
      <c r="Y725" s="29">
        <v>0</v>
      </c>
      <c r="Z725" s="29">
        <v>0</v>
      </c>
      <c r="AA725" s="29">
        <v>0</v>
      </c>
      <c r="AB725" s="29">
        <v>800000</v>
      </c>
      <c r="AC725" s="29">
        <f t="shared" ref="AC725:AC734" si="116">ROUND((N725+E725+F725+G725+H725+I725+J725+L725+P725+R725+T725+U725+V725+W725+X725+Y725+Z725+AA725+AB725)*1.5%,2)</f>
        <v>43500</v>
      </c>
      <c r="AD725" s="29">
        <v>123561.7</v>
      </c>
      <c r="AE725" s="29">
        <v>0</v>
      </c>
      <c r="AF725" s="32">
        <v>2021</v>
      </c>
      <c r="AG725" s="32">
        <v>2021</v>
      </c>
      <c r="AH725" s="32">
        <v>2021</v>
      </c>
      <c r="BZ725" s="61"/>
      <c r="CD725" s="18" t="e">
        <f>VLOOKUP(C725,CE:CF,2,FALSE)</f>
        <v>#N/A</v>
      </c>
    </row>
    <row r="726" spans="1:82" ht="61.5" x14ac:dyDescent="0.85">
      <c r="A726" s="18">
        <v>1</v>
      </c>
      <c r="B726" s="57">
        <f>SUBTOTAL(103,$A$558:A726)</f>
        <v>167</v>
      </c>
      <c r="C726" s="22" t="s">
        <v>384</v>
      </c>
      <c r="D726" s="29">
        <f t="shared" si="115"/>
        <v>3092723.1</v>
      </c>
      <c r="E726" s="29">
        <v>0</v>
      </c>
      <c r="F726" s="29">
        <v>0</v>
      </c>
      <c r="G726" s="29">
        <v>2100000</v>
      </c>
      <c r="H726" s="29">
        <v>0</v>
      </c>
      <c r="I726" s="29">
        <v>0</v>
      </c>
      <c r="J726" s="29">
        <v>0</v>
      </c>
      <c r="K726" s="31">
        <v>0</v>
      </c>
      <c r="L726" s="29">
        <v>0</v>
      </c>
      <c r="M726" s="29">
        <v>0</v>
      </c>
      <c r="N726" s="29">
        <v>0</v>
      </c>
      <c r="O726" s="29">
        <v>0</v>
      </c>
      <c r="P726" s="29">
        <v>0</v>
      </c>
      <c r="Q726" s="29">
        <v>0</v>
      </c>
      <c r="R726" s="29">
        <v>0</v>
      </c>
      <c r="S726" s="29">
        <v>0</v>
      </c>
      <c r="T726" s="29">
        <v>0</v>
      </c>
      <c r="U726" s="29">
        <v>0</v>
      </c>
      <c r="V726" s="29">
        <v>0</v>
      </c>
      <c r="W726" s="29">
        <v>0</v>
      </c>
      <c r="X726" s="29">
        <v>0</v>
      </c>
      <c r="Y726" s="29">
        <v>0</v>
      </c>
      <c r="Z726" s="29">
        <v>0</v>
      </c>
      <c r="AA726" s="29">
        <v>0</v>
      </c>
      <c r="AB726" s="29">
        <v>800000</v>
      </c>
      <c r="AC726" s="29">
        <f t="shared" si="116"/>
        <v>43500</v>
      </c>
      <c r="AD726" s="29">
        <v>149223.1</v>
      </c>
      <c r="AE726" s="29">
        <v>0</v>
      </c>
      <c r="AF726" s="32">
        <v>2021</v>
      </c>
      <c r="AG726" s="32">
        <v>2021</v>
      </c>
      <c r="AH726" s="32">
        <v>2021</v>
      </c>
      <c r="BZ726" s="61"/>
      <c r="CD726" s="18">
        <f>VLOOKUP(C726,CE:CF,2,FALSE)</f>
        <v>1108.98</v>
      </c>
    </row>
    <row r="727" spans="1:82" ht="61.5" x14ac:dyDescent="0.85">
      <c r="A727" s="18">
        <v>1</v>
      </c>
      <c r="B727" s="57">
        <f>SUBTOTAL(103,$A$558:A727)</f>
        <v>168</v>
      </c>
      <c r="C727" s="22" t="s">
        <v>393</v>
      </c>
      <c r="D727" s="29">
        <f t="shared" si="115"/>
        <v>3092545.34</v>
      </c>
      <c r="E727" s="29">
        <v>0</v>
      </c>
      <c r="F727" s="29">
        <v>0</v>
      </c>
      <c r="G727" s="29">
        <v>2100000</v>
      </c>
      <c r="H727" s="29">
        <v>0</v>
      </c>
      <c r="I727" s="29">
        <v>0</v>
      </c>
      <c r="J727" s="29">
        <v>0</v>
      </c>
      <c r="K727" s="31">
        <v>0</v>
      </c>
      <c r="L727" s="29">
        <v>0</v>
      </c>
      <c r="M727" s="29">
        <v>0</v>
      </c>
      <c r="N727" s="29">
        <v>0</v>
      </c>
      <c r="O727" s="29">
        <v>0</v>
      </c>
      <c r="P727" s="29">
        <v>0</v>
      </c>
      <c r="Q727" s="29">
        <v>0</v>
      </c>
      <c r="R727" s="29">
        <v>0</v>
      </c>
      <c r="S727" s="29">
        <v>0</v>
      </c>
      <c r="T727" s="29">
        <v>0</v>
      </c>
      <c r="U727" s="29">
        <v>0</v>
      </c>
      <c r="V727" s="29">
        <v>0</v>
      </c>
      <c r="W727" s="29">
        <v>0</v>
      </c>
      <c r="X727" s="29">
        <v>0</v>
      </c>
      <c r="Y727" s="29">
        <v>0</v>
      </c>
      <c r="Z727" s="29">
        <v>0</v>
      </c>
      <c r="AA727" s="29">
        <v>0</v>
      </c>
      <c r="AB727" s="29">
        <v>800000</v>
      </c>
      <c r="AC727" s="29">
        <f t="shared" si="116"/>
        <v>43500</v>
      </c>
      <c r="AD727" s="29">
        <v>149045.34</v>
      </c>
      <c r="AE727" s="29">
        <v>0</v>
      </c>
      <c r="AF727" s="32">
        <v>2021</v>
      </c>
      <c r="AG727" s="32">
        <v>2021</v>
      </c>
      <c r="AH727" s="32">
        <v>2021</v>
      </c>
      <c r="BZ727" s="61"/>
      <c r="CD727" s="18" t="e">
        <f>VLOOKUP(C727,CE:CF,2,FALSE)</f>
        <v>#N/A</v>
      </c>
    </row>
    <row r="728" spans="1:82" ht="61.5" x14ac:dyDescent="0.85">
      <c r="A728" s="18">
        <v>1</v>
      </c>
      <c r="B728" s="57">
        <f>SUBTOTAL(103,$A$558:A728)</f>
        <v>169</v>
      </c>
      <c r="C728" s="22" t="s">
        <v>387</v>
      </c>
      <c r="D728" s="29">
        <f t="shared" si="115"/>
        <v>3090490.04</v>
      </c>
      <c r="E728" s="29">
        <v>0</v>
      </c>
      <c r="F728" s="29">
        <v>0</v>
      </c>
      <c r="G728" s="29">
        <v>2100000</v>
      </c>
      <c r="H728" s="29">
        <v>0</v>
      </c>
      <c r="I728" s="29">
        <v>0</v>
      </c>
      <c r="J728" s="29">
        <v>0</v>
      </c>
      <c r="K728" s="31">
        <v>0</v>
      </c>
      <c r="L728" s="29">
        <v>0</v>
      </c>
      <c r="M728" s="29">
        <v>0</v>
      </c>
      <c r="N728" s="29">
        <v>0</v>
      </c>
      <c r="O728" s="29">
        <v>0</v>
      </c>
      <c r="P728" s="29">
        <v>0</v>
      </c>
      <c r="Q728" s="29">
        <v>0</v>
      </c>
      <c r="R728" s="29">
        <v>0</v>
      </c>
      <c r="S728" s="29">
        <v>0</v>
      </c>
      <c r="T728" s="29">
        <v>0</v>
      </c>
      <c r="U728" s="29">
        <v>0</v>
      </c>
      <c r="V728" s="29">
        <v>0</v>
      </c>
      <c r="W728" s="29">
        <v>0</v>
      </c>
      <c r="X728" s="29">
        <v>0</v>
      </c>
      <c r="Y728" s="29">
        <v>0</v>
      </c>
      <c r="Z728" s="29">
        <v>0</v>
      </c>
      <c r="AA728" s="29">
        <v>0</v>
      </c>
      <c r="AB728" s="29">
        <v>800000</v>
      </c>
      <c r="AC728" s="29">
        <f t="shared" si="116"/>
        <v>43500</v>
      </c>
      <c r="AD728" s="29">
        <v>146990.04</v>
      </c>
      <c r="AE728" s="29">
        <v>0</v>
      </c>
      <c r="AF728" s="32">
        <v>2021</v>
      </c>
      <c r="AG728" s="32">
        <v>2021</v>
      </c>
      <c r="AH728" s="32">
        <v>2021</v>
      </c>
      <c r="BZ728" s="61"/>
      <c r="CD728" s="18" t="e">
        <f>VLOOKUP(C728,CE:CF,2,FALSE)</f>
        <v>#N/A</v>
      </c>
    </row>
    <row r="729" spans="1:82" ht="61.5" x14ac:dyDescent="0.85">
      <c r="A729" s="18">
        <v>1</v>
      </c>
      <c r="B729" s="57">
        <f>SUBTOTAL(103,$A$558:A729)</f>
        <v>170</v>
      </c>
      <c r="C729" s="22" t="s">
        <v>2451</v>
      </c>
      <c r="D729" s="29">
        <f t="shared" si="115"/>
        <v>3090084.75</v>
      </c>
      <c r="E729" s="29">
        <v>0</v>
      </c>
      <c r="F729" s="29">
        <v>0</v>
      </c>
      <c r="G729" s="29">
        <v>2100000</v>
      </c>
      <c r="H729" s="29">
        <v>0</v>
      </c>
      <c r="I729" s="29">
        <v>0</v>
      </c>
      <c r="J729" s="29">
        <v>0</v>
      </c>
      <c r="K729" s="31">
        <v>0</v>
      </c>
      <c r="L729" s="29">
        <v>0</v>
      </c>
      <c r="M729" s="29">
        <v>0</v>
      </c>
      <c r="N729" s="29">
        <v>0</v>
      </c>
      <c r="O729" s="29">
        <v>0</v>
      </c>
      <c r="P729" s="29">
        <v>0</v>
      </c>
      <c r="Q729" s="29">
        <v>0</v>
      </c>
      <c r="R729" s="29">
        <v>0</v>
      </c>
      <c r="S729" s="29">
        <v>0</v>
      </c>
      <c r="T729" s="29">
        <v>0</v>
      </c>
      <c r="U729" s="29">
        <v>0</v>
      </c>
      <c r="V729" s="29">
        <v>0</v>
      </c>
      <c r="W729" s="29">
        <v>0</v>
      </c>
      <c r="X729" s="29">
        <v>0</v>
      </c>
      <c r="Y729" s="29">
        <v>0</v>
      </c>
      <c r="Z729" s="29">
        <v>0</v>
      </c>
      <c r="AA729" s="29">
        <v>0</v>
      </c>
      <c r="AB729" s="29">
        <v>800000</v>
      </c>
      <c r="AC729" s="29">
        <f t="shared" si="116"/>
        <v>43500</v>
      </c>
      <c r="AD729" s="29">
        <v>146584.75</v>
      </c>
      <c r="AE729" s="29">
        <v>0</v>
      </c>
      <c r="AF729" s="32">
        <v>2021</v>
      </c>
      <c r="AG729" s="32">
        <v>2021</v>
      </c>
      <c r="AH729" s="32">
        <v>2021</v>
      </c>
      <c r="BZ729" s="61"/>
      <c r="CD729" s="18" t="e">
        <f>VLOOKUP(C729,CE:CF,2,FALSE)</f>
        <v>#N/A</v>
      </c>
    </row>
    <row r="730" spans="1:82" ht="61.5" x14ac:dyDescent="0.85">
      <c r="A730" s="18">
        <v>1</v>
      </c>
      <c r="B730" s="57">
        <f>SUBTOTAL(103,$A$558:A730)</f>
        <v>171</v>
      </c>
      <c r="C730" s="22" t="s">
        <v>398</v>
      </c>
      <c r="D730" s="29">
        <f t="shared" si="115"/>
        <v>3068078.75</v>
      </c>
      <c r="E730" s="29">
        <v>0</v>
      </c>
      <c r="F730" s="29">
        <v>0</v>
      </c>
      <c r="G730" s="29">
        <v>2000000</v>
      </c>
      <c r="H730" s="29">
        <v>0</v>
      </c>
      <c r="I730" s="29">
        <v>0</v>
      </c>
      <c r="J730" s="29">
        <v>0</v>
      </c>
      <c r="K730" s="31">
        <v>0</v>
      </c>
      <c r="L730" s="29">
        <v>0</v>
      </c>
      <c r="M730" s="29">
        <v>0</v>
      </c>
      <c r="N730" s="29">
        <v>0</v>
      </c>
      <c r="O730" s="29">
        <v>0</v>
      </c>
      <c r="P730" s="29">
        <v>0</v>
      </c>
      <c r="Q730" s="29">
        <v>0</v>
      </c>
      <c r="R730" s="29">
        <v>0</v>
      </c>
      <c r="S730" s="29">
        <v>0</v>
      </c>
      <c r="T730" s="29">
        <v>0</v>
      </c>
      <c r="U730" s="29">
        <v>0</v>
      </c>
      <c r="V730" s="29">
        <v>0</v>
      </c>
      <c r="W730" s="29">
        <v>0</v>
      </c>
      <c r="X730" s="29">
        <v>0</v>
      </c>
      <c r="Y730" s="29">
        <v>0</v>
      </c>
      <c r="Z730" s="29">
        <v>0</v>
      </c>
      <c r="AA730" s="29">
        <v>0</v>
      </c>
      <c r="AB730" s="29">
        <v>800000</v>
      </c>
      <c r="AC730" s="29">
        <f t="shared" si="116"/>
        <v>42000</v>
      </c>
      <c r="AD730" s="29">
        <v>226078.75</v>
      </c>
      <c r="AE730" s="29">
        <v>0</v>
      </c>
      <c r="AF730" s="32">
        <v>2021</v>
      </c>
      <c r="AG730" s="32">
        <v>2021</v>
      </c>
      <c r="AH730" s="32">
        <v>2021</v>
      </c>
      <c r="BZ730" s="61"/>
      <c r="CD730" s="18" t="e">
        <f>VLOOKUP(C730,CE:CF,2,FALSE)</f>
        <v>#N/A</v>
      </c>
    </row>
    <row r="731" spans="1:82" ht="61.5" x14ac:dyDescent="0.85">
      <c r="A731" s="18">
        <v>1</v>
      </c>
      <c r="B731" s="57">
        <f>SUBTOTAL(103,$A$558:A731)</f>
        <v>172</v>
      </c>
      <c r="C731" s="22" t="s">
        <v>2452</v>
      </c>
      <c r="D731" s="29">
        <f t="shared" si="115"/>
        <v>3113648.54</v>
      </c>
      <c r="E731" s="29">
        <v>0</v>
      </c>
      <c r="F731" s="29">
        <v>0</v>
      </c>
      <c r="G731" s="29">
        <v>2100000</v>
      </c>
      <c r="H731" s="29">
        <v>0</v>
      </c>
      <c r="I731" s="29">
        <v>0</v>
      </c>
      <c r="J731" s="29">
        <v>0</v>
      </c>
      <c r="K731" s="31">
        <v>0</v>
      </c>
      <c r="L731" s="29">
        <v>0</v>
      </c>
      <c r="M731" s="29">
        <v>0</v>
      </c>
      <c r="N731" s="29">
        <v>0</v>
      </c>
      <c r="O731" s="29">
        <v>0</v>
      </c>
      <c r="P731" s="29">
        <v>0</v>
      </c>
      <c r="Q731" s="29">
        <v>0</v>
      </c>
      <c r="R731" s="29">
        <v>0</v>
      </c>
      <c r="S731" s="29">
        <v>0</v>
      </c>
      <c r="T731" s="29">
        <v>0</v>
      </c>
      <c r="U731" s="29">
        <v>0</v>
      </c>
      <c r="V731" s="29">
        <v>0</v>
      </c>
      <c r="W731" s="29">
        <v>0</v>
      </c>
      <c r="X731" s="29">
        <v>0</v>
      </c>
      <c r="Y731" s="29">
        <v>0</v>
      </c>
      <c r="Z731" s="29">
        <v>0</v>
      </c>
      <c r="AA731" s="29">
        <v>0</v>
      </c>
      <c r="AB731" s="29">
        <v>800000</v>
      </c>
      <c r="AC731" s="29">
        <f t="shared" si="116"/>
        <v>43500</v>
      </c>
      <c r="AD731" s="29">
        <v>170148.54</v>
      </c>
      <c r="AE731" s="29">
        <v>0</v>
      </c>
      <c r="AF731" s="32">
        <v>2021</v>
      </c>
      <c r="AG731" s="32">
        <v>2021</v>
      </c>
      <c r="AH731" s="32">
        <v>2021</v>
      </c>
      <c r="BZ731" s="61"/>
      <c r="CD731" s="18" t="e">
        <f>VLOOKUP(C731,CE:CF,2,FALSE)</f>
        <v>#N/A</v>
      </c>
    </row>
    <row r="732" spans="1:82" ht="61.5" x14ac:dyDescent="0.85">
      <c r="A732" s="18">
        <v>1</v>
      </c>
      <c r="B732" s="57">
        <f>SUBTOTAL(103,$A$558:A732)</f>
        <v>173</v>
      </c>
      <c r="C732" s="22" t="s">
        <v>2439</v>
      </c>
      <c r="D732" s="29">
        <f t="shared" si="115"/>
        <v>2994723.58</v>
      </c>
      <c r="E732" s="29">
        <v>0</v>
      </c>
      <c r="F732" s="29">
        <v>0</v>
      </c>
      <c r="G732" s="29">
        <v>2000000</v>
      </c>
      <c r="H732" s="29">
        <v>0</v>
      </c>
      <c r="I732" s="29">
        <v>0</v>
      </c>
      <c r="J732" s="29">
        <v>0</v>
      </c>
      <c r="K732" s="31">
        <v>0</v>
      </c>
      <c r="L732" s="29">
        <v>0</v>
      </c>
      <c r="M732" s="29">
        <v>0</v>
      </c>
      <c r="N732" s="29">
        <v>0</v>
      </c>
      <c r="O732" s="29">
        <v>0</v>
      </c>
      <c r="P732" s="29">
        <v>0</v>
      </c>
      <c r="Q732" s="29">
        <v>0</v>
      </c>
      <c r="R732" s="29">
        <v>0</v>
      </c>
      <c r="S732" s="29">
        <v>0</v>
      </c>
      <c r="T732" s="29">
        <v>0</v>
      </c>
      <c r="U732" s="29">
        <v>0</v>
      </c>
      <c r="V732" s="29">
        <v>0</v>
      </c>
      <c r="W732" s="29">
        <v>0</v>
      </c>
      <c r="X732" s="29">
        <v>0</v>
      </c>
      <c r="Y732" s="29">
        <v>0</v>
      </c>
      <c r="Z732" s="29">
        <v>0</v>
      </c>
      <c r="AA732" s="29">
        <v>0</v>
      </c>
      <c r="AB732" s="29">
        <v>800000</v>
      </c>
      <c r="AC732" s="29">
        <f t="shared" si="116"/>
        <v>42000</v>
      </c>
      <c r="AD732" s="29">
        <v>152723.57999999999</v>
      </c>
      <c r="AE732" s="29">
        <v>0</v>
      </c>
      <c r="AF732" s="32">
        <v>2021</v>
      </c>
      <c r="AG732" s="32">
        <v>2021</v>
      </c>
      <c r="AH732" s="32">
        <v>2021</v>
      </c>
      <c r="BZ732" s="61"/>
      <c r="CD732" s="18" t="e">
        <f>VLOOKUP(C732,CE:CF,2,FALSE)</f>
        <v>#N/A</v>
      </c>
    </row>
    <row r="733" spans="1:82" ht="61.5" x14ac:dyDescent="0.85">
      <c r="A733" s="18">
        <v>1</v>
      </c>
      <c r="B733" s="57">
        <f>SUBTOTAL(103,$A$558:A733)</f>
        <v>174</v>
      </c>
      <c r="C733" s="22" t="s">
        <v>2453</v>
      </c>
      <c r="D733" s="29">
        <f t="shared" ref="D733:D736" si="117">E733+F733+G733+H733+I733+J733+L733+N733+P733+R733+T733+U733+V733+W733+X733+Y733+Z733+AA733+AB733+AC733+AD733+AE733</f>
        <v>3066798.28</v>
      </c>
      <c r="E733" s="29">
        <v>0</v>
      </c>
      <c r="F733" s="29">
        <v>0</v>
      </c>
      <c r="G733" s="29">
        <v>2100000</v>
      </c>
      <c r="H733" s="29">
        <v>0</v>
      </c>
      <c r="I733" s="29">
        <v>0</v>
      </c>
      <c r="J733" s="29">
        <v>0</v>
      </c>
      <c r="K733" s="31">
        <v>0</v>
      </c>
      <c r="L733" s="29">
        <v>0</v>
      </c>
      <c r="M733" s="29">
        <v>0</v>
      </c>
      <c r="N733" s="29">
        <v>0</v>
      </c>
      <c r="O733" s="29">
        <v>0</v>
      </c>
      <c r="P733" s="29">
        <v>0</v>
      </c>
      <c r="Q733" s="29">
        <v>0</v>
      </c>
      <c r="R733" s="29">
        <v>0</v>
      </c>
      <c r="S733" s="29">
        <v>0</v>
      </c>
      <c r="T733" s="29">
        <v>0</v>
      </c>
      <c r="U733" s="29">
        <v>0</v>
      </c>
      <c r="V733" s="29">
        <v>0</v>
      </c>
      <c r="W733" s="29">
        <v>0</v>
      </c>
      <c r="X733" s="29">
        <v>0</v>
      </c>
      <c r="Y733" s="29">
        <v>0</v>
      </c>
      <c r="Z733" s="29">
        <v>0</v>
      </c>
      <c r="AA733" s="29">
        <v>0</v>
      </c>
      <c r="AB733" s="29">
        <v>800000</v>
      </c>
      <c r="AC733" s="29">
        <f t="shared" si="116"/>
        <v>43500</v>
      </c>
      <c r="AD733" s="29">
        <v>123298.28</v>
      </c>
      <c r="AE733" s="29">
        <v>0</v>
      </c>
      <c r="AF733" s="32">
        <v>2021</v>
      </c>
      <c r="AG733" s="32">
        <v>2021</v>
      </c>
      <c r="AH733" s="32">
        <v>2021</v>
      </c>
      <c r="BZ733" s="61"/>
      <c r="CD733" s="18" t="e">
        <f>VLOOKUP(C733,CE:CF,2,FALSE)</f>
        <v>#N/A</v>
      </c>
    </row>
    <row r="734" spans="1:82" ht="61.5" x14ac:dyDescent="0.85">
      <c r="A734" s="18">
        <v>1</v>
      </c>
      <c r="B734" s="57">
        <f>SUBTOTAL(103,$A$558:A734)</f>
        <v>175</v>
      </c>
      <c r="C734" s="22" t="s">
        <v>2454</v>
      </c>
      <c r="D734" s="29">
        <f t="shared" si="117"/>
        <v>3121716.24</v>
      </c>
      <c r="E734" s="29">
        <v>0</v>
      </c>
      <c r="F734" s="29">
        <v>0</v>
      </c>
      <c r="G734" s="29">
        <v>2100000</v>
      </c>
      <c r="H734" s="29">
        <v>0</v>
      </c>
      <c r="I734" s="29">
        <v>0</v>
      </c>
      <c r="J734" s="29">
        <v>0</v>
      </c>
      <c r="K734" s="31">
        <v>0</v>
      </c>
      <c r="L734" s="29">
        <v>0</v>
      </c>
      <c r="M734" s="29">
        <v>0</v>
      </c>
      <c r="N734" s="29">
        <v>0</v>
      </c>
      <c r="O734" s="29">
        <v>0</v>
      </c>
      <c r="P734" s="29">
        <v>0</v>
      </c>
      <c r="Q734" s="29">
        <v>0</v>
      </c>
      <c r="R734" s="29">
        <v>0</v>
      </c>
      <c r="S734" s="29">
        <v>0</v>
      </c>
      <c r="T734" s="29">
        <v>0</v>
      </c>
      <c r="U734" s="29">
        <v>0</v>
      </c>
      <c r="V734" s="29">
        <v>0</v>
      </c>
      <c r="W734" s="29">
        <v>0</v>
      </c>
      <c r="X734" s="29">
        <v>0</v>
      </c>
      <c r="Y734" s="29">
        <v>0</v>
      </c>
      <c r="Z734" s="29">
        <v>0</v>
      </c>
      <c r="AA734" s="29">
        <v>0</v>
      </c>
      <c r="AB734" s="29">
        <v>800000</v>
      </c>
      <c r="AC734" s="29">
        <f t="shared" si="116"/>
        <v>43500</v>
      </c>
      <c r="AD734" s="29">
        <v>178216.24</v>
      </c>
      <c r="AE734" s="29">
        <v>0</v>
      </c>
      <c r="AF734" s="32">
        <v>2021</v>
      </c>
      <c r="AG734" s="32">
        <v>2021</v>
      </c>
      <c r="AH734" s="32">
        <v>2021</v>
      </c>
      <c r="BZ734" s="61"/>
      <c r="CD734" s="18" t="e">
        <f>VLOOKUP(C734,CE:CF,2,FALSE)</f>
        <v>#N/A</v>
      </c>
    </row>
    <row r="735" spans="1:82" ht="61.5" x14ac:dyDescent="0.85">
      <c r="A735" s="18">
        <v>1</v>
      </c>
      <c r="B735" s="57">
        <f>SUBTOTAL(103,$A$558:A735)</f>
        <v>176</v>
      </c>
      <c r="C735" s="22" t="s">
        <v>2455</v>
      </c>
      <c r="D735" s="29">
        <f t="shared" si="117"/>
        <v>3098617.66</v>
      </c>
      <c r="E735" s="29">
        <v>0</v>
      </c>
      <c r="F735" s="29">
        <v>0</v>
      </c>
      <c r="G735" s="29">
        <v>2100000</v>
      </c>
      <c r="H735" s="29">
        <v>0</v>
      </c>
      <c r="I735" s="29">
        <v>0</v>
      </c>
      <c r="J735" s="29">
        <v>0</v>
      </c>
      <c r="K735" s="31">
        <v>0</v>
      </c>
      <c r="L735" s="29">
        <v>0</v>
      </c>
      <c r="M735" s="29">
        <v>0</v>
      </c>
      <c r="N735" s="29">
        <v>0</v>
      </c>
      <c r="O735" s="29">
        <v>0</v>
      </c>
      <c r="P735" s="29">
        <v>0</v>
      </c>
      <c r="Q735" s="29">
        <v>0</v>
      </c>
      <c r="R735" s="29">
        <v>0</v>
      </c>
      <c r="S735" s="29">
        <v>0</v>
      </c>
      <c r="T735" s="29">
        <v>0</v>
      </c>
      <c r="U735" s="29">
        <v>0</v>
      </c>
      <c r="V735" s="29">
        <v>0</v>
      </c>
      <c r="W735" s="29">
        <v>0</v>
      </c>
      <c r="X735" s="29">
        <v>0</v>
      </c>
      <c r="Y735" s="29">
        <v>0</v>
      </c>
      <c r="Z735" s="29">
        <v>0</v>
      </c>
      <c r="AA735" s="29">
        <v>0</v>
      </c>
      <c r="AB735" s="29">
        <v>800000</v>
      </c>
      <c r="AC735" s="29">
        <f t="shared" ref="AC735" si="118">ROUND((N735+E735+F735+G735+H735+I735+J735+L735+P735+R735+T735+U735+V735+W735+X735+Y735+Z735+AA735+AB735)*1.5%,2)</f>
        <v>43500</v>
      </c>
      <c r="AD735" s="29">
        <v>155117.66</v>
      </c>
      <c r="AE735" s="29">
        <v>0</v>
      </c>
      <c r="AF735" s="32">
        <v>2021</v>
      </c>
      <c r="AG735" s="32">
        <v>2021</v>
      </c>
      <c r="AH735" s="32">
        <v>2021</v>
      </c>
      <c r="BZ735" s="61"/>
      <c r="CD735" s="18" t="e">
        <f>VLOOKUP(C735,CE:CF,2,FALSE)</f>
        <v>#N/A</v>
      </c>
    </row>
    <row r="736" spans="1:82" ht="61.5" x14ac:dyDescent="0.85">
      <c r="A736" s="18">
        <v>1</v>
      </c>
      <c r="B736" s="57">
        <f>SUBTOTAL(103,$A$558:A736)</f>
        <v>177</v>
      </c>
      <c r="C736" s="22" t="s">
        <v>806</v>
      </c>
      <c r="D736" s="29">
        <f t="shared" si="117"/>
        <v>6838398.3999999994</v>
      </c>
      <c r="E736" s="29">
        <v>0</v>
      </c>
      <c r="F736" s="29">
        <v>0</v>
      </c>
      <c r="G736" s="29">
        <v>0</v>
      </c>
      <c r="H736" s="29">
        <v>0</v>
      </c>
      <c r="I736" s="29">
        <v>0</v>
      </c>
      <c r="J736" s="29">
        <v>0</v>
      </c>
      <c r="K736" s="31">
        <v>3</v>
      </c>
      <c r="L736" s="29">
        <v>6708398.3999999994</v>
      </c>
      <c r="M736" s="29">
        <v>0</v>
      </c>
      <c r="N736" s="29">
        <v>0</v>
      </c>
      <c r="O736" s="29">
        <v>0</v>
      </c>
      <c r="P736" s="29">
        <v>0</v>
      </c>
      <c r="Q736" s="29">
        <v>0</v>
      </c>
      <c r="R736" s="29">
        <v>0</v>
      </c>
      <c r="S736" s="29">
        <v>0</v>
      </c>
      <c r="T736" s="29">
        <v>0</v>
      </c>
      <c r="U736" s="29">
        <v>0</v>
      </c>
      <c r="V736" s="29">
        <v>0</v>
      </c>
      <c r="W736" s="29">
        <v>0</v>
      </c>
      <c r="X736" s="29">
        <v>0</v>
      </c>
      <c r="Y736" s="29">
        <v>0</v>
      </c>
      <c r="Z736" s="29">
        <v>0</v>
      </c>
      <c r="AA736" s="29">
        <v>0</v>
      </c>
      <c r="AB736" s="29">
        <v>0</v>
      </c>
      <c r="AC736" s="29">
        <v>0</v>
      </c>
      <c r="AD736" s="29">
        <v>130000</v>
      </c>
      <c r="AE736" s="29">
        <v>0</v>
      </c>
      <c r="AF736" s="32">
        <v>2021</v>
      </c>
      <c r="AG736" s="32">
        <v>2021</v>
      </c>
      <c r="AH736" s="32" t="s">
        <v>268</v>
      </c>
      <c r="BZ736" s="61"/>
      <c r="CD736" s="18" t="e">
        <f>VLOOKUP(C736,CE:CF,2,FALSE)</f>
        <v>#N/A</v>
      </c>
    </row>
    <row r="737" spans="1:82" ht="61.5" x14ac:dyDescent="0.85">
      <c r="A737" s="18">
        <v>1</v>
      </c>
      <c r="B737" s="57">
        <f>SUBTOTAL(103,$A$558:A737)</f>
        <v>178</v>
      </c>
      <c r="C737" s="22" t="s">
        <v>429</v>
      </c>
      <c r="D737" s="29">
        <f t="shared" ref="D737:D739" si="119">E737+F737+G737+H737+I737+J737+L737+N737+P737+R737+T737+U737+V737+W737+X737+Y737+Z737+AA737+AB737+AC737+AD737+AE737</f>
        <v>4607265.5999999996</v>
      </c>
      <c r="E737" s="29">
        <v>0</v>
      </c>
      <c r="F737" s="29">
        <v>0</v>
      </c>
      <c r="G737" s="29">
        <v>0</v>
      </c>
      <c r="H737" s="29">
        <v>0</v>
      </c>
      <c r="I737" s="29">
        <v>0</v>
      </c>
      <c r="J737" s="29">
        <v>0</v>
      </c>
      <c r="K737" s="31">
        <v>2</v>
      </c>
      <c r="L737" s="29">
        <v>4472265.5999999996</v>
      </c>
      <c r="M737" s="29">
        <v>0</v>
      </c>
      <c r="N737" s="29">
        <v>0</v>
      </c>
      <c r="O737" s="29">
        <v>0</v>
      </c>
      <c r="P737" s="29">
        <v>0</v>
      </c>
      <c r="Q737" s="29">
        <v>0</v>
      </c>
      <c r="R737" s="29">
        <v>0</v>
      </c>
      <c r="S737" s="29">
        <v>0</v>
      </c>
      <c r="T737" s="29">
        <v>0</v>
      </c>
      <c r="U737" s="29">
        <v>0</v>
      </c>
      <c r="V737" s="29">
        <v>0</v>
      </c>
      <c r="W737" s="29">
        <v>0</v>
      </c>
      <c r="X737" s="29">
        <v>0</v>
      </c>
      <c r="Y737" s="29">
        <v>0</v>
      </c>
      <c r="Z737" s="29">
        <v>0</v>
      </c>
      <c r="AA737" s="29">
        <v>0</v>
      </c>
      <c r="AB737" s="29">
        <v>0</v>
      </c>
      <c r="AC737" s="29">
        <v>0</v>
      </c>
      <c r="AD737" s="29">
        <v>135000</v>
      </c>
      <c r="AE737" s="29">
        <v>0</v>
      </c>
      <c r="AF737" s="32">
        <v>2021</v>
      </c>
      <c r="AG737" s="32">
        <v>2021</v>
      </c>
      <c r="AH737" s="32" t="s">
        <v>268</v>
      </c>
      <c r="BZ737" s="61"/>
      <c r="CD737" s="18" t="e">
        <f>VLOOKUP(C737,CE:CF,2,FALSE)</f>
        <v>#N/A</v>
      </c>
    </row>
    <row r="738" spans="1:82" ht="61.5" x14ac:dyDescent="0.85">
      <c r="A738" s="18">
        <v>1</v>
      </c>
      <c r="B738" s="57">
        <f>SUBTOTAL(103,$A$558:A738)</f>
        <v>179</v>
      </c>
      <c r="C738" s="22" t="s">
        <v>2641</v>
      </c>
      <c r="D738" s="29">
        <f t="shared" si="119"/>
        <v>2356132.7999999998</v>
      </c>
      <c r="E738" s="29">
        <v>0</v>
      </c>
      <c r="F738" s="29">
        <v>0</v>
      </c>
      <c r="G738" s="29">
        <v>0</v>
      </c>
      <c r="H738" s="29">
        <v>0</v>
      </c>
      <c r="I738" s="29">
        <v>0</v>
      </c>
      <c r="J738" s="29">
        <v>0</v>
      </c>
      <c r="K738" s="31">
        <v>1</v>
      </c>
      <c r="L738" s="29">
        <v>2236132.7999999998</v>
      </c>
      <c r="M738" s="29">
        <v>0</v>
      </c>
      <c r="N738" s="29">
        <v>0</v>
      </c>
      <c r="O738" s="29">
        <v>0</v>
      </c>
      <c r="P738" s="29">
        <v>0</v>
      </c>
      <c r="Q738" s="29">
        <v>0</v>
      </c>
      <c r="R738" s="29">
        <v>0</v>
      </c>
      <c r="S738" s="29">
        <v>0</v>
      </c>
      <c r="T738" s="29">
        <v>0</v>
      </c>
      <c r="U738" s="29">
        <v>0</v>
      </c>
      <c r="V738" s="29">
        <v>0</v>
      </c>
      <c r="W738" s="29">
        <v>0</v>
      </c>
      <c r="X738" s="29">
        <v>0</v>
      </c>
      <c r="Y738" s="29">
        <v>0</v>
      </c>
      <c r="Z738" s="29">
        <v>0</v>
      </c>
      <c r="AA738" s="29">
        <v>0</v>
      </c>
      <c r="AB738" s="29">
        <v>0</v>
      </c>
      <c r="AC738" s="29">
        <v>0</v>
      </c>
      <c r="AD738" s="29">
        <v>120000</v>
      </c>
      <c r="AE738" s="29">
        <v>0</v>
      </c>
      <c r="AF738" s="32">
        <v>2021</v>
      </c>
      <c r="AG738" s="32">
        <v>2021</v>
      </c>
      <c r="AH738" s="32" t="s">
        <v>268</v>
      </c>
      <c r="BZ738" s="61"/>
      <c r="CD738" s="18" t="e">
        <f>VLOOKUP(C738,CE:CF,2,FALSE)</f>
        <v>#N/A</v>
      </c>
    </row>
    <row r="739" spans="1:82" ht="61.5" x14ac:dyDescent="0.85">
      <c r="A739" s="18">
        <v>1</v>
      </c>
      <c r="B739" s="57">
        <f>SUBTOTAL(103,$A$558:A739)</f>
        <v>180</v>
      </c>
      <c r="C739" s="22" t="s">
        <v>2642</v>
      </c>
      <c r="D739" s="29">
        <f t="shared" si="119"/>
        <v>4612265.5999999996</v>
      </c>
      <c r="E739" s="29">
        <v>0</v>
      </c>
      <c r="F739" s="29">
        <v>0</v>
      </c>
      <c r="G739" s="29">
        <v>0</v>
      </c>
      <c r="H739" s="29">
        <v>0</v>
      </c>
      <c r="I739" s="29">
        <v>0</v>
      </c>
      <c r="J739" s="29">
        <v>0</v>
      </c>
      <c r="K739" s="31">
        <v>2</v>
      </c>
      <c r="L739" s="29">
        <v>4472265.5999999996</v>
      </c>
      <c r="M739" s="29">
        <v>0</v>
      </c>
      <c r="N739" s="29">
        <v>0</v>
      </c>
      <c r="O739" s="29">
        <v>0</v>
      </c>
      <c r="P739" s="29">
        <v>0</v>
      </c>
      <c r="Q739" s="29">
        <v>0</v>
      </c>
      <c r="R739" s="29">
        <v>0</v>
      </c>
      <c r="S739" s="29">
        <v>0</v>
      </c>
      <c r="T739" s="29">
        <v>0</v>
      </c>
      <c r="U739" s="29">
        <v>0</v>
      </c>
      <c r="V739" s="29">
        <v>0</v>
      </c>
      <c r="W739" s="29">
        <v>0</v>
      </c>
      <c r="X739" s="29">
        <v>0</v>
      </c>
      <c r="Y739" s="29">
        <v>0</v>
      </c>
      <c r="Z739" s="29">
        <v>0</v>
      </c>
      <c r="AA739" s="29">
        <v>0</v>
      </c>
      <c r="AB739" s="29">
        <v>0</v>
      </c>
      <c r="AC739" s="29">
        <v>0</v>
      </c>
      <c r="AD739" s="29">
        <v>140000</v>
      </c>
      <c r="AE739" s="29">
        <v>0</v>
      </c>
      <c r="AF739" s="32">
        <v>2021</v>
      </c>
      <c r="AG739" s="32">
        <v>2021</v>
      </c>
      <c r="AH739" s="32" t="s">
        <v>268</v>
      </c>
      <c r="BZ739" s="61"/>
      <c r="CD739" s="18" t="e">
        <f>VLOOKUP(C739,CE:CF,2,FALSE)</f>
        <v>#N/A</v>
      </c>
    </row>
    <row r="740" spans="1:82" ht="61.5" x14ac:dyDescent="0.85">
      <c r="A740" s="18">
        <v>1</v>
      </c>
      <c r="B740" s="57">
        <f>SUBTOTAL(103,$A$558:A740)</f>
        <v>181</v>
      </c>
      <c r="C740" s="22" t="s">
        <v>2643</v>
      </c>
      <c r="D740" s="29">
        <f t="shared" si="115"/>
        <v>7037297.8600000003</v>
      </c>
      <c r="E740" s="29">
        <v>0</v>
      </c>
      <c r="F740" s="29">
        <v>0</v>
      </c>
      <c r="G740" s="29">
        <v>0</v>
      </c>
      <c r="H740" s="29">
        <v>0</v>
      </c>
      <c r="I740" s="29">
        <v>0</v>
      </c>
      <c r="J740" s="29">
        <v>0</v>
      </c>
      <c r="K740" s="31">
        <v>3</v>
      </c>
      <c r="L740" s="29">
        <v>6897297.8600000003</v>
      </c>
      <c r="M740" s="29">
        <v>0</v>
      </c>
      <c r="N740" s="29">
        <v>0</v>
      </c>
      <c r="O740" s="29">
        <v>0</v>
      </c>
      <c r="P740" s="29">
        <v>0</v>
      </c>
      <c r="Q740" s="29">
        <v>0</v>
      </c>
      <c r="R740" s="29">
        <v>0</v>
      </c>
      <c r="S740" s="29">
        <v>0</v>
      </c>
      <c r="T740" s="29">
        <v>0</v>
      </c>
      <c r="U740" s="29">
        <v>0</v>
      </c>
      <c r="V740" s="29">
        <v>0</v>
      </c>
      <c r="W740" s="29">
        <v>0</v>
      </c>
      <c r="X740" s="29">
        <v>0</v>
      </c>
      <c r="Y740" s="29">
        <v>0</v>
      </c>
      <c r="Z740" s="29">
        <v>0</v>
      </c>
      <c r="AA740" s="29">
        <v>0</v>
      </c>
      <c r="AB740" s="29">
        <v>0</v>
      </c>
      <c r="AC740" s="29">
        <v>0</v>
      </c>
      <c r="AD740" s="29">
        <v>140000</v>
      </c>
      <c r="AE740" s="29">
        <v>0</v>
      </c>
      <c r="AF740" s="32">
        <v>2021</v>
      </c>
      <c r="AG740" s="32">
        <v>2021</v>
      </c>
      <c r="AH740" s="32" t="s">
        <v>268</v>
      </c>
      <c r="BZ740" s="61"/>
      <c r="CD740" s="18" t="e">
        <f>VLOOKUP(C740,CE:CF,2,FALSE)</f>
        <v>#N/A</v>
      </c>
    </row>
    <row r="741" spans="1:82" ht="61.5" x14ac:dyDescent="0.85">
      <c r="B741" s="22" t="s">
        <v>752</v>
      </c>
      <c r="C741" s="22"/>
      <c r="D741" s="339">
        <f t="shared" ref="D741:AE741" si="120">SUM(D742:D802)</f>
        <v>413498075.70999992</v>
      </c>
      <c r="E741" s="29">
        <f t="shared" si="120"/>
        <v>845974.22</v>
      </c>
      <c r="F741" s="29">
        <f t="shared" si="120"/>
        <v>0</v>
      </c>
      <c r="G741" s="29">
        <f t="shared" si="120"/>
        <v>7605779.9500000011</v>
      </c>
      <c r="H741" s="29">
        <f t="shared" si="120"/>
        <v>1079182.1499999999</v>
      </c>
      <c r="I741" s="29">
        <f t="shared" si="120"/>
        <v>3646652.83</v>
      </c>
      <c r="J741" s="29">
        <f t="shared" si="120"/>
        <v>0</v>
      </c>
      <c r="K741" s="31">
        <f t="shared" si="120"/>
        <v>149</v>
      </c>
      <c r="L741" s="29">
        <f t="shared" si="120"/>
        <v>332300274.51999998</v>
      </c>
      <c r="M741" s="29">
        <f t="shared" si="120"/>
        <v>9885.69</v>
      </c>
      <c r="N741" s="29">
        <f t="shared" si="120"/>
        <v>47556725.109999999</v>
      </c>
      <c r="O741" s="29">
        <f t="shared" si="120"/>
        <v>0</v>
      </c>
      <c r="P741" s="29">
        <f t="shared" si="120"/>
        <v>0</v>
      </c>
      <c r="Q741" s="29">
        <f t="shared" si="120"/>
        <v>3460.1</v>
      </c>
      <c r="R741" s="29">
        <f t="shared" si="120"/>
        <v>11567065.35</v>
      </c>
      <c r="S741" s="29">
        <f t="shared" si="120"/>
        <v>0</v>
      </c>
      <c r="T741" s="29">
        <f t="shared" si="120"/>
        <v>0</v>
      </c>
      <c r="U741" s="29">
        <f t="shared" si="120"/>
        <v>0</v>
      </c>
      <c r="V741" s="29">
        <f t="shared" si="120"/>
        <v>210000</v>
      </c>
      <c r="W741" s="29">
        <f t="shared" si="120"/>
        <v>0</v>
      </c>
      <c r="X741" s="29">
        <f t="shared" si="120"/>
        <v>0</v>
      </c>
      <c r="Y741" s="29">
        <f t="shared" si="120"/>
        <v>0</v>
      </c>
      <c r="Z741" s="29">
        <f t="shared" si="120"/>
        <v>0</v>
      </c>
      <c r="AA741" s="29">
        <f t="shared" si="120"/>
        <v>0</v>
      </c>
      <c r="AB741" s="29">
        <f t="shared" si="120"/>
        <v>0</v>
      </c>
      <c r="AC741" s="29">
        <f t="shared" si="120"/>
        <v>1031031.8199999998</v>
      </c>
      <c r="AD741" s="29">
        <f t="shared" si="120"/>
        <v>7175389.7599999998</v>
      </c>
      <c r="AE741" s="29">
        <f t="shared" si="120"/>
        <v>480000</v>
      </c>
      <c r="AF741" s="62" t="s">
        <v>743</v>
      </c>
      <c r="AG741" s="62" t="s">
        <v>743</v>
      </c>
      <c r="AH741" s="77" t="s">
        <v>743</v>
      </c>
      <c r="AT741" s="18" t="e">
        <f>VLOOKUP(C741,AW:AX,2,FALSE)</f>
        <v>#N/A</v>
      </c>
      <c r="BZ741" s="61">
        <v>43029746.93</v>
      </c>
      <c r="CD741" s="18" t="e">
        <f>VLOOKUP(C741,CE:CF,2,FALSE)</f>
        <v>#N/A</v>
      </c>
    </row>
    <row r="742" spans="1:82" ht="61.5" x14ac:dyDescent="0.85">
      <c r="A742" s="18">
        <v>1</v>
      </c>
      <c r="B742" s="57">
        <f>SUBTOTAL(103,$A$558:A742)</f>
        <v>182</v>
      </c>
      <c r="C742" s="22" t="s">
        <v>765</v>
      </c>
      <c r="D742" s="29">
        <f t="shared" ref="D742:D748" si="121">E742+F742+G742+H742+I742+J742+L742+N742+P742+R742+T742+U742+V742+W742+X742+Y742+Z742+AA742+AB742+AC742+AD742+AE742</f>
        <v>4471618.72</v>
      </c>
      <c r="E742" s="29">
        <v>0</v>
      </c>
      <c r="F742" s="29">
        <v>0</v>
      </c>
      <c r="G742" s="29">
        <v>0</v>
      </c>
      <c r="H742" s="29">
        <v>0</v>
      </c>
      <c r="I742" s="29">
        <v>0</v>
      </c>
      <c r="J742" s="29">
        <v>0</v>
      </c>
      <c r="K742" s="31">
        <v>0</v>
      </c>
      <c r="L742" s="29">
        <v>0</v>
      </c>
      <c r="M742" s="29">
        <v>690</v>
      </c>
      <c r="N742" s="29">
        <v>4297161.3</v>
      </c>
      <c r="O742" s="29">
        <v>0</v>
      </c>
      <c r="P742" s="29">
        <v>0</v>
      </c>
      <c r="Q742" s="29">
        <v>0</v>
      </c>
      <c r="R742" s="29">
        <v>0</v>
      </c>
      <c r="S742" s="29">
        <v>0</v>
      </c>
      <c r="T742" s="29">
        <v>0</v>
      </c>
      <c r="U742" s="29">
        <v>0</v>
      </c>
      <c r="V742" s="29">
        <v>0</v>
      </c>
      <c r="W742" s="29">
        <v>0</v>
      </c>
      <c r="X742" s="29">
        <v>0</v>
      </c>
      <c r="Y742" s="29">
        <v>0</v>
      </c>
      <c r="Z742" s="29">
        <v>0</v>
      </c>
      <c r="AA742" s="29">
        <v>0</v>
      </c>
      <c r="AB742" s="29">
        <v>0</v>
      </c>
      <c r="AC742" s="29">
        <f>ROUND(N742*1.5%,2)</f>
        <v>64457.42</v>
      </c>
      <c r="AD742" s="29">
        <v>110000</v>
      </c>
      <c r="AE742" s="29">
        <v>0</v>
      </c>
      <c r="AF742" s="32">
        <v>2021</v>
      </c>
      <c r="AG742" s="32">
        <v>2021</v>
      </c>
      <c r="AH742" s="33">
        <v>2021</v>
      </c>
      <c r="AT742" s="18" t="e">
        <f>VLOOKUP(C742,AW:AX,2,FALSE)</f>
        <v>#N/A</v>
      </c>
      <c r="BZ742" s="61"/>
      <c r="CD742" s="18" t="e">
        <f>VLOOKUP(C742,CE:CF,2,FALSE)</f>
        <v>#N/A</v>
      </c>
    </row>
    <row r="743" spans="1:82" ht="61.5" x14ac:dyDescent="0.85">
      <c r="A743" s="18">
        <v>1</v>
      </c>
      <c r="B743" s="57">
        <f>SUBTOTAL(103,$A$558:A743)</f>
        <v>183</v>
      </c>
      <c r="C743" s="22" t="s">
        <v>767</v>
      </c>
      <c r="D743" s="29">
        <f t="shared" si="121"/>
        <v>6290060.6799999997</v>
      </c>
      <c r="E743" s="29">
        <v>0</v>
      </c>
      <c r="F743" s="29">
        <v>0</v>
      </c>
      <c r="G743" s="29">
        <v>0</v>
      </c>
      <c r="H743" s="29">
        <v>0</v>
      </c>
      <c r="I743" s="29">
        <v>0</v>
      </c>
      <c r="J743" s="29">
        <v>0</v>
      </c>
      <c r="K743" s="64">
        <v>4</v>
      </c>
      <c r="L743" s="29">
        <f>1572121.42+1572625.42+1573696.42+1571617.42</f>
        <v>6290060.6799999997</v>
      </c>
      <c r="M743" s="29">
        <v>0</v>
      </c>
      <c r="N743" s="29">
        <v>0</v>
      </c>
      <c r="O743" s="29">
        <v>0</v>
      </c>
      <c r="P743" s="29">
        <v>0</v>
      </c>
      <c r="Q743" s="29">
        <v>0</v>
      </c>
      <c r="R743" s="29">
        <v>0</v>
      </c>
      <c r="S743" s="29">
        <v>0</v>
      </c>
      <c r="T743" s="29">
        <v>0</v>
      </c>
      <c r="U743" s="29">
        <v>0</v>
      </c>
      <c r="V743" s="29">
        <v>0</v>
      </c>
      <c r="W743" s="29">
        <v>0</v>
      </c>
      <c r="X743" s="29">
        <v>0</v>
      </c>
      <c r="Y743" s="29">
        <v>0</v>
      </c>
      <c r="Z743" s="29">
        <v>0</v>
      </c>
      <c r="AA743" s="29">
        <v>0</v>
      </c>
      <c r="AB743" s="29">
        <v>0</v>
      </c>
      <c r="AC743" s="29">
        <v>0</v>
      </c>
      <c r="AD743" s="92">
        <v>0</v>
      </c>
      <c r="AE743" s="29">
        <v>0</v>
      </c>
      <c r="AF743" s="33" t="s">
        <v>268</v>
      </c>
      <c r="AG743" s="32">
        <v>2021</v>
      </c>
      <c r="AH743" s="33" t="s">
        <v>268</v>
      </c>
      <c r="AT743" s="18" t="e">
        <f>VLOOKUP(C743,AW:AX,2,FALSE)</f>
        <v>#N/A</v>
      </c>
      <c r="BZ743" s="61"/>
      <c r="CD743" s="18" t="e">
        <f>VLOOKUP(C743,CE:CF,2,FALSE)</f>
        <v>#N/A</v>
      </c>
    </row>
    <row r="744" spans="1:82" ht="61.5" x14ac:dyDescent="0.85">
      <c r="A744" s="18">
        <v>1</v>
      </c>
      <c r="B744" s="57">
        <f>SUBTOTAL(103,$A$558:A744)</f>
        <v>184</v>
      </c>
      <c r="C744" s="22" t="s">
        <v>777</v>
      </c>
      <c r="D744" s="29">
        <f t="shared" si="121"/>
        <v>8753825.4100000001</v>
      </c>
      <c r="E744" s="29">
        <v>0</v>
      </c>
      <c r="F744" s="29">
        <v>0</v>
      </c>
      <c r="G744" s="29">
        <v>0</v>
      </c>
      <c r="H744" s="29">
        <v>0</v>
      </c>
      <c r="I744" s="29">
        <v>0</v>
      </c>
      <c r="J744" s="29">
        <v>0</v>
      </c>
      <c r="K744" s="64">
        <v>4</v>
      </c>
      <c r="L744" s="29">
        <v>8624405.9399999995</v>
      </c>
      <c r="M744" s="29">
        <v>0</v>
      </c>
      <c r="N744" s="29">
        <v>0</v>
      </c>
      <c r="O744" s="29">
        <v>0</v>
      </c>
      <c r="P744" s="29">
        <v>0</v>
      </c>
      <c r="Q744" s="29">
        <v>0</v>
      </c>
      <c r="R744" s="29">
        <v>0</v>
      </c>
      <c r="S744" s="29">
        <v>0</v>
      </c>
      <c r="T744" s="29">
        <v>0</v>
      </c>
      <c r="U744" s="29">
        <v>0</v>
      </c>
      <c r="V744" s="29">
        <v>0</v>
      </c>
      <c r="W744" s="29">
        <v>0</v>
      </c>
      <c r="X744" s="29">
        <v>0</v>
      </c>
      <c r="Y744" s="29">
        <v>0</v>
      </c>
      <c r="Z744" s="29">
        <v>0</v>
      </c>
      <c r="AA744" s="29">
        <v>0</v>
      </c>
      <c r="AB744" s="29">
        <v>0</v>
      </c>
      <c r="AC744" s="29">
        <v>0</v>
      </c>
      <c r="AD744" s="37">
        <v>129419.47</v>
      </c>
      <c r="AE744" s="29">
        <v>0</v>
      </c>
      <c r="AF744" s="32">
        <v>2021</v>
      </c>
      <c r="AG744" s="32">
        <v>2021</v>
      </c>
      <c r="AH744" s="33" t="s">
        <v>268</v>
      </c>
      <c r="AT744" s="18" t="e">
        <f>VLOOKUP(C744,AW:AX,2,FALSE)</f>
        <v>#N/A</v>
      </c>
      <c r="BZ744" s="61"/>
    </row>
    <row r="745" spans="1:82" ht="61.5" x14ac:dyDescent="0.85">
      <c r="A745" s="18">
        <v>1</v>
      </c>
      <c r="B745" s="57">
        <f>SUBTOTAL(103,$A$558:A745)</f>
        <v>185</v>
      </c>
      <c r="C745" s="22" t="s">
        <v>1065</v>
      </c>
      <c r="D745" s="29">
        <f t="shared" si="121"/>
        <v>2932000</v>
      </c>
      <c r="E745" s="29">
        <v>0</v>
      </c>
      <c r="F745" s="29">
        <v>0</v>
      </c>
      <c r="G745" s="29">
        <v>0</v>
      </c>
      <c r="H745" s="29">
        <v>0</v>
      </c>
      <c r="I745" s="29">
        <v>0</v>
      </c>
      <c r="J745" s="29">
        <v>0</v>
      </c>
      <c r="K745" s="31">
        <v>0</v>
      </c>
      <c r="L745" s="29">
        <v>0</v>
      </c>
      <c r="M745" s="29">
        <v>590</v>
      </c>
      <c r="N745" s="29">
        <v>2790147.78</v>
      </c>
      <c r="O745" s="29">
        <v>0</v>
      </c>
      <c r="P745" s="29">
        <v>0</v>
      </c>
      <c r="Q745" s="29">
        <v>0</v>
      </c>
      <c r="R745" s="29">
        <v>0</v>
      </c>
      <c r="S745" s="29">
        <v>0</v>
      </c>
      <c r="T745" s="29">
        <v>0</v>
      </c>
      <c r="U745" s="29">
        <v>0</v>
      </c>
      <c r="V745" s="29">
        <v>0</v>
      </c>
      <c r="W745" s="29">
        <v>0</v>
      </c>
      <c r="X745" s="29">
        <v>0</v>
      </c>
      <c r="Y745" s="29">
        <v>0</v>
      </c>
      <c r="Z745" s="29">
        <v>0</v>
      </c>
      <c r="AA745" s="29">
        <v>0</v>
      </c>
      <c r="AB745" s="29">
        <v>0</v>
      </c>
      <c r="AC745" s="29">
        <f>ROUND(N745*1.5%,2)</f>
        <v>41852.22</v>
      </c>
      <c r="AD745" s="29">
        <v>100000</v>
      </c>
      <c r="AE745" s="29">
        <v>0</v>
      </c>
      <c r="AF745" s="32">
        <v>2021</v>
      </c>
      <c r="AG745" s="32">
        <v>2021</v>
      </c>
      <c r="AH745" s="33">
        <v>2021</v>
      </c>
      <c r="AT745" s="18" t="e">
        <f>VLOOKUP(C745,AW:AX,2,FALSE)</f>
        <v>#N/A</v>
      </c>
      <c r="BZ745" s="61"/>
      <c r="CD745" s="18" t="e">
        <f>VLOOKUP(C745,CE:CF,2,FALSE)</f>
        <v>#N/A</v>
      </c>
    </row>
    <row r="746" spans="1:82" ht="61.5" x14ac:dyDescent="0.85">
      <c r="A746" s="18">
        <v>1</v>
      </c>
      <c r="B746" s="57">
        <f>SUBTOTAL(103,$A$558:A746)</f>
        <v>186</v>
      </c>
      <c r="C746" s="22" t="s">
        <v>770</v>
      </c>
      <c r="D746" s="29">
        <f t="shared" si="121"/>
        <v>7434649.2800000003</v>
      </c>
      <c r="E746" s="29">
        <v>0</v>
      </c>
      <c r="F746" s="29">
        <v>0</v>
      </c>
      <c r="G746" s="29">
        <v>0</v>
      </c>
      <c r="H746" s="29">
        <v>0</v>
      </c>
      <c r="I746" s="29">
        <v>0</v>
      </c>
      <c r="J746" s="29">
        <v>0</v>
      </c>
      <c r="K746" s="31">
        <v>0</v>
      </c>
      <c r="L746" s="29">
        <v>0</v>
      </c>
      <c r="M746" s="29">
        <v>1154</v>
      </c>
      <c r="N746" s="29">
        <v>7186846.5800000001</v>
      </c>
      <c r="O746" s="29">
        <v>0</v>
      </c>
      <c r="P746" s="29">
        <v>0</v>
      </c>
      <c r="Q746" s="29">
        <v>0</v>
      </c>
      <c r="R746" s="29">
        <v>0</v>
      </c>
      <c r="S746" s="29">
        <v>0</v>
      </c>
      <c r="T746" s="29">
        <v>0</v>
      </c>
      <c r="U746" s="29">
        <v>0</v>
      </c>
      <c r="V746" s="29">
        <v>0</v>
      </c>
      <c r="W746" s="29">
        <v>0</v>
      </c>
      <c r="X746" s="29">
        <v>0</v>
      </c>
      <c r="Y746" s="29">
        <v>0</v>
      </c>
      <c r="Z746" s="29">
        <v>0</v>
      </c>
      <c r="AA746" s="29">
        <v>0</v>
      </c>
      <c r="AB746" s="29">
        <v>0</v>
      </c>
      <c r="AC746" s="29">
        <f>ROUND(N746*1.5%,2)</f>
        <v>107802.7</v>
      </c>
      <c r="AD746" s="29">
        <v>140000</v>
      </c>
      <c r="AE746" s="29">
        <v>0</v>
      </c>
      <c r="AF746" s="32">
        <v>2021</v>
      </c>
      <c r="AG746" s="32">
        <v>2021</v>
      </c>
      <c r="AH746" s="33">
        <v>2021</v>
      </c>
      <c r="AT746" s="18" t="e">
        <f>VLOOKUP(C746,AW:AX,2,FALSE)</f>
        <v>#N/A</v>
      </c>
      <c r="BZ746" s="61"/>
      <c r="CD746" s="18" t="e">
        <f>VLOOKUP(C746,CE:CF,2,FALSE)</f>
        <v>#N/A</v>
      </c>
    </row>
    <row r="747" spans="1:82" ht="61.5" x14ac:dyDescent="0.85">
      <c r="A747" s="18">
        <v>1</v>
      </c>
      <c r="B747" s="57">
        <f>SUBTOTAL(103,$A$558:A747)</f>
        <v>187</v>
      </c>
      <c r="C747" s="22" t="s">
        <v>1589</v>
      </c>
      <c r="D747" s="29">
        <f t="shared" si="121"/>
        <v>3890000</v>
      </c>
      <c r="E747" s="29">
        <v>0</v>
      </c>
      <c r="F747" s="29">
        <v>0</v>
      </c>
      <c r="G747" s="29">
        <v>0</v>
      </c>
      <c r="H747" s="29">
        <v>0</v>
      </c>
      <c r="I747" s="29">
        <v>0</v>
      </c>
      <c r="J747" s="29">
        <v>0</v>
      </c>
      <c r="K747" s="31">
        <v>0</v>
      </c>
      <c r="L747" s="29">
        <v>0</v>
      </c>
      <c r="M747" s="29">
        <v>778</v>
      </c>
      <c r="N747" s="29">
        <v>3714285.71</v>
      </c>
      <c r="O747" s="29">
        <v>0</v>
      </c>
      <c r="P747" s="29">
        <v>0</v>
      </c>
      <c r="Q747" s="29">
        <v>0</v>
      </c>
      <c r="R747" s="29">
        <v>0</v>
      </c>
      <c r="S747" s="29">
        <v>0</v>
      </c>
      <c r="T747" s="29">
        <v>0</v>
      </c>
      <c r="U747" s="29">
        <v>0</v>
      </c>
      <c r="V747" s="29">
        <v>0</v>
      </c>
      <c r="W747" s="29">
        <v>0</v>
      </c>
      <c r="X747" s="29">
        <v>0</v>
      </c>
      <c r="Y747" s="29">
        <v>0</v>
      </c>
      <c r="Z747" s="29">
        <v>0</v>
      </c>
      <c r="AA747" s="29">
        <v>0</v>
      </c>
      <c r="AB747" s="29">
        <v>0</v>
      </c>
      <c r="AC747" s="29">
        <f>ROUND(N747*1.5%,2)</f>
        <v>55714.29</v>
      </c>
      <c r="AD747" s="29">
        <v>120000</v>
      </c>
      <c r="AE747" s="29">
        <v>0</v>
      </c>
      <c r="AF747" s="32">
        <v>2021</v>
      </c>
      <c r="AG747" s="32">
        <v>2021</v>
      </c>
      <c r="AH747" s="33">
        <v>2021</v>
      </c>
      <c r="BZ747" s="61"/>
      <c r="CD747" s="18" t="e">
        <f>VLOOKUP(C747,CE:CF,2,FALSE)</f>
        <v>#N/A</v>
      </c>
    </row>
    <row r="748" spans="1:82" ht="61.5" x14ac:dyDescent="0.85">
      <c r="A748" s="18">
        <v>1</v>
      </c>
      <c r="B748" s="57">
        <f>SUBTOTAL(103,$A$558:A748)</f>
        <v>188</v>
      </c>
      <c r="C748" s="22" t="s">
        <v>1157</v>
      </c>
      <c r="D748" s="29">
        <f t="shared" si="121"/>
        <v>7809146.6200000001</v>
      </c>
      <c r="E748" s="29">
        <v>0</v>
      </c>
      <c r="F748" s="29">
        <v>0</v>
      </c>
      <c r="G748" s="29">
        <v>0</v>
      </c>
      <c r="H748" s="29">
        <v>0</v>
      </c>
      <c r="I748" s="29">
        <v>0</v>
      </c>
      <c r="J748" s="29">
        <v>0</v>
      </c>
      <c r="K748" s="31">
        <v>0</v>
      </c>
      <c r="L748" s="29">
        <v>0</v>
      </c>
      <c r="M748" s="29">
        <v>750</v>
      </c>
      <c r="N748" s="29">
        <v>3775925.61</v>
      </c>
      <c r="O748" s="29">
        <v>0</v>
      </c>
      <c r="P748" s="29">
        <v>0</v>
      </c>
      <c r="Q748" s="29">
        <v>2058.1</v>
      </c>
      <c r="R748" s="29">
        <v>3737163.56</v>
      </c>
      <c r="S748" s="29">
        <v>0</v>
      </c>
      <c r="T748" s="29">
        <v>0</v>
      </c>
      <c r="U748" s="29">
        <v>0</v>
      </c>
      <c r="V748" s="29">
        <v>0</v>
      </c>
      <c r="W748" s="29">
        <v>0</v>
      </c>
      <c r="X748" s="29">
        <v>0</v>
      </c>
      <c r="Y748" s="29">
        <v>0</v>
      </c>
      <c r="Z748" s="29">
        <v>0</v>
      </c>
      <c r="AA748" s="29">
        <v>0</v>
      </c>
      <c r="AB748" s="29">
        <v>0</v>
      </c>
      <c r="AC748" s="29">
        <f>ROUND(R748*1.5%,2)</f>
        <v>56057.45</v>
      </c>
      <c r="AD748" s="29">
        <v>0</v>
      </c>
      <c r="AE748" s="29">
        <v>240000</v>
      </c>
      <c r="AF748" s="32" t="s">
        <v>268</v>
      </c>
      <c r="AG748" s="32">
        <v>2021</v>
      </c>
      <c r="AH748" s="33">
        <v>2021</v>
      </c>
      <c r="BZ748" s="61"/>
      <c r="CD748" s="18" t="e">
        <f>VLOOKUP(C748,CE:CF,2,FALSE)</f>
        <v>#N/A</v>
      </c>
    </row>
    <row r="749" spans="1:82" ht="61.5" x14ac:dyDescent="0.85">
      <c r="A749" s="18">
        <v>1</v>
      </c>
      <c r="B749" s="57">
        <f>SUBTOTAL(103,$A$558:A749)</f>
        <v>189</v>
      </c>
      <c r="C749" s="22" t="s">
        <v>762</v>
      </c>
      <c r="D749" s="29">
        <f t="shared" ref="D749:D761" si="122">E749+F749+G749+H749+I749+J749+L749+N749+P749+R749+T749+U749+V749+W749+X749+Y749+Z749+AA749+AB749+AC749+AD749+AE749</f>
        <v>5986097.9500000002</v>
      </c>
      <c r="E749" s="29">
        <v>0</v>
      </c>
      <c r="F749" s="29">
        <v>0</v>
      </c>
      <c r="G749" s="29">
        <v>0</v>
      </c>
      <c r="H749" s="29">
        <v>0</v>
      </c>
      <c r="I749" s="29">
        <v>0</v>
      </c>
      <c r="J749" s="29">
        <v>0</v>
      </c>
      <c r="K749" s="31">
        <v>0</v>
      </c>
      <c r="L749" s="29">
        <v>0</v>
      </c>
      <c r="M749" s="37">
        <v>1274</v>
      </c>
      <c r="N749" s="37">
        <v>5897633.4500000002</v>
      </c>
      <c r="O749" s="29">
        <v>0</v>
      </c>
      <c r="P749" s="29">
        <v>0</v>
      </c>
      <c r="Q749" s="29">
        <v>0</v>
      </c>
      <c r="R749" s="29">
        <v>0</v>
      </c>
      <c r="S749" s="29">
        <v>0</v>
      </c>
      <c r="T749" s="29">
        <v>0</v>
      </c>
      <c r="U749" s="29">
        <v>0</v>
      </c>
      <c r="V749" s="29">
        <v>0</v>
      </c>
      <c r="W749" s="29">
        <v>0</v>
      </c>
      <c r="X749" s="29">
        <v>0</v>
      </c>
      <c r="Y749" s="29">
        <v>0</v>
      </c>
      <c r="Z749" s="29">
        <v>0</v>
      </c>
      <c r="AA749" s="29">
        <v>0</v>
      </c>
      <c r="AB749" s="29">
        <v>0</v>
      </c>
      <c r="AC749" s="29">
        <f>ROUND(N749*1.5%,2)</f>
        <v>88464.5</v>
      </c>
      <c r="AD749" s="29">
        <v>0</v>
      </c>
      <c r="AE749" s="29">
        <v>0</v>
      </c>
      <c r="AF749" s="32" t="s">
        <v>268</v>
      </c>
      <c r="AG749" s="32">
        <v>2021</v>
      </c>
      <c r="AH749" s="33">
        <v>2021</v>
      </c>
      <c r="AT749" s="18" t="e">
        <f>VLOOKUP(C749,AW:AX,2,FALSE)</f>
        <v>#N/A</v>
      </c>
      <c r="BZ749" s="61"/>
      <c r="CD749" s="18">
        <f>VLOOKUP(C749,CE:CF,2,FALSE)</f>
        <v>1319.27</v>
      </c>
    </row>
    <row r="750" spans="1:82" ht="61.5" x14ac:dyDescent="0.85">
      <c r="A750" s="18">
        <v>1</v>
      </c>
      <c r="B750" s="57">
        <f>SUBTOTAL(103,$A$558:A750)</f>
        <v>190</v>
      </c>
      <c r="C750" s="22" t="s">
        <v>1154</v>
      </c>
      <c r="D750" s="29">
        <f t="shared" si="122"/>
        <v>2332950.83</v>
      </c>
      <c r="E750" s="29">
        <v>96377</v>
      </c>
      <c r="F750" s="29">
        <v>0</v>
      </c>
      <c r="G750" s="29">
        <v>2023822.85</v>
      </c>
      <c r="H750" s="29">
        <v>178273.87</v>
      </c>
      <c r="I750" s="134">
        <v>0</v>
      </c>
      <c r="J750" s="29">
        <v>0</v>
      </c>
      <c r="K750" s="31">
        <v>0</v>
      </c>
      <c r="L750" s="29">
        <v>0</v>
      </c>
      <c r="M750" s="29">
        <v>0</v>
      </c>
      <c r="N750" s="29">
        <v>0</v>
      </c>
      <c r="O750" s="29">
        <v>0</v>
      </c>
      <c r="P750" s="29">
        <v>0</v>
      </c>
      <c r="Q750" s="29">
        <v>0</v>
      </c>
      <c r="R750" s="29">
        <v>0</v>
      </c>
      <c r="S750" s="29">
        <v>0</v>
      </c>
      <c r="T750" s="29">
        <v>0</v>
      </c>
      <c r="U750" s="29">
        <v>0</v>
      </c>
      <c r="V750" s="29">
        <v>0</v>
      </c>
      <c r="W750" s="29">
        <v>0</v>
      </c>
      <c r="X750" s="29">
        <v>0</v>
      </c>
      <c r="Y750" s="29">
        <v>0</v>
      </c>
      <c r="Z750" s="29">
        <v>0</v>
      </c>
      <c r="AA750" s="29">
        <v>0</v>
      </c>
      <c r="AB750" s="29">
        <v>0</v>
      </c>
      <c r="AC750" s="29">
        <f>ROUND((E750+F750+G750+H750+I750+J750)*1.5%,2)</f>
        <v>34477.11</v>
      </c>
      <c r="AD750" s="29">
        <v>0</v>
      </c>
      <c r="AE750" s="29">
        <v>0</v>
      </c>
      <c r="AF750" s="32" t="s">
        <v>268</v>
      </c>
      <c r="AG750" s="32">
        <v>2021</v>
      </c>
      <c r="AH750" s="33">
        <v>2021</v>
      </c>
      <c r="BZ750" s="61"/>
      <c r="CD750" s="18" t="e">
        <f>VLOOKUP(C750,CE:CF,2,FALSE)</f>
        <v>#N/A</v>
      </c>
    </row>
    <row r="751" spans="1:82" ht="61.5" x14ac:dyDescent="0.85">
      <c r="A751" s="18">
        <v>1</v>
      </c>
      <c r="B751" s="57">
        <f>SUBTOTAL(103,$A$558:A751)</f>
        <v>191</v>
      </c>
      <c r="C751" s="22" t="s">
        <v>753</v>
      </c>
      <c r="D751" s="29">
        <f t="shared" si="122"/>
        <v>7947350.3199999994</v>
      </c>
      <c r="E751" s="29">
        <v>0</v>
      </c>
      <c r="F751" s="29">
        <v>0</v>
      </c>
      <c r="G751" s="29">
        <v>0</v>
      </c>
      <c r="H751" s="29">
        <v>0</v>
      </c>
      <c r="I751" s="29">
        <v>0</v>
      </c>
      <c r="J751" s="29">
        <v>0</v>
      </c>
      <c r="K751" s="31">
        <v>0</v>
      </c>
      <c r="L751" s="29">
        <v>0</v>
      </c>
      <c r="M751" s="29">
        <v>0</v>
      </c>
      <c r="N751" s="29">
        <v>0</v>
      </c>
      <c r="O751" s="29">
        <v>0</v>
      </c>
      <c r="P751" s="29">
        <v>0</v>
      </c>
      <c r="Q751" s="29">
        <v>1402</v>
      </c>
      <c r="R751" s="29">
        <v>7829901.7899999991</v>
      </c>
      <c r="S751" s="29">
        <v>0</v>
      </c>
      <c r="T751" s="29">
        <v>0</v>
      </c>
      <c r="U751" s="29">
        <v>0</v>
      </c>
      <c r="V751" s="29">
        <v>0</v>
      </c>
      <c r="W751" s="29">
        <v>0</v>
      </c>
      <c r="X751" s="29">
        <v>0</v>
      </c>
      <c r="Y751" s="29">
        <v>0</v>
      </c>
      <c r="Z751" s="29">
        <v>0</v>
      </c>
      <c r="AA751" s="29">
        <v>0</v>
      </c>
      <c r="AB751" s="29">
        <v>0</v>
      </c>
      <c r="AC751" s="29">
        <f>ROUND(R751*1.5%,2)</f>
        <v>117448.53</v>
      </c>
      <c r="AD751" s="29">
        <v>0</v>
      </c>
      <c r="AE751" s="29">
        <v>0</v>
      </c>
      <c r="AF751" s="32" t="s">
        <v>268</v>
      </c>
      <c r="AG751" s="32">
        <v>2021</v>
      </c>
      <c r="AH751" s="33">
        <v>2021</v>
      </c>
      <c r="AT751" s="18" t="e">
        <f>VLOOKUP(C751,AW:AX,2,FALSE)</f>
        <v>#N/A</v>
      </c>
      <c r="BZ751" s="61"/>
      <c r="CD751" s="18" t="e">
        <f>VLOOKUP(C751,CE:CF,2,FALSE)</f>
        <v>#N/A</v>
      </c>
    </row>
    <row r="752" spans="1:82" ht="61.5" x14ac:dyDescent="0.85">
      <c r="A752" s="18">
        <v>1</v>
      </c>
      <c r="B752" s="57">
        <f>SUBTOTAL(103,$A$558:A752)</f>
        <v>192</v>
      </c>
      <c r="C752" s="22" t="s">
        <v>755</v>
      </c>
      <c r="D752" s="29">
        <f t="shared" si="122"/>
        <v>1201122</v>
      </c>
      <c r="E752" s="29">
        <v>0</v>
      </c>
      <c r="F752" s="29">
        <v>0</v>
      </c>
      <c r="G752" s="29">
        <v>0</v>
      </c>
      <c r="H752" s="29">
        <v>0</v>
      </c>
      <c r="I752" s="29">
        <v>0</v>
      </c>
      <c r="J752" s="29">
        <v>0</v>
      </c>
      <c r="K752" s="31">
        <v>0</v>
      </c>
      <c r="L752" s="29">
        <v>0</v>
      </c>
      <c r="M752" s="29">
        <v>265</v>
      </c>
      <c r="N752" s="37">
        <v>1183371.43</v>
      </c>
      <c r="O752" s="29">
        <v>0</v>
      </c>
      <c r="P752" s="29">
        <v>0</v>
      </c>
      <c r="Q752" s="29">
        <v>0</v>
      </c>
      <c r="R752" s="29">
        <v>0</v>
      </c>
      <c r="S752" s="29">
        <v>0</v>
      </c>
      <c r="T752" s="29">
        <v>0</v>
      </c>
      <c r="U752" s="29">
        <v>0</v>
      </c>
      <c r="V752" s="29">
        <v>0</v>
      </c>
      <c r="W752" s="29">
        <v>0</v>
      </c>
      <c r="X752" s="29">
        <v>0</v>
      </c>
      <c r="Y752" s="29">
        <v>0</v>
      </c>
      <c r="Z752" s="29">
        <v>0</v>
      </c>
      <c r="AA752" s="29">
        <v>0</v>
      </c>
      <c r="AB752" s="29">
        <v>0</v>
      </c>
      <c r="AC752" s="29">
        <f>ROUND(N752*1.5%,2)</f>
        <v>17750.57</v>
      </c>
      <c r="AD752" s="29">
        <v>0</v>
      </c>
      <c r="AE752" s="29">
        <v>0</v>
      </c>
      <c r="AF752" s="32" t="s">
        <v>268</v>
      </c>
      <c r="AG752" s="32">
        <v>2021</v>
      </c>
      <c r="AH752" s="33">
        <v>2021</v>
      </c>
      <c r="AT752" s="18" t="e">
        <f>VLOOKUP(C752,AW:AX,2,FALSE)</f>
        <v>#N/A</v>
      </c>
      <c r="BZ752" s="61"/>
      <c r="CD752" s="18" t="e">
        <f>VLOOKUP(C752,CE:CF,2,FALSE)</f>
        <v>#N/A</v>
      </c>
    </row>
    <row r="753" spans="1:82" ht="61.5" x14ac:dyDescent="0.85">
      <c r="A753" s="18">
        <v>1</v>
      </c>
      <c r="B753" s="57">
        <f>SUBTOTAL(103,$A$558:A753)</f>
        <v>193</v>
      </c>
      <c r="C753" s="22" t="s">
        <v>760</v>
      </c>
      <c r="D753" s="29">
        <f t="shared" si="122"/>
        <v>9310459.7000000011</v>
      </c>
      <c r="E753" s="29">
        <v>749597.22</v>
      </c>
      <c r="F753" s="29">
        <v>0</v>
      </c>
      <c r="G753" s="29">
        <f>6632817.44-1050860.34</f>
        <v>5581957.1000000006</v>
      </c>
      <c r="H753" s="29">
        <v>900908.28</v>
      </c>
      <c r="I753" s="29">
        <v>1694890.44</v>
      </c>
      <c r="J753" s="29">
        <v>0</v>
      </c>
      <c r="K753" s="31">
        <v>0</v>
      </c>
      <c r="L753" s="29">
        <v>0</v>
      </c>
      <c r="M753" s="29">
        <v>0</v>
      </c>
      <c r="N753" s="29">
        <v>0</v>
      </c>
      <c r="O753" s="29">
        <v>0</v>
      </c>
      <c r="P753" s="29">
        <v>0</v>
      </c>
      <c r="Q753" s="29">
        <v>0</v>
      </c>
      <c r="R753" s="29">
        <v>0</v>
      </c>
      <c r="S753" s="29">
        <v>0</v>
      </c>
      <c r="T753" s="29">
        <v>0</v>
      </c>
      <c r="U753" s="29">
        <v>0</v>
      </c>
      <c r="V753" s="29">
        <v>0</v>
      </c>
      <c r="W753" s="29">
        <v>0</v>
      </c>
      <c r="X753" s="29">
        <v>0</v>
      </c>
      <c r="Y753" s="29">
        <v>0</v>
      </c>
      <c r="Z753" s="29">
        <v>0</v>
      </c>
      <c r="AA753" s="29">
        <v>0</v>
      </c>
      <c r="AB753" s="29">
        <v>0</v>
      </c>
      <c r="AC753" s="29">
        <f>ROUND((E753+F753+G753+H753+I753+J753)*1.5%,2)</f>
        <v>133910.29999999999</v>
      </c>
      <c r="AD753" s="37">
        <v>249196.36</v>
      </c>
      <c r="AE753" s="29">
        <v>0</v>
      </c>
      <c r="AF753" s="32">
        <v>2021</v>
      </c>
      <c r="AG753" s="32">
        <v>2021</v>
      </c>
      <c r="AH753" s="33">
        <v>2021</v>
      </c>
      <c r="AT753" s="18" t="e">
        <f>VLOOKUP(C753,AW:AX,2,FALSE)</f>
        <v>#N/A</v>
      </c>
      <c r="BZ753" s="61"/>
      <c r="CD753" s="18" t="e">
        <f>VLOOKUP(C753,CE:CF,2,FALSE)</f>
        <v>#N/A</v>
      </c>
    </row>
    <row r="754" spans="1:82" ht="61.5" x14ac:dyDescent="0.85">
      <c r="A754" s="18">
        <v>1</v>
      </c>
      <c r="B754" s="57">
        <f>SUBTOTAL(103,$A$558:A754)</f>
        <v>194</v>
      </c>
      <c r="C754" s="22" t="s">
        <v>763</v>
      </c>
      <c r="D754" s="29">
        <f t="shared" si="122"/>
        <v>4670502.53</v>
      </c>
      <c r="E754" s="29">
        <v>0</v>
      </c>
      <c r="F754" s="29">
        <v>0</v>
      </c>
      <c r="G754" s="29">
        <v>0</v>
      </c>
      <c r="H754" s="29">
        <v>0</v>
      </c>
      <c r="I754" s="29">
        <v>0</v>
      </c>
      <c r="J754" s="29">
        <v>0</v>
      </c>
      <c r="K754" s="31">
        <v>0</v>
      </c>
      <c r="L754" s="29">
        <v>0</v>
      </c>
      <c r="M754" s="29">
        <v>1080</v>
      </c>
      <c r="N754" s="29">
        <f>4913159.8-225912.46-85767.01</f>
        <v>4601480.33</v>
      </c>
      <c r="O754" s="29">
        <v>0</v>
      </c>
      <c r="P754" s="29">
        <v>0</v>
      </c>
      <c r="Q754" s="29">
        <v>0</v>
      </c>
      <c r="R754" s="29">
        <v>0</v>
      </c>
      <c r="S754" s="29">
        <v>0</v>
      </c>
      <c r="T754" s="29">
        <v>0</v>
      </c>
      <c r="U754" s="29">
        <v>0</v>
      </c>
      <c r="V754" s="29">
        <v>0</v>
      </c>
      <c r="W754" s="29">
        <v>0</v>
      </c>
      <c r="X754" s="29">
        <v>0</v>
      </c>
      <c r="Y754" s="29">
        <v>0</v>
      </c>
      <c r="Z754" s="29">
        <v>0</v>
      </c>
      <c r="AA754" s="29">
        <v>0</v>
      </c>
      <c r="AB754" s="29">
        <v>0</v>
      </c>
      <c r="AC754" s="29">
        <f>ROUND(N754*1.5%,2)</f>
        <v>69022.2</v>
      </c>
      <c r="AD754" s="29">
        <v>0</v>
      </c>
      <c r="AE754" s="29">
        <v>0</v>
      </c>
      <c r="AF754" s="32" t="s">
        <v>268</v>
      </c>
      <c r="AG754" s="32">
        <v>2021</v>
      </c>
      <c r="AH754" s="33">
        <v>2021</v>
      </c>
      <c r="AT754" s="18" t="e">
        <f>VLOOKUP(C754,AW:AX,2,FALSE)</f>
        <v>#N/A</v>
      </c>
      <c r="BZ754" s="61"/>
      <c r="CD754" s="18" t="e">
        <f>VLOOKUP(C754,CE:CF,2,FALSE)</f>
        <v>#N/A</v>
      </c>
    </row>
    <row r="755" spans="1:82" ht="61.5" x14ac:dyDescent="0.85">
      <c r="A755" s="18">
        <v>1</v>
      </c>
      <c r="B755" s="57">
        <f>SUBTOTAL(103,$A$558:A755)</f>
        <v>195</v>
      </c>
      <c r="C755" s="22" t="s">
        <v>1156</v>
      </c>
      <c r="D755" s="29">
        <f>E755+F755+G755+H755+I755+J755+L755+N755+P755+R755+T755+U755+V755+W755+X755+Y755+Z755+AA755+AB755+AC755+AD755+AE755</f>
        <v>494528.3</v>
      </c>
      <c r="E755" s="29">
        <v>0</v>
      </c>
      <c r="F755" s="29">
        <v>0</v>
      </c>
      <c r="G755" s="29">
        <v>0</v>
      </c>
      <c r="H755" s="29">
        <v>0</v>
      </c>
      <c r="I755" s="29">
        <v>487220</v>
      </c>
      <c r="J755" s="29">
        <v>0</v>
      </c>
      <c r="K755" s="31">
        <v>0</v>
      </c>
      <c r="L755" s="29">
        <v>0</v>
      </c>
      <c r="M755" s="29">
        <v>0</v>
      </c>
      <c r="N755" s="29">
        <v>0</v>
      </c>
      <c r="O755" s="29">
        <v>0</v>
      </c>
      <c r="P755" s="29">
        <v>0</v>
      </c>
      <c r="Q755" s="29">
        <v>0</v>
      </c>
      <c r="R755" s="29">
        <v>0</v>
      </c>
      <c r="S755" s="29">
        <v>0</v>
      </c>
      <c r="T755" s="29">
        <v>0</v>
      </c>
      <c r="U755" s="29">
        <v>0</v>
      </c>
      <c r="V755" s="29">
        <v>0</v>
      </c>
      <c r="W755" s="29">
        <v>0</v>
      </c>
      <c r="X755" s="29">
        <v>0</v>
      </c>
      <c r="Y755" s="29">
        <v>0</v>
      </c>
      <c r="Z755" s="29">
        <v>0</v>
      </c>
      <c r="AA755" s="29">
        <v>0</v>
      </c>
      <c r="AB755" s="29">
        <v>0</v>
      </c>
      <c r="AC755" s="29">
        <f>ROUND((E755+F755+G755+H755+I755+J755)*1.5%,2)</f>
        <v>7308.3</v>
      </c>
      <c r="AD755" s="29">
        <v>0</v>
      </c>
      <c r="AE755" s="29">
        <v>0</v>
      </c>
      <c r="AF755" s="32" t="s">
        <v>268</v>
      </c>
      <c r="AG755" s="32">
        <v>2021</v>
      </c>
      <c r="AH755" s="33">
        <v>2021</v>
      </c>
      <c r="BZ755" s="61"/>
      <c r="CD755" s="18" t="e">
        <f>VLOOKUP(C755,CE:CF,2,FALSE)</f>
        <v>#N/A</v>
      </c>
    </row>
    <row r="756" spans="1:82" ht="61.5" x14ac:dyDescent="0.85">
      <c r="A756" s="18">
        <v>1</v>
      </c>
      <c r="B756" s="57">
        <f>SUBTOTAL(103,$A$558:A756)</f>
        <v>196</v>
      </c>
      <c r="C756" s="22" t="s">
        <v>1267</v>
      </c>
      <c r="D756" s="29">
        <f t="shared" si="122"/>
        <v>6222564.71</v>
      </c>
      <c r="E756" s="29">
        <v>0</v>
      </c>
      <c r="F756" s="29">
        <v>0</v>
      </c>
      <c r="G756" s="29">
        <v>0</v>
      </c>
      <c r="H756" s="29">
        <v>0</v>
      </c>
      <c r="I756" s="29">
        <v>0</v>
      </c>
      <c r="J756" s="29">
        <v>0</v>
      </c>
      <c r="K756" s="31">
        <v>0</v>
      </c>
      <c r="L756" s="29">
        <v>0</v>
      </c>
      <c r="M756" s="29">
        <v>1548.79</v>
      </c>
      <c r="N756" s="29">
        <f>6669512.32+1022599.21-1561505.91</f>
        <v>6130605.6200000001</v>
      </c>
      <c r="O756" s="29">
        <v>0</v>
      </c>
      <c r="P756" s="29">
        <v>0</v>
      </c>
      <c r="Q756" s="29">
        <v>0</v>
      </c>
      <c r="R756" s="29">
        <v>0</v>
      </c>
      <c r="S756" s="29">
        <v>0</v>
      </c>
      <c r="T756" s="29">
        <v>0</v>
      </c>
      <c r="U756" s="29">
        <v>0</v>
      </c>
      <c r="V756" s="29">
        <v>0</v>
      </c>
      <c r="W756" s="29">
        <v>0</v>
      </c>
      <c r="X756" s="29">
        <v>0</v>
      </c>
      <c r="Y756" s="29">
        <v>0</v>
      </c>
      <c r="Z756" s="29">
        <v>0</v>
      </c>
      <c r="AA756" s="29">
        <v>0</v>
      </c>
      <c r="AB756" s="29">
        <v>0</v>
      </c>
      <c r="AC756" s="29">
        <f>ROUND(N756*1.5%,2)+0.01</f>
        <v>91959.09</v>
      </c>
      <c r="AD756" s="29">
        <v>0</v>
      </c>
      <c r="AE756" s="29">
        <v>0</v>
      </c>
      <c r="AF756" s="32" t="s">
        <v>268</v>
      </c>
      <c r="AG756" s="32">
        <v>2021</v>
      </c>
      <c r="AH756" s="33">
        <v>2021</v>
      </c>
      <c r="BZ756" s="61"/>
      <c r="CD756" s="18" t="e">
        <f>VLOOKUP(C756,CE:CF,2,FALSE)</f>
        <v>#N/A</v>
      </c>
    </row>
    <row r="757" spans="1:82" ht="61.5" x14ac:dyDescent="0.85">
      <c r="A757" s="18">
        <v>1</v>
      </c>
      <c r="B757" s="57">
        <f>SUBTOTAL(103,$A$558:A757)</f>
        <v>197</v>
      </c>
      <c r="C757" s="22" t="s">
        <v>1658</v>
      </c>
      <c r="D757" s="29">
        <f t="shared" si="122"/>
        <v>213150</v>
      </c>
      <c r="E757" s="29">
        <v>0</v>
      </c>
      <c r="F757" s="29">
        <v>0</v>
      </c>
      <c r="G757" s="29">
        <v>0</v>
      </c>
      <c r="H757" s="29">
        <v>0</v>
      </c>
      <c r="I757" s="29">
        <v>0</v>
      </c>
      <c r="J757" s="29">
        <v>0</v>
      </c>
      <c r="K757" s="31">
        <v>0</v>
      </c>
      <c r="L757" s="29">
        <v>0</v>
      </c>
      <c r="M757" s="29">
        <v>0</v>
      </c>
      <c r="N757" s="29">
        <v>0</v>
      </c>
      <c r="O757" s="29">
        <v>0</v>
      </c>
      <c r="P757" s="29">
        <v>0</v>
      </c>
      <c r="Q757" s="29">
        <v>0</v>
      </c>
      <c r="R757" s="29">
        <v>0</v>
      </c>
      <c r="S757" s="29">
        <v>0</v>
      </c>
      <c r="T757" s="29">
        <v>0</v>
      </c>
      <c r="U757" s="29">
        <v>0</v>
      </c>
      <c r="V757" s="29">
        <v>210000</v>
      </c>
      <c r="W757" s="29">
        <v>0</v>
      </c>
      <c r="X757" s="29">
        <v>0</v>
      </c>
      <c r="Y757" s="29">
        <v>0</v>
      </c>
      <c r="Z757" s="29">
        <v>0</v>
      </c>
      <c r="AA757" s="29">
        <v>0</v>
      </c>
      <c r="AB757" s="29">
        <v>0</v>
      </c>
      <c r="AC757" s="29">
        <f>ROUND(V757*1.5%,2)</f>
        <v>3150</v>
      </c>
      <c r="AD757" s="29">
        <v>0</v>
      </c>
      <c r="AE757" s="29">
        <v>0</v>
      </c>
      <c r="AF757" s="32" t="s">
        <v>268</v>
      </c>
      <c r="AG757" s="32">
        <v>2021</v>
      </c>
      <c r="AH757" s="33">
        <v>2021</v>
      </c>
      <c r="BZ757" s="61"/>
      <c r="CD757" s="18" t="e">
        <f>VLOOKUP(C757,CE:CF,2,FALSE)</f>
        <v>#N/A</v>
      </c>
    </row>
    <row r="758" spans="1:82" ht="61.5" x14ac:dyDescent="0.85">
      <c r="A758" s="18">
        <v>1</v>
      </c>
      <c r="B758" s="57">
        <f>SUBTOTAL(103,$A$558:A758)</f>
        <v>198</v>
      </c>
      <c r="C758" s="22" t="s">
        <v>764</v>
      </c>
      <c r="D758" s="29">
        <f t="shared" si="122"/>
        <v>8021093.6299999999</v>
      </c>
      <c r="E758" s="29">
        <v>0</v>
      </c>
      <c r="F758" s="29">
        <v>0</v>
      </c>
      <c r="G758" s="29">
        <v>0</v>
      </c>
      <c r="H758" s="29">
        <v>0</v>
      </c>
      <c r="I758" s="29">
        <v>1464542.39</v>
      </c>
      <c r="J758" s="29">
        <v>0</v>
      </c>
      <c r="K758" s="64">
        <v>0</v>
      </c>
      <c r="L758" s="29">
        <v>0</v>
      </c>
      <c r="M758" s="29">
        <v>1375.9</v>
      </c>
      <c r="N758" s="29">
        <f>6051559.71+150000</f>
        <v>6201559.71</v>
      </c>
      <c r="O758" s="29">
        <v>0</v>
      </c>
      <c r="P758" s="29">
        <v>0</v>
      </c>
      <c r="Q758" s="29">
        <v>0</v>
      </c>
      <c r="R758" s="29">
        <v>0</v>
      </c>
      <c r="S758" s="29">
        <v>0</v>
      </c>
      <c r="T758" s="29">
        <v>0</v>
      </c>
      <c r="U758" s="29">
        <v>0</v>
      </c>
      <c r="V758" s="29">
        <v>0</v>
      </c>
      <c r="W758" s="29">
        <v>0</v>
      </c>
      <c r="X758" s="29">
        <v>0</v>
      </c>
      <c r="Y758" s="29">
        <v>0</v>
      </c>
      <c r="Z758" s="29">
        <v>0</v>
      </c>
      <c r="AA758" s="29">
        <v>0</v>
      </c>
      <c r="AB758" s="29">
        <v>0</v>
      </c>
      <c r="AC758" s="29">
        <f>ROUND((N758+I758)*1.5%,2)</f>
        <v>114991.53</v>
      </c>
      <c r="AD758" s="29">
        <v>0</v>
      </c>
      <c r="AE758" s="29">
        <v>240000</v>
      </c>
      <c r="AF758" s="32" t="s">
        <v>268</v>
      </c>
      <c r="AG758" s="32">
        <v>2021</v>
      </c>
      <c r="AH758" s="33">
        <v>2021</v>
      </c>
      <c r="AT758" s="18" t="e">
        <f>VLOOKUP(C758,AW:AX,2,FALSE)</f>
        <v>#N/A</v>
      </c>
      <c r="BZ758" s="61"/>
      <c r="CD758" s="18">
        <f>VLOOKUP(C758,CE:CF,2,FALSE)</f>
        <v>1375.9</v>
      </c>
    </row>
    <row r="759" spans="1:82" ht="61.5" x14ac:dyDescent="0.85">
      <c r="A759" s="18">
        <v>1</v>
      </c>
      <c r="B759" s="57">
        <f>SUBTOTAL(103,$A$558:A759)</f>
        <v>199</v>
      </c>
      <c r="C759" s="22" t="s">
        <v>1919</v>
      </c>
      <c r="D759" s="29">
        <f>E759+F759+G759+H759+I759+J759+L759+N759+P759+R759+T759+U759+V759+W759+X759+Y759+Z759+AA759+AB759+AC759+AD759+AE759</f>
        <v>3991925.58</v>
      </c>
      <c r="E759" s="29">
        <v>0</v>
      </c>
      <c r="F759" s="29">
        <v>0</v>
      </c>
      <c r="G759" s="29">
        <v>0</v>
      </c>
      <c r="H759" s="29">
        <v>0</v>
      </c>
      <c r="I759" s="29">
        <v>0</v>
      </c>
      <c r="J759" s="29">
        <v>0</v>
      </c>
      <c r="K759" s="64">
        <v>2</v>
      </c>
      <c r="L759" s="29">
        <v>3881019.72</v>
      </c>
      <c r="M759" s="29">
        <v>0</v>
      </c>
      <c r="N759" s="29">
        <v>0</v>
      </c>
      <c r="O759" s="29">
        <v>0</v>
      </c>
      <c r="P759" s="29">
        <v>0</v>
      </c>
      <c r="Q759" s="29">
        <v>0</v>
      </c>
      <c r="R759" s="29">
        <v>0</v>
      </c>
      <c r="S759" s="29">
        <v>0</v>
      </c>
      <c r="T759" s="29">
        <v>0</v>
      </c>
      <c r="U759" s="29">
        <v>0</v>
      </c>
      <c r="V759" s="29">
        <v>0</v>
      </c>
      <c r="W759" s="29">
        <v>0</v>
      </c>
      <c r="X759" s="29">
        <v>0</v>
      </c>
      <c r="Y759" s="29">
        <v>0</v>
      </c>
      <c r="Z759" s="29">
        <v>0</v>
      </c>
      <c r="AA759" s="29">
        <v>0</v>
      </c>
      <c r="AB759" s="29">
        <v>0</v>
      </c>
      <c r="AC759" s="29">
        <v>0</v>
      </c>
      <c r="AD759" s="92">
        <v>110905.86</v>
      </c>
      <c r="AE759" s="29">
        <v>0</v>
      </c>
      <c r="AF759" s="32">
        <v>2021</v>
      </c>
      <c r="AG759" s="32">
        <v>2021</v>
      </c>
      <c r="AH759" s="33" t="s">
        <v>268</v>
      </c>
      <c r="BY759" s="64">
        <v>2</v>
      </c>
      <c r="BZ759" s="61"/>
      <c r="CD759" s="18" t="e">
        <f>VLOOKUP(C759,CE:CF,2,FALSE)</f>
        <v>#N/A</v>
      </c>
    </row>
    <row r="760" spans="1:82" ht="61.5" x14ac:dyDescent="0.85">
      <c r="A760" s="18">
        <v>1</v>
      </c>
      <c r="B760" s="57">
        <f>SUBTOTAL(103,$A$558:A760)</f>
        <v>200</v>
      </c>
      <c r="C760" s="22" t="s">
        <v>1918</v>
      </c>
      <c r="D760" s="29">
        <f>E760+F760+G760+H760+I760+J760+L760+N760+P760+R760+T760+U760+V760+W760+X760+Y760+Z760+AA760+AB760+AC760+AD760+AE760</f>
        <v>3990381.01</v>
      </c>
      <c r="E760" s="29">
        <v>0</v>
      </c>
      <c r="F760" s="29">
        <v>0</v>
      </c>
      <c r="G760" s="29">
        <v>0</v>
      </c>
      <c r="H760" s="29">
        <v>0</v>
      </c>
      <c r="I760" s="29">
        <v>0</v>
      </c>
      <c r="J760" s="29">
        <v>0</v>
      </c>
      <c r="K760" s="64">
        <v>2</v>
      </c>
      <c r="L760" s="29">
        <v>3880756.26</v>
      </c>
      <c r="M760" s="29">
        <v>0</v>
      </c>
      <c r="N760" s="29">
        <v>0</v>
      </c>
      <c r="O760" s="29">
        <v>0</v>
      </c>
      <c r="P760" s="29">
        <v>0</v>
      </c>
      <c r="Q760" s="29">
        <v>0</v>
      </c>
      <c r="R760" s="29">
        <v>0</v>
      </c>
      <c r="S760" s="29">
        <v>0</v>
      </c>
      <c r="T760" s="29">
        <v>0</v>
      </c>
      <c r="U760" s="29">
        <v>0</v>
      </c>
      <c r="V760" s="29">
        <v>0</v>
      </c>
      <c r="W760" s="29">
        <v>0</v>
      </c>
      <c r="X760" s="29">
        <v>0</v>
      </c>
      <c r="Y760" s="29">
        <v>0</v>
      </c>
      <c r="Z760" s="29">
        <v>0</v>
      </c>
      <c r="AA760" s="29">
        <v>0</v>
      </c>
      <c r="AB760" s="29">
        <v>0</v>
      </c>
      <c r="AC760" s="29">
        <v>0</v>
      </c>
      <c r="AD760" s="92">
        <v>109624.75</v>
      </c>
      <c r="AE760" s="29">
        <v>0</v>
      </c>
      <c r="AF760" s="32">
        <v>2021</v>
      </c>
      <c r="AG760" s="32">
        <v>2021</v>
      </c>
      <c r="AH760" s="33" t="s">
        <v>268</v>
      </c>
      <c r="BY760" s="64">
        <v>2</v>
      </c>
      <c r="BZ760" s="61"/>
      <c r="CD760" s="18" t="e">
        <f>VLOOKUP(C760,CE:CF,2,FALSE)</f>
        <v>#N/A</v>
      </c>
    </row>
    <row r="761" spans="1:82" ht="61.5" x14ac:dyDescent="0.85">
      <c r="A761" s="18">
        <v>1</v>
      </c>
      <c r="B761" s="57">
        <f>SUBTOTAL(103,$A$558:A761)</f>
        <v>201</v>
      </c>
      <c r="C761" s="22" t="s">
        <v>2285</v>
      </c>
      <c r="D761" s="29">
        <f t="shared" si="122"/>
        <v>4609267.26</v>
      </c>
      <c r="E761" s="29">
        <v>0</v>
      </c>
      <c r="F761" s="29">
        <v>0</v>
      </c>
      <c r="G761" s="29">
        <v>0</v>
      </c>
      <c r="H761" s="29">
        <v>0</v>
      </c>
      <c r="I761" s="29">
        <v>0</v>
      </c>
      <c r="J761" s="29">
        <v>0</v>
      </c>
      <c r="K761" s="64">
        <v>2</v>
      </c>
      <c r="L761" s="29">
        <v>4499036.99</v>
      </c>
      <c r="M761" s="29">
        <v>0</v>
      </c>
      <c r="N761" s="29">
        <v>0</v>
      </c>
      <c r="O761" s="29">
        <v>0</v>
      </c>
      <c r="P761" s="29">
        <v>0</v>
      </c>
      <c r="Q761" s="29">
        <v>0</v>
      </c>
      <c r="R761" s="29">
        <v>0</v>
      </c>
      <c r="S761" s="29">
        <v>0</v>
      </c>
      <c r="T761" s="29">
        <v>0</v>
      </c>
      <c r="U761" s="29">
        <v>0</v>
      </c>
      <c r="V761" s="29">
        <v>0</v>
      </c>
      <c r="W761" s="29">
        <v>0</v>
      </c>
      <c r="X761" s="29">
        <v>0</v>
      </c>
      <c r="Y761" s="29">
        <v>0</v>
      </c>
      <c r="Z761" s="29">
        <v>0</v>
      </c>
      <c r="AA761" s="29">
        <v>0</v>
      </c>
      <c r="AB761" s="29">
        <v>0</v>
      </c>
      <c r="AC761" s="29">
        <v>0</v>
      </c>
      <c r="AD761" s="37">
        <v>110230.27</v>
      </c>
      <c r="AE761" s="29">
        <v>0</v>
      </c>
      <c r="AF761" s="32">
        <v>2021</v>
      </c>
      <c r="AG761" s="32">
        <v>2021</v>
      </c>
      <c r="AH761" s="33" t="s">
        <v>268</v>
      </c>
      <c r="BY761" s="64">
        <v>2</v>
      </c>
      <c r="BZ761" s="61"/>
      <c r="CD761" s="18" t="e">
        <f>VLOOKUP(C761,CE:CF,2,FALSE)</f>
        <v>#N/A</v>
      </c>
    </row>
    <row r="762" spans="1:82" ht="61.5" x14ac:dyDescent="0.85">
      <c r="A762" s="18">
        <v>1</v>
      </c>
      <c r="B762" s="57">
        <f>SUBTOTAL(103,$A$558:A762)</f>
        <v>202</v>
      </c>
      <c r="C762" s="22" t="s">
        <v>2286</v>
      </c>
      <c r="D762" s="29">
        <f t="shared" ref="D762:D802" si="123">E762+F762+G762+H762+I762+J762+L762+N762+P762+R762+T762+U762+V762+W762+X762+Y762+Z762+AA762+AB762+AC762+AD762+AE762</f>
        <v>1924373.2000000002</v>
      </c>
      <c r="E762" s="29">
        <v>0</v>
      </c>
      <c r="F762" s="29">
        <v>0</v>
      </c>
      <c r="G762" s="29">
        <v>0</v>
      </c>
      <c r="H762" s="29">
        <v>0</v>
      </c>
      <c r="I762" s="29">
        <v>0</v>
      </c>
      <c r="J762" s="29">
        <v>0</v>
      </c>
      <c r="K762" s="31">
        <v>0</v>
      </c>
      <c r="L762" s="29">
        <v>0</v>
      </c>
      <c r="M762" s="29">
        <v>380</v>
      </c>
      <c r="N762" s="29">
        <v>1777707.59</v>
      </c>
      <c r="O762" s="29">
        <v>0</v>
      </c>
      <c r="P762" s="29">
        <v>0</v>
      </c>
      <c r="Q762" s="29">
        <v>0</v>
      </c>
      <c r="R762" s="29">
        <v>0</v>
      </c>
      <c r="S762" s="29">
        <v>0</v>
      </c>
      <c r="T762" s="29">
        <v>0</v>
      </c>
      <c r="U762" s="29">
        <v>0</v>
      </c>
      <c r="V762" s="29">
        <v>0</v>
      </c>
      <c r="W762" s="29">
        <v>0</v>
      </c>
      <c r="X762" s="29">
        <v>0</v>
      </c>
      <c r="Y762" s="29">
        <v>0</v>
      </c>
      <c r="Z762" s="29">
        <v>0</v>
      </c>
      <c r="AA762" s="29">
        <v>0</v>
      </c>
      <c r="AB762" s="29">
        <v>0</v>
      </c>
      <c r="AC762" s="29">
        <f t="shared" ref="AC762:AC802" si="124">ROUND(N762*1.5%,2)</f>
        <v>26665.61</v>
      </c>
      <c r="AD762" s="29">
        <v>120000</v>
      </c>
      <c r="AE762" s="29">
        <v>0</v>
      </c>
      <c r="AF762" s="32">
        <v>2021</v>
      </c>
      <c r="AG762" s="32">
        <v>2021</v>
      </c>
      <c r="AH762" s="32">
        <v>2021</v>
      </c>
      <c r="BY762" s="31">
        <v>0</v>
      </c>
      <c r="BZ762" s="61"/>
      <c r="CD762" s="18" t="e">
        <f>VLOOKUP(C762,CE:CF,2,FALSE)</f>
        <v>#N/A</v>
      </c>
    </row>
    <row r="763" spans="1:82" ht="61.5" x14ac:dyDescent="0.85">
      <c r="A763" s="18">
        <v>1</v>
      </c>
      <c r="B763" s="57">
        <f>SUBTOTAL(103,$A$558:A763)</f>
        <v>203</v>
      </c>
      <c r="C763" s="22" t="s">
        <v>2301</v>
      </c>
      <c r="D763" s="29">
        <f t="shared" si="123"/>
        <v>6575151.8499999996</v>
      </c>
      <c r="E763" s="29">
        <v>0</v>
      </c>
      <c r="F763" s="29">
        <v>0</v>
      </c>
      <c r="G763" s="29">
        <v>0</v>
      </c>
      <c r="H763" s="29">
        <v>0</v>
      </c>
      <c r="I763" s="29">
        <v>0</v>
      </c>
      <c r="J763" s="29">
        <v>0</v>
      </c>
      <c r="K763" s="64">
        <v>3</v>
      </c>
      <c r="L763" s="29">
        <v>6451728.5999999996</v>
      </c>
      <c r="M763" s="29">
        <v>0</v>
      </c>
      <c r="N763" s="29">
        <v>0</v>
      </c>
      <c r="O763" s="29">
        <v>0</v>
      </c>
      <c r="P763" s="29">
        <v>0</v>
      </c>
      <c r="Q763" s="29">
        <v>0</v>
      </c>
      <c r="R763" s="29">
        <v>0</v>
      </c>
      <c r="S763" s="29">
        <v>0</v>
      </c>
      <c r="T763" s="29">
        <v>0</v>
      </c>
      <c r="U763" s="29">
        <v>0</v>
      </c>
      <c r="V763" s="29">
        <v>0</v>
      </c>
      <c r="W763" s="29">
        <v>0</v>
      </c>
      <c r="X763" s="29">
        <v>0</v>
      </c>
      <c r="Y763" s="29">
        <v>0</v>
      </c>
      <c r="Z763" s="29">
        <v>0</v>
      </c>
      <c r="AA763" s="29">
        <v>0</v>
      </c>
      <c r="AB763" s="29">
        <v>0</v>
      </c>
      <c r="AC763" s="29">
        <f t="shared" si="124"/>
        <v>0</v>
      </c>
      <c r="AD763" s="37">
        <v>123423.25</v>
      </c>
      <c r="AE763" s="29">
        <v>0</v>
      </c>
      <c r="AF763" s="32">
        <v>2021</v>
      </c>
      <c r="AG763" s="32">
        <v>2021</v>
      </c>
      <c r="AH763" s="33" t="s">
        <v>268</v>
      </c>
      <c r="BY763" s="64">
        <v>3</v>
      </c>
      <c r="BZ763" s="61"/>
      <c r="CD763" s="18" t="e">
        <f>VLOOKUP(C763,CE:CF,2,FALSE)</f>
        <v>#N/A</v>
      </c>
    </row>
    <row r="764" spans="1:82" ht="61.5" x14ac:dyDescent="0.85">
      <c r="A764" s="18">
        <v>1</v>
      </c>
      <c r="B764" s="57">
        <f>SUBTOTAL(103,$A$558:A764)</f>
        <v>204</v>
      </c>
      <c r="C764" s="22" t="s">
        <v>2076</v>
      </c>
      <c r="D764" s="29">
        <f t="shared" si="123"/>
        <v>21744439.34</v>
      </c>
      <c r="E764" s="29">
        <v>0</v>
      </c>
      <c r="F764" s="29">
        <v>0</v>
      </c>
      <c r="G764" s="29">
        <v>0</v>
      </c>
      <c r="H764" s="29">
        <v>0</v>
      </c>
      <c r="I764" s="29">
        <v>0</v>
      </c>
      <c r="J764" s="29">
        <v>0</v>
      </c>
      <c r="K764" s="64">
        <v>10</v>
      </c>
      <c r="L764" s="29">
        <v>21558278.859999999</v>
      </c>
      <c r="M764" s="29">
        <v>0</v>
      </c>
      <c r="N764" s="29">
        <v>0</v>
      </c>
      <c r="O764" s="29">
        <v>0</v>
      </c>
      <c r="P764" s="29">
        <v>0</v>
      </c>
      <c r="Q764" s="29">
        <v>0</v>
      </c>
      <c r="R764" s="29">
        <v>0</v>
      </c>
      <c r="S764" s="29">
        <v>0</v>
      </c>
      <c r="T764" s="29">
        <v>0</v>
      </c>
      <c r="U764" s="29">
        <v>0</v>
      </c>
      <c r="V764" s="29">
        <v>0</v>
      </c>
      <c r="W764" s="29">
        <v>0</v>
      </c>
      <c r="X764" s="29">
        <v>0</v>
      </c>
      <c r="Y764" s="29">
        <v>0</v>
      </c>
      <c r="Z764" s="29">
        <v>0</v>
      </c>
      <c r="AA764" s="29">
        <v>0</v>
      </c>
      <c r="AB764" s="29">
        <v>0</v>
      </c>
      <c r="AC764" s="29">
        <f t="shared" si="124"/>
        <v>0</v>
      </c>
      <c r="AD764" s="37">
        <v>186160.48</v>
      </c>
      <c r="AE764" s="29">
        <v>0</v>
      </c>
      <c r="AF764" s="32">
        <v>2021</v>
      </c>
      <c r="AG764" s="32">
        <v>2021</v>
      </c>
      <c r="AH764" s="33" t="s">
        <v>268</v>
      </c>
      <c r="BY764" s="64">
        <v>10</v>
      </c>
      <c r="BZ764" s="61"/>
      <c r="CD764" s="18" t="e">
        <f>VLOOKUP(C764,CE:CF,2,FALSE)</f>
        <v>#N/A</v>
      </c>
    </row>
    <row r="765" spans="1:82" ht="61.5" x14ac:dyDescent="0.85">
      <c r="A765" s="18">
        <v>1</v>
      </c>
      <c r="B765" s="57">
        <f>SUBTOTAL(103,$A$558:A765)</f>
        <v>205</v>
      </c>
      <c r="C765" s="22" t="s">
        <v>2302</v>
      </c>
      <c r="D765" s="29">
        <f t="shared" si="123"/>
        <v>4423085.49</v>
      </c>
      <c r="E765" s="29">
        <v>0</v>
      </c>
      <c r="F765" s="29">
        <v>0</v>
      </c>
      <c r="G765" s="29">
        <v>0</v>
      </c>
      <c r="H765" s="29">
        <v>0</v>
      </c>
      <c r="I765" s="29">
        <v>0</v>
      </c>
      <c r="J765" s="29">
        <v>0</v>
      </c>
      <c r="K765" s="64">
        <v>2</v>
      </c>
      <c r="L765" s="29">
        <v>4312276.2</v>
      </c>
      <c r="M765" s="29">
        <v>0</v>
      </c>
      <c r="N765" s="29">
        <v>0</v>
      </c>
      <c r="O765" s="29">
        <v>0</v>
      </c>
      <c r="P765" s="29">
        <v>0</v>
      </c>
      <c r="Q765" s="29">
        <v>0</v>
      </c>
      <c r="R765" s="29">
        <v>0</v>
      </c>
      <c r="S765" s="29">
        <v>0</v>
      </c>
      <c r="T765" s="29">
        <v>0</v>
      </c>
      <c r="U765" s="29">
        <v>0</v>
      </c>
      <c r="V765" s="29">
        <v>0</v>
      </c>
      <c r="W765" s="29">
        <v>0</v>
      </c>
      <c r="X765" s="29">
        <v>0</v>
      </c>
      <c r="Y765" s="29">
        <v>0</v>
      </c>
      <c r="Z765" s="29">
        <v>0</v>
      </c>
      <c r="AA765" s="29">
        <v>0</v>
      </c>
      <c r="AB765" s="29">
        <v>0</v>
      </c>
      <c r="AC765" s="29">
        <f t="shared" si="124"/>
        <v>0</v>
      </c>
      <c r="AD765" s="37">
        <v>110809.29</v>
      </c>
      <c r="AE765" s="29">
        <v>0</v>
      </c>
      <c r="AF765" s="32">
        <v>2021</v>
      </c>
      <c r="AG765" s="32">
        <v>2021</v>
      </c>
      <c r="AH765" s="33" t="s">
        <v>268</v>
      </c>
      <c r="BY765" s="64">
        <v>2</v>
      </c>
      <c r="BZ765" s="61"/>
      <c r="CD765" s="18" t="e">
        <f>VLOOKUP(C765,CE:CF,2,FALSE)</f>
        <v>#N/A</v>
      </c>
    </row>
    <row r="766" spans="1:82" ht="61.5" x14ac:dyDescent="0.85">
      <c r="A766" s="18">
        <v>1</v>
      </c>
      <c r="B766" s="57">
        <f>SUBTOTAL(103,$A$558:A766)</f>
        <v>206</v>
      </c>
      <c r="C766" s="22" t="s">
        <v>2303</v>
      </c>
      <c r="D766" s="29">
        <f t="shared" si="123"/>
        <v>4410181.0600000005</v>
      </c>
      <c r="E766" s="29">
        <v>0</v>
      </c>
      <c r="F766" s="29">
        <v>0</v>
      </c>
      <c r="G766" s="29">
        <v>0</v>
      </c>
      <c r="H766" s="29">
        <v>0</v>
      </c>
      <c r="I766" s="29">
        <v>0</v>
      </c>
      <c r="J766" s="29">
        <v>0</v>
      </c>
      <c r="K766" s="64">
        <v>2</v>
      </c>
      <c r="L766" s="29">
        <v>4301152.4000000004</v>
      </c>
      <c r="M766" s="29">
        <v>0</v>
      </c>
      <c r="N766" s="29">
        <v>0</v>
      </c>
      <c r="O766" s="29">
        <v>0</v>
      </c>
      <c r="P766" s="29">
        <v>0</v>
      </c>
      <c r="Q766" s="29">
        <v>0</v>
      </c>
      <c r="R766" s="29">
        <v>0</v>
      </c>
      <c r="S766" s="29">
        <v>0</v>
      </c>
      <c r="T766" s="29">
        <v>0</v>
      </c>
      <c r="U766" s="29">
        <v>0</v>
      </c>
      <c r="V766" s="29">
        <v>0</v>
      </c>
      <c r="W766" s="29">
        <v>0</v>
      </c>
      <c r="X766" s="29">
        <v>0</v>
      </c>
      <c r="Y766" s="29">
        <v>0</v>
      </c>
      <c r="Z766" s="29">
        <v>0</v>
      </c>
      <c r="AA766" s="29">
        <v>0</v>
      </c>
      <c r="AB766" s="29">
        <v>0</v>
      </c>
      <c r="AC766" s="29">
        <f t="shared" si="124"/>
        <v>0</v>
      </c>
      <c r="AD766" s="37">
        <v>109028.66</v>
      </c>
      <c r="AE766" s="29">
        <v>0</v>
      </c>
      <c r="AF766" s="32">
        <v>2021</v>
      </c>
      <c r="AG766" s="32">
        <v>2021</v>
      </c>
      <c r="AH766" s="33" t="s">
        <v>268</v>
      </c>
      <c r="BY766" s="64">
        <v>2</v>
      </c>
      <c r="BZ766" s="61"/>
      <c r="CD766" s="18" t="e">
        <f>VLOOKUP(C766,CE:CF,2,FALSE)</f>
        <v>#N/A</v>
      </c>
    </row>
    <row r="767" spans="1:82" ht="61.5" x14ac:dyDescent="0.85">
      <c r="A767" s="18">
        <v>1</v>
      </c>
      <c r="B767" s="57">
        <f>SUBTOTAL(103,$A$558:A767)</f>
        <v>207</v>
      </c>
      <c r="C767" s="22" t="s">
        <v>2304</v>
      </c>
      <c r="D767" s="29">
        <f t="shared" si="123"/>
        <v>4410362.0900000008</v>
      </c>
      <c r="E767" s="29">
        <v>0</v>
      </c>
      <c r="F767" s="29">
        <v>0</v>
      </c>
      <c r="G767" s="29">
        <v>0</v>
      </c>
      <c r="H767" s="29">
        <v>0</v>
      </c>
      <c r="I767" s="29">
        <v>0</v>
      </c>
      <c r="J767" s="29">
        <v>0</v>
      </c>
      <c r="K767" s="64">
        <v>2</v>
      </c>
      <c r="L767" s="29">
        <v>4301152.4000000004</v>
      </c>
      <c r="M767" s="29">
        <v>0</v>
      </c>
      <c r="N767" s="29">
        <v>0</v>
      </c>
      <c r="O767" s="29">
        <v>0</v>
      </c>
      <c r="P767" s="29">
        <v>0</v>
      </c>
      <c r="Q767" s="29">
        <v>0</v>
      </c>
      <c r="R767" s="29">
        <v>0</v>
      </c>
      <c r="S767" s="29">
        <v>0</v>
      </c>
      <c r="T767" s="29">
        <v>0</v>
      </c>
      <c r="U767" s="29">
        <v>0</v>
      </c>
      <c r="V767" s="29">
        <v>0</v>
      </c>
      <c r="W767" s="29">
        <v>0</v>
      </c>
      <c r="X767" s="29">
        <v>0</v>
      </c>
      <c r="Y767" s="29">
        <v>0</v>
      </c>
      <c r="Z767" s="29">
        <v>0</v>
      </c>
      <c r="AA767" s="29">
        <v>0</v>
      </c>
      <c r="AB767" s="29">
        <v>0</v>
      </c>
      <c r="AC767" s="29">
        <f t="shared" si="124"/>
        <v>0</v>
      </c>
      <c r="AD767" s="37">
        <v>109209.69</v>
      </c>
      <c r="AE767" s="29">
        <v>0</v>
      </c>
      <c r="AF767" s="32">
        <v>2021</v>
      </c>
      <c r="AG767" s="32">
        <v>2021</v>
      </c>
      <c r="AH767" s="33" t="s">
        <v>268</v>
      </c>
      <c r="BY767" s="64">
        <v>2</v>
      </c>
      <c r="BZ767" s="61"/>
      <c r="CD767" s="18" t="e">
        <f>VLOOKUP(C767,CE:CF,2,FALSE)</f>
        <v>#N/A</v>
      </c>
    </row>
    <row r="768" spans="1:82" ht="61.5" x14ac:dyDescent="0.85">
      <c r="A768" s="18">
        <v>1</v>
      </c>
      <c r="B768" s="57">
        <f>SUBTOTAL(103,$A$558:A768)</f>
        <v>208</v>
      </c>
      <c r="C768" s="22" t="s">
        <v>2305</v>
      </c>
      <c r="D768" s="29">
        <f t="shared" si="123"/>
        <v>8729536.8900000006</v>
      </c>
      <c r="E768" s="29">
        <v>0</v>
      </c>
      <c r="F768" s="29">
        <v>0</v>
      </c>
      <c r="G768" s="29">
        <v>0</v>
      </c>
      <c r="H768" s="29">
        <v>0</v>
      </c>
      <c r="I768" s="29">
        <v>0</v>
      </c>
      <c r="J768" s="29">
        <v>0</v>
      </c>
      <c r="K768" s="64">
        <v>4</v>
      </c>
      <c r="L768" s="29">
        <v>8602304.8000000007</v>
      </c>
      <c r="M768" s="29">
        <v>0</v>
      </c>
      <c r="N768" s="29">
        <v>0</v>
      </c>
      <c r="O768" s="29">
        <v>0</v>
      </c>
      <c r="P768" s="29">
        <v>0</v>
      </c>
      <c r="Q768" s="29">
        <v>0</v>
      </c>
      <c r="R768" s="29">
        <v>0</v>
      </c>
      <c r="S768" s="29">
        <v>0</v>
      </c>
      <c r="T768" s="29">
        <v>0</v>
      </c>
      <c r="U768" s="29">
        <v>0</v>
      </c>
      <c r="V768" s="29">
        <v>0</v>
      </c>
      <c r="W768" s="29">
        <v>0</v>
      </c>
      <c r="X768" s="29">
        <v>0</v>
      </c>
      <c r="Y768" s="29">
        <v>0</v>
      </c>
      <c r="Z768" s="29">
        <v>0</v>
      </c>
      <c r="AA768" s="29">
        <v>0</v>
      </c>
      <c r="AB768" s="29">
        <v>0</v>
      </c>
      <c r="AC768" s="29">
        <f t="shared" si="124"/>
        <v>0</v>
      </c>
      <c r="AD768" s="37">
        <v>127232.09</v>
      </c>
      <c r="AE768" s="29">
        <v>0</v>
      </c>
      <c r="AF768" s="32">
        <v>2021</v>
      </c>
      <c r="AG768" s="32">
        <v>2021</v>
      </c>
      <c r="AH768" s="33" t="s">
        <v>268</v>
      </c>
      <c r="BY768" s="64">
        <v>4</v>
      </c>
      <c r="BZ768" s="61"/>
      <c r="CD768" s="18" t="e">
        <f>VLOOKUP(C768,CE:CF,2,FALSE)</f>
        <v>#N/A</v>
      </c>
    </row>
    <row r="769" spans="1:82" ht="61.5" x14ac:dyDescent="0.85">
      <c r="A769" s="18">
        <v>1</v>
      </c>
      <c r="B769" s="57">
        <f>SUBTOTAL(103,$A$558:A769)</f>
        <v>209</v>
      </c>
      <c r="C769" s="22" t="s">
        <v>2306</v>
      </c>
      <c r="D769" s="29">
        <f t="shared" ref="D769:D801" si="125">E769+F769+G769+H769+I769+J769+L769+N769+P769+R769+T769+U769+V769+W769+X769+Y769+Z769+AA769+AB769+AC769+AD769+AE769</f>
        <v>4411301.99</v>
      </c>
      <c r="E769" s="29">
        <v>0</v>
      </c>
      <c r="F769" s="29">
        <v>0</v>
      </c>
      <c r="G769" s="29">
        <v>0</v>
      </c>
      <c r="H769" s="29">
        <v>0</v>
      </c>
      <c r="I769" s="29">
        <v>0</v>
      </c>
      <c r="J769" s="29">
        <v>0</v>
      </c>
      <c r="K769" s="64">
        <v>2</v>
      </c>
      <c r="L769" s="29">
        <v>4301152.4000000004</v>
      </c>
      <c r="M769" s="29">
        <v>0</v>
      </c>
      <c r="N769" s="29">
        <v>0</v>
      </c>
      <c r="O769" s="29">
        <v>0</v>
      </c>
      <c r="P769" s="29">
        <v>0</v>
      </c>
      <c r="Q769" s="29">
        <v>0</v>
      </c>
      <c r="R769" s="29">
        <v>0</v>
      </c>
      <c r="S769" s="29">
        <v>0</v>
      </c>
      <c r="T769" s="29">
        <v>0</v>
      </c>
      <c r="U769" s="29">
        <v>0</v>
      </c>
      <c r="V769" s="29">
        <v>0</v>
      </c>
      <c r="W769" s="29">
        <v>0</v>
      </c>
      <c r="X769" s="29">
        <v>0</v>
      </c>
      <c r="Y769" s="29">
        <v>0</v>
      </c>
      <c r="Z769" s="29">
        <v>0</v>
      </c>
      <c r="AA769" s="29">
        <v>0</v>
      </c>
      <c r="AB769" s="29">
        <v>0</v>
      </c>
      <c r="AC769" s="29">
        <f t="shared" ref="AC769:AC801" si="126">ROUND(N769*1.5%,2)</f>
        <v>0</v>
      </c>
      <c r="AD769" s="37">
        <v>110149.59</v>
      </c>
      <c r="AE769" s="29">
        <v>0</v>
      </c>
      <c r="AF769" s="32">
        <v>2021</v>
      </c>
      <c r="AG769" s="32">
        <v>2021</v>
      </c>
      <c r="AH769" s="33" t="s">
        <v>268</v>
      </c>
      <c r="BY769" s="64">
        <v>2</v>
      </c>
      <c r="BZ769" s="61"/>
      <c r="CD769" s="18" t="e">
        <f>VLOOKUP(C769,CE:CF,2,FALSE)</f>
        <v>#N/A</v>
      </c>
    </row>
    <row r="770" spans="1:82" ht="61.5" x14ac:dyDescent="0.85">
      <c r="A770" s="18">
        <v>1</v>
      </c>
      <c r="B770" s="57">
        <f>SUBTOTAL(103,$A$558:A770)</f>
        <v>210</v>
      </c>
      <c r="C770" s="22" t="s">
        <v>2616</v>
      </c>
      <c r="D770" s="29">
        <f t="shared" si="125"/>
        <v>7047297.8600000003</v>
      </c>
      <c r="E770" s="29">
        <v>0</v>
      </c>
      <c r="F770" s="29">
        <v>0</v>
      </c>
      <c r="G770" s="29">
        <v>0</v>
      </c>
      <c r="H770" s="29">
        <v>0</v>
      </c>
      <c r="I770" s="29">
        <v>0</v>
      </c>
      <c r="J770" s="29">
        <v>0</v>
      </c>
      <c r="K770" s="64">
        <v>3</v>
      </c>
      <c r="L770" s="29">
        <v>6897297.8600000003</v>
      </c>
      <c r="M770" s="29">
        <v>0</v>
      </c>
      <c r="N770" s="29">
        <v>0</v>
      </c>
      <c r="O770" s="29">
        <v>0</v>
      </c>
      <c r="P770" s="29">
        <v>0</v>
      </c>
      <c r="Q770" s="29">
        <v>0</v>
      </c>
      <c r="R770" s="29">
        <v>0</v>
      </c>
      <c r="S770" s="29">
        <v>0</v>
      </c>
      <c r="T770" s="29">
        <v>0</v>
      </c>
      <c r="U770" s="29">
        <v>0</v>
      </c>
      <c r="V770" s="29">
        <v>0</v>
      </c>
      <c r="W770" s="29">
        <v>0</v>
      </c>
      <c r="X770" s="29">
        <v>0</v>
      </c>
      <c r="Y770" s="29">
        <v>0</v>
      </c>
      <c r="Z770" s="29">
        <v>0</v>
      </c>
      <c r="AA770" s="29">
        <v>0</v>
      </c>
      <c r="AB770" s="29">
        <v>0</v>
      </c>
      <c r="AC770" s="29">
        <f t="shared" si="126"/>
        <v>0</v>
      </c>
      <c r="AD770" s="37">
        <v>150000</v>
      </c>
      <c r="AE770" s="29">
        <v>0</v>
      </c>
      <c r="AF770" s="32">
        <v>2021</v>
      </c>
      <c r="AG770" s="32">
        <v>2021</v>
      </c>
      <c r="AH770" s="33" t="s">
        <v>268</v>
      </c>
      <c r="BY770" s="64">
        <v>3</v>
      </c>
      <c r="BZ770" s="61"/>
      <c r="CD770" s="18" t="e">
        <f>VLOOKUP(C770,CE:CF,2,FALSE)</f>
        <v>#N/A</v>
      </c>
    </row>
    <row r="771" spans="1:82" ht="61.5" x14ac:dyDescent="0.85">
      <c r="A771" s="18">
        <v>1</v>
      </c>
      <c r="B771" s="57">
        <f>SUBTOTAL(103,$A$558:A771)</f>
        <v>211</v>
      </c>
      <c r="C771" s="22" t="s">
        <v>2617</v>
      </c>
      <c r="D771" s="29">
        <f t="shared" si="125"/>
        <v>4738198.57</v>
      </c>
      <c r="E771" s="29">
        <v>0</v>
      </c>
      <c r="F771" s="29">
        <v>0</v>
      </c>
      <c r="G771" s="29">
        <v>0</v>
      </c>
      <c r="H771" s="29">
        <v>0</v>
      </c>
      <c r="I771" s="29">
        <v>0</v>
      </c>
      <c r="J771" s="29">
        <v>0</v>
      </c>
      <c r="K771" s="64">
        <v>2</v>
      </c>
      <c r="L771" s="29">
        <v>4598198.57</v>
      </c>
      <c r="M771" s="29">
        <v>0</v>
      </c>
      <c r="N771" s="29">
        <v>0</v>
      </c>
      <c r="O771" s="29">
        <v>0</v>
      </c>
      <c r="P771" s="29">
        <v>0</v>
      </c>
      <c r="Q771" s="29">
        <v>0</v>
      </c>
      <c r="R771" s="29">
        <v>0</v>
      </c>
      <c r="S771" s="29">
        <v>0</v>
      </c>
      <c r="T771" s="29">
        <v>0</v>
      </c>
      <c r="U771" s="29">
        <v>0</v>
      </c>
      <c r="V771" s="29">
        <v>0</v>
      </c>
      <c r="W771" s="29">
        <v>0</v>
      </c>
      <c r="X771" s="29">
        <v>0</v>
      </c>
      <c r="Y771" s="29">
        <v>0</v>
      </c>
      <c r="Z771" s="29">
        <v>0</v>
      </c>
      <c r="AA771" s="29">
        <v>0</v>
      </c>
      <c r="AB771" s="29">
        <v>0</v>
      </c>
      <c r="AC771" s="29">
        <f t="shared" si="126"/>
        <v>0</v>
      </c>
      <c r="AD771" s="37">
        <v>140000</v>
      </c>
      <c r="AE771" s="29">
        <v>0</v>
      </c>
      <c r="AF771" s="32">
        <v>2021</v>
      </c>
      <c r="AG771" s="32">
        <v>2021</v>
      </c>
      <c r="AH771" s="33" t="s">
        <v>268</v>
      </c>
      <c r="BY771" s="64">
        <v>2</v>
      </c>
      <c r="BZ771" s="61"/>
      <c r="CD771" s="18" t="e">
        <f>VLOOKUP(C771,CE:CF,2,FALSE)</f>
        <v>#N/A</v>
      </c>
    </row>
    <row r="772" spans="1:82" ht="61.5" x14ac:dyDescent="0.85">
      <c r="A772" s="18">
        <v>1</v>
      </c>
      <c r="B772" s="57">
        <f>SUBTOTAL(103,$A$558:A772)</f>
        <v>212</v>
      </c>
      <c r="C772" s="22" t="s">
        <v>2618</v>
      </c>
      <c r="D772" s="29">
        <f t="shared" si="125"/>
        <v>4738198.57</v>
      </c>
      <c r="E772" s="29">
        <v>0</v>
      </c>
      <c r="F772" s="29">
        <v>0</v>
      </c>
      <c r="G772" s="29">
        <v>0</v>
      </c>
      <c r="H772" s="29">
        <v>0</v>
      </c>
      <c r="I772" s="29">
        <v>0</v>
      </c>
      <c r="J772" s="29">
        <v>0</v>
      </c>
      <c r="K772" s="64">
        <v>2</v>
      </c>
      <c r="L772" s="29">
        <v>4598198.57</v>
      </c>
      <c r="M772" s="29">
        <v>0</v>
      </c>
      <c r="N772" s="29">
        <v>0</v>
      </c>
      <c r="O772" s="29">
        <v>0</v>
      </c>
      <c r="P772" s="29">
        <v>0</v>
      </c>
      <c r="Q772" s="29">
        <v>0</v>
      </c>
      <c r="R772" s="29">
        <v>0</v>
      </c>
      <c r="S772" s="29">
        <v>0</v>
      </c>
      <c r="T772" s="29">
        <v>0</v>
      </c>
      <c r="U772" s="29">
        <v>0</v>
      </c>
      <c r="V772" s="29">
        <v>0</v>
      </c>
      <c r="W772" s="29">
        <v>0</v>
      </c>
      <c r="X772" s="29">
        <v>0</v>
      </c>
      <c r="Y772" s="29">
        <v>0</v>
      </c>
      <c r="Z772" s="29">
        <v>0</v>
      </c>
      <c r="AA772" s="29">
        <v>0</v>
      </c>
      <c r="AB772" s="29">
        <v>0</v>
      </c>
      <c r="AC772" s="29">
        <f t="shared" si="126"/>
        <v>0</v>
      </c>
      <c r="AD772" s="37">
        <v>140000</v>
      </c>
      <c r="AE772" s="29">
        <v>0</v>
      </c>
      <c r="AF772" s="32">
        <v>2021</v>
      </c>
      <c r="AG772" s="32">
        <v>2021</v>
      </c>
      <c r="AH772" s="33" t="s">
        <v>268</v>
      </c>
      <c r="BY772" s="64">
        <v>2</v>
      </c>
      <c r="BZ772" s="61"/>
      <c r="CD772" s="18" t="e">
        <f>VLOOKUP(C772,CE:CF,2,FALSE)</f>
        <v>#N/A</v>
      </c>
    </row>
    <row r="773" spans="1:82" ht="61.5" x14ac:dyDescent="0.85">
      <c r="A773" s="18">
        <v>1</v>
      </c>
      <c r="B773" s="57">
        <f>SUBTOTAL(103,$A$558:A773)</f>
        <v>213</v>
      </c>
      <c r="C773" s="22" t="s">
        <v>2619</v>
      </c>
      <c r="D773" s="29">
        <f t="shared" si="125"/>
        <v>20640027.629999999</v>
      </c>
      <c r="E773" s="29">
        <v>0</v>
      </c>
      <c r="F773" s="29">
        <v>0</v>
      </c>
      <c r="G773" s="29">
        <v>0</v>
      </c>
      <c r="H773" s="29">
        <v>0</v>
      </c>
      <c r="I773" s="29">
        <v>0</v>
      </c>
      <c r="J773" s="29">
        <v>0</v>
      </c>
      <c r="K773" s="64">
        <v>9</v>
      </c>
      <c r="L773" s="29">
        <v>20440027.629999999</v>
      </c>
      <c r="M773" s="29">
        <v>0</v>
      </c>
      <c r="N773" s="29">
        <v>0</v>
      </c>
      <c r="O773" s="29">
        <v>0</v>
      </c>
      <c r="P773" s="29">
        <v>0</v>
      </c>
      <c r="Q773" s="29">
        <v>0</v>
      </c>
      <c r="R773" s="29">
        <v>0</v>
      </c>
      <c r="S773" s="29">
        <v>0</v>
      </c>
      <c r="T773" s="29">
        <v>0</v>
      </c>
      <c r="U773" s="29">
        <v>0</v>
      </c>
      <c r="V773" s="29">
        <v>0</v>
      </c>
      <c r="W773" s="29">
        <v>0</v>
      </c>
      <c r="X773" s="29">
        <v>0</v>
      </c>
      <c r="Y773" s="29">
        <v>0</v>
      </c>
      <c r="Z773" s="29">
        <v>0</v>
      </c>
      <c r="AA773" s="29">
        <v>0</v>
      </c>
      <c r="AB773" s="29">
        <v>0</v>
      </c>
      <c r="AC773" s="29">
        <f t="shared" si="126"/>
        <v>0</v>
      </c>
      <c r="AD773" s="37">
        <v>200000</v>
      </c>
      <c r="AE773" s="29">
        <v>0</v>
      </c>
      <c r="AF773" s="32">
        <v>2021</v>
      </c>
      <c r="AG773" s="32">
        <v>2021</v>
      </c>
      <c r="AH773" s="33" t="s">
        <v>268</v>
      </c>
      <c r="BY773" s="64">
        <v>9</v>
      </c>
      <c r="BZ773" s="61"/>
      <c r="CD773" s="18" t="e">
        <f>VLOOKUP(C773,CE:CF,2,FALSE)</f>
        <v>#N/A</v>
      </c>
    </row>
    <row r="774" spans="1:82" ht="61.5" x14ac:dyDescent="0.85">
      <c r="A774" s="18">
        <v>1</v>
      </c>
      <c r="B774" s="57">
        <f>SUBTOTAL(103,$A$558:A774)</f>
        <v>214</v>
      </c>
      <c r="C774" s="22" t="s">
        <v>2620</v>
      </c>
      <c r="D774" s="29">
        <f t="shared" si="125"/>
        <v>7047297.8600000003</v>
      </c>
      <c r="E774" s="29">
        <v>0</v>
      </c>
      <c r="F774" s="29">
        <v>0</v>
      </c>
      <c r="G774" s="29">
        <v>0</v>
      </c>
      <c r="H774" s="29">
        <v>0</v>
      </c>
      <c r="I774" s="29">
        <v>0</v>
      </c>
      <c r="J774" s="29">
        <v>0</v>
      </c>
      <c r="K774" s="64">
        <v>3</v>
      </c>
      <c r="L774" s="29">
        <v>6897297.8600000003</v>
      </c>
      <c r="M774" s="29">
        <v>0</v>
      </c>
      <c r="N774" s="29">
        <v>0</v>
      </c>
      <c r="O774" s="29">
        <v>0</v>
      </c>
      <c r="P774" s="29">
        <v>0</v>
      </c>
      <c r="Q774" s="29">
        <v>0</v>
      </c>
      <c r="R774" s="29">
        <v>0</v>
      </c>
      <c r="S774" s="29">
        <v>0</v>
      </c>
      <c r="T774" s="29">
        <v>0</v>
      </c>
      <c r="U774" s="29">
        <v>0</v>
      </c>
      <c r="V774" s="29">
        <v>0</v>
      </c>
      <c r="W774" s="29">
        <v>0</v>
      </c>
      <c r="X774" s="29">
        <v>0</v>
      </c>
      <c r="Y774" s="29">
        <v>0</v>
      </c>
      <c r="Z774" s="29">
        <v>0</v>
      </c>
      <c r="AA774" s="29">
        <v>0</v>
      </c>
      <c r="AB774" s="29">
        <v>0</v>
      </c>
      <c r="AC774" s="29">
        <f t="shared" si="126"/>
        <v>0</v>
      </c>
      <c r="AD774" s="37">
        <v>150000</v>
      </c>
      <c r="AE774" s="29">
        <v>0</v>
      </c>
      <c r="AF774" s="32">
        <v>2021</v>
      </c>
      <c r="AG774" s="32">
        <v>2021</v>
      </c>
      <c r="AH774" s="33" t="s">
        <v>268</v>
      </c>
      <c r="BY774" s="64">
        <v>3</v>
      </c>
      <c r="BZ774" s="61"/>
      <c r="CD774" s="18" t="e">
        <f>VLOOKUP(C774,CE:CF,2,FALSE)</f>
        <v>#N/A</v>
      </c>
    </row>
    <row r="775" spans="1:82" ht="61.5" x14ac:dyDescent="0.85">
      <c r="A775" s="18">
        <v>1</v>
      </c>
      <c r="B775" s="57">
        <f>SUBTOTAL(103,$A$558:A775)</f>
        <v>215</v>
      </c>
      <c r="C775" s="22" t="s">
        <v>2621</v>
      </c>
      <c r="D775" s="29">
        <f t="shared" si="125"/>
        <v>6858398.4000000004</v>
      </c>
      <c r="E775" s="29">
        <v>0</v>
      </c>
      <c r="F775" s="29">
        <v>0</v>
      </c>
      <c r="G775" s="29">
        <v>0</v>
      </c>
      <c r="H775" s="29">
        <v>0</v>
      </c>
      <c r="I775" s="29">
        <v>0</v>
      </c>
      <c r="J775" s="29">
        <v>0</v>
      </c>
      <c r="K775" s="64">
        <v>3</v>
      </c>
      <c r="L775" s="29">
        <v>6708398.4000000004</v>
      </c>
      <c r="M775" s="29">
        <v>0</v>
      </c>
      <c r="N775" s="29">
        <v>0</v>
      </c>
      <c r="O775" s="29">
        <v>0</v>
      </c>
      <c r="P775" s="29">
        <v>0</v>
      </c>
      <c r="Q775" s="29">
        <v>0</v>
      </c>
      <c r="R775" s="29">
        <v>0</v>
      </c>
      <c r="S775" s="29">
        <v>0</v>
      </c>
      <c r="T775" s="29">
        <v>0</v>
      </c>
      <c r="U775" s="29">
        <v>0</v>
      </c>
      <c r="V775" s="29">
        <v>0</v>
      </c>
      <c r="W775" s="29">
        <v>0</v>
      </c>
      <c r="X775" s="29">
        <v>0</v>
      </c>
      <c r="Y775" s="29">
        <v>0</v>
      </c>
      <c r="Z775" s="29">
        <v>0</v>
      </c>
      <c r="AA775" s="29">
        <v>0</v>
      </c>
      <c r="AB775" s="29">
        <v>0</v>
      </c>
      <c r="AC775" s="29">
        <f t="shared" si="126"/>
        <v>0</v>
      </c>
      <c r="AD775" s="37">
        <v>150000</v>
      </c>
      <c r="AE775" s="29">
        <v>0</v>
      </c>
      <c r="AF775" s="32">
        <v>2021</v>
      </c>
      <c r="AG775" s="32">
        <v>2021</v>
      </c>
      <c r="AH775" s="33" t="s">
        <v>268</v>
      </c>
      <c r="BY775" s="64">
        <v>3</v>
      </c>
      <c r="BZ775" s="61"/>
      <c r="CD775" s="18" t="e">
        <f>VLOOKUP(C775,CE:CF,2,FALSE)</f>
        <v>#N/A</v>
      </c>
    </row>
    <row r="776" spans="1:82" ht="61.5" x14ac:dyDescent="0.85">
      <c r="A776" s="18">
        <v>1</v>
      </c>
      <c r="B776" s="57">
        <f>SUBTOTAL(103,$A$558:A776)</f>
        <v>216</v>
      </c>
      <c r="C776" s="22" t="s">
        <v>2622</v>
      </c>
      <c r="D776" s="29">
        <f t="shared" si="125"/>
        <v>6858398.4000000004</v>
      </c>
      <c r="E776" s="29">
        <v>0</v>
      </c>
      <c r="F776" s="29">
        <v>0</v>
      </c>
      <c r="G776" s="29">
        <v>0</v>
      </c>
      <c r="H776" s="29">
        <v>0</v>
      </c>
      <c r="I776" s="29">
        <v>0</v>
      </c>
      <c r="J776" s="29">
        <v>0</v>
      </c>
      <c r="K776" s="64">
        <v>3</v>
      </c>
      <c r="L776" s="29">
        <v>6708398.4000000004</v>
      </c>
      <c r="M776" s="29">
        <v>0</v>
      </c>
      <c r="N776" s="29">
        <v>0</v>
      </c>
      <c r="O776" s="29">
        <v>0</v>
      </c>
      <c r="P776" s="29">
        <v>0</v>
      </c>
      <c r="Q776" s="29">
        <v>0</v>
      </c>
      <c r="R776" s="29">
        <v>0</v>
      </c>
      <c r="S776" s="29">
        <v>0</v>
      </c>
      <c r="T776" s="29">
        <v>0</v>
      </c>
      <c r="U776" s="29">
        <v>0</v>
      </c>
      <c r="V776" s="29">
        <v>0</v>
      </c>
      <c r="W776" s="29">
        <v>0</v>
      </c>
      <c r="X776" s="29">
        <v>0</v>
      </c>
      <c r="Y776" s="29">
        <v>0</v>
      </c>
      <c r="Z776" s="29">
        <v>0</v>
      </c>
      <c r="AA776" s="29">
        <v>0</v>
      </c>
      <c r="AB776" s="29">
        <v>0</v>
      </c>
      <c r="AC776" s="29">
        <f t="shared" si="126"/>
        <v>0</v>
      </c>
      <c r="AD776" s="37">
        <v>150000</v>
      </c>
      <c r="AE776" s="29">
        <v>0</v>
      </c>
      <c r="AF776" s="32">
        <v>2021</v>
      </c>
      <c r="AG776" s="32">
        <v>2021</v>
      </c>
      <c r="AH776" s="33" t="s">
        <v>268</v>
      </c>
      <c r="BY776" s="64">
        <v>3</v>
      </c>
      <c r="BZ776" s="61"/>
      <c r="CD776" s="18" t="e">
        <f>VLOOKUP(C776,CE:CF,2,FALSE)</f>
        <v>#N/A</v>
      </c>
    </row>
    <row r="777" spans="1:82" ht="61.5" x14ac:dyDescent="0.85">
      <c r="A777" s="18">
        <v>1</v>
      </c>
      <c r="B777" s="57">
        <f>SUBTOTAL(103,$A$558:A777)</f>
        <v>217</v>
      </c>
      <c r="C777" s="22" t="s">
        <v>2623</v>
      </c>
      <c r="D777" s="29">
        <f t="shared" si="125"/>
        <v>9094531.1999999993</v>
      </c>
      <c r="E777" s="29">
        <v>0</v>
      </c>
      <c r="F777" s="29">
        <v>0</v>
      </c>
      <c r="G777" s="29">
        <v>0</v>
      </c>
      <c r="H777" s="29">
        <v>0</v>
      </c>
      <c r="I777" s="29">
        <v>0</v>
      </c>
      <c r="J777" s="29">
        <v>0</v>
      </c>
      <c r="K777" s="64">
        <v>4</v>
      </c>
      <c r="L777" s="29">
        <v>8944531.1999999993</v>
      </c>
      <c r="M777" s="29">
        <v>0</v>
      </c>
      <c r="N777" s="29">
        <v>0</v>
      </c>
      <c r="O777" s="29">
        <v>0</v>
      </c>
      <c r="P777" s="29">
        <v>0</v>
      </c>
      <c r="Q777" s="29">
        <v>0</v>
      </c>
      <c r="R777" s="29">
        <v>0</v>
      </c>
      <c r="S777" s="29">
        <v>0</v>
      </c>
      <c r="T777" s="29">
        <v>0</v>
      </c>
      <c r="U777" s="29">
        <v>0</v>
      </c>
      <c r="V777" s="29">
        <v>0</v>
      </c>
      <c r="W777" s="29">
        <v>0</v>
      </c>
      <c r="X777" s="29">
        <v>0</v>
      </c>
      <c r="Y777" s="29">
        <v>0</v>
      </c>
      <c r="Z777" s="29">
        <v>0</v>
      </c>
      <c r="AA777" s="29">
        <v>0</v>
      </c>
      <c r="AB777" s="29">
        <v>0</v>
      </c>
      <c r="AC777" s="29">
        <f t="shared" si="126"/>
        <v>0</v>
      </c>
      <c r="AD777" s="37">
        <v>150000</v>
      </c>
      <c r="AE777" s="29">
        <v>0</v>
      </c>
      <c r="AF777" s="32">
        <v>2021</v>
      </c>
      <c r="AG777" s="32">
        <v>2021</v>
      </c>
      <c r="AH777" s="33" t="s">
        <v>268</v>
      </c>
      <c r="BY777" s="64">
        <v>4</v>
      </c>
      <c r="BZ777" s="61"/>
      <c r="CD777" s="18" t="e">
        <f>VLOOKUP(C777,CE:CF,2,FALSE)</f>
        <v>#N/A</v>
      </c>
    </row>
    <row r="778" spans="1:82" ht="61.5" x14ac:dyDescent="0.85">
      <c r="A778" s="18">
        <v>1</v>
      </c>
      <c r="B778" s="57">
        <f>SUBTOTAL(103,$A$558:A778)</f>
        <v>218</v>
      </c>
      <c r="C778" s="22" t="s">
        <v>2624</v>
      </c>
      <c r="D778" s="29">
        <f t="shared" ref="D778:D785" si="127">E778+F778+G778+H778+I778+J778+L778+N778+P778+R778+T778+U778+V778+W778+X778+Y778+Z778+AA778+AB778+AC778+AD778+AE778</f>
        <v>4612265.5999999996</v>
      </c>
      <c r="E778" s="29">
        <v>0</v>
      </c>
      <c r="F778" s="29">
        <v>0</v>
      </c>
      <c r="G778" s="29">
        <v>0</v>
      </c>
      <c r="H778" s="29">
        <v>0</v>
      </c>
      <c r="I778" s="29">
        <v>0</v>
      </c>
      <c r="J778" s="29">
        <v>0</v>
      </c>
      <c r="K778" s="64">
        <v>2</v>
      </c>
      <c r="L778" s="29">
        <v>4472265.5999999996</v>
      </c>
      <c r="M778" s="29">
        <v>0</v>
      </c>
      <c r="N778" s="29">
        <v>0</v>
      </c>
      <c r="O778" s="29">
        <v>0</v>
      </c>
      <c r="P778" s="29">
        <v>0</v>
      </c>
      <c r="Q778" s="29">
        <v>0</v>
      </c>
      <c r="R778" s="29">
        <v>0</v>
      </c>
      <c r="S778" s="29">
        <v>0</v>
      </c>
      <c r="T778" s="29">
        <v>0</v>
      </c>
      <c r="U778" s="29">
        <v>0</v>
      </c>
      <c r="V778" s="29">
        <v>0</v>
      </c>
      <c r="W778" s="29">
        <v>0</v>
      </c>
      <c r="X778" s="29">
        <v>0</v>
      </c>
      <c r="Y778" s="29">
        <v>0</v>
      </c>
      <c r="Z778" s="29">
        <v>0</v>
      </c>
      <c r="AA778" s="29">
        <v>0</v>
      </c>
      <c r="AB778" s="29">
        <v>0</v>
      </c>
      <c r="AC778" s="29">
        <f t="shared" ref="AC778:AC785" si="128">ROUND(N778*1.5%,2)</f>
        <v>0</v>
      </c>
      <c r="AD778" s="37">
        <v>140000</v>
      </c>
      <c r="AE778" s="29">
        <v>0</v>
      </c>
      <c r="AF778" s="32">
        <v>2021</v>
      </c>
      <c r="AG778" s="32">
        <v>2021</v>
      </c>
      <c r="AH778" s="33" t="s">
        <v>268</v>
      </c>
      <c r="BY778" s="64">
        <v>2</v>
      </c>
      <c r="BZ778" s="61"/>
      <c r="CD778" s="18" t="e">
        <f>VLOOKUP(C778,CE:CF,2,FALSE)</f>
        <v>#N/A</v>
      </c>
    </row>
    <row r="779" spans="1:82" ht="61.5" x14ac:dyDescent="0.85">
      <c r="A779" s="18">
        <v>1</v>
      </c>
      <c r="B779" s="57">
        <f>SUBTOTAL(103,$A$558:A779)</f>
        <v>219</v>
      </c>
      <c r="C779" s="22" t="s">
        <v>2625</v>
      </c>
      <c r="D779" s="29">
        <f t="shared" si="127"/>
        <v>4612265.5999999996</v>
      </c>
      <c r="E779" s="29">
        <v>0</v>
      </c>
      <c r="F779" s="29">
        <v>0</v>
      </c>
      <c r="G779" s="29">
        <v>0</v>
      </c>
      <c r="H779" s="29">
        <v>0</v>
      </c>
      <c r="I779" s="29">
        <v>0</v>
      </c>
      <c r="J779" s="29">
        <v>0</v>
      </c>
      <c r="K779" s="64">
        <v>2</v>
      </c>
      <c r="L779" s="29">
        <v>4472265.5999999996</v>
      </c>
      <c r="M779" s="29">
        <v>0</v>
      </c>
      <c r="N779" s="29">
        <v>0</v>
      </c>
      <c r="O779" s="29">
        <v>0</v>
      </c>
      <c r="P779" s="29">
        <v>0</v>
      </c>
      <c r="Q779" s="29">
        <v>0</v>
      </c>
      <c r="R779" s="29">
        <v>0</v>
      </c>
      <c r="S779" s="29">
        <v>0</v>
      </c>
      <c r="T779" s="29">
        <v>0</v>
      </c>
      <c r="U779" s="29">
        <v>0</v>
      </c>
      <c r="V779" s="29">
        <v>0</v>
      </c>
      <c r="W779" s="29">
        <v>0</v>
      </c>
      <c r="X779" s="29">
        <v>0</v>
      </c>
      <c r="Y779" s="29">
        <v>0</v>
      </c>
      <c r="Z779" s="29">
        <v>0</v>
      </c>
      <c r="AA779" s="29">
        <v>0</v>
      </c>
      <c r="AB779" s="29">
        <v>0</v>
      </c>
      <c r="AC779" s="29">
        <f t="shared" si="128"/>
        <v>0</v>
      </c>
      <c r="AD779" s="37">
        <v>140000</v>
      </c>
      <c r="AE779" s="29">
        <v>0</v>
      </c>
      <c r="AF779" s="32">
        <v>2021</v>
      </c>
      <c r="AG779" s="32">
        <v>2021</v>
      </c>
      <c r="AH779" s="33" t="s">
        <v>268</v>
      </c>
      <c r="BY779" s="64">
        <v>2</v>
      </c>
      <c r="BZ779" s="61"/>
      <c r="CD779" s="18" t="e">
        <f>VLOOKUP(C779,CE:CF,2,FALSE)</f>
        <v>#N/A</v>
      </c>
    </row>
    <row r="780" spans="1:82" ht="61.5" x14ac:dyDescent="0.85">
      <c r="A780" s="18">
        <v>1</v>
      </c>
      <c r="B780" s="57">
        <f>SUBTOTAL(103,$A$558:A780)</f>
        <v>220</v>
      </c>
      <c r="C780" s="22" t="s">
        <v>1795</v>
      </c>
      <c r="D780" s="29">
        <f t="shared" si="127"/>
        <v>6858398.4000000004</v>
      </c>
      <c r="E780" s="29">
        <v>0</v>
      </c>
      <c r="F780" s="29">
        <v>0</v>
      </c>
      <c r="G780" s="29">
        <v>0</v>
      </c>
      <c r="H780" s="29">
        <v>0</v>
      </c>
      <c r="I780" s="29">
        <v>0</v>
      </c>
      <c r="J780" s="29">
        <v>0</v>
      </c>
      <c r="K780" s="64">
        <v>3</v>
      </c>
      <c r="L780" s="29">
        <v>6708398.4000000004</v>
      </c>
      <c r="M780" s="29">
        <v>0</v>
      </c>
      <c r="N780" s="29">
        <v>0</v>
      </c>
      <c r="O780" s="29">
        <v>0</v>
      </c>
      <c r="P780" s="29">
        <v>0</v>
      </c>
      <c r="Q780" s="29">
        <v>0</v>
      </c>
      <c r="R780" s="29">
        <v>0</v>
      </c>
      <c r="S780" s="29">
        <v>0</v>
      </c>
      <c r="T780" s="29">
        <v>0</v>
      </c>
      <c r="U780" s="29">
        <v>0</v>
      </c>
      <c r="V780" s="29">
        <v>0</v>
      </c>
      <c r="W780" s="29">
        <v>0</v>
      </c>
      <c r="X780" s="29">
        <v>0</v>
      </c>
      <c r="Y780" s="29">
        <v>0</v>
      </c>
      <c r="Z780" s="29">
        <v>0</v>
      </c>
      <c r="AA780" s="29">
        <v>0</v>
      </c>
      <c r="AB780" s="29">
        <v>0</v>
      </c>
      <c r="AC780" s="29">
        <f t="shared" si="128"/>
        <v>0</v>
      </c>
      <c r="AD780" s="37">
        <v>150000</v>
      </c>
      <c r="AE780" s="29">
        <v>0</v>
      </c>
      <c r="AF780" s="32">
        <v>2021</v>
      </c>
      <c r="AG780" s="32">
        <v>2021</v>
      </c>
      <c r="AH780" s="33" t="s">
        <v>268</v>
      </c>
      <c r="BY780" s="64">
        <v>3</v>
      </c>
      <c r="BZ780" s="61"/>
      <c r="CD780" s="18" t="e">
        <f>VLOOKUP(C780,CE:CF,2,FALSE)</f>
        <v>#N/A</v>
      </c>
    </row>
    <row r="781" spans="1:82" ht="61.5" x14ac:dyDescent="0.85">
      <c r="A781" s="18">
        <v>1</v>
      </c>
      <c r="B781" s="57">
        <f>SUBTOTAL(103,$A$558:A781)</f>
        <v>221</v>
      </c>
      <c r="C781" s="22" t="s">
        <v>2626</v>
      </c>
      <c r="D781" s="29">
        <f t="shared" si="127"/>
        <v>9094531.1999999993</v>
      </c>
      <c r="E781" s="29">
        <v>0</v>
      </c>
      <c r="F781" s="29">
        <v>0</v>
      </c>
      <c r="G781" s="29">
        <v>0</v>
      </c>
      <c r="H781" s="29">
        <v>0</v>
      </c>
      <c r="I781" s="29">
        <v>0</v>
      </c>
      <c r="J781" s="29">
        <v>0</v>
      </c>
      <c r="K781" s="64">
        <v>4</v>
      </c>
      <c r="L781" s="29">
        <v>8944531.1999999993</v>
      </c>
      <c r="M781" s="29">
        <v>0</v>
      </c>
      <c r="N781" s="29">
        <v>0</v>
      </c>
      <c r="O781" s="29">
        <v>0</v>
      </c>
      <c r="P781" s="29">
        <v>0</v>
      </c>
      <c r="Q781" s="29">
        <v>0</v>
      </c>
      <c r="R781" s="29">
        <v>0</v>
      </c>
      <c r="S781" s="29">
        <v>0</v>
      </c>
      <c r="T781" s="29">
        <v>0</v>
      </c>
      <c r="U781" s="29">
        <v>0</v>
      </c>
      <c r="V781" s="29">
        <v>0</v>
      </c>
      <c r="W781" s="29">
        <v>0</v>
      </c>
      <c r="X781" s="29">
        <v>0</v>
      </c>
      <c r="Y781" s="29">
        <v>0</v>
      </c>
      <c r="Z781" s="29">
        <v>0</v>
      </c>
      <c r="AA781" s="29">
        <v>0</v>
      </c>
      <c r="AB781" s="29">
        <v>0</v>
      </c>
      <c r="AC781" s="29">
        <f t="shared" si="128"/>
        <v>0</v>
      </c>
      <c r="AD781" s="37">
        <v>150000</v>
      </c>
      <c r="AE781" s="29">
        <v>0</v>
      </c>
      <c r="AF781" s="32">
        <v>2021</v>
      </c>
      <c r="AG781" s="32">
        <v>2021</v>
      </c>
      <c r="AH781" s="33" t="s">
        <v>268</v>
      </c>
      <c r="BY781" s="64">
        <v>4</v>
      </c>
      <c r="BZ781" s="61"/>
      <c r="CD781" s="18" t="e">
        <f>VLOOKUP(C781,CE:CF,2,FALSE)</f>
        <v>#N/A</v>
      </c>
    </row>
    <row r="782" spans="1:82" ht="61.5" x14ac:dyDescent="0.85">
      <c r="A782" s="18">
        <v>1</v>
      </c>
      <c r="B782" s="57">
        <f>SUBTOTAL(103,$A$558:A782)</f>
        <v>222</v>
      </c>
      <c r="C782" s="22" t="s">
        <v>2526</v>
      </c>
      <c r="D782" s="29">
        <f t="shared" si="127"/>
        <v>6858398.4000000004</v>
      </c>
      <c r="E782" s="29">
        <v>0</v>
      </c>
      <c r="F782" s="29">
        <v>0</v>
      </c>
      <c r="G782" s="29">
        <v>0</v>
      </c>
      <c r="H782" s="29">
        <v>0</v>
      </c>
      <c r="I782" s="29">
        <v>0</v>
      </c>
      <c r="J782" s="29">
        <v>0</v>
      </c>
      <c r="K782" s="64">
        <v>3</v>
      </c>
      <c r="L782" s="29">
        <v>6708398.4000000004</v>
      </c>
      <c r="M782" s="29">
        <v>0</v>
      </c>
      <c r="N782" s="29">
        <v>0</v>
      </c>
      <c r="O782" s="29">
        <v>0</v>
      </c>
      <c r="P782" s="29">
        <v>0</v>
      </c>
      <c r="Q782" s="29">
        <v>0</v>
      </c>
      <c r="R782" s="29">
        <v>0</v>
      </c>
      <c r="S782" s="29">
        <v>0</v>
      </c>
      <c r="T782" s="29">
        <v>0</v>
      </c>
      <c r="U782" s="29">
        <v>0</v>
      </c>
      <c r="V782" s="29">
        <v>0</v>
      </c>
      <c r="W782" s="29">
        <v>0</v>
      </c>
      <c r="X782" s="29">
        <v>0</v>
      </c>
      <c r="Y782" s="29">
        <v>0</v>
      </c>
      <c r="Z782" s="29">
        <v>0</v>
      </c>
      <c r="AA782" s="29">
        <v>0</v>
      </c>
      <c r="AB782" s="29">
        <v>0</v>
      </c>
      <c r="AC782" s="29">
        <f t="shared" si="128"/>
        <v>0</v>
      </c>
      <c r="AD782" s="37">
        <v>150000</v>
      </c>
      <c r="AE782" s="29">
        <v>0</v>
      </c>
      <c r="AF782" s="32">
        <v>2021</v>
      </c>
      <c r="AG782" s="32">
        <v>2021</v>
      </c>
      <c r="AH782" s="33" t="s">
        <v>268</v>
      </c>
      <c r="BY782" s="64">
        <v>3</v>
      </c>
      <c r="BZ782" s="61"/>
      <c r="CD782" s="18" t="e">
        <f>VLOOKUP(C782,CE:CF,2,FALSE)</f>
        <v>#N/A</v>
      </c>
    </row>
    <row r="783" spans="1:82" ht="61.5" x14ac:dyDescent="0.85">
      <c r="A783" s="18">
        <v>1</v>
      </c>
      <c r="B783" s="57">
        <f>SUBTOTAL(103,$A$558:A783)</f>
        <v>223</v>
      </c>
      <c r="C783" s="22" t="s">
        <v>2627</v>
      </c>
      <c r="D783" s="29">
        <f t="shared" si="127"/>
        <v>11675496.43</v>
      </c>
      <c r="E783" s="29">
        <v>0</v>
      </c>
      <c r="F783" s="29">
        <v>0</v>
      </c>
      <c r="G783" s="29">
        <v>0</v>
      </c>
      <c r="H783" s="29">
        <v>0</v>
      </c>
      <c r="I783" s="29">
        <v>0</v>
      </c>
      <c r="J783" s="29">
        <v>0</v>
      </c>
      <c r="K783" s="64">
        <v>5</v>
      </c>
      <c r="L783" s="29">
        <v>11495496.43</v>
      </c>
      <c r="M783" s="29">
        <v>0</v>
      </c>
      <c r="N783" s="29">
        <v>0</v>
      </c>
      <c r="O783" s="29">
        <v>0</v>
      </c>
      <c r="P783" s="29">
        <v>0</v>
      </c>
      <c r="Q783" s="29">
        <v>0</v>
      </c>
      <c r="R783" s="29">
        <v>0</v>
      </c>
      <c r="S783" s="29">
        <v>0</v>
      </c>
      <c r="T783" s="29">
        <v>0</v>
      </c>
      <c r="U783" s="29">
        <v>0</v>
      </c>
      <c r="V783" s="29">
        <v>0</v>
      </c>
      <c r="W783" s="29">
        <v>0</v>
      </c>
      <c r="X783" s="29">
        <v>0</v>
      </c>
      <c r="Y783" s="29">
        <v>0</v>
      </c>
      <c r="Z783" s="29">
        <v>0</v>
      </c>
      <c r="AA783" s="29">
        <v>0</v>
      </c>
      <c r="AB783" s="29">
        <v>0</v>
      </c>
      <c r="AC783" s="29">
        <f t="shared" si="128"/>
        <v>0</v>
      </c>
      <c r="AD783" s="37">
        <v>180000</v>
      </c>
      <c r="AE783" s="29">
        <v>0</v>
      </c>
      <c r="AF783" s="32">
        <v>2021</v>
      </c>
      <c r="AG783" s="32">
        <v>2021</v>
      </c>
      <c r="AH783" s="33" t="s">
        <v>268</v>
      </c>
      <c r="BY783" s="64">
        <v>5</v>
      </c>
      <c r="BZ783" s="61"/>
      <c r="CD783" s="18" t="e">
        <f>VLOOKUP(C783,CE:CF,2,FALSE)</f>
        <v>#N/A</v>
      </c>
    </row>
    <row r="784" spans="1:82" ht="61.5" x14ac:dyDescent="0.85">
      <c r="A784" s="18">
        <v>1</v>
      </c>
      <c r="B784" s="57">
        <f>SUBTOTAL(103,$A$558:A784)</f>
        <v>224</v>
      </c>
      <c r="C784" s="22" t="s">
        <v>2628</v>
      </c>
      <c r="D784" s="29">
        <f t="shared" si="127"/>
        <v>9356397.1500000004</v>
      </c>
      <c r="E784" s="29">
        <v>0</v>
      </c>
      <c r="F784" s="29">
        <v>0</v>
      </c>
      <c r="G784" s="29">
        <v>0</v>
      </c>
      <c r="H784" s="29">
        <v>0</v>
      </c>
      <c r="I784" s="29">
        <v>0</v>
      </c>
      <c r="J784" s="29">
        <v>0</v>
      </c>
      <c r="K784" s="64">
        <v>4</v>
      </c>
      <c r="L784" s="29">
        <v>9196397.1500000004</v>
      </c>
      <c r="M784" s="29">
        <v>0</v>
      </c>
      <c r="N784" s="29">
        <v>0</v>
      </c>
      <c r="O784" s="29">
        <v>0</v>
      </c>
      <c r="P784" s="29">
        <v>0</v>
      </c>
      <c r="Q784" s="29">
        <v>0</v>
      </c>
      <c r="R784" s="29">
        <v>0</v>
      </c>
      <c r="S784" s="29">
        <v>0</v>
      </c>
      <c r="T784" s="29">
        <v>0</v>
      </c>
      <c r="U784" s="29">
        <v>0</v>
      </c>
      <c r="V784" s="29">
        <v>0</v>
      </c>
      <c r="W784" s="29">
        <v>0</v>
      </c>
      <c r="X784" s="29">
        <v>0</v>
      </c>
      <c r="Y784" s="29">
        <v>0</v>
      </c>
      <c r="Z784" s="29">
        <v>0</v>
      </c>
      <c r="AA784" s="29">
        <v>0</v>
      </c>
      <c r="AB784" s="29">
        <v>0</v>
      </c>
      <c r="AC784" s="29">
        <f t="shared" si="128"/>
        <v>0</v>
      </c>
      <c r="AD784" s="37">
        <v>160000</v>
      </c>
      <c r="AE784" s="29">
        <v>0</v>
      </c>
      <c r="AF784" s="32">
        <v>2021</v>
      </c>
      <c r="AG784" s="32">
        <v>2021</v>
      </c>
      <c r="AH784" s="33" t="s">
        <v>268</v>
      </c>
      <c r="BY784" s="64">
        <v>4</v>
      </c>
      <c r="BZ784" s="61"/>
      <c r="CD784" s="18" t="e">
        <f>VLOOKUP(C784,CE:CF,2,FALSE)</f>
        <v>#N/A</v>
      </c>
    </row>
    <row r="785" spans="1:82" ht="61.5" x14ac:dyDescent="0.85">
      <c r="A785" s="18">
        <v>1</v>
      </c>
      <c r="B785" s="57">
        <f>SUBTOTAL(103,$A$558:A785)</f>
        <v>225</v>
      </c>
      <c r="C785" s="22" t="s">
        <v>2629</v>
      </c>
      <c r="D785" s="29">
        <f t="shared" si="127"/>
        <v>8024951.5800000001</v>
      </c>
      <c r="E785" s="29">
        <v>0</v>
      </c>
      <c r="F785" s="29">
        <v>0</v>
      </c>
      <c r="G785" s="29">
        <v>0</v>
      </c>
      <c r="H785" s="29">
        <v>0</v>
      </c>
      <c r="I785" s="29">
        <v>0</v>
      </c>
      <c r="J785" s="29">
        <v>0</v>
      </c>
      <c r="K785" s="64">
        <v>3</v>
      </c>
      <c r="L785" s="29">
        <v>7874951.5800000001</v>
      </c>
      <c r="M785" s="29">
        <v>0</v>
      </c>
      <c r="N785" s="29">
        <v>0</v>
      </c>
      <c r="O785" s="29">
        <v>0</v>
      </c>
      <c r="P785" s="29">
        <v>0</v>
      </c>
      <c r="Q785" s="29">
        <v>0</v>
      </c>
      <c r="R785" s="29">
        <v>0</v>
      </c>
      <c r="S785" s="29">
        <v>0</v>
      </c>
      <c r="T785" s="29">
        <v>0</v>
      </c>
      <c r="U785" s="29">
        <v>0</v>
      </c>
      <c r="V785" s="29">
        <v>0</v>
      </c>
      <c r="W785" s="29">
        <v>0</v>
      </c>
      <c r="X785" s="29">
        <v>0</v>
      </c>
      <c r="Y785" s="29">
        <v>0</v>
      </c>
      <c r="Z785" s="29">
        <v>0</v>
      </c>
      <c r="AA785" s="29">
        <v>0</v>
      </c>
      <c r="AB785" s="29">
        <v>0</v>
      </c>
      <c r="AC785" s="29">
        <f t="shared" si="128"/>
        <v>0</v>
      </c>
      <c r="AD785" s="37">
        <v>150000</v>
      </c>
      <c r="AE785" s="29">
        <v>0</v>
      </c>
      <c r="AF785" s="32">
        <v>2021</v>
      </c>
      <c r="AG785" s="32">
        <v>2021</v>
      </c>
      <c r="AH785" s="33" t="s">
        <v>268</v>
      </c>
      <c r="BY785" s="64">
        <v>3</v>
      </c>
      <c r="BZ785" s="61"/>
      <c r="CD785" s="18" t="e">
        <f>VLOOKUP(C785,CE:CF,2,FALSE)</f>
        <v>#N/A</v>
      </c>
    </row>
    <row r="786" spans="1:82" ht="61.5" x14ac:dyDescent="0.85">
      <c r="A786" s="18">
        <v>1</v>
      </c>
      <c r="B786" s="57">
        <f>SUBTOTAL(103,$A$558:A786)</f>
        <v>226</v>
      </c>
      <c r="C786" s="22" t="s">
        <v>2630</v>
      </c>
      <c r="D786" s="29">
        <f t="shared" ref="D786:D793" si="129">E786+F786+G786+H786+I786+J786+L786+N786+P786+R786+T786+U786+V786+W786+X786+Y786+Z786+AA786+AB786+AC786+AD786+AE786</f>
        <v>2366132.7999999998</v>
      </c>
      <c r="E786" s="29">
        <v>0</v>
      </c>
      <c r="F786" s="29">
        <v>0</v>
      </c>
      <c r="G786" s="29">
        <v>0</v>
      </c>
      <c r="H786" s="29">
        <v>0</v>
      </c>
      <c r="I786" s="29">
        <v>0</v>
      </c>
      <c r="J786" s="29">
        <v>0</v>
      </c>
      <c r="K786" s="64">
        <v>1</v>
      </c>
      <c r="L786" s="29">
        <v>2236132.7999999998</v>
      </c>
      <c r="M786" s="29">
        <v>0</v>
      </c>
      <c r="N786" s="29">
        <v>0</v>
      </c>
      <c r="O786" s="29">
        <v>0</v>
      </c>
      <c r="P786" s="29">
        <v>0</v>
      </c>
      <c r="Q786" s="29">
        <v>0</v>
      </c>
      <c r="R786" s="29">
        <v>0</v>
      </c>
      <c r="S786" s="29">
        <v>0</v>
      </c>
      <c r="T786" s="29">
        <v>0</v>
      </c>
      <c r="U786" s="29">
        <v>0</v>
      </c>
      <c r="V786" s="29">
        <v>0</v>
      </c>
      <c r="W786" s="29">
        <v>0</v>
      </c>
      <c r="X786" s="29">
        <v>0</v>
      </c>
      <c r="Y786" s="29">
        <v>0</v>
      </c>
      <c r="Z786" s="29">
        <v>0</v>
      </c>
      <c r="AA786" s="29">
        <v>0</v>
      </c>
      <c r="AB786" s="29">
        <v>0</v>
      </c>
      <c r="AC786" s="29">
        <f t="shared" ref="AC786:AC793" si="130">ROUND(N786*1.5%,2)</f>
        <v>0</v>
      </c>
      <c r="AD786" s="37">
        <v>130000</v>
      </c>
      <c r="AE786" s="29">
        <v>0</v>
      </c>
      <c r="AF786" s="32">
        <v>2021</v>
      </c>
      <c r="AG786" s="32">
        <v>2021</v>
      </c>
      <c r="AH786" s="33" t="s">
        <v>268</v>
      </c>
      <c r="BY786" s="64">
        <v>1</v>
      </c>
      <c r="BZ786" s="61"/>
      <c r="CD786" s="18" t="e">
        <f>VLOOKUP(C786,CE:CF,2,FALSE)</f>
        <v>#N/A</v>
      </c>
    </row>
    <row r="787" spans="1:82" ht="61.5" x14ac:dyDescent="0.85">
      <c r="A787" s="18">
        <v>1</v>
      </c>
      <c r="B787" s="57">
        <f>SUBTOTAL(103,$A$558:A787)</f>
        <v>227</v>
      </c>
      <c r="C787" s="22" t="s">
        <v>2631</v>
      </c>
      <c r="D787" s="29">
        <f t="shared" si="129"/>
        <v>4738198.57</v>
      </c>
      <c r="E787" s="29">
        <v>0</v>
      </c>
      <c r="F787" s="29">
        <v>0</v>
      </c>
      <c r="G787" s="29">
        <v>0</v>
      </c>
      <c r="H787" s="29">
        <v>0</v>
      </c>
      <c r="I787" s="29">
        <v>0</v>
      </c>
      <c r="J787" s="29">
        <v>0</v>
      </c>
      <c r="K787" s="64">
        <v>2</v>
      </c>
      <c r="L787" s="29">
        <v>4598198.57</v>
      </c>
      <c r="M787" s="29">
        <v>0</v>
      </c>
      <c r="N787" s="29">
        <v>0</v>
      </c>
      <c r="O787" s="29">
        <v>0</v>
      </c>
      <c r="P787" s="29">
        <v>0</v>
      </c>
      <c r="Q787" s="29">
        <v>0</v>
      </c>
      <c r="R787" s="29">
        <v>0</v>
      </c>
      <c r="S787" s="29">
        <v>0</v>
      </c>
      <c r="T787" s="29">
        <v>0</v>
      </c>
      <c r="U787" s="29">
        <v>0</v>
      </c>
      <c r="V787" s="29">
        <v>0</v>
      </c>
      <c r="W787" s="29">
        <v>0</v>
      </c>
      <c r="X787" s="29">
        <v>0</v>
      </c>
      <c r="Y787" s="29">
        <v>0</v>
      </c>
      <c r="Z787" s="29">
        <v>0</v>
      </c>
      <c r="AA787" s="29">
        <v>0</v>
      </c>
      <c r="AB787" s="29">
        <v>0</v>
      </c>
      <c r="AC787" s="29">
        <f t="shared" si="130"/>
        <v>0</v>
      </c>
      <c r="AD787" s="37">
        <v>140000</v>
      </c>
      <c r="AE787" s="29">
        <v>0</v>
      </c>
      <c r="AF787" s="32">
        <v>2021</v>
      </c>
      <c r="AG787" s="32">
        <v>2021</v>
      </c>
      <c r="AH787" s="33" t="s">
        <v>268</v>
      </c>
      <c r="BY787" s="64">
        <v>2</v>
      </c>
      <c r="BZ787" s="61"/>
      <c r="CD787" s="18" t="e">
        <f>VLOOKUP(C787,CE:CF,2,FALSE)</f>
        <v>#N/A</v>
      </c>
    </row>
    <row r="788" spans="1:82" ht="61.5" x14ac:dyDescent="0.85">
      <c r="A788" s="18">
        <v>1</v>
      </c>
      <c r="B788" s="57">
        <f>SUBTOTAL(103,$A$558:A788)</f>
        <v>228</v>
      </c>
      <c r="C788" s="22" t="s">
        <v>2420</v>
      </c>
      <c r="D788" s="29">
        <f t="shared" si="129"/>
        <v>4718198.57</v>
      </c>
      <c r="E788" s="29">
        <v>0</v>
      </c>
      <c r="F788" s="29">
        <v>0</v>
      </c>
      <c r="G788" s="29">
        <v>0</v>
      </c>
      <c r="H788" s="29">
        <v>0</v>
      </c>
      <c r="I788" s="29">
        <v>0</v>
      </c>
      <c r="J788" s="29">
        <v>0</v>
      </c>
      <c r="K788" s="64">
        <v>2</v>
      </c>
      <c r="L788" s="29">
        <v>4598198.57</v>
      </c>
      <c r="M788" s="29">
        <v>0</v>
      </c>
      <c r="N788" s="29">
        <v>0</v>
      </c>
      <c r="O788" s="29">
        <v>0</v>
      </c>
      <c r="P788" s="29">
        <v>0</v>
      </c>
      <c r="Q788" s="29">
        <v>0</v>
      </c>
      <c r="R788" s="29">
        <v>0</v>
      </c>
      <c r="S788" s="29">
        <v>0</v>
      </c>
      <c r="T788" s="29">
        <v>0</v>
      </c>
      <c r="U788" s="29">
        <v>0</v>
      </c>
      <c r="V788" s="29">
        <v>0</v>
      </c>
      <c r="W788" s="29">
        <v>0</v>
      </c>
      <c r="X788" s="29">
        <v>0</v>
      </c>
      <c r="Y788" s="29">
        <v>0</v>
      </c>
      <c r="Z788" s="29">
        <v>0</v>
      </c>
      <c r="AA788" s="29">
        <v>0</v>
      </c>
      <c r="AB788" s="29">
        <v>0</v>
      </c>
      <c r="AC788" s="29">
        <f t="shared" si="130"/>
        <v>0</v>
      </c>
      <c r="AD788" s="37">
        <v>120000</v>
      </c>
      <c r="AE788" s="29">
        <v>0</v>
      </c>
      <c r="AF788" s="32">
        <v>2021</v>
      </c>
      <c r="AG788" s="32">
        <v>2021</v>
      </c>
      <c r="AH788" s="33" t="s">
        <v>268</v>
      </c>
      <c r="BY788" s="64">
        <v>2</v>
      </c>
      <c r="BZ788" s="61"/>
      <c r="CD788" s="18" t="e">
        <f>VLOOKUP(C788,CE:CF,2,FALSE)</f>
        <v>#N/A</v>
      </c>
    </row>
    <row r="789" spans="1:82" ht="61.5" x14ac:dyDescent="0.85">
      <c r="A789" s="18">
        <v>1</v>
      </c>
      <c r="B789" s="57">
        <f>SUBTOTAL(103,$A$558:A789)</f>
        <v>229</v>
      </c>
      <c r="C789" s="22" t="s">
        <v>2421</v>
      </c>
      <c r="D789" s="29">
        <f t="shared" si="129"/>
        <v>4718198.57</v>
      </c>
      <c r="E789" s="29">
        <v>0</v>
      </c>
      <c r="F789" s="29">
        <v>0</v>
      </c>
      <c r="G789" s="29">
        <v>0</v>
      </c>
      <c r="H789" s="29">
        <v>0</v>
      </c>
      <c r="I789" s="29">
        <v>0</v>
      </c>
      <c r="J789" s="29">
        <v>0</v>
      </c>
      <c r="K789" s="64">
        <v>2</v>
      </c>
      <c r="L789" s="29">
        <v>4598198.57</v>
      </c>
      <c r="M789" s="29">
        <v>0</v>
      </c>
      <c r="N789" s="29">
        <v>0</v>
      </c>
      <c r="O789" s="29">
        <v>0</v>
      </c>
      <c r="P789" s="29">
        <v>0</v>
      </c>
      <c r="Q789" s="29">
        <v>0</v>
      </c>
      <c r="R789" s="29">
        <v>0</v>
      </c>
      <c r="S789" s="29">
        <v>0</v>
      </c>
      <c r="T789" s="29">
        <v>0</v>
      </c>
      <c r="U789" s="29">
        <v>0</v>
      </c>
      <c r="V789" s="29">
        <v>0</v>
      </c>
      <c r="W789" s="29">
        <v>0</v>
      </c>
      <c r="X789" s="29">
        <v>0</v>
      </c>
      <c r="Y789" s="29">
        <v>0</v>
      </c>
      <c r="Z789" s="29">
        <v>0</v>
      </c>
      <c r="AA789" s="29">
        <v>0</v>
      </c>
      <c r="AB789" s="29">
        <v>0</v>
      </c>
      <c r="AC789" s="29">
        <f t="shared" si="130"/>
        <v>0</v>
      </c>
      <c r="AD789" s="37">
        <v>120000</v>
      </c>
      <c r="AE789" s="29">
        <v>0</v>
      </c>
      <c r="AF789" s="32">
        <v>2021</v>
      </c>
      <c r="AG789" s="32">
        <v>2021</v>
      </c>
      <c r="AH789" s="33" t="s">
        <v>268</v>
      </c>
      <c r="BY789" s="64">
        <v>2</v>
      </c>
      <c r="BZ789" s="61"/>
      <c r="CD789" s="18" t="e">
        <f>VLOOKUP(C789,CE:CF,2,FALSE)</f>
        <v>#N/A</v>
      </c>
    </row>
    <row r="790" spans="1:82" ht="61.5" x14ac:dyDescent="0.85">
      <c r="A790" s="18">
        <v>1</v>
      </c>
      <c r="B790" s="57">
        <f>SUBTOTAL(103,$A$558:A790)</f>
        <v>230</v>
      </c>
      <c r="C790" s="22" t="s">
        <v>2113</v>
      </c>
      <c r="D790" s="29">
        <f t="shared" si="129"/>
        <v>9104531.1999999993</v>
      </c>
      <c r="E790" s="29">
        <v>0</v>
      </c>
      <c r="F790" s="29">
        <v>0</v>
      </c>
      <c r="G790" s="29">
        <v>0</v>
      </c>
      <c r="H790" s="29">
        <v>0</v>
      </c>
      <c r="I790" s="29">
        <v>0</v>
      </c>
      <c r="J790" s="29">
        <v>0</v>
      </c>
      <c r="K790" s="64">
        <v>4</v>
      </c>
      <c r="L790" s="29">
        <v>8944531.1999999993</v>
      </c>
      <c r="M790" s="29">
        <v>0</v>
      </c>
      <c r="N790" s="29">
        <v>0</v>
      </c>
      <c r="O790" s="29">
        <v>0</v>
      </c>
      <c r="P790" s="29">
        <v>0</v>
      </c>
      <c r="Q790" s="29">
        <v>0</v>
      </c>
      <c r="R790" s="29">
        <v>0</v>
      </c>
      <c r="S790" s="29">
        <v>0</v>
      </c>
      <c r="T790" s="29">
        <v>0</v>
      </c>
      <c r="U790" s="29">
        <v>0</v>
      </c>
      <c r="V790" s="29">
        <v>0</v>
      </c>
      <c r="W790" s="29">
        <v>0</v>
      </c>
      <c r="X790" s="29">
        <v>0</v>
      </c>
      <c r="Y790" s="29">
        <v>0</v>
      </c>
      <c r="Z790" s="29">
        <v>0</v>
      </c>
      <c r="AA790" s="29">
        <v>0</v>
      </c>
      <c r="AB790" s="29">
        <v>0</v>
      </c>
      <c r="AC790" s="29">
        <f t="shared" si="130"/>
        <v>0</v>
      </c>
      <c r="AD790" s="37">
        <v>160000</v>
      </c>
      <c r="AE790" s="29">
        <v>0</v>
      </c>
      <c r="AF790" s="32">
        <v>2021</v>
      </c>
      <c r="AG790" s="32">
        <v>2021</v>
      </c>
      <c r="AH790" s="33" t="s">
        <v>268</v>
      </c>
      <c r="BY790" s="64">
        <v>4</v>
      </c>
      <c r="BZ790" s="61"/>
      <c r="CD790" s="18" t="e">
        <f>VLOOKUP(C790,CE:CF,2,FALSE)</f>
        <v>#N/A</v>
      </c>
    </row>
    <row r="791" spans="1:82" ht="61.5" x14ac:dyDescent="0.85">
      <c r="A791" s="18">
        <v>1</v>
      </c>
      <c r="B791" s="57">
        <f>SUBTOTAL(103,$A$558:A791)</f>
        <v>231</v>
      </c>
      <c r="C791" s="22" t="s">
        <v>2532</v>
      </c>
      <c r="D791" s="29">
        <f t="shared" si="129"/>
        <v>9104531.1999999993</v>
      </c>
      <c r="E791" s="29">
        <v>0</v>
      </c>
      <c r="F791" s="29">
        <v>0</v>
      </c>
      <c r="G791" s="29">
        <v>0</v>
      </c>
      <c r="H791" s="29">
        <v>0</v>
      </c>
      <c r="I791" s="29">
        <v>0</v>
      </c>
      <c r="J791" s="29">
        <v>0</v>
      </c>
      <c r="K791" s="64">
        <v>4</v>
      </c>
      <c r="L791" s="29">
        <v>8944531.1999999993</v>
      </c>
      <c r="M791" s="29">
        <v>0</v>
      </c>
      <c r="N791" s="29">
        <v>0</v>
      </c>
      <c r="O791" s="29">
        <v>0</v>
      </c>
      <c r="P791" s="29">
        <v>0</v>
      </c>
      <c r="Q791" s="29">
        <v>0</v>
      </c>
      <c r="R791" s="29">
        <v>0</v>
      </c>
      <c r="S791" s="29">
        <v>0</v>
      </c>
      <c r="T791" s="29">
        <v>0</v>
      </c>
      <c r="U791" s="29">
        <v>0</v>
      </c>
      <c r="V791" s="29">
        <v>0</v>
      </c>
      <c r="W791" s="29">
        <v>0</v>
      </c>
      <c r="X791" s="29">
        <v>0</v>
      </c>
      <c r="Y791" s="29">
        <v>0</v>
      </c>
      <c r="Z791" s="29">
        <v>0</v>
      </c>
      <c r="AA791" s="29">
        <v>0</v>
      </c>
      <c r="AB791" s="29">
        <v>0</v>
      </c>
      <c r="AC791" s="29">
        <f t="shared" si="130"/>
        <v>0</v>
      </c>
      <c r="AD791" s="37">
        <v>160000</v>
      </c>
      <c r="AE791" s="29">
        <v>0</v>
      </c>
      <c r="AF791" s="32">
        <v>2021</v>
      </c>
      <c r="AG791" s="32">
        <v>2021</v>
      </c>
      <c r="AH791" s="33" t="s">
        <v>268</v>
      </c>
      <c r="BY791" s="64">
        <v>4</v>
      </c>
      <c r="BZ791" s="61"/>
      <c r="CD791" s="18" t="e">
        <f>VLOOKUP(C791,CE:CF,2,FALSE)</f>
        <v>#N/A</v>
      </c>
    </row>
    <row r="792" spans="1:82" ht="61.5" x14ac:dyDescent="0.85">
      <c r="A792" s="18">
        <v>1</v>
      </c>
      <c r="B792" s="57">
        <f>SUBTOTAL(103,$A$558:A792)</f>
        <v>232</v>
      </c>
      <c r="C792" s="22" t="s">
        <v>1805</v>
      </c>
      <c r="D792" s="29">
        <f t="shared" si="129"/>
        <v>13974595.720000001</v>
      </c>
      <c r="E792" s="29">
        <v>0</v>
      </c>
      <c r="F792" s="29">
        <v>0</v>
      </c>
      <c r="G792" s="29">
        <v>0</v>
      </c>
      <c r="H792" s="29">
        <v>0</v>
      </c>
      <c r="I792" s="29">
        <v>0</v>
      </c>
      <c r="J792" s="29">
        <v>0</v>
      </c>
      <c r="K792" s="64">
        <v>6</v>
      </c>
      <c r="L792" s="29">
        <v>13794595.720000001</v>
      </c>
      <c r="M792" s="29">
        <v>0</v>
      </c>
      <c r="N792" s="29">
        <v>0</v>
      </c>
      <c r="O792" s="29">
        <v>0</v>
      </c>
      <c r="P792" s="29">
        <v>0</v>
      </c>
      <c r="Q792" s="29">
        <v>0</v>
      </c>
      <c r="R792" s="29">
        <v>0</v>
      </c>
      <c r="S792" s="29">
        <v>0</v>
      </c>
      <c r="T792" s="29">
        <v>0</v>
      </c>
      <c r="U792" s="29">
        <v>0</v>
      </c>
      <c r="V792" s="29">
        <v>0</v>
      </c>
      <c r="W792" s="29">
        <v>0</v>
      </c>
      <c r="X792" s="29">
        <v>0</v>
      </c>
      <c r="Y792" s="29">
        <v>0</v>
      </c>
      <c r="Z792" s="29">
        <v>0</v>
      </c>
      <c r="AA792" s="29">
        <v>0</v>
      </c>
      <c r="AB792" s="29">
        <v>0</v>
      </c>
      <c r="AC792" s="29">
        <f t="shared" si="130"/>
        <v>0</v>
      </c>
      <c r="AD792" s="37">
        <v>180000</v>
      </c>
      <c r="AE792" s="29">
        <v>0</v>
      </c>
      <c r="AF792" s="32">
        <v>2021</v>
      </c>
      <c r="AG792" s="32">
        <v>2021</v>
      </c>
      <c r="AH792" s="33" t="s">
        <v>268</v>
      </c>
      <c r="BY792" s="64">
        <v>6</v>
      </c>
      <c r="BZ792" s="61"/>
      <c r="CD792" s="18" t="e">
        <f>VLOOKUP(C792,CE:CF,2,FALSE)</f>
        <v>#N/A</v>
      </c>
    </row>
    <row r="793" spans="1:82" ht="61.5" x14ac:dyDescent="0.85">
      <c r="A793" s="18">
        <v>1</v>
      </c>
      <c r="B793" s="57">
        <f>SUBTOTAL(103,$A$558:A793)</f>
        <v>233</v>
      </c>
      <c r="C793" s="22" t="s">
        <v>2632</v>
      </c>
      <c r="D793" s="29">
        <f t="shared" si="129"/>
        <v>4738198.57</v>
      </c>
      <c r="E793" s="29">
        <v>0</v>
      </c>
      <c r="F793" s="29">
        <v>0</v>
      </c>
      <c r="G793" s="29">
        <v>0</v>
      </c>
      <c r="H793" s="29">
        <v>0</v>
      </c>
      <c r="I793" s="29">
        <v>0</v>
      </c>
      <c r="J793" s="29">
        <v>0</v>
      </c>
      <c r="K793" s="64">
        <v>2</v>
      </c>
      <c r="L793" s="29">
        <v>4598198.57</v>
      </c>
      <c r="M793" s="29">
        <v>0</v>
      </c>
      <c r="N793" s="29">
        <v>0</v>
      </c>
      <c r="O793" s="29">
        <v>0</v>
      </c>
      <c r="P793" s="29">
        <v>0</v>
      </c>
      <c r="Q793" s="29">
        <v>0</v>
      </c>
      <c r="R793" s="29">
        <v>0</v>
      </c>
      <c r="S793" s="29">
        <v>0</v>
      </c>
      <c r="T793" s="29">
        <v>0</v>
      </c>
      <c r="U793" s="29">
        <v>0</v>
      </c>
      <c r="V793" s="29">
        <v>0</v>
      </c>
      <c r="W793" s="29">
        <v>0</v>
      </c>
      <c r="X793" s="29">
        <v>0</v>
      </c>
      <c r="Y793" s="29">
        <v>0</v>
      </c>
      <c r="Z793" s="29">
        <v>0</v>
      </c>
      <c r="AA793" s="29">
        <v>0</v>
      </c>
      <c r="AB793" s="29">
        <v>0</v>
      </c>
      <c r="AC793" s="29">
        <f t="shared" si="130"/>
        <v>0</v>
      </c>
      <c r="AD793" s="37">
        <v>140000</v>
      </c>
      <c r="AE793" s="29">
        <v>0</v>
      </c>
      <c r="AF793" s="32">
        <v>2021</v>
      </c>
      <c r="AG793" s="32">
        <v>2021</v>
      </c>
      <c r="AH793" s="33" t="s">
        <v>268</v>
      </c>
      <c r="BY793" s="64">
        <v>2</v>
      </c>
      <c r="BZ793" s="61"/>
      <c r="CD793" s="18" t="e">
        <f>VLOOKUP(C793,CE:CF,2,FALSE)</f>
        <v>#N/A</v>
      </c>
    </row>
    <row r="794" spans="1:82" ht="61.5" x14ac:dyDescent="0.85">
      <c r="A794" s="18">
        <v>1</v>
      </c>
      <c r="B794" s="57">
        <f>SUBTOTAL(103,$A$558:A794)</f>
        <v>234</v>
      </c>
      <c r="C794" s="22" t="s">
        <v>2633</v>
      </c>
      <c r="D794" s="29">
        <f t="shared" si="125"/>
        <v>9356397.1500000004</v>
      </c>
      <c r="E794" s="29">
        <v>0</v>
      </c>
      <c r="F794" s="29">
        <v>0</v>
      </c>
      <c r="G794" s="29">
        <v>0</v>
      </c>
      <c r="H794" s="29">
        <v>0</v>
      </c>
      <c r="I794" s="29">
        <v>0</v>
      </c>
      <c r="J794" s="29">
        <v>0</v>
      </c>
      <c r="K794" s="64">
        <v>4</v>
      </c>
      <c r="L794" s="29">
        <v>9196397.1500000004</v>
      </c>
      <c r="M794" s="29">
        <v>0</v>
      </c>
      <c r="N794" s="29">
        <v>0</v>
      </c>
      <c r="O794" s="29">
        <v>0</v>
      </c>
      <c r="P794" s="29">
        <v>0</v>
      </c>
      <c r="Q794" s="29">
        <v>0</v>
      </c>
      <c r="R794" s="29">
        <v>0</v>
      </c>
      <c r="S794" s="29">
        <v>0</v>
      </c>
      <c r="T794" s="29">
        <v>0</v>
      </c>
      <c r="U794" s="29">
        <v>0</v>
      </c>
      <c r="V794" s="29">
        <v>0</v>
      </c>
      <c r="W794" s="29">
        <v>0</v>
      </c>
      <c r="X794" s="29">
        <v>0</v>
      </c>
      <c r="Y794" s="29">
        <v>0</v>
      </c>
      <c r="Z794" s="29">
        <v>0</v>
      </c>
      <c r="AA794" s="29">
        <v>0</v>
      </c>
      <c r="AB794" s="29">
        <v>0</v>
      </c>
      <c r="AC794" s="29">
        <f t="shared" si="126"/>
        <v>0</v>
      </c>
      <c r="AD794" s="37">
        <v>160000</v>
      </c>
      <c r="AE794" s="29">
        <v>0</v>
      </c>
      <c r="AF794" s="32">
        <v>2021</v>
      </c>
      <c r="AG794" s="32">
        <v>2021</v>
      </c>
      <c r="AH794" s="33" t="s">
        <v>268</v>
      </c>
      <c r="BY794" s="64">
        <v>4</v>
      </c>
      <c r="BZ794" s="61"/>
      <c r="CD794" s="18" t="e">
        <f>VLOOKUP(C794,CE:CF,2,FALSE)</f>
        <v>#N/A</v>
      </c>
    </row>
    <row r="795" spans="1:82" ht="61.5" x14ac:dyDescent="0.85">
      <c r="A795" s="18">
        <v>1</v>
      </c>
      <c r="B795" s="57">
        <f>SUBTOTAL(103,$A$558:A795)</f>
        <v>235</v>
      </c>
      <c r="C795" s="22" t="s">
        <v>2634</v>
      </c>
      <c r="D795" s="29">
        <f t="shared" si="125"/>
        <v>4738198.57</v>
      </c>
      <c r="E795" s="29">
        <v>0</v>
      </c>
      <c r="F795" s="29">
        <v>0</v>
      </c>
      <c r="G795" s="29">
        <v>0</v>
      </c>
      <c r="H795" s="29">
        <v>0</v>
      </c>
      <c r="I795" s="29">
        <v>0</v>
      </c>
      <c r="J795" s="29">
        <v>0</v>
      </c>
      <c r="K795" s="64">
        <v>2</v>
      </c>
      <c r="L795" s="29">
        <v>4598198.57</v>
      </c>
      <c r="M795" s="29">
        <v>0</v>
      </c>
      <c r="N795" s="29">
        <v>0</v>
      </c>
      <c r="O795" s="29">
        <v>0</v>
      </c>
      <c r="P795" s="29">
        <v>0</v>
      </c>
      <c r="Q795" s="29">
        <v>0</v>
      </c>
      <c r="R795" s="29">
        <v>0</v>
      </c>
      <c r="S795" s="29">
        <v>0</v>
      </c>
      <c r="T795" s="29">
        <v>0</v>
      </c>
      <c r="U795" s="29">
        <v>0</v>
      </c>
      <c r="V795" s="29">
        <v>0</v>
      </c>
      <c r="W795" s="29">
        <v>0</v>
      </c>
      <c r="X795" s="29">
        <v>0</v>
      </c>
      <c r="Y795" s="29">
        <v>0</v>
      </c>
      <c r="Z795" s="29">
        <v>0</v>
      </c>
      <c r="AA795" s="29">
        <v>0</v>
      </c>
      <c r="AB795" s="29">
        <v>0</v>
      </c>
      <c r="AC795" s="29">
        <f t="shared" si="126"/>
        <v>0</v>
      </c>
      <c r="AD795" s="37">
        <v>140000</v>
      </c>
      <c r="AE795" s="29">
        <v>0</v>
      </c>
      <c r="AF795" s="32">
        <v>2021</v>
      </c>
      <c r="AG795" s="32">
        <v>2021</v>
      </c>
      <c r="AH795" s="33" t="s">
        <v>268</v>
      </c>
      <c r="BY795" s="64">
        <v>2</v>
      </c>
      <c r="BZ795" s="61"/>
      <c r="CD795" s="18" t="e">
        <f>VLOOKUP(C795,CE:CF,2,FALSE)</f>
        <v>#N/A</v>
      </c>
    </row>
    <row r="796" spans="1:82" ht="61.5" x14ac:dyDescent="0.85">
      <c r="A796" s="18">
        <v>1</v>
      </c>
      <c r="B796" s="57">
        <f>SUBTOTAL(103,$A$558:A796)</f>
        <v>236</v>
      </c>
      <c r="C796" s="22" t="s">
        <v>2635</v>
      </c>
      <c r="D796" s="29">
        <f t="shared" ref="D796:D797" si="131">E796+F796+G796+H796+I796+J796+L796+N796+P796+R796+T796+U796+V796+W796+X796+Y796+Z796+AA796+AB796+AC796+AD796+AE796</f>
        <v>9104531.1999999993</v>
      </c>
      <c r="E796" s="29">
        <v>0</v>
      </c>
      <c r="F796" s="29">
        <v>0</v>
      </c>
      <c r="G796" s="29">
        <v>0</v>
      </c>
      <c r="H796" s="29">
        <v>0</v>
      </c>
      <c r="I796" s="29">
        <v>0</v>
      </c>
      <c r="J796" s="29">
        <v>0</v>
      </c>
      <c r="K796" s="64">
        <v>4</v>
      </c>
      <c r="L796" s="29">
        <v>8944531.1999999993</v>
      </c>
      <c r="M796" s="29">
        <v>0</v>
      </c>
      <c r="N796" s="29">
        <v>0</v>
      </c>
      <c r="O796" s="29">
        <v>0</v>
      </c>
      <c r="P796" s="29">
        <v>0</v>
      </c>
      <c r="Q796" s="29">
        <v>0</v>
      </c>
      <c r="R796" s="29">
        <v>0</v>
      </c>
      <c r="S796" s="29">
        <v>0</v>
      </c>
      <c r="T796" s="29">
        <v>0</v>
      </c>
      <c r="U796" s="29">
        <v>0</v>
      </c>
      <c r="V796" s="29">
        <v>0</v>
      </c>
      <c r="W796" s="29">
        <v>0</v>
      </c>
      <c r="X796" s="29">
        <v>0</v>
      </c>
      <c r="Y796" s="29">
        <v>0</v>
      </c>
      <c r="Z796" s="29">
        <v>0</v>
      </c>
      <c r="AA796" s="29">
        <v>0</v>
      </c>
      <c r="AB796" s="29">
        <v>0</v>
      </c>
      <c r="AC796" s="29">
        <f t="shared" ref="AC796:AC797" si="132">ROUND(N796*1.5%,2)</f>
        <v>0</v>
      </c>
      <c r="AD796" s="37">
        <v>160000</v>
      </c>
      <c r="AE796" s="29">
        <v>0</v>
      </c>
      <c r="AF796" s="32">
        <v>2021</v>
      </c>
      <c r="AG796" s="32">
        <v>2021</v>
      </c>
      <c r="AH796" s="33" t="s">
        <v>268</v>
      </c>
      <c r="BY796" s="64">
        <v>4</v>
      </c>
      <c r="BZ796" s="61"/>
      <c r="CD796" s="18" t="e">
        <f>VLOOKUP(C796,CE:CF,2,FALSE)</f>
        <v>#N/A</v>
      </c>
    </row>
    <row r="797" spans="1:82" ht="61.5" x14ac:dyDescent="0.85">
      <c r="A797" s="18">
        <v>1</v>
      </c>
      <c r="B797" s="57">
        <f>SUBTOTAL(103,$A$558:A797)</f>
        <v>237</v>
      </c>
      <c r="C797" s="22" t="s">
        <v>2139</v>
      </c>
      <c r="D797" s="29">
        <f t="shared" si="131"/>
        <v>4718198.57</v>
      </c>
      <c r="E797" s="29">
        <v>0</v>
      </c>
      <c r="F797" s="29">
        <v>0</v>
      </c>
      <c r="G797" s="29">
        <v>0</v>
      </c>
      <c r="H797" s="29">
        <v>0</v>
      </c>
      <c r="I797" s="29">
        <v>0</v>
      </c>
      <c r="J797" s="29">
        <v>0</v>
      </c>
      <c r="K797" s="64">
        <v>2</v>
      </c>
      <c r="L797" s="29">
        <v>4598198.57</v>
      </c>
      <c r="M797" s="29">
        <v>0</v>
      </c>
      <c r="N797" s="29">
        <v>0</v>
      </c>
      <c r="O797" s="29">
        <v>0</v>
      </c>
      <c r="P797" s="29">
        <v>0</v>
      </c>
      <c r="Q797" s="29">
        <v>0</v>
      </c>
      <c r="R797" s="29">
        <v>0</v>
      </c>
      <c r="S797" s="29">
        <v>0</v>
      </c>
      <c r="T797" s="29">
        <v>0</v>
      </c>
      <c r="U797" s="29">
        <v>0</v>
      </c>
      <c r="V797" s="29">
        <v>0</v>
      </c>
      <c r="W797" s="29">
        <v>0</v>
      </c>
      <c r="X797" s="29">
        <v>0</v>
      </c>
      <c r="Y797" s="29">
        <v>0</v>
      </c>
      <c r="Z797" s="29">
        <v>0</v>
      </c>
      <c r="AA797" s="29">
        <v>0</v>
      </c>
      <c r="AB797" s="29">
        <v>0</v>
      </c>
      <c r="AC797" s="29">
        <f t="shared" si="132"/>
        <v>0</v>
      </c>
      <c r="AD797" s="37">
        <v>120000</v>
      </c>
      <c r="AE797" s="29">
        <v>0</v>
      </c>
      <c r="AF797" s="32">
        <v>2021</v>
      </c>
      <c r="AG797" s="32">
        <v>2021</v>
      </c>
      <c r="AH797" s="33" t="s">
        <v>268</v>
      </c>
      <c r="BY797" s="64">
        <v>2</v>
      </c>
      <c r="BZ797" s="61"/>
      <c r="CD797" s="18" t="e">
        <f>VLOOKUP(C797,CE:CF,2,FALSE)</f>
        <v>#N/A</v>
      </c>
    </row>
    <row r="798" spans="1:82" ht="61.5" x14ac:dyDescent="0.85">
      <c r="A798" s="18">
        <v>1</v>
      </c>
      <c r="B798" s="57">
        <f>SUBTOTAL(103,$A$558:A798)</f>
        <v>238</v>
      </c>
      <c r="C798" s="22" t="s">
        <v>2636</v>
      </c>
      <c r="D798" s="29">
        <f t="shared" ref="D798:D799" si="133">E798+F798+G798+H798+I798+J798+L798+N798+P798+R798+T798+U798+V798+W798+X798+Y798+Z798+AA798+AB798+AC798+AD798+AE798</f>
        <v>7047297.8600000003</v>
      </c>
      <c r="E798" s="29">
        <v>0</v>
      </c>
      <c r="F798" s="29">
        <v>0</v>
      </c>
      <c r="G798" s="29">
        <v>0</v>
      </c>
      <c r="H798" s="29">
        <v>0</v>
      </c>
      <c r="I798" s="29">
        <v>0</v>
      </c>
      <c r="J798" s="29">
        <v>0</v>
      </c>
      <c r="K798" s="64">
        <v>3</v>
      </c>
      <c r="L798" s="29">
        <v>6897297.8600000003</v>
      </c>
      <c r="M798" s="29">
        <v>0</v>
      </c>
      <c r="N798" s="29">
        <v>0</v>
      </c>
      <c r="O798" s="29">
        <v>0</v>
      </c>
      <c r="P798" s="29">
        <v>0</v>
      </c>
      <c r="Q798" s="29">
        <v>0</v>
      </c>
      <c r="R798" s="29">
        <v>0</v>
      </c>
      <c r="S798" s="29">
        <v>0</v>
      </c>
      <c r="T798" s="29">
        <v>0</v>
      </c>
      <c r="U798" s="29">
        <v>0</v>
      </c>
      <c r="V798" s="29">
        <v>0</v>
      </c>
      <c r="W798" s="29">
        <v>0</v>
      </c>
      <c r="X798" s="29">
        <v>0</v>
      </c>
      <c r="Y798" s="29">
        <v>0</v>
      </c>
      <c r="Z798" s="29">
        <v>0</v>
      </c>
      <c r="AA798" s="29">
        <v>0</v>
      </c>
      <c r="AB798" s="29">
        <v>0</v>
      </c>
      <c r="AC798" s="29">
        <f t="shared" ref="AC798:AC799" si="134">ROUND(N798*1.5%,2)</f>
        <v>0</v>
      </c>
      <c r="AD798" s="37">
        <v>150000</v>
      </c>
      <c r="AE798" s="29">
        <v>0</v>
      </c>
      <c r="AF798" s="32">
        <v>2021</v>
      </c>
      <c r="AG798" s="32">
        <v>2021</v>
      </c>
      <c r="AH798" s="33" t="s">
        <v>268</v>
      </c>
      <c r="BY798" s="64">
        <v>3</v>
      </c>
      <c r="BZ798" s="61"/>
      <c r="CD798" s="18" t="e">
        <f>VLOOKUP(C798,CE:CF,2,FALSE)</f>
        <v>#N/A</v>
      </c>
    </row>
    <row r="799" spans="1:82" ht="61.5" x14ac:dyDescent="0.85">
      <c r="A799" s="18">
        <v>1</v>
      </c>
      <c r="B799" s="57">
        <f>SUBTOTAL(103,$A$558:A799)</f>
        <v>239</v>
      </c>
      <c r="C799" s="22" t="s">
        <v>2637</v>
      </c>
      <c r="D799" s="29">
        <f t="shared" si="133"/>
        <v>4738198.57</v>
      </c>
      <c r="E799" s="29">
        <v>0</v>
      </c>
      <c r="F799" s="29">
        <v>0</v>
      </c>
      <c r="G799" s="29">
        <v>0</v>
      </c>
      <c r="H799" s="29">
        <v>0</v>
      </c>
      <c r="I799" s="29">
        <v>0</v>
      </c>
      <c r="J799" s="29">
        <v>0</v>
      </c>
      <c r="K799" s="64">
        <v>2</v>
      </c>
      <c r="L799" s="29">
        <v>4598198.57</v>
      </c>
      <c r="M799" s="29">
        <v>0</v>
      </c>
      <c r="N799" s="29">
        <v>0</v>
      </c>
      <c r="O799" s="29">
        <v>0</v>
      </c>
      <c r="P799" s="29">
        <v>0</v>
      </c>
      <c r="Q799" s="29">
        <v>0</v>
      </c>
      <c r="R799" s="29">
        <v>0</v>
      </c>
      <c r="S799" s="29">
        <v>0</v>
      </c>
      <c r="T799" s="29">
        <v>0</v>
      </c>
      <c r="U799" s="29">
        <v>0</v>
      </c>
      <c r="V799" s="29">
        <v>0</v>
      </c>
      <c r="W799" s="29">
        <v>0</v>
      </c>
      <c r="X799" s="29">
        <v>0</v>
      </c>
      <c r="Y799" s="29">
        <v>0</v>
      </c>
      <c r="Z799" s="29">
        <v>0</v>
      </c>
      <c r="AA799" s="29">
        <v>0</v>
      </c>
      <c r="AB799" s="29">
        <v>0</v>
      </c>
      <c r="AC799" s="29">
        <f t="shared" si="134"/>
        <v>0</v>
      </c>
      <c r="AD799" s="37">
        <v>140000</v>
      </c>
      <c r="AE799" s="29">
        <v>0</v>
      </c>
      <c r="AF799" s="32">
        <v>2021</v>
      </c>
      <c r="AG799" s="32">
        <v>2021</v>
      </c>
      <c r="AH799" s="33" t="s">
        <v>268</v>
      </c>
      <c r="BY799" s="64">
        <v>2</v>
      </c>
      <c r="BZ799" s="61"/>
      <c r="CD799" s="18" t="e">
        <f>VLOOKUP(C799,CE:CF,2,FALSE)</f>
        <v>#N/A</v>
      </c>
    </row>
    <row r="800" spans="1:82" ht="61.5" x14ac:dyDescent="0.85">
      <c r="A800" s="18">
        <v>1</v>
      </c>
      <c r="B800" s="57">
        <f>SUBTOTAL(103,$A$558:A800)</f>
        <v>240</v>
      </c>
      <c r="C800" s="22" t="s">
        <v>2638</v>
      </c>
      <c r="D800" s="29">
        <f t="shared" si="125"/>
        <v>16293695.01</v>
      </c>
      <c r="E800" s="29">
        <v>0</v>
      </c>
      <c r="F800" s="29">
        <v>0</v>
      </c>
      <c r="G800" s="29">
        <v>0</v>
      </c>
      <c r="H800" s="29">
        <v>0</v>
      </c>
      <c r="I800" s="29">
        <v>0</v>
      </c>
      <c r="J800" s="29">
        <v>0</v>
      </c>
      <c r="K800" s="64">
        <v>7</v>
      </c>
      <c r="L800" s="29">
        <v>16093695.01</v>
      </c>
      <c r="M800" s="29">
        <v>0</v>
      </c>
      <c r="N800" s="29">
        <v>0</v>
      </c>
      <c r="O800" s="29">
        <v>0</v>
      </c>
      <c r="P800" s="29">
        <v>0</v>
      </c>
      <c r="Q800" s="29">
        <v>0</v>
      </c>
      <c r="R800" s="29">
        <v>0</v>
      </c>
      <c r="S800" s="29">
        <v>0</v>
      </c>
      <c r="T800" s="29">
        <v>0</v>
      </c>
      <c r="U800" s="29">
        <v>0</v>
      </c>
      <c r="V800" s="29">
        <v>0</v>
      </c>
      <c r="W800" s="29">
        <v>0</v>
      </c>
      <c r="X800" s="29">
        <v>0</v>
      </c>
      <c r="Y800" s="29">
        <v>0</v>
      </c>
      <c r="Z800" s="29">
        <v>0</v>
      </c>
      <c r="AA800" s="29">
        <v>0</v>
      </c>
      <c r="AB800" s="29">
        <v>0</v>
      </c>
      <c r="AC800" s="29">
        <f t="shared" si="126"/>
        <v>0</v>
      </c>
      <c r="AD800" s="37">
        <v>200000</v>
      </c>
      <c r="AE800" s="29">
        <v>0</v>
      </c>
      <c r="AF800" s="32">
        <v>2021</v>
      </c>
      <c r="AG800" s="32">
        <v>2021</v>
      </c>
      <c r="AH800" s="33" t="s">
        <v>268</v>
      </c>
      <c r="BY800" s="64">
        <v>7</v>
      </c>
      <c r="BZ800" s="61"/>
      <c r="CD800" s="18" t="e">
        <f>VLOOKUP(C800,CE:CF,2,FALSE)</f>
        <v>#N/A</v>
      </c>
    </row>
    <row r="801" spans="1:82" ht="61.5" x14ac:dyDescent="0.85">
      <c r="A801" s="18">
        <v>1</v>
      </c>
      <c r="B801" s="57">
        <f>SUBTOTAL(103,$A$558:A801)</f>
        <v>241</v>
      </c>
      <c r="C801" s="22" t="s">
        <v>2639</v>
      </c>
      <c r="D801" s="29">
        <f t="shared" si="125"/>
        <v>7047297.8600000003</v>
      </c>
      <c r="E801" s="29">
        <v>0</v>
      </c>
      <c r="F801" s="29">
        <v>0</v>
      </c>
      <c r="G801" s="29">
        <v>0</v>
      </c>
      <c r="H801" s="29">
        <v>0</v>
      </c>
      <c r="I801" s="29">
        <v>0</v>
      </c>
      <c r="J801" s="29">
        <v>0</v>
      </c>
      <c r="K801" s="64">
        <v>3</v>
      </c>
      <c r="L801" s="29">
        <v>6897297.8600000003</v>
      </c>
      <c r="M801" s="29">
        <v>0</v>
      </c>
      <c r="N801" s="29">
        <v>0</v>
      </c>
      <c r="O801" s="29">
        <v>0</v>
      </c>
      <c r="P801" s="29">
        <v>0</v>
      </c>
      <c r="Q801" s="29">
        <v>0</v>
      </c>
      <c r="R801" s="29">
        <v>0</v>
      </c>
      <c r="S801" s="29">
        <v>0</v>
      </c>
      <c r="T801" s="29">
        <v>0</v>
      </c>
      <c r="U801" s="29">
        <v>0</v>
      </c>
      <c r="V801" s="29">
        <v>0</v>
      </c>
      <c r="W801" s="29">
        <v>0</v>
      </c>
      <c r="X801" s="29">
        <v>0</v>
      </c>
      <c r="Y801" s="29">
        <v>0</v>
      </c>
      <c r="Z801" s="29">
        <v>0</v>
      </c>
      <c r="AA801" s="29">
        <v>0</v>
      </c>
      <c r="AB801" s="29">
        <v>0</v>
      </c>
      <c r="AC801" s="29">
        <f t="shared" si="126"/>
        <v>0</v>
      </c>
      <c r="AD801" s="37">
        <v>150000</v>
      </c>
      <c r="AE801" s="29">
        <v>0</v>
      </c>
      <c r="AF801" s="32">
        <v>2021</v>
      </c>
      <c r="AG801" s="32">
        <v>2021</v>
      </c>
      <c r="AH801" s="33" t="s">
        <v>268</v>
      </c>
      <c r="BY801" s="64">
        <v>3</v>
      </c>
      <c r="BZ801" s="61"/>
      <c r="CD801" s="18" t="e">
        <f>VLOOKUP(C801,CE:CF,2,FALSE)</f>
        <v>#N/A</v>
      </c>
    </row>
    <row r="802" spans="1:82" ht="61.5" x14ac:dyDescent="0.85">
      <c r="A802" s="18">
        <v>1</v>
      </c>
      <c r="B802" s="57">
        <f>SUBTOTAL(103,$A$558:A802)</f>
        <v>242</v>
      </c>
      <c r="C802" s="22" t="s">
        <v>2640</v>
      </c>
      <c r="D802" s="29">
        <f t="shared" si="123"/>
        <v>11675496.43</v>
      </c>
      <c r="E802" s="29">
        <v>0</v>
      </c>
      <c r="F802" s="29">
        <v>0</v>
      </c>
      <c r="G802" s="29">
        <v>0</v>
      </c>
      <c r="H802" s="29">
        <v>0</v>
      </c>
      <c r="I802" s="29">
        <v>0</v>
      </c>
      <c r="J802" s="29">
        <v>0</v>
      </c>
      <c r="K802" s="64">
        <v>5</v>
      </c>
      <c r="L802" s="29">
        <v>11495496.43</v>
      </c>
      <c r="M802" s="29">
        <v>0</v>
      </c>
      <c r="N802" s="29">
        <v>0</v>
      </c>
      <c r="O802" s="29">
        <v>0</v>
      </c>
      <c r="P802" s="29">
        <v>0</v>
      </c>
      <c r="Q802" s="29">
        <v>0</v>
      </c>
      <c r="R802" s="29">
        <v>0</v>
      </c>
      <c r="S802" s="29">
        <v>0</v>
      </c>
      <c r="T802" s="29">
        <v>0</v>
      </c>
      <c r="U802" s="29">
        <v>0</v>
      </c>
      <c r="V802" s="29">
        <v>0</v>
      </c>
      <c r="W802" s="29">
        <v>0</v>
      </c>
      <c r="X802" s="29">
        <v>0</v>
      </c>
      <c r="Y802" s="29">
        <v>0</v>
      </c>
      <c r="Z802" s="29">
        <v>0</v>
      </c>
      <c r="AA802" s="29">
        <v>0</v>
      </c>
      <c r="AB802" s="29">
        <v>0</v>
      </c>
      <c r="AC802" s="29">
        <f t="shared" si="124"/>
        <v>0</v>
      </c>
      <c r="AD802" s="37">
        <v>180000</v>
      </c>
      <c r="AE802" s="29">
        <v>0</v>
      </c>
      <c r="AF802" s="32">
        <v>2021</v>
      </c>
      <c r="AG802" s="32">
        <v>2021</v>
      </c>
      <c r="AH802" s="33" t="s">
        <v>268</v>
      </c>
      <c r="BY802" s="64">
        <v>5</v>
      </c>
      <c r="BZ802" s="61"/>
      <c r="CD802" s="18" t="e">
        <f>VLOOKUP(C802,CE:CF,2,FALSE)</f>
        <v>#N/A</v>
      </c>
    </row>
    <row r="803" spans="1:82" ht="61.5" x14ac:dyDescent="0.85">
      <c r="B803" s="22" t="s">
        <v>750</v>
      </c>
      <c r="C803" s="338"/>
      <c r="D803" s="339">
        <f t="shared" ref="D803:AE803" si="135">SUM(D804:D820)</f>
        <v>146860060.34</v>
      </c>
      <c r="E803" s="29">
        <f t="shared" si="135"/>
        <v>1616923.11</v>
      </c>
      <c r="F803" s="29">
        <f t="shared" si="135"/>
        <v>3635159.63</v>
      </c>
      <c r="G803" s="29">
        <f t="shared" si="135"/>
        <v>7304445.6600000001</v>
      </c>
      <c r="H803" s="29">
        <f t="shared" si="135"/>
        <v>3001440.0700000003</v>
      </c>
      <c r="I803" s="29">
        <f t="shared" si="135"/>
        <v>6112887.9399999995</v>
      </c>
      <c r="J803" s="29">
        <f t="shared" si="135"/>
        <v>0</v>
      </c>
      <c r="K803" s="31">
        <f t="shared" si="135"/>
        <v>40</v>
      </c>
      <c r="L803" s="29">
        <f t="shared" si="135"/>
        <v>88862159.040000007</v>
      </c>
      <c r="M803" s="29">
        <f t="shared" si="135"/>
        <v>2148</v>
      </c>
      <c r="N803" s="29">
        <f t="shared" si="135"/>
        <v>8244173.5099999998</v>
      </c>
      <c r="O803" s="29">
        <f t="shared" si="135"/>
        <v>0</v>
      </c>
      <c r="P803" s="29">
        <f t="shared" si="135"/>
        <v>0</v>
      </c>
      <c r="Q803" s="29">
        <f t="shared" si="135"/>
        <v>13569.8</v>
      </c>
      <c r="R803" s="29">
        <f t="shared" si="135"/>
        <v>25216991.830000002</v>
      </c>
      <c r="S803" s="29">
        <f t="shared" si="135"/>
        <v>0</v>
      </c>
      <c r="T803" s="29">
        <f t="shared" si="135"/>
        <v>0</v>
      </c>
      <c r="U803" s="29">
        <f t="shared" si="135"/>
        <v>0</v>
      </c>
      <c r="V803" s="29">
        <f t="shared" si="135"/>
        <v>0</v>
      </c>
      <c r="W803" s="29">
        <f t="shared" si="135"/>
        <v>0</v>
      </c>
      <c r="X803" s="29">
        <f t="shared" si="135"/>
        <v>0</v>
      </c>
      <c r="Y803" s="29">
        <f t="shared" si="135"/>
        <v>0</v>
      </c>
      <c r="Z803" s="29">
        <f t="shared" si="135"/>
        <v>0</v>
      </c>
      <c r="AA803" s="29">
        <f t="shared" si="135"/>
        <v>0</v>
      </c>
      <c r="AB803" s="29">
        <f t="shared" si="135"/>
        <v>0</v>
      </c>
      <c r="AC803" s="29">
        <f t="shared" si="135"/>
        <v>826980.33</v>
      </c>
      <c r="AD803" s="29">
        <f t="shared" si="135"/>
        <v>2038899.22</v>
      </c>
      <c r="AE803" s="29">
        <f t="shared" si="135"/>
        <v>0</v>
      </c>
      <c r="AF803" s="62" t="s">
        <v>743</v>
      </c>
      <c r="AG803" s="62" t="s">
        <v>743</v>
      </c>
      <c r="AH803" s="77" t="s">
        <v>743</v>
      </c>
      <c r="AT803" s="18" t="e">
        <f>VLOOKUP(C803,AW:AX,2,FALSE)</f>
        <v>#N/A</v>
      </c>
      <c r="BZ803" s="61">
        <v>21856214.649999999</v>
      </c>
      <c r="CB803" s="61">
        <f>BZ803-D803</f>
        <v>-125003845.69</v>
      </c>
      <c r="CD803" s="18" t="e">
        <f>VLOOKUP(C803,CE:CF,2,FALSE)</f>
        <v>#N/A</v>
      </c>
    </row>
    <row r="804" spans="1:82" ht="61.5" x14ac:dyDescent="0.85">
      <c r="A804" s="18">
        <v>1</v>
      </c>
      <c r="B804" s="57">
        <f>SUBTOTAL(103,$A$558:A804)</f>
        <v>243</v>
      </c>
      <c r="C804" s="22" t="s">
        <v>380</v>
      </c>
      <c r="D804" s="29">
        <f t="shared" ref="D804:D809" si="136">E804+F804+G804+H804+I804+J804+L804+N804+P804+R804+T804+U804+V804+W804+X804+Y804+Z804+AA804+AB804+AC804+AD804+AE804</f>
        <v>6784672.5999999996</v>
      </c>
      <c r="E804" s="29">
        <v>0</v>
      </c>
      <c r="F804" s="29">
        <v>0</v>
      </c>
      <c r="G804" s="29">
        <v>0</v>
      </c>
      <c r="H804" s="29">
        <v>0</v>
      </c>
      <c r="I804" s="29">
        <v>0</v>
      </c>
      <c r="J804" s="29">
        <v>0</v>
      </c>
      <c r="K804" s="64">
        <v>4</v>
      </c>
      <c r="L804" s="29">
        <f>1696168.15*4</f>
        <v>6784672.5999999996</v>
      </c>
      <c r="M804" s="29">
        <v>0</v>
      </c>
      <c r="N804" s="29">
        <v>0</v>
      </c>
      <c r="O804" s="29">
        <v>0</v>
      </c>
      <c r="P804" s="29">
        <v>0</v>
      </c>
      <c r="Q804" s="29">
        <v>0</v>
      </c>
      <c r="R804" s="29">
        <v>0</v>
      </c>
      <c r="S804" s="29">
        <v>0</v>
      </c>
      <c r="T804" s="29">
        <v>0</v>
      </c>
      <c r="U804" s="29">
        <v>0</v>
      </c>
      <c r="V804" s="29">
        <v>0</v>
      </c>
      <c r="W804" s="29">
        <v>0</v>
      </c>
      <c r="X804" s="29">
        <v>0</v>
      </c>
      <c r="Y804" s="29">
        <v>0</v>
      </c>
      <c r="Z804" s="29">
        <v>0</v>
      </c>
      <c r="AA804" s="29">
        <v>0</v>
      </c>
      <c r="AB804" s="29">
        <v>0</v>
      </c>
      <c r="AC804" s="29">
        <v>0</v>
      </c>
      <c r="AD804" s="29">
        <v>0</v>
      </c>
      <c r="AE804" s="29">
        <v>0</v>
      </c>
      <c r="AF804" s="32" t="s">
        <v>268</v>
      </c>
      <c r="AG804" s="32">
        <v>2021</v>
      </c>
      <c r="AH804" s="33" t="s">
        <v>268</v>
      </c>
      <c r="AT804" s="18" t="e">
        <f>VLOOKUP(C804,AW:AX,2,FALSE)</f>
        <v>#N/A</v>
      </c>
      <c r="BZ804" s="61"/>
      <c r="CD804" s="18" t="e">
        <f>VLOOKUP(C804,CE:CF,2,FALSE)</f>
        <v>#N/A</v>
      </c>
    </row>
    <row r="805" spans="1:82" ht="61.5" x14ac:dyDescent="0.85">
      <c r="A805" s="18">
        <v>1</v>
      </c>
      <c r="B805" s="57">
        <f>SUBTOTAL(103,$A$558:A805)</f>
        <v>244</v>
      </c>
      <c r="C805" s="22" t="s">
        <v>1641</v>
      </c>
      <c r="D805" s="29">
        <f t="shared" si="136"/>
        <v>7152713.7700000005</v>
      </c>
      <c r="E805" s="29">
        <v>601798.30000000005</v>
      </c>
      <c r="F805" s="29">
        <v>1360064.57</v>
      </c>
      <c r="G805" s="29">
        <v>2159210.9500000002</v>
      </c>
      <c r="H805" s="29">
        <v>1072260.3</v>
      </c>
      <c r="I805" s="29">
        <v>1605699.19</v>
      </c>
      <c r="J805" s="29">
        <v>0</v>
      </c>
      <c r="K805" s="31">
        <v>0</v>
      </c>
      <c r="L805" s="29">
        <v>0</v>
      </c>
      <c r="M805" s="29">
        <v>0</v>
      </c>
      <c r="N805" s="29">
        <v>0</v>
      </c>
      <c r="O805" s="29">
        <v>0</v>
      </c>
      <c r="P805" s="29">
        <v>0</v>
      </c>
      <c r="Q805" s="29">
        <v>0</v>
      </c>
      <c r="R805" s="29">
        <v>0</v>
      </c>
      <c r="S805" s="29">
        <v>0</v>
      </c>
      <c r="T805" s="29">
        <v>0</v>
      </c>
      <c r="U805" s="29">
        <v>0</v>
      </c>
      <c r="V805" s="29">
        <v>0</v>
      </c>
      <c r="W805" s="29">
        <v>0</v>
      </c>
      <c r="X805" s="29">
        <v>0</v>
      </c>
      <c r="Y805" s="29">
        <v>0</v>
      </c>
      <c r="Z805" s="29">
        <v>0</v>
      </c>
      <c r="AA805" s="29">
        <v>0</v>
      </c>
      <c r="AB805" s="29">
        <v>0</v>
      </c>
      <c r="AC805" s="29">
        <f>ROUND((E805+F805+G805+H805+I805+J805)*1.5%,2)</f>
        <v>101985.5</v>
      </c>
      <c r="AD805" s="134">
        <v>251694.96</v>
      </c>
      <c r="AE805" s="29">
        <v>0</v>
      </c>
      <c r="AF805" s="32">
        <v>2021</v>
      </c>
      <c r="AG805" s="32">
        <v>2021</v>
      </c>
      <c r="AH805" s="33">
        <v>2021</v>
      </c>
      <c r="AT805" s="18" t="e">
        <f>VLOOKUP(C805,AW:AX,2,FALSE)</f>
        <v>#N/A</v>
      </c>
      <c r="BZ805" s="61"/>
      <c r="CD805" s="18" t="e">
        <f>VLOOKUP(C805,CE:CF,2,FALSE)</f>
        <v>#N/A</v>
      </c>
    </row>
    <row r="806" spans="1:82" ht="61.5" x14ac:dyDescent="0.85">
      <c r="A806" s="18">
        <v>1</v>
      </c>
      <c r="B806" s="57">
        <f>SUBTOTAL(103,$A$558:A806)</f>
        <v>245</v>
      </c>
      <c r="C806" s="22" t="s">
        <v>381</v>
      </c>
      <c r="D806" s="29">
        <f t="shared" si="136"/>
        <v>5582003.7400000002</v>
      </c>
      <c r="E806" s="29">
        <v>0</v>
      </c>
      <c r="F806" s="29">
        <v>0</v>
      </c>
      <c r="G806" s="29">
        <v>0</v>
      </c>
      <c r="H806" s="29">
        <v>0</v>
      </c>
      <c r="I806" s="29">
        <v>0</v>
      </c>
      <c r="J806" s="29">
        <v>0</v>
      </c>
      <c r="K806" s="31">
        <v>0</v>
      </c>
      <c r="L806" s="29">
        <v>0</v>
      </c>
      <c r="M806" s="29">
        <v>0</v>
      </c>
      <c r="N806" s="29">
        <v>0</v>
      </c>
      <c r="O806" s="29">
        <v>0</v>
      </c>
      <c r="P806" s="29">
        <v>0</v>
      </c>
      <c r="Q806" s="29">
        <v>2476.9</v>
      </c>
      <c r="R806" s="29">
        <v>5381264.8700000001</v>
      </c>
      <c r="S806" s="29">
        <v>0</v>
      </c>
      <c r="T806" s="29">
        <v>0</v>
      </c>
      <c r="U806" s="29">
        <v>0</v>
      </c>
      <c r="V806" s="29">
        <v>0</v>
      </c>
      <c r="W806" s="29">
        <v>0</v>
      </c>
      <c r="X806" s="29">
        <v>0</v>
      </c>
      <c r="Y806" s="29">
        <v>0</v>
      </c>
      <c r="Z806" s="29">
        <v>0</v>
      </c>
      <c r="AA806" s="29">
        <v>0</v>
      </c>
      <c r="AB806" s="29">
        <v>0</v>
      </c>
      <c r="AC806" s="29">
        <f>ROUND(R806*1.5%,2)</f>
        <v>80718.97</v>
      </c>
      <c r="AD806" s="134">
        <v>120019.9</v>
      </c>
      <c r="AE806" s="29">
        <v>0</v>
      </c>
      <c r="AF806" s="32">
        <v>2021</v>
      </c>
      <c r="AG806" s="32">
        <v>2021</v>
      </c>
      <c r="AH806" s="33">
        <v>2021</v>
      </c>
      <c r="AT806" s="18" t="e">
        <f>VLOOKUP(C806,AW:AX,2,FALSE)</f>
        <v>#N/A</v>
      </c>
      <c r="BZ806" s="61"/>
      <c r="CD806" s="18" t="e">
        <f>VLOOKUP(C806,CE:CF,2,FALSE)</f>
        <v>#N/A</v>
      </c>
    </row>
    <row r="807" spans="1:82" ht="61.5" x14ac:dyDescent="0.85">
      <c r="A807" s="18">
        <v>1</v>
      </c>
      <c r="B807" s="57">
        <f>SUBTOTAL(103,$A$558:A807)</f>
        <v>246</v>
      </c>
      <c r="C807" s="22" t="s">
        <v>1164</v>
      </c>
      <c r="D807" s="29">
        <f t="shared" si="136"/>
        <v>15094900.449999999</v>
      </c>
      <c r="E807" s="37">
        <v>1015124.81</v>
      </c>
      <c r="F807" s="37">
        <v>2275095.06</v>
      </c>
      <c r="G807" s="37">
        <v>5145234.71</v>
      </c>
      <c r="H807" s="37">
        <v>1929179.77</v>
      </c>
      <c r="I807" s="29">
        <v>4507188.75</v>
      </c>
      <c r="J807" s="29">
        <v>0</v>
      </c>
      <c r="K807" s="31">
        <v>0</v>
      </c>
      <c r="L807" s="29">
        <v>0</v>
      </c>
      <c r="M807" s="29">
        <v>0</v>
      </c>
      <c r="N807" s="29">
        <v>0</v>
      </c>
      <c r="O807" s="29">
        <v>0</v>
      </c>
      <c r="P807" s="29">
        <v>0</v>
      </c>
      <c r="Q807" s="29">
        <v>0</v>
      </c>
      <c r="R807" s="29">
        <v>0</v>
      </c>
      <c r="S807" s="29">
        <v>0</v>
      </c>
      <c r="T807" s="29">
        <v>0</v>
      </c>
      <c r="U807" s="29">
        <v>0</v>
      </c>
      <c r="V807" s="29">
        <v>0</v>
      </c>
      <c r="W807" s="29">
        <v>0</v>
      </c>
      <c r="X807" s="29">
        <v>0</v>
      </c>
      <c r="Y807" s="29">
        <v>0</v>
      </c>
      <c r="Z807" s="29">
        <v>0</v>
      </c>
      <c r="AA807" s="29">
        <v>0</v>
      </c>
      <c r="AB807" s="29">
        <v>0</v>
      </c>
      <c r="AC807" s="29">
        <f>ROUND((E807+F807+G807+H807+I807+J807)*1.5%,2)</f>
        <v>223077.35</v>
      </c>
      <c r="AD807" s="29">
        <v>0</v>
      </c>
      <c r="AE807" s="29">
        <v>0</v>
      </c>
      <c r="AF807" s="33" t="s">
        <v>268</v>
      </c>
      <c r="AG807" s="32">
        <v>2021</v>
      </c>
      <c r="AH807" s="33">
        <v>2021</v>
      </c>
      <c r="BZ807" s="61"/>
      <c r="CD807" s="18" t="e">
        <f>VLOOKUP(C807,CE:CF,2,FALSE)</f>
        <v>#N/A</v>
      </c>
    </row>
    <row r="808" spans="1:82" ht="61.5" x14ac:dyDescent="0.85">
      <c r="A808" s="18">
        <v>1</v>
      </c>
      <c r="B808" s="57">
        <f>SUBTOTAL(103,$A$558:A808)</f>
        <v>247</v>
      </c>
      <c r="C808" s="22" t="s">
        <v>379</v>
      </c>
      <c r="D808" s="29">
        <f t="shared" si="136"/>
        <v>14320790.300000001</v>
      </c>
      <c r="E808" s="29">
        <v>0</v>
      </c>
      <c r="F808" s="29">
        <v>0</v>
      </c>
      <c r="G808" s="29">
        <v>0</v>
      </c>
      <c r="H808" s="29">
        <v>0</v>
      </c>
      <c r="I808" s="29">
        <v>0</v>
      </c>
      <c r="J808" s="29">
        <v>0</v>
      </c>
      <c r="K808" s="31">
        <v>0</v>
      </c>
      <c r="L808" s="29">
        <v>0</v>
      </c>
      <c r="M808" s="29">
        <v>0</v>
      </c>
      <c r="N808" s="29">
        <v>0</v>
      </c>
      <c r="O808" s="29">
        <v>0</v>
      </c>
      <c r="P808" s="29">
        <v>0</v>
      </c>
      <c r="Q808" s="29">
        <v>8596</v>
      </c>
      <c r="R808" s="29">
        <v>14109153</v>
      </c>
      <c r="S808" s="29">
        <v>0</v>
      </c>
      <c r="T808" s="29">
        <v>0</v>
      </c>
      <c r="U808" s="29">
        <v>0</v>
      </c>
      <c r="V808" s="29">
        <v>0</v>
      </c>
      <c r="W808" s="29">
        <v>0</v>
      </c>
      <c r="X808" s="29">
        <v>0</v>
      </c>
      <c r="Y808" s="29">
        <v>0</v>
      </c>
      <c r="Z808" s="29">
        <v>0</v>
      </c>
      <c r="AA808" s="29">
        <v>0</v>
      </c>
      <c r="AB808" s="29">
        <v>0</v>
      </c>
      <c r="AC808" s="29">
        <f>ROUND(R808*1.5%,2)</f>
        <v>211637.3</v>
      </c>
      <c r="AD808" s="134">
        <v>0</v>
      </c>
      <c r="AE808" s="29">
        <v>0</v>
      </c>
      <c r="AF808" s="33" t="s">
        <v>268</v>
      </c>
      <c r="AG808" s="32">
        <v>2021</v>
      </c>
      <c r="AH808" s="33">
        <v>2021</v>
      </c>
      <c r="AT808" s="18" t="e">
        <f>VLOOKUP(C808,AW:AX,2,FALSE)</f>
        <v>#N/A</v>
      </c>
      <c r="BZ808" s="61"/>
      <c r="CD808" s="18" t="e">
        <f>VLOOKUP(C808,CE:CF,2,FALSE)</f>
        <v>#N/A</v>
      </c>
    </row>
    <row r="809" spans="1:82" ht="61.5" x14ac:dyDescent="0.85">
      <c r="A809" s="18">
        <v>1</v>
      </c>
      <c r="B809" s="57">
        <f>SUBTOTAL(103,$A$558:A809)</f>
        <v>248</v>
      </c>
      <c r="C809" s="22" t="s">
        <v>1165</v>
      </c>
      <c r="D809" s="29">
        <f t="shared" si="136"/>
        <v>3601876.7</v>
      </c>
      <c r="E809" s="29">
        <v>0</v>
      </c>
      <c r="F809" s="29">
        <v>0</v>
      </c>
      <c r="G809" s="29">
        <v>0</v>
      </c>
      <c r="H809" s="29">
        <v>0</v>
      </c>
      <c r="I809" s="29">
        <v>0</v>
      </c>
      <c r="J809" s="29">
        <v>0</v>
      </c>
      <c r="K809" s="334">
        <v>2</v>
      </c>
      <c r="L809" s="37">
        <f>1800938.35+1800938.35</f>
        <v>3601876.7</v>
      </c>
      <c r="M809" s="29">
        <v>0</v>
      </c>
      <c r="N809" s="29">
        <v>0</v>
      </c>
      <c r="O809" s="29">
        <v>0</v>
      </c>
      <c r="P809" s="29">
        <v>0</v>
      </c>
      <c r="Q809" s="29">
        <v>0</v>
      </c>
      <c r="R809" s="29">
        <v>0</v>
      </c>
      <c r="S809" s="29">
        <v>0</v>
      </c>
      <c r="T809" s="29">
        <v>0</v>
      </c>
      <c r="U809" s="29">
        <v>0</v>
      </c>
      <c r="V809" s="29">
        <v>0</v>
      </c>
      <c r="W809" s="29">
        <v>0</v>
      </c>
      <c r="X809" s="29">
        <v>0</v>
      </c>
      <c r="Y809" s="29">
        <v>0</v>
      </c>
      <c r="Z809" s="29">
        <v>0</v>
      </c>
      <c r="AA809" s="29">
        <v>0</v>
      </c>
      <c r="AB809" s="29">
        <v>0</v>
      </c>
      <c r="AC809" s="29">
        <v>0</v>
      </c>
      <c r="AD809" s="29">
        <v>0</v>
      </c>
      <c r="AE809" s="29">
        <v>0</v>
      </c>
      <c r="AF809" s="33" t="s">
        <v>268</v>
      </c>
      <c r="AG809" s="32">
        <v>2021</v>
      </c>
      <c r="AH809" s="33" t="s">
        <v>268</v>
      </c>
      <c r="BZ809" s="61"/>
      <c r="CD809" s="18" t="e">
        <f>VLOOKUP(C809,CE:CF,2,FALSE)</f>
        <v>#N/A</v>
      </c>
    </row>
    <row r="810" spans="1:82" ht="61.5" x14ac:dyDescent="0.85">
      <c r="A810" s="18">
        <v>1</v>
      </c>
      <c r="B810" s="57">
        <f>SUBTOTAL(103,$A$558:A810)</f>
        <v>249</v>
      </c>
      <c r="C810" s="22" t="s">
        <v>1931</v>
      </c>
      <c r="D810" s="29">
        <f t="shared" ref="D810:D820" si="137">E810+F810+G810+H810+I810+J810+L810+N810+P810+R810+T810+U810+V810+W810+X810+Y810+Z810+AA810+AB810+AC810+AD810+AE810</f>
        <v>6012472.5700000003</v>
      </c>
      <c r="E810" s="34">
        <v>0</v>
      </c>
      <c r="F810" s="34">
        <v>0</v>
      </c>
      <c r="G810" s="34">
        <v>0</v>
      </c>
      <c r="H810" s="34">
        <v>0</v>
      </c>
      <c r="I810" s="34">
        <v>0</v>
      </c>
      <c r="J810" s="34">
        <v>0</v>
      </c>
      <c r="K810" s="31">
        <v>0</v>
      </c>
      <c r="L810" s="29">
        <v>0</v>
      </c>
      <c r="M810" s="29">
        <v>0</v>
      </c>
      <c r="N810" s="29">
        <v>0</v>
      </c>
      <c r="O810" s="29">
        <v>0</v>
      </c>
      <c r="P810" s="29">
        <v>0</v>
      </c>
      <c r="Q810" s="29">
        <v>2496.9</v>
      </c>
      <c r="R810" s="29">
        <v>5726573.96</v>
      </c>
      <c r="S810" s="29">
        <v>0</v>
      </c>
      <c r="T810" s="29">
        <v>0</v>
      </c>
      <c r="U810" s="29">
        <v>0</v>
      </c>
      <c r="V810" s="29">
        <v>0</v>
      </c>
      <c r="W810" s="29">
        <v>0</v>
      </c>
      <c r="X810" s="29">
        <v>0</v>
      </c>
      <c r="Y810" s="29">
        <v>0</v>
      </c>
      <c r="Z810" s="29">
        <v>0</v>
      </c>
      <c r="AA810" s="29">
        <v>0</v>
      </c>
      <c r="AB810" s="29">
        <v>0</v>
      </c>
      <c r="AC810" s="29">
        <f>ROUND(R810*1.5%,2)</f>
        <v>85898.61</v>
      </c>
      <c r="AD810" s="29">
        <v>200000</v>
      </c>
      <c r="AE810" s="29">
        <v>0</v>
      </c>
      <c r="AF810" s="32">
        <v>2021</v>
      </c>
      <c r="AG810" s="32">
        <v>2021</v>
      </c>
      <c r="AH810" s="33">
        <v>2021</v>
      </c>
      <c r="AT810" s="18" t="e">
        <f>VLOOKUP(C810,AW:AX,2,FALSE)</f>
        <v>#N/A</v>
      </c>
      <c r="BZ810" s="61"/>
      <c r="CD810" s="18" t="e">
        <f>VLOOKUP(C810,CE:CF,2,FALSE)</f>
        <v>#N/A</v>
      </c>
    </row>
    <row r="811" spans="1:82" ht="61.5" x14ac:dyDescent="0.85">
      <c r="A811" s="18">
        <v>1</v>
      </c>
      <c r="B811" s="57">
        <f>SUBTOTAL(103,$A$558:A811)</f>
        <v>250</v>
      </c>
      <c r="C811" s="22" t="s">
        <v>2300</v>
      </c>
      <c r="D811" s="29">
        <f>E811+F811+G811+H811+I811+J811+L811+N811+P811+R811+T811+U811+V811+W811+X811+Y811+Z811+AA811+AB811+AC811+AD811+AE811</f>
        <v>8567836.1099999994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1">
        <v>0</v>
      </c>
      <c r="L811" s="29">
        <v>0</v>
      </c>
      <c r="M811" s="29">
        <v>2148</v>
      </c>
      <c r="N811" s="29">
        <f>7055960.03+107777.34+1080436.14</f>
        <v>8244173.5099999998</v>
      </c>
      <c r="O811" s="29">
        <v>0</v>
      </c>
      <c r="P811" s="29">
        <v>0</v>
      </c>
      <c r="Q811" s="29">
        <v>0</v>
      </c>
      <c r="R811" s="29">
        <v>0</v>
      </c>
      <c r="S811" s="29">
        <v>0</v>
      </c>
      <c r="T811" s="29">
        <v>0</v>
      </c>
      <c r="U811" s="29">
        <v>0</v>
      </c>
      <c r="V811" s="29">
        <v>0</v>
      </c>
      <c r="W811" s="29">
        <v>0</v>
      </c>
      <c r="X811" s="29">
        <v>0</v>
      </c>
      <c r="Y811" s="29">
        <v>0</v>
      </c>
      <c r="Z811" s="29">
        <v>0</v>
      </c>
      <c r="AA811" s="29">
        <v>0</v>
      </c>
      <c r="AB811" s="29">
        <v>0</v>
      </c>
      <c r="AC811" s="29">
        <f t="shared" ref="AC811:AC820" si="138">ROUND(N811*1.5%,2)</f>
        <v>123662.6</v>
      </c>
      <c r="AD811" s="29">
        <v>200000</v>
      </c>
      <c r="AE811" s="29">
        <v>0</v>
      </c>
      <c r="AF811" s="32">
        <v>2021</v>
      </c>
      <c r="AG811" s="32">
        <v>2021</v>
      </c>
      <c r="AH811" s="33">
        <v>2021</v>
      </c>
      <c r="AT811" s="18" t="e">
        <f>VLOOKUP(C811,AW:AX,2,FALSE)</f>
        <v>#N/A</v>
      </c>
      <c r="BZ811" s="61"/>
      <c r="CD811" s="18" t="e">
        <f>VLOOKUP(C811,CE:CF,2,FALSE)</f>
        <v>#N/A</v>
      </c>
    </row>
    <row r="812" spans="1:82" ht="61.5" x14ac:dyDescent="0.85">
      <c r="A812" s="18">
        <v>1</v>
      </c>
      <c r="B812" s="57">
        <f>SUBTOTAL(103,$A$558:A812)</f>
        <v>251</v>
      </c>
      <c r="C812" s="22" t="s">
        <v>1454</v>
      </c>
      <c r="D812" s="29">
        <f t="shared" si="137"/>
        <v>9035816.6699999999</v>
      </c>
      <c r="E812" s="29">
        <v>0</v>
      </c>
      <c r="F812" s="29">
        <v>0</v>
      </c>
      <c r="G812" s="29">
        <v>0</v>
      </c>
      <c r="H812" s="29">
        <v>0</v>
      </c>
      <c r="I812" s="29">
        <v>0</v>
      </c>
      <c r="J812" s="29">
        <v>0</v>
      </c>
      <c r="K812" s="64">
        <v>4</v>
      </c>
      <c r="L812" s="29">
        <v>8912067.3699999992</v>
      </c>
      <c r="M812" s="29">
        <v>0</v>
      </c>
      <c r="N812" s="29">
        <v>0</v>
      </c>
      <c r="O812" s="29">
        <v>0</v>
      </c>
      <c r="P812" s="29">
        <v>0</v>
      </c>
      <c r="Q812" s="29">
        <v>0</v>
      </c>
      <c r="R812" s="29">
        <v>0</v>
      </c>
      <c r="S812" s="29">
        <v>0</v>
      </c>
      <c r="T812" s="29">
        <v>0</v>
      </c>
      <c r="U812" s="29">
        <v>0</v>
      </c>
      <c r="V812" s="29">
        <v>0</v>
      </c>
      <c r="W812" s="29">
        <v>0</v>
      </c>
      <c r="X812" s="29">
        <v>0</v>
      </c>
      <c r="Y812" s="29">
        <v>0</v>
      </c>
      <c r="Z812" s="29">
        <v>0</v>
      </c>
      <c r="AA812" s="29">
        <v>0</v>
      </c>
      <c r="AB812" s="29">
        <v>0</v>
      </c>
      <c r="AC812" s="29">
        <f t="shared" si="138"/>
        <v>0</v>
      </c>
      <c r="AD812" s="37">
        <v>123749.3</v>
      </c>
      <c r="AE812" s="29">
        <v>0</v>
      </c>
      <c r="AF812" s="32">
        <v>2021</v>
      </c>
      <c r="AG812" s="32">
        <v>2021</v>
      </c>
      <c r="AH812" s="33" t="s">
        <v>268</v>
      </c>
      <c r="BZ812" s="61"/>
      <c r="CD812" s="18" t="e">
        <f>VLOOKUP(C812,CE:CF,2,FALSE)</f>
        <v>#N/A</v>
      </c>
    </row>
    <row r="813" spans="1:82" ht="61.5" x14ac:dyDescent="0.85">
      <c r="A813" s="18">
        <v>1</v>
      </c>
      <c r="B813" s="57">
        <f>SUBTOTAL(103,$A$558:A813)</f>
        <v>252</v>
      </c>
      <c r="C813" s="22" t="s">
        <v>1455</v>
      </c>
      <c r="D813" s="29">
        <f t="shared" si="137"/>
        <v>9035790.4899999984</v>
      </c>
      <c r="E813" s="29">
        <v>0</v>
      </c>
      <c r="F813" s="29">
        <v>0</v>
      </c>
      <c r="G813" s="29">
        <v>0</v>
      </c>
      <c r="H813" s="29">
        <v>0</v>
      </c>
      <c r="I813" s="29">
        <v>0</v>
      </c>
      <c r="J813" s="29">
        <v>0</v>
      </c>
      <c r="K813" s="64">
        <v>4</v>
      </c>
      <c r="L813" s="29">
        <v>8912067.3699999992</v>
      </c>
      <c r="M813" s="29">
        <v>0</v>
      </c>
      <c r="N813" s="29">
        <v>0</v>
      </c>
      <c r="O813" s="29">
        <v>0</v>
      </c>
      <c r="P813" s="29">
        <v>0</v>
      </c>
      <c r="Q813" s="29">
        <v>0</v>
      </c>
      <c r="R813" s="29">
        <v>0</v>
      </c>
      <c r="S813" s="29">
        <v>0</v>
      </c>
      <c r="T813" s="29">
        <v>0</v>
      </c>
      <c r="U813" s="29">
        <v>0</v>
      </c>
      <c r="V813" s="29">
        <v>0</v>
      </c>
      <c r="W813" s="29">
        <v>0</v>
      </c>
      <c r="X813" s="29">
        <v>0</v>
      </c>
      <c r="Y813" s="29">
        <v>0</v>
      </c>
      <c r="Z813" s="29">
        <v>0</v>
      </c>
      <c r="AA813" s="29">
        <v>0</v>
      </c>
      <c r="AB813" s="29">
        <v>0</v>
      </c>
      <c r="AC813" s="29">
        <f t="shared" si="138"/>
        <v>0</v>
      </c>
      <c r="AD813" s="37">
        <v>123723.12</v>
      </c>
      <c r="AE813" s="29">
        <v>0</v>
      </c>
      <c r="AF813" s="32">
        <v>2021</v>
      </c>
      <c r="AG813" s="32">
        <v>2021</v>
      </c>
      <c r="AH813" s="33" t="s">
        <v>268</v>
      </c>
      <c r="BZ813" s="61"/>
      <c r="CD813" s="18" t="e">
        <f>VLOOKUP(C813,CE:CF,2,FALSE)</f>
        <v>#N/A</v>
      </c>
    </row>
    <row r="814" spans="1:82" ht="61.5" x14ac:dyDescent="0.85">
      <c r="A814" s="18">
        <v>1</v>
      </c>
      <c r="B814" s="57">
        <f>SUBTOTAL(103,$A$558:A814)</f>
        <v>253</v>
      </c>
      <c r="C814" s="22" t="s">
        <v>2270</v>
      </c>
      <c r="D814" s="29">
        <f t="shared" si="137"/>
        <v>6799891.0399999991</v>
      </c>
      <c r="E814" s="29">
        <v>0</v>
      </c>
      <c r="F814" s="29">
        <v>0</v>
      </c>
      <c r="G814" s="29">
        <v>0</v>
      </c>
      <c r="H814" s="29">
        <v>0</v>
      </c>
      <c r="I814" s="29">
        <v>0</v>
      </c>
      <c r="J814" s="29">
        <v>0</v>
      </c>
      <c r="K814" s="31">
        <v>3</v>
      </c>
      <c r="L814" s="29">
        <v>6684050.5199999996</v>
      </c>
      <c r="M814" s="29">
        <v>0</v>
      </c>
      <c r="N814" s="29">
        <v>0</v>
      </c>
      <c r="O814" s="29">
        <v>0</v>
      </c>
      <c r="P814" s="29">
        <v>0</v>
      </c>
      <c r="Q814" s="29">
        <v>0</v>
      </c>
      <c r="R814" s="29">
        <v>0</v>
      </c>
      <c r="S814" s="29">
        <v>0</v>
      </c>
      <c r="T814" s="29">
        <v>0</v>
      </c>
      <c r="U814" s="29">
        <v>0</v>
      </c>
      <c r="V814" s="29">
        <v>0</v>
      </c>
      <c r="W814" s="29">
        <v>0</v>
      </c>
      <c r="X814" s="29">
        <v>0</v>
      </c>
      <c r="Y814" s="29">
        <v>0</v>
      </c>
      <c r="Z814" s="29">
        <v>0</v>
      </c>
      <c r="AA814" s="29">
        <v>0</v>
      </c>
      <c r="AB814" s="29">
        <v>0</v>
      </c>
      <c r="AC814" s="29">
        <f t="shared" si="138"/>
        <v>0</v>
      </c>
      <c r="AD814" s="37">
        <v>115840.52</v>
      </c>
      <c r="AE814" s="29">
        <v>0</v>
      </c>
      <c r="AF814" s="32">
        <v>2021</v>
      </c>
      <c r="AG814" s="32">
        <v>2021</v>
      </c>
      <c r="AH814" s="33" t="s">
        <v>268</v>
      </c>
      <c r="BZ814" s="61"/>
      <c r="CD814" s="18" t="e">
        <f>VLOOKUP(C814,CE:CF,2,FALSE)</f>
        <v>#N/A</v>
      </c>
    </row>
    <row r="815" spans="1:82" ht="61.5" x14ac:dyDescent="0.85">
      <c r="A815" s="18">
        <v>1</v>
      </c>
      <c r="B815" s="57">
        <f>SUBTOTAL(103,$A$558:A815)</f>
        <v>254</v>
      </c>
      <c r="C815" s="22" t="s">
        <v>2307</v>
      </c>
      <c r="D815" s="29">
        <f t="shared" ref="D815:D818" si="139">E815+F815+G815+H815+I815+J815+L815+N815+P815+R815+T815+U815+V815+W815+X815+Y815+Z815+AA815+AB815+AC815+AD815+AE815</f>
        <v>9035938.7899999991</v>
      </c>
      <c r="E815" s="29">
        <v>0</v>
      </c>
      <c r="F815" s="29">
        <v>0</v>
      </c>
      <c r="G815" s="29">
        <v>0</v>
      </c>
      <c r="H815" s="29">
        <v>0</v>
      </c>
      <c r="I815" s="29">
        <v>0</v>
      </c>
      <c r="J815" s="29">
        <v>0</v>
      </c>
      <c r="K815" s="64">
        <v>4</v>
      </c>
      <c r="L815" s="29">
        <v>8912067.3699999992</v>
      </c>
      <c r="M815" s="29">
        <v>0</v>
      </c>
      <c r="N815" s="29">
        <v>0</v>
      </c>
      <c r="O815" s="29">
        <v>0</v>
      </c>
      <c r="P815" s="29">
        <v>0</v>
      </c>
      <c r="Q815" s="29">
        <v>0</v>
      </c>
      <c r="R815" s="29">
        <v>0</v>
      </c>
      <c r="S815" s="29">
        <v>0</v>
      </c>
      <c r="T815" s="29">
        <v>0</v>
      </c>
      <c r="U815" s="29">
        <v>0</v>
      </c>
      <c r="V815" s="29">
        <v>0</v>
      </c>
      <c r="W815" s="29">
        <v>0</v>
      </c>
      <c r="X815" s="29">
        <v>0</v>
      </c>
      <c r="Y815" s="29">
        <v>0</v>
      </c>
      <c r="Z815" s="29">
        <v>0</v>
      </c>
      <c r="AA815" s="29">
        <v>0</v>
      </c>
      <c r="AB815" s="29">
        <v>0</v>
      </c>
      <c r="AC815" s="29">
        <f t="shared" si="138"/>
        <v>0</v>
      </c>
      <c r="AD815" s="37">
        <v>123871.42</v>
      </c>
      <c r="AE815" s="29">
        <v>0</v>
      </c>
      <c r="AF815" s="32">
        <v>2021</v>
      </c>
      <c r="AG815" s="32">
        <v>2021</v>
      </c>
      <c r="AH815" s="33" t="s">
        <v>268</v>
      </c>
      <c r="BZ815" s="61"/>
      <c r="CD815" s="18" t="e">
        <f>VLOOKUP(C815,CE:CF,2,FALSE)</f>
        <v>#N/A</v>
      </c>
    </row>
    <row r="816" spans="1:82" ht="61.5" x14ac:dyDescent="0.85">
      <c r="A816" s="18">
        <v>1</v>
      </c>
      <c r="B816" s="57">
        <f>SUBTOTAL(103,$A$558:A816)</f>
        <v>255</v>
      </c>
      <c r="C816" s="22" t="s">
        <v>2644</v>
      </c>
      <c r="D816" s="29">
        <f t="shared" si="139"/>
        <v>16185630.710000001</v>
      </c>
      <c r="E816" s="29">
        <v>0</v>
      </c>
      <c r="F816" s="29">
        <v>0</v>
      </c>
      <c r="G816" s="29">
        <v>0</v>
      </c>
      <c r="H816" s="29">
        <v>0</v>
      </c>
      <c r="I816" s="29">
        <v>0</v>
      </c>
      <c r="J816" s="29">
        <v>0</v>
      </c>
      <c r="K816" s="64">
        <v>6</v>
      </c>
      <c r="L816" s="29">
        <v>15985630.710000001</v>
      </c>
      <c r="M816" s="29">
        <v>0</v>
      </c>
      <c r="N816" s="29">
        <v>0</v>
      </c>
      <c r="O816" s="29">
        <v>0</v>
      </c>
      <c r="P816" s="29">
        <v>0</v>
      </c>
      <c r="Q816" s="29">
        <v>0</v>
      </c>
      <c r="R816" s="29">
        <v>0</v>
      </c>
      <c r="S816" s="29">
        <v>0</v>
      </c>
      <c r="T816" s="29">
        <v>0</v>
      </c>
      <c r="U816" s="29">
        <v>0</v>
      </c>
      <c r="V816" s="29">
        <v>0</v>
      </c>
      <c r="W816" s="29">
        <v>0</v>
      </c>
      <c r="X816" s="29">
        <v>0</v>
      </c>
      <c r="Y816" s="29">
        <v>0</v>
      </c>
      <c r="Z816" s="29">
        <v>0</v>
      </c>
      <c r="AA816" s="29">
        <v>0</v>
      </c>
      <c r="AB816" s="29">
        <v>0</v>
      </c>
      <c r="AC816" s="29">
        <f t="shared" si="138"/>
        <v>0</v>
      </c>
      <c r="AD816" s="37">
        <v>200000</v>
      </c>
      <c r="AE816" s="29">
        <v>0</v>
      </c>
      <c r="AF816" s="32">
        <v>2021</v>
      </c>
      <c r="AG816" s="32">
        <v>2021</v>
      </c>
      <c r="AH816" s="33" t="s">
        <v>268</v>
      </c>
      <c r="BZ816" s="61"/>
      <c r="CD816" s="18" t="e">
        <f>VLOOKUP(C816,CE:CF,2,FALSE)</f>
        <v>#N/A</v>
      </c>
    </row>
    <row r="817" spans="1:82" ht="61.5" x14ac:dyDescent="0.85">
      <c r="A817" s="18">
        <v>1</v>
      </c>
      <c r="B817" s="57">
        <f>SUBTOTAL(103,$A$558:A817)</f>
        <v>256</v>
      </c>
      <c r="C817" s="22" t="s">
        <v>2645</v>
      </c>
      <c r="D817" s="29">
        <f t="shared" si="139"/>
        <v>2356132.7999999998</v>
      </c>
      <c r="E817" s="29">
        <v>0</v>
      </c>
      <c r="F817" s="29">
        <v>0</v>
      </c>
      <c r="G817" s="29">
        <v>0</v>
      </c>
      <c r="H817" s="29">
        <v>0</v>
      </c>
      <c r="I817" s="29">
        <v>0</v>
      </c>
      <c r="J817" s="29">
        <v>0</v>
      </c>
      <c r="K817" s="64">
        <v>1</v>
      </c>
      <c r="L817" s="29">
        <v>2236132.7999999998</v>
      </c>
      <c r="M817" s="29">
        <v>0</v>
      </c>
      <c r="N817" s="29">
        <v>0</v>
      </c>
      <c r="O817" s="29">
        <v>0</v>
      </c>
      <c r="P817" s="29">
        <v>0</v>
      </c>
      <c r="Q817" s="29">
        <v>0</v>
      </c>
      <c r="R817" s="29">
        <v>0</v>
      </c>
      <c r="S817" s="29">
        <v>0</v>
      </c>
      <c r="T817" s="29">
        <v>0</v>
      </c>
      <c r="U817" s="29">
        <v>0</v>
      </c>
      <c r="V817" s="29">
        <v>0</v>
      </c>
      <c r="W817" s="29">
        <v>0</v>
      </c>
      <c r="X817" s="29">
        <v>0</v>
      </c>
      <c r="Y817" s="29">
        <v>0</v>
      </c>
      <c r="Z817" s="29">
        <v>0</v>
      </c>
      <c r="AA817" s="29">
        <v>0</v>
      </c>
      <c r="AB817" s="29">
        <v>0</v>
      </c>
      <c r="AC817" s="29">
        <f t="shared" si="138"/>
        <v>0</v>
      </c>
      <c r="AD817" s="37">
        <v>120000</v>
      </c>
      <c r="AE817" s="29">
        <v>0</v>
      </c>
      <c r="AF817" s="32">
        <v>2021</v>
      </c>
      <c r="AG817" s="32">
        <v>2021</v>
      </c>
      <c r="AH817" s="33" t="s">
        <v>268</v>
      </c>
      <c r="BZ817" s="61"/>
      <c r="CD817" s="18" t="e">
        <f>VLOOKUP(C817,CE:CF,2,FALSE)</f>
        <v>#N/A</v>
      </c>
    </row>
    <row r="818" spans="1:82" ht="61.5" x14ac:dyDescent="0.85">
      <c r="A818" s="18">
        <v>1</v>
      </c>
      <c r="B818" s="57">
        <f>SUBTOTAL(103,$A$558:A818)</f>
        <v>257</v>
      </c>
      <c r="C818" s="22" t="s">
        <v>2646</v>
      </c>
      <c r="D818" s="29">
        <f t="shared" si="139"/>
        <v>11370664</v>
      </c>
      <c r="E818" s="29">
        <v>0</v>
      </c>
      <c r="F818" s="29">
        <v>0</v>
      </c>
      <c r="G818" s="29">
        <v>0</v>
      </c>
      <c r="H818" s="29">
        <v>0</v>
      </c>
      <c r="I818" s="29">
        <v>0</v>
      </c>
      <c r="J818" s="29">
        <v>0</v>
      </c>
      <c r="K818" s="31">
        <v>5</v>
      </c>
      <c r="L818" s="29">
        <v>11180664</v>
      </c>
      <c r="M818" s="29">
        <v>0</v>
      </c>
      <c r="N818" s="29">
        <v>0</v>
      </c>
      <c r="O818" s="29">
        <v>0</v>
      </c>
      <c r="P818" s="29">
        <v>0</v>
      </c>
      <c r="Q818" s="29">
        <v>0</v>
      </c>
      <c r="R818" s="29">
        <v>0</v>
      </c>
      <c r="S818" s="29">
        <v>0</v>
      </c>
      <c r="T818" s="29">
        <v>0</v>
      </c>
      <c r="U818" s="29">
        <v>0</v>
      </c>
      <c r="V818" s="29">
        <v>0</v>
      </c>
      <c r="W818" s="29">
        <v>0</v>
      </c>
      <c r="X818" s="29">
        <v>0</v>
      </c>
      <c r="Y818" s="29">
        <v>0</v>
      </c>
      <c r="Z818" s="29">
        <v>0</v>
      </c>
      <c r="AA818" s="29">
        <v>0</v>
      </c>
      <c r="AB818" s="29">
        <v>0</v>
      </c>
      <c r="AC818" s="29">
        <f t="shared" si="138"/>
        <v>0</v>
      </c>
      <c r="AD818" s="37">
        <v>190000</v>
      </c>
      <c r="AE818" s="29">
        <v>0</v>
      </c>
      <c r="AF818" s="32">
        <v>2021</v>
      </c>
      <c r="AG818" s="32">
        <v>2021</v>
      </c>
      <c r="AH818" s="33" t="s">
        <v>268</v>
      </c>
      <c r="BZ818" s="61"/>
      <c r="CD818" s="18" t="e">
        <f>VLOOKUP(C818,CE:CF,2,FALSE)</f>
        <v>#N/A</v>
      </c>
    </row>
    <row r="819" spans="1:82" ht="61.5" x14ac:dyDescent="0.85">
      <c r="A819" s="18">
        <v>1</v>
      </c>
      <c r="B819" s="57">
        <f>SUBTOTAL(103,$A$558:A819)</f>
        <v>258</v>
      </c>
      <c r="C819" s="22" t="s">
        <v>2647</v>
      </c>
      <c r="D819" s="29">
        <f t="shared" ref="D819" si="140">E819+F819+G819+H819+I819+J819+L819+N819+P819+R819+T819+U819+V819+W819+X819+Y819+Z819+AA819+AB819+AC819+AD819+AE819</f>
        <v>9084531.1999999993</v>
      </c>
      <c r="E819" s="29">
        <v>0</v>
      </c>
      <c r="F819" s="29">
        <v>0</v>
      </c>
      <c r="G819" s="29">
        <v>0</v>
      </c>
      <c r="H819" s="29">
        <v>0</v>
      </c>
      <c r="I819" s="29">
        <v>0</v>
      </c>
      <c r="J819" s="29">
        <v>0</v>
      </c>
      <c r="K819" s="64">
        <v>4</v>
      </c>
      <c r="L819" s="29">
        <v>8944531.1999999993</v>
      </c>
      <c r="M819" s="29">
        <v>0</v>
      </c>
      <c r="N819" s="29">
        <v>0</v>
      </c>
      <c r="O819" s="29">
        <v>0</v>
      </c>
      <c r="P819" s="29">
        <v>0</v>
      </c>
      <c r="Q819" s="29">
        <v>0</v>
      </c>
      <c r="R819" s="29">
        <v>0</v>
      </c>
      <c r="S819" s="29">
        <v>0</v>
      </c>
      <c r="T819" s="29">
        <v>0</v>
      </c>
      <c r="U819" s="29">
        <v>0</v>
      </c>
      <c r="V819" s="29">
        <v>0</v>
      </c>
      <c r="W819" s="29">
        <v>0</v>
      </c>
      <c r="X819" s="29">
        <v>0</v>
      </c>
      <c r="Y819" s="29">
        <v>0</v>
      </c>
      <c r="Z819" s="29">
        <v>0</v>
      </c>
      <c r="AA819" s="29">
        <v>0</v>
      </c>
      <c r="AB819" s="29">
        <v>0</v>
      </c>
      <c r="AC819" s="29">
        <f t="shared" si="138"/>
        <v>0</v>
      </c>
      <c r="AD819" s="37">
        <v>140000</v>
      </c>
      <c r="AE819" s="29">
        <v>0</v>
      </c>
      <c r="AF819" s="32">
        <v>2021</v>
      </c>
      <c r="AG819" s="32">
        <v>2021</v>
      </c>
      <c r="AH819" s="33" t="s">
        <v>268</v>
      </c>
      <c r="BZ819" s="61"/>
      <c r="CD819" s="18" t="e">
        <f>VLOOKUP(C819,CE:CF,2,FALSE)</f>
        <v>#N/A</v>
      </c>
    </row>
    <row r="820" spans="1:82" ht="61.5" x14ac:dyDescent="0.85">
      <c r="A820" s="18">
        <v>1</v>
      </c>
      <c r="B820" s="57">
        <f>SUBTOTAL(103,$A$558:A820)</f>
        <v>259</v>
      </c>
      <c r="C820" s="22" t="s">
        <v>2648</v>
      </c>
      <c r="D820" s="29">
        <f t="shared" si="137"/>
        <v>6838398.3999999994</v>
      </c>
      <c r="E820" s="29">
        <v>0</v>
      </c>
      <c r="F820" s="29">
        <v>0</v>
      </c>
      <c r="G820" s="29">
        <v>0</v>
      </c>
      <c r="H820" s="29">
        <v>0</v>
      </c>
      <c r="I820" s="29">
        <v>0</v>
      </c>
      <c r="J820" s="29">
        <v>0</v>
      </c>
      <c r="K820" s="64">
        <v>3</v>
      </c>
      <c r="L820" s="29">
        <v>6708398.3999999994</v>
      </c>
      <c r="M820" s="29">
        <v>0</v>
      </c>
      <c r="N820" s="29">
        <v>0</v>
      </c>
      <c r="O820" s="29">
        <v>0</v>
      </c>
      <c r="P820" s="29">
        <v>0</v>
      </c>
      <c r="Q820" s="29">
        <v>0</v>
      </c>
      <c r="R820" s="29">
        <v>0</v>
      </c>
      <c r="S820" s="29">
        <v>0</v>
      </c>
      <c r="T820" s="29">
        <v>0</v>
      </c>
      <c r="U820" s="29">
        <v>0</v>
      </c>
      <c r="V820" s="29">
        <v>0</v>
      </c>
      <c r="W820" s="29">
        <v>0</v>
      </c>
      <c r="X820" s="29">
        <v>0</v>
      </c>
      <c r="Y820" s="29">
        <v>0</v>
      </c>
      <c r="Z820" s="29">
        <v>0</v>
      </c>
      <c r="AA820" s="29">
        <v>0</v>
      </c>
      <c r="AB820" s="29">
        <v>0</v>
      </c>
      <c r="AC820" s="29">
        <f t="shared" si="138"/>
        <v>0</v>
      </c>
      <c r="AD820" s="37">
        <v>130000</v>
      </c>
      <c r="AE820" s="29">
        <v>0</v>
      </c>
      <c r="AF820" s="32">
        <v>2021</v>
      </c>
      <c r="AG820" s="32">
        <v>2021</v>
      </c>
      <c r="AH820" s="33" t="s">
        <v>268</v>
      </c>
      <c r="BZ820" s="61"/>
      <c r="CD820" s="18" t="e">
        <f>VLOOKUP(C820,CE:CF,2,FALSE)</f>
        <v>#N/A</v>
      </c>
    </row>
    <row r="821" spans="1:82" ht="61.5" x14ac:dyDescent="0.85">
      <c r="B821" s="22" t="s">
        <v>807</v>
      </c>
      <c r="C821" s="338"/>
      <c r="D821" s="339">
        <f t="shared" ref="D821:AE821" si="141">SUM(D822:D847)</f>
        <v>107004610.82000004</v>
      </c>
      <c r="E821" s="29">
        <f t="shared" si="141"/>
        <v>0</v>
      </c>
      <c r="F821" s="29">
        <f t="shared" si="141"/>
        <v>0</v>
      </c>
      <c r="G821" s="29">
        <f t="shared" si="141"/>
        <v>667639.41</v>
      </c>
      <c r="H821" s="29">
        <f t="shared" si="141"/>
        <v>153564.57</v>
      </c>
      <c r="I821" s="29">
        <f t="shared" si="141"/>
        <v>0</v>
      </c>
      <c r="J821" s="29">
        <f t="shared" si="141"/>
        <v>0</v>
      </c>
      <c r="K821" s="66">
        <f t="shared" si="141"/>
        <v>1</v>
      </c>
      <c r="L821" s="29">
        <f t="shared" si="141"/>
        <v>1806134.26</v>
      </c>
      <c r="M821" s="29">
        <f t="shared" si="141"/>
        <v>15177.359999999999</v>
      </c>
      <c r="N821" s="29">
        <f t="shared" si="141"/>
        <v>75718990.500000015</v>
      </c>
      <c r="O821" s="29">
        <f t="shared" si="141"/>
        <v>0</v>
      </c>
      <c r="P821" s="29">
        <f t="shared" si="141"/>
        <v>0</v>
      </c>
      <c r="Q821" s="29">
        <f t="shared" si="141"/>
        <v>2448</v>
      </c>
      <c r="R821" s="29">
        <f t="shared" si="141"/>
        <v>12099320.48</v>
      </c>
      <c r="S821" s="29">
        <f t="shared" si="141"/>
        <v>365.8</v>
      </c>
      <c r="T821" s="29">
        <f t="shared" si="141"/>
        <v>5931913.29</v>
      </c>
      <c r="U821" s="29">
        <f t="shared" si="141"/>
        <v>6840832.96</v>
      </c>
      <c r="V821" s="29">
        <f t="shared" si="141"/>
        <v>0</v>
      </c>
      <c r="W821" s="29">
        <f t="shared" si="141"/>
        <v>0</v>
      </c>
      <c r="X821" s="29">
        <f t="shared" si="141"/>
        <v>0</v>
      </c>
      <c r="Y821" s="29">
        <f t="shared" si="141"/>
        <v>0</v>
      </c>
      <c r="Z821" s="29">
        <f t="shared" si="141"/>
        <v>0</v>
      </c>
      <c r="AA821" s="29">
        <f t="shared" si="141"/>
        <v>0</v>
      </c>
      <c r="AB821" s="29">
        <f t="shared" si="141"/>
        <v>0</v>
      </c>
      <c r="AC821" s="29">
        <f t="shared" si="141"/>
        <v>1521183.93</v>
      </c>
      <c r="AD821" s="29">
        <f t="shared" si="141"/>
        <v>2145031.42</v>
      </c>
      <c r="AE821" s="29">
        <f t="shared" si="141"/>
        <v>120000</v>
      </c>
      <c r="AF821" s="62" t="s">
        <v>743</v>
      </c>
      <c r="AG821" s="62" t="s">
        <v>743</v>
      </c>
      <c r="AH821" s="77" t="s">
        <v>743</v>
      </c>
      <c r="AT821" s="18" t="e">
        <f>VLOOKUP(C821,AW:AX,2,FALSE)</f>
        <v>#N/A</v>
      </c>
      <c r="BZ821" s="61">
        <v>55019080.369999997</v>
      </c>
      <c r="CB821" s="61">
        <f>BZ821-D821</f>
        <v>-51985530.45000004</v>
      </c>
      <c r="CD821" s="18" t="e">
        <f>VLOOKUP(C821,CE:CF,2,FALSE)</f>
        <v>#N/A</v>
      </c>
    </row>
    <row r="822" spans="1:82" ht="61.5" x14ac:dyDescent="0.85">
      <c r="A822" s="18">
        <v>1</v>
      </c>
      <c r="B822" s="57">
        <f>SUBTOTAL(103,$A$558:A822)</f>
        <v>260</v>
      </c>
      <c r="C822" s="22" t="s">
        <v>602</v>
      </c>
      <c r="D822" s="29">
        <f t="shared" ref="D822:D833" si="142">E822+F822+G822+H822+I822+J822+L822+N822+P822+R822+T822+U822+V822+W822+X822+Y822+Z822+AA822+AB822+AC822+AD822+AE822</f>
        <v>4305622.5199999996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1">
        <v>0</v>
      </c>
      <c r="L822" s="29">
        <v>0</v>
      </c>
      <c r="M822" s="29">
        <v>773</v>
      </c>
      <c r="N822" s="29">
        <v>4123973.4</v>
      </c>
      <c r="O822" s="29">
        <v>0</v>
      </c>
      <c r="P822" s="29">
        <v>0</v>
      </c>
      <c r="Q822" s="29">
        <v>0</v>
      </c>
      <c r="R822" s="29">
        <v>0</v>
      </c>
      <c r="S822" s="29">
        <v>0</v>
      </c>
      <c r="T822" s="29">
        <v>0</v>
      </c>
      <c r="U822" s="29">
        <v>0</v>
      </c>
      <c r="V822" s="29">
        <v>0</v>
      </c>
      <c r="W822" s="29">
        <v>0</v>
      </c>
      <c r="X822" s="29">
        <v>0</v>
      </c>
      <c r="Y822" s="29">
        <v>0</v>
      </c>
      <c r="Z822" s="29">
        <v>0</v>
      </c>
      <c r="AA822" s="29">
        <v>0</v>
      </c>
      <c r="AB822" s="29">
        <v>0</v>
      </c>
      <c r="AC822" s="29">
        <f t="shared" ref="AC822:AC830" si="143">ROUND(N822*1.5%,2)</f>
        <v>61859.6</v>
      </c>
      <c r="AD822" s="84">
        <v>119789.52</v>
      </c>
      <c r="AE822" s="29">
        <v>0</v>
      </c>
      <c r="AF822" s="32">
        <v>2021</v>
      </c>
      <c r="AG822" s="32">
        <v>2021</v>
      </c>
      <c r="AH822" s="33">
        <v>2021</v>
      </c>
      <c r="AT822" s="18" t="e">
        <f>VLOOKUP(C822,AW:AX,2,FALSE)</f>
        <v>#N/A</v>
      </c>
      <c r="BZ822" s="61"/>
      <c r="CD822" s="18" t="e">
        <f>VLOOKUP(C822,CE:CF,2,FALSE)</f>
        <v>#N/A</v>
      </c>
    </row>
    <row r="823" spans="1:82" ht="61.5" x14ac:dyDescent="0.85">
      <c r="A823" s="18">
        <v>1</v>
      </c>
      <c r="B823" s="57">
        <f>SUBTOTAL(103,$A$558:A823)</f>
        <v>261</v>
      </c>
      <c r="C823" s="22" t="s">
        <v>603</v>
      </c>
      <c r="D823" s="29">
        <f t="shared" si="142"/>
        <v>5849319.5699999994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1">
        <v>0</v>
      </c>
      <c r="L823" s="29">
        <v>0</v>
      </c>
      <c r="M823" s="29">
        <v>1050</v>
      </c>
      <c r="N823" s="29">
        <v>5644811.9699999997</v>
      </c>
      <c r="O823" s="29">
        <v>0</v>
      </c>
      <c r="P823" s="29">
        <v>0</v>
      </c>
      <c r="Q823" s="29">
        <v>0</v>
      </c>
      <c r="R823" s="29">
        <v>0</v>
      </c>
      <c r="S823" s="29">
        <v>0</v>
      </c>
      <c r="T823" s="29">
        <v>0</v>
      </c>
      <c r="U823" s="29">
        <v>0</v>
      </c>
      <c r="V823" s="29">
        <v>0</v>
      </c>
      <c r="W823" s="29">
        <v>0</v>
      </c>
      <c r="X823" s="29">
        <v>0</v>
      </c>
      <c r="Y823" s="29">
        <v>0</v>
      </c>
      <c r="Z823" s="29">
        <v>0</v>
      </c>
      <c r="AA823" s="29">
        <v>0</v>
      </c>
      <c r="AB823" s="29">
        <v>0</v>
      </c>
      <c r="AC823" s="29">
        <f t="shared" si="143"/>
        <v>84672.18</v>
      </c>
      <c r="AD823" s="84">
        <v>119835.42</v>
      </c>
      <c r="AE823" s="29">
        <v>0</v>
      </c>
      <c r="AF823" s="32">
        <v>2021</v>
      </c>
      <c r="AG823" s="32">
        <v>2021</v>
      </c>
      <c r="AH823" s="33">
        <v>2021</v>
      </c>
      <c r="AT823" s="18" t="e">
        <f>VLOOKUP(C823,AW:AX,2,FALSE)</f>
        <v>#N/A</v>
      </c>
      <c r="BZ823" s="61"/>
      <c r="CD823" s="18" t="e">
        <f>VLOOKUP(C823,CE:CF,2,FALSE)</f>
        <v>#N/A</v>
      </c>
    </row>
    <row r="824" spans="1:82" ht="61.5" x14ac:dyDescent="0.85">
      <c r="A824" s="18">
        <v>1</v>
      </c>
      <c r="B824" s="57">
        <f>SUBTOTAL(103,$A$558:A824)</f>
        <v>262</v>
      </c>
      <c r="C824" s="22" t="s">
        <v>604</v>
      </c>
      <c r="D824" s="29">
        <f t="shared" si="142"/>
        <v>4691039.5599999996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1">
        <v>0</v>
      </c>
      <c r="L824" s="29">
        <v>0</v>
      </c>
      <c r="M824" s="29">
        <v>945</v>
      </c>
      <c r="N824" s="29">
        <v>4503665.0199999996</v>
      </c>
      <c r="O824" s="29">
        <v>0</v>
      </c>
      <c r="P824" s="29">
        <v>0</v>
      </c>
      <c r="Q824" s="29">
        <v>0</v>
      </c>
      <c r="R824" s="29">
        <v>0</v>
      </c>
      <c r="S824" s="29">
        <v>0</v>
      </c>
      <c r="T824" s="29">
        <v>0</v>
      </c>
      <c r="U824" s="29">
        <v>0</v>
      </c>
      <c r="V824" s="29">
        <v>0</v>
      </c>
      <c r="W824" s="29">
        <v>0</v>
      </c>
      <c r="X824" s="29">
        <v>0</v>
      </c>
      <c r="Y824" s="29">
        <v>0</v>
      </c>
      <c r="Z824" s="29">
        <v>0</v>
      </c>
      <c r="AA824" s="29">
        <v>0</v>
      </c>
      <c r="AB824" s="29">
        <v>0</v>
      </c>
      <c r="AC824" s="29">
        <f t="shared" si="143"/>
        <v>67554.98</v>
      </c>
      <c r="AD824" s="84">
        <v>119819.56</v>
      </c>
      <c r="AE824" s="29">
        <v>0</v>
      </c>
      <c r="AF824" s="32">
        <v>2021</v>
      </c>
      <c r="AG824" s="32">
        <v>2021</v>
      </c>
      <c r="AH824" s="33">
        <v>2021</v>
      </c>
      <c r="AT824" s="18" t="e">
        <f>VLOOKUP(C824,AW:AX,2,FALSE)</f>
        <v>#N/A</v>
      </c>
      <c r="BZ824" s="61"/>
      <c r="CD824" s="18" t="e">
        <f>VLOOKUP(C824,CE:CF,2,FALSE)</f>
        <v>#N/A</v>
      </c>
    </row>
    <row r="825" spans="1:82" ht="61.5" x14ac:dyDescent="0.85">
      <c r="A825" s="18">
        <v>1</v>
      </c>
      <c r="B825" s="57">
        <f>SUBTOTAL(103,$A$558:A825)</f>
        <v>263</v>
      </c>
      <c r="C825" s="22" t="s">
        <v>608</v>
      </c>
      <c r="D825" s="29">
        <f t="shared" si="142"/>
        <v>2741969.48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1">
        <v>0</v>
      </c>
      <c r="L825" s="29">
        <v>0</v>
      </c>
      <c r="M825" s="29">
        <v>650</v>
      </c>
      <c r="N825" s="29">
        <f>3195714.29-550133.24</f>
        <v>2645581.0499999998</v>
      </c>
      <c r="O825" s="29">
        <v>0</v>
      </c>
      <c r="P825" s="29">
        <v>0</v>
      </c>
      <c r="Q825" s="29">
        <v>0</v>
      </c>
      <c r="R825" s="29">
        <v>0</v>
      </c>
      <c r="S825" s="29">
        <v>0</v>
      </c>
      <c r="T825" s="29">
        <v>0</v>
      </c>
      <c r="U825" s="29">
        <v>0</v>
      </c>
      <c r="V825" s="29">
        <v>0</v>
      </c>
      <c r="W825" s="29">
        <v>0</v>
      </c>
      <c r="X825" s="29">
        <v>0</v>
      </c>
      <c r="Y825" s="29">
        <v>0</v>
      </c>
      <c r="Z825" s="29">
        <v>0</v>
      </c>
      <c r="AA825" s="29">
        <v>0</v>
      </c>
      <c r="AB825" s="29">
        <v>0</v>
      </c>
      <c r="AC825" s="29">
        <f t="shared" si="143"/>
        <v>39683.72</v>
      </c>
      <c r="AD825" s="84">
        <v>56704.71</v>
      </c>
      <c r="AE825" s="29">
        <v>0</v>
      </c>
      <c r="AF825" s="32">
        <v>2021</v>
      </c>
      <c r="AG825" s="32">
        <v>2021</v>
      </c>
      <c r="AH825" s="33">
        <v>2021</v>
      </c>
      <c r="AT825" s="18">
        <f>VLOOKUP(C825,AW:AX,2,FALSE)</f>
        <v>1</v>
      </c>
      <c r="BZ825" s="61"/>
      <c r="CD825" s="18" t="e">
        <f>VLOOKUP(C825,CE:CF,2,FALSE)</f>
        <v>#N/A</v>
      </c>
    </row>
    <row r="826" spans="1:82" ht="61.5" x14ac:dyDescent="0.85">
      <c r="A826" s="18">
        <v>1</v>
      </c>
      <c r="B826" s="57">
        <f>SUBTOTAL(103,$A$558:A826)</f>
        <v>264</v>
      </c>
      <c r="C826" s="22" t="s">
        <v>609</v>
      </c>
      <c r="D826" s="29">
        <f t="shared" si="142"/>
        <v>5694080.6399999997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1">
        <v>0</v>
      </c>
      <c r="L826" s="29">
        <v>0</v>
      </c>
      <c r="M826" s="29">
        <v>1040</v>
      </c>
      <c r="N826" s="29">
        <v>5491847.5199999996</v>
      </c>
      <c r="O826" s="29">
        <v>0</v>
      </c>
      <c r="P826" s="29">
        <v>0</v>
      </c>
      <c r="Q826" s="29">
        <v>0</v>
      </c>
      <c r="R826" s="29">
        <v>0</v>
      </c>
      <c r="S826" s="29">
        <v>0</v>
      </c>
      <c r="T826" s="29">
        <v>0</v>
      </c>
      <c r="U826" s="29">
        <v>0</v>
      </c>
      <c r="V826" s="29">
        <v>0</v>
      </c>
      <c r="W826" s="29">
        <v>0</v>
      </c>
      <c r="X826" s="29">
        <v>0</v>
      </c>
      <c r="Y826" s="29">
        <v>0</v>
      </c>
      <c r="Z826" s="29">
        <v>0</v>
      </c>
      <c r="AA826" s="29">
        <v>0</v>
      </c>
      <c r="AB826" s="29">
        <v>0</v>
      </c>
      <c r="AC826" s="29">
        <f t="shared" si="143"/>
        <v>82377.710000000006</v>
      </c>
      <c r="AD826" s="84">
        <v>119855.41</v>
      </c>
      <c r="AE826" s="29">
        <v>0</v>
      </c>
      <c r="AF826" s="32">
        <v>2021</v>
      </c>
      <c r="AG826" s="32">
        <v>2021</v>
      </c>
      <c r="AH826" s="33">
        <v>2021</v>
      </c>
      <c r="AT826" s="18" t="e">
        <f>VLOOKUP(C826,AW:AX,2,FALSE)</f>
        <v>#N/A</v>
      </c>
      <c r="BZ826" s="61"/>
      <c r="CD826" s="18" t="e">
        <f>VLOOKUP(C826,CE:CF,2,FALSE)</f>
        <v>#N/A</v>
      </c>
    </row>
    <row r="827" spans="1:82" ht="61.5" x14ac:dyDescent="0.85">
      <c r="A827" s="18">
        <v>1</v>
      </c>
      <c r="B827" s="57">
        <f>SUBTOTAL(103,$A$558:A827)</f>
        <v>265</v>
      </c>
      <c r="C827" s="22" t="s">
        <v>607</v>
      </c>
      <c r="D827" s="29">
        <f t="shared" si="142"/>
        <v>4861949.2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1">
        <v>0</v>
      </c>
      <c r="L827" s="29">
        <v>0</v>
      </c>
      <c r="M827" s="29">
        <v>937</v>
      </c>
      <c r="N827" s="29">
        <v>4671997.04</v>
      </c>
      <c r="O827" s="29">
        <v>0</v>
      </c>
      <c r="P827" s="29">
        <v>0</v>
      </c>
      <c r="Q827" s="29">
        <v>0</v>
      </c>
      <c r="R827" s="29">
        <v>0</v>
      </c>
      <c r="S827" s="29">
        <v>0</v>
      </c>
      <c r="T827" s="29">
        <v>0</v>
      </c>
      <c r="U827" s="29">
        <v>0</v>
      </c>
      <c r="V827" s="29">
        <v>0</v>
      </c>
      <c r="W827" s="29">
        <v>0</v>
      </c>
      <c r="X827" s="29">
        <v>0</v>
      </c>
      <c r="Y827" s="29">
        <v>0</v>
      </c>
      <c r="Z827" s="29">
        <v>0</v>
      </c>
      <c r="AA827" s="29">
        <v>0</v>
      </c>
      <c r="AB827" s="29">
        <v>0</v>
      </c>
      <c r="AC827" s="29">
        <f t="shared" si="143"/>
        <v>70079.960000000006</v>
      </c>
      <c r="AD827" s="84">
        <v>119872.2</v>
      </c>
      <c r="AE827" s="29">
        <v>0</v>
      </c>
      <c r="AF827" s="32">
        <v>2021</v>
      </c>
      <c r="AG827" s="32">
        <v>2021</v>
      </c>
      <c r="AH827" s="33">
        <v>2021</v>
      </c>
      <c r="AT827" s="18">
        <f>VLOOKUP(C827,AW:AX,2,FALSE)</f>
        <v>1</v>
      </c>
      <c r="BZ827" s="61"/>
      <c r="CD827" s="18" t="e">
        <f>VLOOKUP(C827,CE:CF,2,FALSE)</f>
        <v>#N/A</v>
      </c>
    </row>
    <row r="828" spans="1:82" ht="61.5" x14ac:dyDescent="0.85">
      <c r="A828" s="18">
        <v>1</v>
      </c>
      <c r="B828" s="57">
        <f>SUBTOTAL(103,$A$558:A828)</f>
        <v>266</v>
      </c>
      <c r="C828" s="22" t="s">
        <v>599</v>
      </c>
      <c r="D828" s="29">
        <f t="shared" si="142"/>
        <v>2842926.96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1">
        <v>0</v>
      </c>
      <c r="L828" s="29">
        <v>0</v>
      </c>
      <c r="M828" s="29">
        <v>559.6</v>
      </c>
      <c r="N828" s="29">
        <v>2730710.94</v>
      </c>
      <c r="O828" s="29">
        <v>0</v>
      </c>
      <c r="P828" s="29">
        <v>0</v>
      </c>
      <c r="Q828" s="29">
        <v>0</v>
      </c>
      <c r="R828" s="29">
        <v>0</v>
      </c>
      <c r="S828" s="29">
        <v>0</v>
      </c>
      <c r="T828" s="29">
        <v>0</v>
      </c>
      <c r="U828" s="29">
        <v>0</v>
      </c>
      <c r="V828" s="29">
        <v>0</v>
      </c>
      <c r="W828" s="29">
        <v>0</v>
      </c>
      <c r="X828" s="29">
        <v>0</v>
      </c>
      <c r="Y828" s="29">
        <v>0</v>
      </c>
      <c r="Z828" s="29">
        <v>0</v>
      </c>
      <c r="AA828" s="29">
        <v>0</v>
      </c>
      <c r="AB828" s="29">
        <v>0</v>
      </c>
      <c r="AC828" s="29">
        <f t="shared" si="143"/>
        <v>40960.660000000003</v>
      </c>
      <c r="AD828" s="84">
        <v>71255.360000000001</v>
      </c>
      <c r="AE828" s="29">
        <v>0</v>
      </c>
      <c r="AF828" s="32">
        <v>2021</v>
      </c>
      <c r="AG828" s="32">
        <v>2021</v>
      </c>
      <c r="AH828" s="33">
        <v>2021</v>
      </c>
      <c r="AT828" s="18" t="e">
        <f>VLOOKUP(C828,AW:AX,2,FALSE)</f>
        <v>#N/A</v>
      </c>
      <c r="BZ828" s="61"/>
      <c r="CD828" s="18" t="e">
        <f>VLOOKUP(C828,CE:CF,2,FALSE)</f>
        <v>#N/A</v>
      </c>
    </row>
    <row r="829" spans="1:82" ht="61.5" x14ac:dyDescent="0.85">
      <c r="A829" s="18">
        <v>1</v>
      </c>
      <c r="B829" s="57">
        <f>SUBTOTAL(103,$A$558:A829)</f>
        <v>267</v>
      </c>
      <c r="C829" s="22" t="s">
        <v>613</v>
      </c>
      <c r="D829" s="29">
        <f t="shared" si="142"/>
        <v>4893264.82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1">
        <v>0</v>
      </c>
      <c r="L829" s="29">
        <v>0</v>
      </c>
      <c r="M829" s="29">
        <v>943</v>
      </c>
      <c r="N829" s="29">
        <v>4702860.0999999996</v>
      </c>
      <c r="O829" s="29">
        <v>0</v>
      </c>
      <c r="P829" s="29">
        <v>0</v>
      </c>
      <c r="Q829" s="29">
        <v>0</v>
      </c>
      <c r="R829" s="29">
        <v>0</v>
      </c>
      <c r="S829" s="29">
        <v>0</v>
      </c>
      <c r="T829" s="29">
        <v>0</v>
      </c>
      <c r="U829" s="29">
        <v>0</v>
      </c>
      <c r="V829" s="29">
        <v>0</v>
      </c>
      <c r="W829" s="29">
        <v>0</v>
      </c>
      <c r="X829" s="29">
        <v>0</v>
      </c>
      <c r="Y829" s="29">
        <v>0</v>
      </c>
      <c r="Z829" s="29">
        <v>0</v>
      </c>
      <c r="AA829" s="29">
        <v>0</v>
      </c>
      <c r="AB829" s="29">
        <v>0</v>
      </c>
      <c r="AC829" s="29">
        <f t="shared" si="143"/>
        <v>70542.899999999994</v>
      </c>
      <c r="AD829" s="84">
        <v>119861.82</v>
      </c>
      <c r="AE829" s="29">
        <v>0</v>
      </c>
      <c r="AF829" s="32">
        <v>2021</v>
      </c>
      <c r="AG829" s="32">
        <v>2021</v>
      </c>
      <c r="AH829" s="33">
        <v>2021</v>
      </c>
      <c r="AT829" s="18" t="e">
        <f>VLOOKUP(C829,AW:AX,2,FALSE)</f>
        <v>#N/A</v>
      </c>
      <c r="BZ829" s="61"/>
      <c r="CD829" s="18" t="e">
        <f>VLOOKUP(C829,CE:CF,2,FALSE)</f>
        <v>#N/A</v>
      </c>
    </row>
    <row r="830" spans="1:82" ht="61.5" x14ac:dyDescent="0.85">
      <c r="A830" s="18">
        <v>1</v>
      </c>
      <c r="B830" s="57">
        <f>SUBTOTAL(103,$A$558:A830)</f>
        <v>268</v>
      </c>
      <c r="C830" s="22" t="s">
        <v>612</v>
      </c>
      <c r="D830" s="29">
        <f t="shared" si="142"/>
        <v>2680854.0299999998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1">
        <v>0</v>
      </c>
      <c r="L830" s="29">
        <v>0</v>
      </c>
      <c r="M830" s="29">
        <v>530</v>
      </c>
      <c r="N830" s="29">
        <v>2578453.2000000002</v>
      </c>
      <c r="O830" s="29">
        <v>0</v>
      </c>
      <c r="P830" s="29">
        <v>0</v>
      </c>
      <c r="Q830" s="29">
        <v>0</v>
      </c>
      <c r="R830" s="29">
        <v>0</v>
      </c>
      <c r="S830" s="29">
        <v>0</v>
      </c>
      <c r="T830" s="29">
        <v>0</v>
      </c>
      <c r="U830" s="29">
        <v>0</v>
      </c>
      <c r="V830" s="29">
        <v>0</v>
      </c>
      <c r="W830" s="29">
        <v>0</v>
      </c>
      <c r="X830" s="29">
        <v>0</v>
      </c>
      <c r="Y830" s="29">
        <v>0</v>
      </c>
      <c r="Z830" s="29">
        <v>0</v>
      </c>
      <c r="AA830" s="29">
        <v>0</v>
      </c>
      <c r="AB830" s="29">
        <v>0</v>
      </c>
      <c r="AC830" s="29">
        <f t="shared" si="143"/>
        <v>38676.800000000003</v>
      </c>
      <c r="AD830" s="84">
        <v>63724.03</v>
      </c>
      <c r="AE830" s="29">
        <v>0</v>
      </c>
      <c r="AF830" s="32">
        <v>2021</v>
      </c>
      <c r="AG830" s="32">
        <v>2021</v>
      </c>
      <c r="AH830" s="33">
        <v>2021</v>
      </c>
      <c r="AT830" s="18" t="e">
        <f>VLOOKUP(C830,AW:AX,2,FALSE)</f>
        <v>#N/A</v>
      </c>
      <c r="BZ830" s="61"/>
      <c r="CD830" s="18" t="e">
        <f>VLOOKUP(C830,CE:CF,2,FALSE)</f>
        <v>#N/A</v>
      </c>
    </row>
    <row r="831" spans="1:82" ht="61.5" x14ac:dyDescent="0.85">
      <c r="A831" s="18">
        <v>1</v>
      </c>
      <c r="B831" s="57">
        <f>SUBTOTAL(103,$A$558:A831)</f>
        <v>269</v>
      </c>
      <c r="C831" s="22" t="s">
        <v>617</v>
      </c>
      <c r="D831" s="29">
        <f t="shared" si="142"/>
        <v>1806134.26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64">
        <v>1</v>
      </c>
      <c r="L831" s="29">
        <v>1806134.26</v>
      </c>
      <c r="M831" s="29">
        <v>0</v>
      </c>
      <c r="N831" s="29">
        <v>0</v>
      </c>
      <c r="O831" s="29">
        <v>0</v>
      </c>
      <c r="P831" s="29">
        <v>0</v>
      </c>
      <c r="Q831" s="29">
        <v>0</v>
      </c>
      <c r="R831" s="29">
        <v>0</v>
      </c>
      <c r="S831" s="29">
        <v>0</v>
      </c>
      <c r="T831" s="29">
        <v>0</v>
      </c>
      <c r="U831" s="29">
        <v>0</v>
      </c>
      <c r="V831" s="29">
        <v>0</v>
      </c>
      <c r="W831" s="29">
        <v>0</v>
      </c>
      <c r="X831" s="29">
        <v>0</v>
      </c>
      <c r="Y831" s="29">
        <v>0</v>
      </c>
      <c r="Z831" s="29">
        <v>0</v>
      </c>
      <c r="AA831" s="29">
        <v>0</v>
      </c>
      <c r="AB831" s="29">
        <v>0</v>
      </c>
      <c r="AC831" s="29">
        <v>0</v>
      </c>
      <c r="AD831" s="29">
        <v>0</v>
      </c>
      <c r="AE831" s="29">
        <v>0</v>
      </c>
      <c r="AF831" s="32" t="s">
        <v>268</v>
      </c>
      <c r="AG831" s="32">
        <v>2021</v>
      </c>
      <c r="AH831" s="33" t="s">
        <v>268</v>
      </c>
      <c r="AT831" s="18" t="e">
        <f>VLOOKUP(C831,AW:AX,2,FALSE)</f>
        <v>#N/A</v>
      </c>
      <c r="BZ831" s="61"/>
      <c r="CD831" s="18" t="e">
        <f>VLOOKUP(C831,CE:CF,2,FALSE)</f>
        <v>#N/A</v>
      </c>
    </row>
    <row r="832" spans="1:82" ht="61.5" x14ac:dyDescent="0.85">
      <c r="A832" s="18">
        <v>1</v>
      </c>
      <c r="B832" s="57">
        <f>SUBTOTAL(103,$A$558:A832)</f>
        <v>270</v>
      </c>
      <c r="C832" s="22" t="s">
        <v>624</v>
      </c>
      <c r="D832" s="29">
        <f t="shared" si="142"/>
        <v>5435521.2799999993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1">
        <v>0</v>
      </c>
      <c r="L832" s="29">
        <v>0</v>
      </c>
      <c r="M832" s="29">
        <v>1100</v>
      </c>
      <c r="N832" s="29">
        <v>5237044.34</v>
      </c>
      <c r="O832" s="29">
        <v>0</v>
      </c>
      <c r="P832" s="29">
        <v>0</v>
      </c>
      <c r="Q832" s="29">
        <v>0</v>
      </c>
      <c r="R832" s="29">
        <v>0</v>
      </c>
      <c r="S832" s="29">
        <v>0</v>
      </c>
      <c r="T832" s="29">
        <v>0</v>
      </c>
      <c r="U832" s="29">
        <v>0</v>
      </c>
      <c r="V832" s="29">
        <v>0</v>
      </c>
      <c r="W832" s="29">
        <v>0</v>
      </c>
      <c r="X832" s="29">
        <v>0</v>
      </c>
      <c r="Y832" s="29">
        <v>0</v>
      </c>
      <c r="Z832" s="29">
        <v>0</v>
      </c>
      <c r="AA832" s="29">
        <v>0</v>
      </c>
      <c r="AB832" s="29">
        <v>0</v>
      </c>
      <c r="AC832" s="29">
        <f t="shared" ref="AC832:AC838" si="144">ROUND(N832*1.5%,2)</f>
        <v>78555.67</v>
      </c>
      <c r="AD832" s="84">
        <v>119921.27</v>
      </c>
      <c r="AE832" s="29">
        <v>0</v>
      </c>
      <c r="AF832" s="32">
        <v>2021</v>
      </c>
      <c r="AG832" s="32">
        <v>2021</v>
      </c>
      <c r="AH832" s="33">
        <v>2021</v>
      </c>
      <c r="AT832" s="18" t="e">
        <f>VLOOKUP(C832,AW:AX,2,FALSE)</f>
        <v>#N/A</v>
      </c>
      <c r="BZ832" s="61"/>
      <c r="CD832" s="18" t="e">
        <f>VLOOKUP(C832,CE:CF,2,FALSE)</f>
        <v>#N/A</v>
      </c>
    </row>
    <row r="833" spans="1:82" ht="61.5" x14ac:dyDescent="0.85">
      <c r="A833" s="18">
        <v>1</v>
      </c>
      <c r="B833" s="57">
        <f>SUBTOTAL(103,$A$558:A833)</f>
        <v>271</v>
      </c>
      <c r="C833" s="22" t="s">
        <v>615</v>
      </c>
      <c r="D833" s="29">
        <f t="shared" si="142"/>
        <v>4333883.8899999997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1">
        <v>0</v>
      </c>
      <c r="L833" s="29">
        <v>0</v>
      </c>
      <c r="M833" s="29">
        <v>873.5</v>
      </c>
      <c r="N833" s="29">
        <v>4151730.05</v>
      </c>
      <c r="O833" s="29">
        <v>0</v>
      </c>
      <c r="P833" s="29">
        <v>0</v>
      </c>
      <c r="Q833" s="29">
        <v>0</v>
      </c>
      <c r="R833" s="29">
        <v>0</v>
      </c>
      <c r="S833" s="29">
        <v>0</v>
      </c>
      <c r="T833" s="29">
        <v>0</v>
      </c>
      <c r="U833" s="29">
        <v>0</v>
      </c>
      <c r="V833" s="29">
        <v>0</v>
      </c>
      <c r="W833" s="29">
        <v>0</v>
      </c>
      <c r="X833" s="29">
        <v>0</v>
      </c>
      <c r="Y833" s="29">
        <v>0</v>
      </c>
      <c r="Z833" s="29">
        <v>0</v>
      </c>
      <c r="AA833" s="29">
        <v>0</v>
      </c>
      <c r="AB833" s="29">
        <v>0</v>
      </c>
      <c r="AC833" s="29">
        <f t="shared" si="144"/>
        <v>62275.95</v>
      </c>
      <c r="AD833" s="84">
        <v>119877.89</v>
      </c>
      <c r="AE833" s="29">
        <v>0</v>
      </c>
      <c r="AF833" s="32">
        <v>2021</v>
      </c>
      <c r="AG833" s="32">
        <v>2021</v>
      </c>
      <c r="AH833" s="33">
        <v>2021</v>
      </c>
      <c r="AT833" s="18" t="e">
        <f>VLOOKUP(C833,AW:AX,2,FALSE)</f>
        <v>#N/A</v>
      </c>
      <c r="BZ833" s="61"/>
      <c r="CD833" s="18" t="e">
        <f>VLOOKUP(C833,CE:CF,2,FALSE)</f>
        <v>#N/A</v>
      </c>
    </row>
    <row r="834" spans="1:82" ht="61.5" x14ac:dyDescent="0.85">
      <c r="A834" s="18">
        <v>1</v>
      </c>
      <c r="B834" s="57">
        <f>SUBTOTAL(103,$A$558:A834)</f>
        <v>272</v>
      </c>
      <c r="C834" s="22" t="s">
        <v>1583</v>
      </c>
      <c r="D834" s="29">
        <f>E834+F834+G834+H834+I834+J834+L834+N834+P834+R834+T834+U834+V834+W834+X834+Y834+Z834+AA834+AB834+AC834+AD834+AE834</f>
        <v>3796018.5600000005</v>
      </c>
      <c r="E834" s="29">
        <v>0</v>
      </c>
      <c r="F834" s="29">
        <v>0</v>
      </c>
      <c r="G834" s="29">
        <v>0</v>
      </c>
      <c r="H834" s="29">
        <v>0</v>
      </c>
      <c r="I834" s="29">
        <v>0</v>
      </c>
      <c r="J834" s="29">
        <v>0</v>
      </c>
      <c r="K834" s="31">
        <v>0</v>
      </c>
      <c r="L834" s="29">
        <v>0</v>
      </c>
      <c r="M834" s="29">
        <v>766</v>
      </c>
      <c r="N834" s="29">
        <f>3812708.18-206610.58+59776.89</f>
        <v>3665874.49</v>
      </c>
      <c r="O834" s="29">
        <v>0</v>
      </c>
      <c r="P834" s="29">
        <v>0</v>
      </c>
      <c r="Q834" s="29">
        <v>0</v>
      </c>
      <c r="R834" s="29">
        <v>0</v>
      </c>
      <c r="S834" s="29">
        <v>0</v>
      </c>
      <c r="T834" s="29">
        <v>0</v>
      </c>
      <c r="U834" s="29">
        <v>0</v>
      </c>
      <c r="V834" s="29">
        <v>0</v>
      </c>
      <c r="W834" s="29">
        <v>0</v>
      </c>
      <c r="X834" s="29">
        <v>0</v>
      </c>
      <c r="Y834" s="29">
        <v>0</v>
      </c>
      <c r="Z834" s="29">
        <v>0</v>
      </c>
      <c r="AA834" s="29">
        <v>0</v>
      </c>
      <c r="AB834" s="29">
        <v>0</v>
      </c>
      <c r="AC834" s="29">
        <f t="shared" si="144"/>
        <v>54988.12</v>
      </c>
      <c r="AD834" s="84">
        <v>75155.95</v>
      </c>
      <c r="AE834" s="29">
        <v>0</v>
      </c>
      <c r="AF834" s="32">
        <v>2021</v>
      </c>
      <c r="AG834" s="32">
        <v>2021</v>
      </c>
      <c r="AH834" s="33">
        <v>2021</v>
      </c>
      <c r="BZ834" s="61"/>
      <c r="CD834" s="18" t="e">
        <f>VLOOKUP(C834,CE:CF,2,FALSE)</f>
        <v>#N/A</v>
      </c>
    </row>
    <row r="835" spans="1:82" ht="61.5" x14ac:dyDescent="0.85">
      <c r="A835" s="18">
        <v>1</v>
      </c>
      <c r="B835" s="57">
        <f>SUBTOTAL(103,$A$558:A835)</f>
        <v>273</v>
      </c>
      <c r="C835" s="22" t="s">
        <v>1606</v>
      </c>
      <c r="D835" s="29">
        <f>E835+F835+G835+H835+I835+J835+L835+N835+P835+R835+T835+U835+V835+W835+X835+Y835+Z835+AA835+AB835+AC835+AD835+AE835</f>
        <v>2693070.98</v>
      </c>
      <c r="E835" s="29">
        <v>0</v>
      </c>
      <c r="F835" s="29">
        <v>0</v>
      </c>
      <c r="G835" s="29">
        <v>0</v>
      </c>
      <c r="H835" s="29">
        <v>0</v>
      </c>
      <c r="I835" s="29">
        <v>0</v>
      </c>
      <c r="J835" s="29">
        <v>0</v>
      </c>
      <c r="K835" s="31">
        <v>0</v>
      </c>
      <c r="L835" s="29">
        <v>0</v>
      </c>
      <c r="M835" s="29">
        <v>729.73</v>
      </c>
      <c r="N835" s="29">
        <v>2554919.06</v>
      </c>
      <c r="O835" s="29">
        <v>0</v>
      </c>
      <c r="P835" s="29">
        <v>0</v>
      </c>
      <c r="Q835" s="29">
        <v>0</v>
      </c>
      <c r="R835" s="29">
        <v>0</v>
      </c>
      <c r="S835" s="29">
        <v>0</v>
      </c>
      <c r="T835" s="29">
        <v>0</v>
      </c>
      <c r="U835" s="29">
        <v>0</v>
      </c>
      <c r="V835" s="29">
        <v>0</v>
      </c>
      <c r="W835" s="29">
        <v>0</v>
      </c>
      <c r="X835" s="29">
        <v>0</v>
      </c>
      <c r="Y835" s="29">
        <v>0</v>
      </c>
      <c r="Z835" s="29">
        <v>0</v>
      </c>
      <c r="AA835" s="29">
        <v>0</v>
      </c>
      <c r="AB835" s="29">
        <v>0</v>
      </c>
      <c r="AC835" s="29">
        <f t="shared" si="144"/>
        <v>38323.79</v>
      </c>
      <c r="AD835" s="84">
        <v>99828.13</v>
      </c>
      <c r="AE835" s="29">
        <v>0</v>
      </c>
      <c r="AF835" s="32">
        <v>2021</v>
      </c>
      <c r="AG835" s="32">
        <v>2021</v>
      </c>
      <c r="AH835" s="33">
        <v>2021</v>
      </c>
      <c r="BZ835" s="61"/>
      <c r="CD835" s="18" t="e">
        <f>VLOOKUP(C835,CE:CF,2,FALSE)</f>
        <v>#N/A</v>
      </c>
    </row>
    <row r="836" spans="1:82" ht="61.5" x14ac:dyDescent="0.85">
      <c r="A836" s="18">
        <v>1</v>
      </c>
      <c r="B836" s="57">
        <f>SUBTOTAL(103,$A$558:A836)</f>
        <v>274</v>
      </c>
      <c r="C836" s="22" t="s">
        <v>1607</v>
      </c>
      <c r="D836" s="29">
        <f>E836+F836+G836+H836+I836+J836+L836+N836+P836+R836+T836+U836+V836+W836+X836+Y836+Z836+AA836+AB836+AC836+AD836+AE836</f>
        <v>1959362.3599999999</v>
      </c>
      <c r="E836" s="29">
        <v>0</v>
      </c>
      <c r="F836" s="29">
        <v>0</v>
      </c>
      <c r="G836" s="29">
        <v>0</v>
      </c>
      <c r="H836" s="29">
        <v>0</v>
      </c>
      <c r="I836" s="29">
        <v>0</v>
      </c>
      <c r="J836" s="29">
        <v>0</v>
      </c>
      <c r="K836" s="31">
        <v>0</v>
      </c>
      <c r="L836" s="29">
        <v>0</v>
      </c>
      <c r="M836" s="29">
        <v>383.77</v>
      </c>
      <c r="N836" s="29">
        <v>1875832.7</v>
      </c>
      <c r="O836" s="29">
        <v>0</v>
      </c>
      <c r="P836" s="29">
        <v>0</v>
      </c>
      <c r="Q836" s="29">
        <v>0</v>
      </c>
      <c r="R836" s="29">
        <v>0</v>
      </c>
      <c r="S836" s="29">
        <v>0</v>
      </c>
      <c r="T836" s="29">
        <v>0</v>
      </c>
      <c r="U836" s="29">
        <v>0</v>
      </c>
      <c r="V836" s="29">
        <v>0</v>
      </c>
      <c r="W836" s="29">
        <v>0</v>
      </c>
      <c r="X836" s="29">
        <v>0</v>
      </c>
      <c r="Y836" s="29">
        <v>0</v>
      </c>
      <c r="Z836" s="29">
        <v>0</v>
      </c>
      <c r="AA836" s="29">
        <v>0</v>
      </c>
      <c r="AB836" s="29">
        <v>0</v>
      </c>
      <c r="AC836" s="29">
        <f t="shared" si="144"/>
        <v>28137.49</v>
      </c>
      <c r="AD836" s="84">
        <v>55392.17</v>
      </c>
      <c r="AE836" s="29">
        <v>0</v>
      </c>
      <c r="AF836" s="32">
        <v>2021</v>
      </c>
      <c r="AG836" s="32">
        <v>2021</v>
      </c>
      <c r="AH836" s="33">
        <v>2021</v>
      </c>
      <c r="BZ836" s="61"/>
      <c r="CD836" s="18" t="e">
        <f>VLOOKUP(C836,CE:CF,2,FALSE)</f>
        <v>#N/A</v>
      </c>
    </row>
    <row r="837" spans="1:82" ht="61.5" x14ac:dyDescent="0.85">
      <c r="A837" s="18">
        <v>1</v>
      </c>
      <c r="B837" s="57">
        <f>SUBTOTAL(103,$A$558:A837)</f>
        <v>275</v>
      </c>
      <c r="C837" s="22" t="s">
        <v>1608</v>
      </c>
      <c r="D837" s="29">
        <f>E837+F837+G837+H837+I837+J837+L837+N837+P837+R837+T837+U837+V837+W837+X837+Y837+Z837+AA837+AB837+AC837+AD837+AE837</f>
        <v>3766350.55</v>
      </c>
      <c r="E837" s="29">
        <v>0</v>
      </c>
      <c r="F837" s="29">
        <v>0</v>
      </c>
      <c r="G837" s="29">
        <v>0</v>
      </c>
      <c r="H837" s="29">
        <v>0</v>
      </c>
      <c r="I837" s="29">
        <v>0</v>
      </c>
      <c r="J837" s="29">
        <v>0</v>
      </c>
      <c r="K837" s="31">
        <v>0</v>
      </c>
      <c r="L837" s="29">
        <v>0</v>
      </c>
      <c r="M837" s="29">
        <v>726.8</v>
      </c>
      <c r="N837" s="29">
        <v>3620890.88</v>
      </c>
      <c r="O837" s="29">
        <v>0</v>
      </c>
      <c r="P837" s="29">
        <v>0</v>
      </c>
      <c r="Q837" s="29">
        <v>0</v>
      </c>
      <c r="R837" s="29">
        <v>0</v>
      </c>
      <c r="S837" s="29">
        <v>0</v>
      </c>
      <c r="T837" s="29">
        <v>0</v>
      </c>
      <c r="U837" s="29">
        <v>0</v>
      </c>
      <c r="V837" s="29">
        <v>0</v>
      </c>
      <c r="W837" s="29">
        <v>0</v>
      </c>
      <c r="X837" s="29">
        <v>0</v>
      </c>
      <c r="Y837" s="29">
        <v>0</v>
      </c>
      <c r="Z837" s="29">
        <v>0</v>
      </c>
      <c r="AA837" s="29">
        <v>0</v>
      </c>
      <c r="AB837" s="29">
        <v>0</v>
      </c>
      <c r="AC837" s="29">
        <f t="shared" si="144"/>
        <v>54313.36</v>
      </c>
      <c r="AD837" s="84">
        <v>91146.31</v>
      </c>
      <c r="AE837" s="29">
        <v>0</v>
      </c>
      <c r="AF837" s="32">
        <v>2021</v>
      </c>
      <c r="AG837" s="32">
        <v>2021</v>
      </c>
      <c r="AH837" s="33">
        <v>2021</v>
      </c>
      <c r="BZ837" s="61"/>
      <c r="CD837" s="18" t="e">
        <f>VLOOKUP(C837,CE:CF,2,FALSE)</f>
        <v>#N/A</v>
      </c>
    </row>
    <row r="838" spans="1:82" ht="61.5" x14ac:dyDescent="0.85">
      <c r="A838" s="18">
        <v>1</v>
      </c>
      <c r="B838" s="57">
        <f>SUBTOTAL(103,$A$558:A838)</f>
        <v>276</v>
      </c>
      <c r="C838" s="22" t="s">
        <v>1609</v>
      </c>
      <c r="D838" s="29">
        <f>E838+F838+G838+H838+I838+J838+L838+N838+P838+R838+T838+U838+V838+W838+X838+Y838+Z838+AA838+AB838+AC838+AD838+AE838</f>
        <v>2229877.38</v>
      </c>
      <c r="E838" s="29">
        <v>0</v>
      </c>
      <c r="F838" s="29">
        <v>0</v>
      </c>
      <c r="G838" s="29">
        <v>0</v>
      </c>
      <c r="H838" s="29">
        <v>0</v>
      </c>
      <c r="I838" s="29">
        <v>0</v>
      </c>
      <c r="J838" s="29">
        <v>0</v>
      </c>
      <c r="K838" s="31">
        <v>0</v>
      </c>
      <c r="L838" s="29">
        <v>0</v>
      </c>
      <c r="M838" s="29">
        <v>425.38</v>
      </c>
      <c r="N838" s="29">
        <f>2089900.77+42672.08</f>
        <v>2132572.85</v>
      </c>
      <c r="O838" s="29">
        <v>0</v>
      </c>
      <c r="P838" s="29">
        <v>0</v>
      </c>
      <c r="Q838" s="29">
        <v>0</v>
      </c>
      <c r="R838" s="29">
        <v>0</v>
      </c>
      <c r="S838" s="29">
        <v>0</v>
      </c>
      <c r="T838" s="29">
        <v>0</v>
      </c>
      <c r="U838" s="29">
        <v>0</v>
      </c>
      <c r="V838" s="29">
        <v>0</v>
      </c>
      <c r="W838" s="29">
        <v>0</v>
      </c>
      <c r="X838" s="29">
        <v>0</v>
      </c>
      <c r="Y838" s="29">
        <v>0</v>
      </c>
      <c r="Z838" s="29">
        <v>0</v>
      </c>
      <c r="AA838" s="29">
        <v>0</v>
      </c>
      <c r="AB838" s="29">
        <v>0</v>
      </c>
      <c r="AC838" s="29">
        <f t="shared" si="144"/>
        <v>31988.59</v>
      </c>
      <c r="AD838" s="84">
        <v>65315.94</v>
      </c>
      <c r="AE838" s="29">
        <v>0</v>
      </c>
      <c r="AF838" s="32">
        <v>2021</v>
      </c>
      <c r="AG838" s="32">
        <v>2021</v>
      </c>
      <c r="AH838" s="33">
        <v>2021</v>
      </c>
      <c r="BZ838" s="61"/>
      <c r="CD838" s="18" t="e">
        <f>VLOOKUP(C838,CE:CF,2,FALSE)</f>
        <v>#N/A</v>
      </c>
    </row>
    <row r="839" spans="1:82" ht="61.5" x14ac:dyDescent="0.85">
      <c r="A839" s="18">
        <v>1</v>
      </c>
      <c r="B839" s="57">
        <f>SUBTOTAL(103,$A$558:A839)</f>
        <v>277</v>
      </c>
      <c r="C839" s="22" t="s">
        <v>611</v>
      </c>
      <c r="D839" s="29">
        <f t="shared" ref="D839:D845" si="145">E839+F839+G839+H839+I839+J839+L839+N839+P839+R839+T839+U839+V839+W839+X839+Y839+Z839+AA839+AB839+AC839+AD839+AE839</f>
        <v>16961137.330000002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1">
        <v>0</v>
      </c>
      <c r="L839" s="29">
        <v>0</v>
      </c>
      <c r="M839" s="29">
        <v>0</v>
      </c>
      <c r="N839" s="29">
        <v>0</v>
      </c>
      <c r="O839" s="34">
        <v>0</v>
      </c>
      <c r="P839" s="34">
        <v>0</v>
      </c>
      <c r="Q839" s="29">
        <v>2448</v>
      </c>
      <c r="R839" s="29">
        <f>13074770.52-1165153.63+43983.36+394249.55-377278.61+128749.29</f>
        <v>12099320.48</v>
      </c>
      <c r="S839" s="29">
        <v>229</v>
      </c>
      <c r="T839" s="29">
        <f>ROUND((4698151.31-120000)/101.5*100,2)</f>
        <v>4510493.9000000004</v>
      </c>
      <c r="U839" s="29">
        <v>0</v>
      </c>
      <c r="V839" s="29">
        <v>0</v>
      </c>
      <c r="W839" s="29">
        <v>0</v>
      </c>
      <c r="X839" s="29">
        <v>0</v>
      </c>
      <c r="Y839" s="29">
        <v>0</v>
      </c>
      <c r="Z839" s="29">
        <v>0</v>
      </c>
      <c r="AA839" s="29">
        <v>0</v>
      </c>
      <c r="AB839" s="29">
        <v>0</v>
      </c>
      <c r="AC839" s="29">
        <f>ROUND((R839+T839)*1.5%,2)</f>
        <v>249147.22</v>
      </c>
      <c r="AD839" s="37">
        <v>102175.73</v>
      </c>
      <c r="AE839" s="29">
        <v>0</v>
      </c>
      <c r="AF839" s="32">
        <v>2021</v>
      </c>
      <c r="AG839" s="32">
        <v>2021</v>
      </c>
      <c r="AH839" s="33">
        <v>2021</v>
      </c>
      <c r="AT839" s="18" t="e">
        <f>VLOOKUP(C839,AW:AX,2,FALSE)</f>
        <v>#N/A</v>
      </c>
      <c r="BZ839" s="61"/>
      <c r="CD839" s="18" t="e">
        <f>VLOOKUP(C839,CE:CF,2,FALSE)</f>
        <v>#N/A</v>
      </c>
    </row>
    <row r="840" spans="1:82" ht="61.5" x14ac:dyDescent="0.85">
      <c r="A840" s="18">
        <v>1</v>
      </c>
      <c r="B840" s="57">
        <f>SUBTOTAL(103,$A$558:A840)</f>
        <v>278</v>
      </c>
      <c r="C840" s="22" t="s">
        <v>1176</v>
      </c>
      <c r="D840" s="29">
        <f>E840+F840+G840+H840+I840+J840+L840+N840+P840+R840+T840+U840+V840+W840+X840+Y840+Z840+AA840+AB840+AC840+AD840+AE840</f>
        <v>1562740.68</v>
      </c>
      <c r="E840" s="34">
        <v>0</v>
      </c>
      <c r="F840" s="34">
        <v>0</v>
      </c>
      <c r="G840" s="34">
        <v>0</v>
      </c>
      <c r="H840" s="34">
        <v>0</v>
      </c>
      <c r="I840" s="34">
        <v>0</v>
      </c>
      <c r="J840" s="34">
        <v>0</v>
      </c>
      <c r="K840" s="31">
        <v>0</v>
      </c>
      <c r="L840" s="29">
        <v>0</v>
      </c>
      <c r="M840" s="29">
        <v>0</v>
      </c>
      <c r="N840" s="29">
        <v>0</v>
      </c>
      <c r="O840" s="34">
        <v>0</v>
      </c>
      <c r="P840" s="34">
        <v>0</v>
      </c>
      <c r="Q840" s="29">
        <v>0</v>
      </c>
      <c r="R840" s="29">
        <v>0</v>
      </c>
      <c r="S840" s="29">
        <v>136.80000000000001</v>
      </c>
      <c r="T840" s="29">
        <v>1421419.39</v>
      </c>
      <c r="U840" s="29">
        <v>0</v>
      </c>
      <c r="V840" s="29">
        <v>0</v>
      </c>
      <c r="W840" s="29">
        <v>0</v>
      </c>
      <c r="X840" s="29">
        <v>0</v>
      </c>
      <c r="Y840" s="29">
        <v>0</v>
      </c>
      <c r="Z840" s="29">
        <v>0</v>
      </c>
      <c r="AA840" s="29">
        <v>0</v>
      </c>
      <c r="AB840" s="29">
        <v>0</v>
      </c>
      <c r="AC840" s="29">
        <f>ROUND(T840*1.5%,2)</f>
        <v>21321.29</v>
      </c>
      <c r="AD840" s="29">
        <v>0</v>
      </c>
      <c r="AE840" s="29">
        <v>120000</v>
      </c>
      <c r="AF840" s="32" t="s">
        <v>268</v>
      </c>
      <c r="AG840" s="32">
        <v>2021</v>
      </c>
      <c r="AH840" s="33">
        <v>2021</v>
      </c>
      <c r="BZ840" s="61"/>
      <c r="CD840" s="18" t="e">
        <f>VLOOKUP(C840,CE:CF,2,FALSE)</f>
        <v>#N/A</v>
      </c>
    </row>
    <row r="841" spans="1:82" ht="61.5" x14ac:dyDescent="0.85">
      <c r="A841" s="18">
        <v>1</v>
      </c>
      <c r="B841" s="57">
        <f>SUBTOTAL(103,$A$558:A841)</f>
        <v>279</v>
      </c>
      <c r="C841" s="22" t="s">
        <v>610</v>
      </c>
      <c r="D841" s="29">
        <f t="shared" si="145"/>
        <v>6943445.4500000002</v>
      </c>
      <c r="E841" s="34">
        <v>0</v>
      </c>
      <c r="F841" s="34">
        <v>0</v>
      </c>
      <c r="G841" s="34">
        <v>0</v>
      </c>
      <c r="H841" s="34">
        <v>0</v>
      </c>
      <c r="I841" s="34">
        <v>0</v>
      </c>
      <c r="J841" s="34">
        <v>0</v>
      </c>
      <c r="K841" s="31">
        <v>0</v>
      </c>
      <c r="L841" s="29">
        <v>0</v>
      </c>
      <c r="M841" s="29">
        <v>0</v>
      </c>
      <c r="N841" s="29">
        <v>0</v>
      </c>
      <c r="O841" s="34">
        <v>0</v>
      </c>
      <c r="P841" s="34">
        <v>0</v>
      </c>
      <c r="Q841" s="34">
        <v>0</v>
      </c>
      <c r="R841" s="34">
        <v>0</v>
      </c>
      <c r="S841" s="29">
        <v>0</v>
      </c>
      <c r="T841" s="29">
        <v>0</v>
      </c>
      <c r="U841" s="37">
        <f>5667586+1173246.96</f>
        <v>6840832.96</v>
      </c>
      <c r="V841" s="29">
        <v>0</v>
      </c>
      <c r="W841" s="29">
        <v>0</v>
      </c>
      <c r="X841" s="29">
        <v>0</v>
      </c>
      <c r="Y841" s="29">
        <v>0</v>
      </c>
      <c r="Z841" s="29">
        <v>0</v>
      </c>
      <c r="AA841" s="29">
        <v>0</v>
      </c>
      <c r="AB841" s="29">
        <v>0</v>
      </c>
      <c r="AC841" s="29">
        <f>ROUND(U841*1.5%,2)</f>
        <v>102612.49</v>
      </c>
      <c r="AD841" s="29">
        <v>0</v>
      </c>
      <c r="AE841" s="29">
        <v>0</v>
      </c>
      <c r="AF841" s="32" t="s">
        <v>268</v>
      </c>
      <c r="AG841" s="32">
        <v>2021</v>
      </c>
      <c r="AH841" s="33">
        <v>2021</v>
      </c>
      <c r="AT841" s="18" t="e">
        <f>VLOOKUP(C841,AW:AX,2,FALSE)</f>
        <v>#N/A</v>
      </c>
      <c r="BZ841" s="61"/>
      <c r="CD841" s="18" t="e">
        <f>VLOOKUP(C841,CE:CF,2,FALSE)</f>
        <v>#N/A</v>
      </c>
    </row>
    <row r="842" spans="1:82" ht="61.5" x14ac:dyDescent="0.85">
      <c r="A842" s="18">
        <v>1</v>
      </c>
      <c r="B842" s="57">
        <f>SUBTOTAL(103,$A$558:A842)</f>
        <v>280</v>
      </c>
      <c r="C842" s="22" t="s">
        <v>1179</v>
      </c>
      <c r="D842" s="29">
        <f t="shared" si="145"/>
        <v>833522.04</v>
      </c>
      <c r="E842" s="34">
        <v>0</v>
      </c>
      <c r="F842" s="34">
        <v>0</v>
      </c>
      <c r="G842" s="34">
        <f>567639.41+100000</f>
        <v>667639.41</v>
      </c>
      <c r="H842" s="34">
        <v>153564.57</v>
      </c>
      <c r="I842" s="34">
        <v>0</v>
      </c>
      <c r="J842" s="34">
        <v>0</v>
      </c>
      <c r="K842" s="64">
        <v>0</v>
      </c>
      <c r="L842" s="29">
        <v>0</v>
      </c>
      <c r="M842" s="29">
        <v>0</v>
      </c>
      <c r="N842" s="29">
        <v>0</v>
      </c>
      <c r="O842" s="34">
        <v>0</v>
      </c>
      <c r="P842" s="34">
        <v>0</v>
      </c>
      <c r="Q842" s="29">
        <v>0</v>
      </c>
      <c r="R842" s="29">
        <v>0</v>
      </c>
      <c r="S842" s="29">
        <v>0</v>
      </c>
      <c r="T842" s="29">
        <v>0</v>
      </c>
      <c r="U842" s="29">
        <v>0</v>
      </c>
      <c r="V842" s="29">
        <v>0</v>
      </c>
      <c r="W842" s="29">
        <v>0</v>
      </c>
      <c r="X842" s="29">
        <v>0</v>
      </c>
      <c r="Y842" s="29">
        <v>0</v>
      </c>
      <c r="Z842" s="29">
        <v>0</v>
      </c>
      <c r="AA842" s="29">
        <v>0</v>
      </c>
      <c r="AB842" s="29">
        <v>0</v>
      </c>
      <c r="AC842" s="29">
        <f>ROUND((E842+F842+G842+H842+I842+J842)*1.5%,2)</f>
        <v>12318.06</v>
      </c>
      <c r="AD842" s="29">
        <v>0</v>
      </c>
      <c r="AE842" s="29">
        <v>0</v>
      </c>
      <c r="AF842" s="32" t="s">
        <v>268</v>
      </c>
      <c r="AG842" s="32">
        <v>2021</v>
      </c>
      <c r="AH842" s="33">
        <v>2021</v>
      </c>
      <c r="BZ842" s="61"/>
      <c r="CD842" s="18" t="e">
        <f>VLOOKUP(C842,CE:CF,2,FALSE)</f>
        <v>#N/A</v>
      </c>
    </row>
    <row r="843" spans="1:82" ht="61.5" x14ac:dyDescent="0.85">
      <c r="A843" s="18">
        <v>1</v>
      </c>
      <c r="B843" s="57">
        <f>SUBTOTAL(103,$A$558:A843)</f>
        <v>281</v>
      </c>
      <c r="C843" s="22" t="s">
        <v>1543</v>
      </c>
      <c r="D843" s="29">
        <f t="shared" si="145"/>
        <v>3900454.54</v>
      </c>
      <c r="E843" s="29">
        <v>0</v>
      </c>
      <c r="F843" s="29">
        <v>0</v>
      </c>
      <c r="G843" s="29">
        <v>0</v>
      </c>
      <c r="H843" s="29">
        <v>0</v>
      </c>
      <c r="I843" s="29">
        <v>0</v>
      </c>
      <c r="J843" s="29">
        <v>0</v>
      </c>
      <c r="K843" s="64">
        <v>0</v>
      </c>
      <c r="L843" s="29">
        <v>0</v>
      </c>
      <c r="M843" s="37">
        <v>829.3</v>
      </c>
      <c r="N843" s="335">
        <v>3842812.35</v>
      </c>
      <c r="O843" s="29">
        <v>0</v>
      </c>
      <c r="P843" s="29">
        <v>0</v>
      </c>
      <c r="Q843" s="29">
        <v>0</v>
      </c>
      <c r="R843" s="29">
        <v>0</v>
      </c>
      <c r="S843" s="29">
        <v>0</v>
      </c>
      <c r="T843" s="29">
        <v>0</v>
      </c>
      <c r="U843" s="29">
        <v>0</v>
      </c>
      <c r="V843" s="29">
        <v>0</v>
      </c>
      <c r="W843" s="29">
        <v>0</v>
      </c>
      <c r="X843" s="29">
        <v>0</v>
      </c>
      <c r="Y843" s="29">
        <v>0</v>
      </c>
      <c r="Z843" s="29">
        <v>0</v>
      </c>
      <c r="AA843" s="29">
        <v>0</v>
      </c>
      <c r="AB843" s="29">
        <v>0</v>
      </c>
      <c r="AC843" s="29">
        <f>ROUND(N843*1.5%,2)</f>
        <v>57642.19</v>
      </c>
      <c r="AD843" s="29">
        <v>0</v>
      </c>
      <c r="AE843" s="29">
        <v>0</v>
      </c>
      <c r="AF843" s="32" t="s">
        <v>268</v>
      </c>
      <c r="AG843" s="32">
        <v>2021</v>
      </c>
      <c r="AH843" s="33">
        <v>2021</v>
      </c>
      <c r="BZ843" s="61"/>
      <c r="CD843" s="18" t="e">
        <f>VLOOKUP(C843,CE:CF,2,FALSE)</f>
        <v>#N/A</v>
      </c>
    </row>
    <row r="844" spans="1:82" ht="61.5" x14ac:dyDescent="0.85">
      <c r="A844" s="18">
        <v>1</v>
      </c>
      <c r="B844" s="57">
        <f>SUBTOTAL(103,$A$558:A844)</f>
        <v>282</v>
      </c>
      <c r="C844" s="22" t="s">
        <v>1920</v>
      </c>
      <c r="D844" s="29">
        <f>E844+F844+G844+H844+I844+J844+L844+N844+P844+R844+T844+U844+V844+W844+X844+Y844+Z844+AA844+AB844+AC844+AD844+AE844</f>
        <v>3922711.93</v>
      </c>
      <c r="E844" s="29">
        <v>0</v>
      </c>
      <c r="F844" s="29">
        <v>0</v>
      </c>
      <c r="G844" s="29">
        <v>0</v>
      </c>
      <c r="H844" s="29">
        <v>0</v>
      </c>
      <c r="I844" s="29">
        <v>0</v>
      </c>
      <c r="J844" s="29">
        <v>0</v>
      </c>
      <c r="K844" s="64">
        <v>0</v>
      </c>
      <c r="L844" s="29">
        <v>0</v>
      </c>
      <c r="M844" s="29">
        <v>600</v>
      </c>
      <c r="N844" s="29">
        <v>3736662</v>
      </c>
      <c r="O844" s="29">
        <v>0</v>
      </c>
      <c r="P844" s="29">
        <v>0</v>
      </c>
      <c r="Q844" s="29">
        <v>0</v>
      </c>
      <c r="R844" s="29">
        <v>0</v>
      </c>
      <c r="S844" s="29">
        <v>0</v>
      </c>
      <c r="T844" s="29">
        <v>0</v>
      </c>
      <c r="U844" s="29">
        <v>0</v>
      </c>
      <c r="V844" s="29">
        <v>0</v>
      </c>
      <c r="W844" s="29">
        <v>0</v>
      </c>
      <c r="X844" s="29">
        <v>0</v>
      </c>
      <c r="Y844" s="29">
        <v>0</v>
      </c>
      <c r="Z844" s="29">
        <v>0</v>
      </c>
      <c r="AA844" s="29">
        <v>0</v>
      </c>
      <c r="AB844" s="29">
        <v>0</v>
      </c>
      <c r="AC844" s="29">
        <f>ROUND(N844*1.5%,2)</f>
        <v>56049.93</v>
      </c>
      <c r="AD844" s="29">
        <v>130000</v>
      </c>
      <c r="AE844" s="29">
        <v>0</v>
      </c>
      <c r="AF844" s="32">
        <v>2021</v>
      </c>
      <c r="AG844" s="32">
        <v>2021</v>
      </c>
      <c r="AH844" s="33">
        <v>2021</v>
      </c>
      <c r="BZ844" s="61"/>
      <c r="CD844" s="18" t="e">
        <f>VLOOKUP(C844,CE:CF,2,FALSE)</f>
        <v>#N/A</v>
      </c>
    </row>
    <row r="845" spans="1:82" ht="61.5" x14ac:dyDescent="0.85">
      <c r="A845" s="18">
        <v>1</v>
      </c>
      <c r="B845" s="57">
        <f>SUBTOTAL(103,$A$558:A845)</f>
        <v>283</v>
      </c>
      <c r="C845" s="22" t="s">
        <v>1921</v>
      </c>
      <c r="D845" s="29">
        <f t="shared" si="145"/>
        <v>2110074.13</v>
      </c>
      <c r="E845" s="29">
        <v>0</v>
      </c>
      <c r="F845" s="29">
        <v>0</v>
      </c>
      <c r="G845" s="29">
        <v>0</v>
      </c>
      <c r="H845" s="29">
        <v>0</v>
      </c>
      <c r="I845" s="29">
        <v>0</v>
      </c>
      <c r="J845" s="29">
        <v>0</v>
      </c>
      <c r="K845" s="64">
        <v>0</v>
      </c>
      <c r="L845" s="29">
        <v>0</v>
      </c>
      <c r="M845" s="29">
        <v>313.60000000000002</v>
      </c>
      <c r="N845" s="29">
        <v>1953028.7</v>
      </c>
      <c r="O845" s="29">
        <v>0</v>
      </c>
      <c r="P845" s="29">
        <v>0</v>
      </c>
      <c r="Q845" s="29">
        <v>0</v>
      </c>
      <c r="R845" s="29">
        <v>0</v>
      </c>
      <c r="S845" s="29">
        <v>0</v>
      </c>
      <c r="T845" s="29">
        <v>0</v>
      </c>
      <c r="U845" s="29">
        <v>0</v>
      </c>
      <c r="V845" s="29">
        <v>0</v>
      </c>
      <c r="W845" s="29">
        <v>0</v>
      </c>
      <c r="X845" s="29">
        <v>0</v>
      </c>
      <c r="Y845" s="29">
        <v>0</v>
      </c>
      <c r="Z845" s="29">
        <v>0</v>
      </c>
      <c r="AA845" s="29">
        <v>0</v>
      </c>
      <c r="AB845" s="29">
        <v>0</v>
      </c>
      <c r="AC845" s="29">
        <f>ROUND(N845*1.5%,2)</f>
        <v>29295.43</v>
      </c>
      <c r="AD845" s="29">
        <f>130000-2250</f>
        <v>127750</v>
      </c>
      <c r="AE845" s="29">
        <v>0</v>
      </c>
      <c r="AF845" s="32">
        <v>2021</v>
      </c>
      <c r="AG845" s="32">
        <v>2021</v>
      </c>
      <c r="AH845" s="33">
        <v>2021</v>
      </c>
      <c r="BZ845" s="61"/>
      <c r="CD845" s="18" t="e">
        <f>VLOOKUP(C845,CE:CF,2,FALSE)</f>
        <v>#N/A</v>
      </c>
    </row>
    <row r="846" spans="1:82" ht="61.5" x14ac:dyDescent="0.85">
      <c r="A846" s="18">
        <v>1</v>
      </c>
      <c r="B846" s="57">
        <f>SUBTOTAL(103,$A$558:A846)</f>
        <v>284</v>
      </c>
      <c r="C846" s="22" t="s">
        <v>1922</v>
      </c>
      <c r="D846" s="29">
        <f>E846+F846+G846+H846+I846+J846+L846+N846+P846+R846+T846+U846+V846+W846+X846+Y846+Z846+AA846+AB846+AC846+AD846+AE846</f>
        <v>2478736.48</v>
      </c>
      <c r="E846" s="29">
        <v>0</v>
      </c>
      <c r="F846" s="29">
        <v>0</v>
      </c>
      <c r="G846" s="29">
        <v>0</v>
      </c>
      <c r="H846" s="29">
        <v>0</v>
      </c>
      <c r="I846" s="29">
        <v>0</v>
      </c>
      <c r="J846" s="29">
        <v>0</v>
      </c>
      <c r="K846" s="64">
        <v>0</v>
      </c>
      <c r="L846" s="29">
        <v>0</v>
      </c>
      <c r="M846" s="29">
        <v>421.68</v>
      </c>
      <c r="N846" s="29">
        <f>M846*4200+100000+445186.84</f>
        <v>2316242.84</v>
      </c>
      <c r="O846" s="29">
        <v>0</v>
      </c>
      <c r="P846" s="29">
        <v>0</v>
      </c>
      <c r="Q846" s="29">
        <v>0</v>
      </c>
      <c r="R846" s="29">
        <v>0</v>
      </c>
      <c r="S846" s="29">
        <v>0</v>
      </c>
      <c r="T846" s="29">
        <v>0</v>
      </c>
      <c r="U846" s="29">
        <v>0</v>
      </c>
      <c r="V846" s="29">
        <v>0</v>
      </c>
      <c r="W846" s="29">
        <v>0</v>
      </c>
      <c r="X846" s="29">
        <v>0</v>
      </c>
      <c r="Y846" s="29">
        <v>0</v>
      </c>
      <c r="Z846" s="29">
        <v>0</v>
      </c>
      <c r="AA846" s="29">
        <v>0</v>
      </c>
      <c r="AB846" s="29">
        <v>0</v>
      </c>
      <c r="AC846" s="29">
        <f>ROUND(N846*1.5%,2)</f>
        <v>34743.64</v>
      </c>
      <c r="AD846" s="29">
        <f>130000-2250</f>
        <v>127750</v>
      </c>
      <c r="AE846" s="29">
        <v>0</v>
      </c>
      <c r="AF846" s="32">
        <v>2021</v>
      </c>
      <c r="AG846" s="32">
        <v>2021</v>
      </c>
      <c r="AH846" s="33">
        <v>2021</v>
      </c>
      <c r="BZ846" s="61"/>
      <c r="CD846" s="18" t="e">
        <f>VLOOKUP(C846,CE:CF,2,FALSE)</f>
        <v>#N/A</v>
      </c>
    </row>
    <row r="847" spans="1:82" ht="61.5" x14ac:dyDescent="0.85">
      <c r="A847" s="18">
        <v>1</v>
      </c>
      <c r="B847" s="57">
        <f>SUBTOTAL(103,$A$558:A847)</f>
        <v>285</v>
      </c>
      <c r="C847" s="22" t="s">
        <v>2292</v>
      </c>
      <c r="D847" s="29">
        <f>E847+F847+G847+H847+I847+J847+L847+N847+P847+R847+T847+U847+V847+W847+X847+Y847+Z847+AA847+AB847+AC847+AD847+AE847</f>
        <v>3710542.2</v>
      </c>
      <c r="E847" s="34">
        <v>0</v>
      </c>
      <c r="F847" s="34">
        <v>0</v>
      </c>
      <c r="G847" s="34">
        <v>0</v>
      </c>
      <c r="H847" s="34">
        <v>0</v>
      </c>
      <c r="I847" s="34">
        <v>0</v>
      </c>
      <c r="J847" s="34">
        <v>0</v>
      </c>
      <c r="K847" s="31">
        <v>0</v>
      </c>
      <c r="L847" s="29">
        <v>0</v>
      </c>
      <c r="M847" s="29">
        <v>580</v>
      </c>
      <c r="N847" s="29">
        <v>3537480</v>
      </c>
      <c r="O847" s="29">
        <v>0</v>
      </c>
      <c r="P847" s="29">
        <v>0</v>
      </c>
      <c r="Q847" s="29">
        <v>0</v>
      </c>
      <c r="R847" s="29">
        <v>0</v>
      </c>
      <c r="S847" s="29">
        <v>0</v>
      </c>
      <c r="T847" s="29">
        <v>0</v>
      </c>
      <c r="U847" s="29">
        <v>0</v>
      </c>
      <c r="V847" s="29">
        <v>0</v>
      </c>
      <c r="W847" s="29">
        <v>0</v>
      </c>
      <c r="X847" s="29">
        <v>0</v>
      </c>
      <c r="Y847" s="29">
        <v>0</v>
      </c>
      <c r="Z847" s="29">
        <v>0</v>
      </c>
      <c r="AA847" s="29">
        <v>0</v>
      </c>
      <c r="AB847" s="29">
        <v>0</v>
      </c>
      <c r="AC847" s="29">
        <f>ROUND(N847*1.5%,2)</f>
        <v>53062.2</v>
      </c>
      <c r="AD847" s="29">
        <v>120000</v>
      </c>
      <c r="AE847" s="29">
        <v>0</v>
      </c>
      <c r="AF847" s="32">
        <v>2021</v>
      </c>
      <c r="AG847" s="32">
        <v>2021</v>
      </c>
      <c r="AH847" s="33">
        <v>2021</v>
      </c>
      <c r="AT847" s="18" t="e">
        <f>VLOOKUP(C847,AW:AX,2,FALSE)</f>
        <v>#N/A</v>
      </c>
      <c r="BZ847" s="61"/>
      <c r="CD847" s="18" t="e">
        <f>VLOOKUP(C847,CE:CF,2,FALSE)</f>
        <v>#N/A</v>
      </c>
    </row>
    <row r="848" spans="1:82" ht="61.5" x14ac:dyDescent="0.85">
      <c r="B848" s="22" t="s">
        <v>808</v>
      </c>
      <c r="C848" s="22"/>
      <c r="D848" s="339">
        <f t="shared" ref="D848:AE848" si="146">SUM(D849:D855)</f>
        <v>31580337.110000003</v>
      </c>
      <c r="E848" s="29">
        <f t="shared" si="146"/>
        <v>105445.54</v>
      </c>
      <c r="F848" s="29">
        <f t="shared" si="146"/>
        <v>271674.86</v>
      </c>
      <c r="G848" s="29">
        <f t="shared" si="146"/>
        <v>565239.94999999995</v>
      </c>
      <c r="H848" s="29">
        <f t="shared" si="146"/>
        <v>133112.60999999999</v>
      </c>
      <c r="I848" s="29">
        <f t="shared" si="146"/>
        <v>0</v>
      </c>
      <c r="J848" s="29">
        <f t="shared" si="146"/>
        <v>0</v>
      </c>
      <c r="K848" s="31">
        <f t="shared" si="146"/>
        <v>0</v>
      </c>
      <c r="L848" s="29">
        <f t="shared" si="146"/>
        <v>0</v>
      </c>
      <c r="M848" s="29">
        <f t="shared" si="146"/>
        <v>6158.1</v>
      </c>
      <c r="N848" s="29">
        <f t="shared" si="146"/>
        <v>29279540.859999999</v>
      </c>
      <c r="O848" s="29">
        <f t="shared" si="146"/>
        <v>0</v>
      </c>
      <c r="P848" s="29">
        <f t="shared" si="146"/>
        <v>0</v>
      </c>
      <c r="Q848" s="29">
        <f t="shared" si="146"/>
        <v>0</v>
      </c>
      <c r="R848" s="29">
        <f t="shared" si="146"/>
        <v>0</v>
      </c>
      <c r="S848" s="29">
        <f t="shared" si="146"/>
        <v>0</v>
      </c>
      <c r="T848" s="29">
        <f t="shared" si="146"/>
        <v>0</v>
      </c>
      <c r="U848" s="29">
        <f t="shared" si="146"/>
        <v>0</v>
      </c>
      <c r="V848" s="29">
        <f t="shared" si="146"/>
        <v>0</v>
      </c>
      <c r="W848" s="29">
        <f t="shared" si="146"/>
        <v>0</v>
      </c>
      <c r="X848" s="29">
        <f t="shared" si="146"/>
        <v>0</v>
      </c>
      <c r="Y848" s="29">
        <f t="shared" si="146"/>
        <v>0</v>
      </c>
      <c r="Z848" s="29">
        <f t="shared" si="146"/>
        <v>0</v>
      </c>
      <c r="AA848" s="29">
        <f t="shared" si="146"/>
        <v>0</v>
      </c>
      <c r="AB848" s="29">
        <f t="shared" si="146"/>
        <v>0</v>
      </c>
      <c r="AC848" s="29">
        <f t="shared" si="146"/>
        <v>445323.29</v>
      </c>
      <c r="AD848" s="29">
        <f t="shared" si="146"/>
        <v>780000</v>
      </c>
      <c r="AE848" s="29">
        <f t="shared" si="146"/>
        <v>0</v>
      </c>
      <c r="AF848" s="62" t="s">
        <v>743</v>
      </c>
      <c r="AG848" s="62" t="s">
        <v>743</v>
      </c>
      <c r="AH848" s="77" t="s">
        <v>743</v>
      </c>
      <c r="AT848" s="18" t="e">
        <f>VLOOKUP(C848,AW:AX,2,FALSE)</f>
        <v>#N/A</v>
      </c>
      <c r="BZ848" s="61">
        <v>10075097.600000001</v>
      </c>
      <c r="CD848" s="18" t="e">
        <f>VLOOKUP(C848,CE:CF,2,FALSE)</f>
        <v>#N/A</v>
      </c>
    </row>
    <row r="849" spans="1:82" ht="61.5" x14ac:dyDescent="0.85">
      <c r="A849" s="18">
        <v>1</v>
      </c>
      <c r="B849" s="57">
        <f>SUBTOTAL(103,$A$558:A849)</f>
        <v>286</v>
      </c>
      <c r="C849" s="22" t="s">
        <v>633</v>
      </c>
      <c r="D849" s="29">
        <f t="shared" ref="D849:D855" si="147">E849+F849+G849+H849+I849+J849+L849+N849+P849+R849+T849+U849+V849+W849+X849+Y849+Z849+AA849+AB849+AC849+AD849+AE849</f>
        <v>5608010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1">
        <v>0</v>
      </c>
      <c r="L849" s="29">
        <v>0</v>
      </c>
      <c r="M849" s="29">
        <v>1122.5</v>
      </c>
      <c r="N849" s="29">
        <v>5347793.0999999996</v>
      </c>
      <c r="O849" s="29">
        <v>0</v>
      </c>
      <c r="P849" s="29">
        <v>0</v>
      </c>
      <c r="Q849" s="29">
        <v>0</v>
      </c>
      <c r="R849" s="29">
        <v>0</v>
      </c>
      <c r="S849" s="29">
        <v>0</v>
      </c>
      <c r="T849" s="29">
        <v>0</v>
      </c>
      <c r="U849" s="29">
        <v>0</v>
      </c>
      <c r="V849" s="29">
        <v>0</v>
      </c>
      <c r="W849" s="29">
        <v>0</v>
      </c>
      <c r="X849" s="29">
        <v>0</v>
      </c>
      <c r="Y849" s="29">
        <v>0</v>
      </c>
      <c r="Z849" s="29">
        <v>0</v>
      </c>
      <c r="AA849" s="29">
        <v>0</v>
      </c>
      <c r="AB849" s="29">
        <v>0</v>
      </c>
      <c r="AC849" s="29">
        <f>ROUND(N849*1.5%,2)</f>
        <v>80216.899999999994</v>
      </c>
      <c r="AD849" s="29">
        <v>180000</v>
      </c>
      <c r="AE849" s="29">
        <v>0</v>
      </c>
      <c r="AF849" s="32">
        <v>2021</v>
      </c>
      <c r="AG849" s="32">
        <v>2021</v>
      </c>
      <c r="AH849" s="33">
        <v>2021</v>
      </c>
      <c r="AT849" s="18" t="e">
        <f>VLOOKUP(C849,AW:AX,2,FALSE)</f>
        <v>#N/A</v>
      </c>
      <c r="BZ849" s="61"/>
      <c r="CD849" s="18" t="e">
        <f>VLOOKUP(C849,CE:CF,2,FALSE)</f>
        <v>#N/A</v>
      </c>
    </row>
    <row r="850" spans="1:82" ht="61.5" x14ac:dyDescent="0.85">
      <c r="A850" s="18">
        <v>1</v>
      </c>
      <c r="B850" s="57">
        <f>SUBTOTAL(103,$A$558:A850)</f>
        <v>287</v>
      </c>
      <c r="C850" s="22" t="s">
        <v>630</v>
      </c>
      <c r="D850" s="29">
        <f t="shared" si="147"/>
        <v>4467087.6000000006</v>
      </c>
      <c r="E850" s="34">
        <v>0</v>
      </c>
      <c r="F850" s="34">
        <v>0</v>
      </c>
      <c r="G850" s="34">
        <v>0</v>
      </c>
      <c r="H850" s="34">
        <v>0</v>
      </c>
      <c r="I850" s="34">
        <v>0</v>
      </c>
      <c r="J850" s="34">
        <v>0</v>
      </c>
      <c r="K850" s="31">
        <v>0</v>
      </c>
      <c r="L850" s="29">
        <v>0</v>
      </c>
      <c r="M850" s="29">
        <v>855.6</v>
      </c>
      <c r="N850" s="29">
        <v>4253288.28</v>
      </c>
      <c r="O850" s="29">
        <v>0</v>
      </c>
      <c r="P850" s="29">
        <v>0</v>
      </c>
      <c r="Q850" s="29">
        <v>0</v>
      </c>
      <c r="R850" s="29">
        <v>0</v>
      </c>
      <c r="S850" s="29">
        <v>0</v>
      </c>
      <c r="T850" s="29">
        <v>0</v>
      </c>
      <c r="U850" s="29">
        <v>0</v>
      </c>
      <c r="V850" s="29">
        <v>0</v>
      </c>
      <c r="W850" s="29">
        <v>0</v>
      </c>
      <c r="X850" s="29">
        <v>0</v>
      </c>
      <c r="Y850" s="29">
        <v>0</v>
      </c>
      <c r="Z850" s="29">
        <v>0</v>
      </c>
      <c r="AA850" s="29">
        <v>0</v>
      </c>
      <c r="AB850" s="29">
        <v>0</v>
      </c>
      <c r="AC850" s="29">
        <f>ROUND(N850*1.5%,2)</f>
        <v>63799.32</v>
      </c>
      <c r="AD850" s="29">
        <v>150000</v>
      </c>
      <c r="AE850" s="29">
        <v>0</v>
      </c>
      <c r="AF850" s="32">
        <v>2021</v>
      </c>
      <c r="AG850" s="32">
        <v>2021</v>
      </c>
      <c r="AH850" s="33">
        <v>2021</v>
      </c>
      <c r="AT850" s="18" t="e">
        <f>VLOOKUP(C850,AW:AX,2,FALSE)</f>
        <v>#N/A</v>
      </c>
      <c r="BZ850" s="61"/>
      <c r="CD850" s="18" t="e">
        <f>VLOOKUP(C850,CE:CF,2,FALSE)</f>
        <v>#N/A</v>
      </c>
    </row>
    <row r="851" spans="1:82" ht="61.5" x14ac:dyDescent="0.85">
      <c r="A851" s="18">
        <v>1</v>
      </c>
      <c r="B851" s="57">
        <f>SUBTOTAL(103,$A$558:A851)</f>
        <v>288</v>
      </c>
      <c r="C851" s="22" t="s">
        <v>1183</v>
      </c>
      <c r="D851" s="29">
        <f t="shared" si="147"/>
        <v>1081603.1399999999</v>
      </c>
      <c r="E851" s="335">
        <v>105445.54</v>
      </c>
      <c r="F851" s="335">
        <v>271674.86</v>
      </c>
      <c r="G851" s="335">
        <v>565239.94999999995</v>
      </c>
      <c r="H851" s="335">
        <v>133112.60999999999</v>
      </c>
      <c r="I851" s="34">
        <v>0</v>
      </c>
      <c r="J851" s="34">
        <v>0</v>
      </c>
      <c r="K851" s="31">
        <v>0</v>
      </c>
      <c r="L851" s="29">
        <v>0</v>
      </c>
      <c r="M851" s="29">
        <v>0</v>
      </c>
      <c r="N851" s="29">
        <v>0</v>
      </c>
      <c r="O851" s="34">
        <v>0</v>
      </c>
      <c r="P851" s="34">
        <v>0</v>
      </c>
      <c r="Q851" s="29">
        <v>0</v>
      </c>
      <c r="R851" s="29">
        <v>0</v>
      </c>
      <c r="S851" s="29">
        <v>0</v>
      </c>
      <c r="T851" s="29">
        <v>0</v>
      </c>
      <c r="U851" s="29">
        <v>0</v>
      </c>
      <c r="V851" s="29">
        <v>0</v>
      </c>
      <c r="W851" s="29">
        <v>0</v>
      </c>
      <c r="X851" s="29">
        <v>0</v>
      </c>
      <c r="Y851" s="29">
        <v>0</v>
      </c>
      <c r="Z851" s="29">
        <v>0</v>
      </c>
      <c r="AA851" s="29">
        <v>0</v>
      </c>
      <c r="AB851" s="29">
        <v>0</v>
      </c>
      <c r="AC851" s="29">
        <v>6130.18</v>
      </c>
      <c r="AD851" s="29">
        <v>0</v>
      </c>
      <c r="AE851" s="29">
        <v>0</v>
      </c>
      <c r="AF851" s="32" t="s">
        <v>268</v>
      </c>
      <c r="AG851" s="32">
        <v>2021</v>
      </c>
      <c r="AH851" s="33">
        <v>2021</v>
      </c>
      <c r="BZ851" s="61"/>
      <c r="CD851" s="18" t="e">
        <f>VLOOKUP(C851,CE:CF,2,FALSE)</f>
        <v>#N/A</v>
      </c>
    </row>
    <row r="852" spans="1:82" ht="61.5" x14ac:dyDescent="0.85">
      <c r="A852" s="18">
        <v>1</v>
      </c>
      <c r="B852" s="57">
        <f>SUBTOTAL(103,$A$558:A852)</f>
        <v>289</v>
      </c>
      <c r="C852" s="22" t="s">
        <v>1890</v>
      </c>
      <c r="D852" s="29">
        <f t="shared" si="147"/>
        <v>4222003.7300000004</v>
      </c>
      <c r="E852" s="36">
        <v>0</v>
      </c>
      <c r="F852" s="36">
        <v>0</v>
      </c>
      <c r="G852" s="36">
        <v>0</v>
      </c>
      <c r="H852" s="36">
        <v>0</v>
      </c>
      <c r="I852" s="36">
        <v>0</v>
      </c>
      <c r="J852" s="36">
        <v>0</v>
      </c>
      <c r="K852" s="75">
        <v>0</v>
      </c>
      <c r="L852" s="36">
        <v>0</v>
      </c>
      <c r="M852" s="29">
        <v>532</v>
      </c>
      <c r="N852" s="29">
        <f>2660000+1381382.99</f>
        <v>4041382.99</v>
      </c>
      <c r="O852" s="29">
        <v>0</v>
      </c>
      <c r="P852" s="29">
        <v>0</v>
      </c>
      <c r="Q852" s="29">
        <v>0</v>
      </c>
      <c r="R852" s="29">
        <v>0</v>
      </c>
      <c r="S852" s="29">
        <v>0</v>
      </c>
      <c r="T852" s="29">
        <v>0</v>
      </c>
      <c r="U852" s="29">
        <v>0</v>
      </c>
      <c r="V852" s="29">
        <v>0</v>
      </c>
      <c r="W852" s="29">
        <v>0</v>
      </c>
      <c r="X852" s="29">
        <v>0</v>
      </c>
      <c r="Y852" s="29">
        <v>0</v>
      </c>
      <c r="Z852" s="29">
        <v>0</v>
      </c>
      <c r="AA852" s="29">
        <v>0</v>
      </c>
      <c r="AB852" s="29">
        <v>0</v>
      </c>
      <c r="AC852" s="29">
        <f>ROUND(N852*1.5%,2)</f>
        <v>60620.74</v>
      </c>
      <c r="AD852" s="29">
        <v>120000</v>
      </c>
      <c r="AE852" s="29">
        <v>0</v>
      </c>
      <c r="AF852" s="32">
        <v>2021</v>
      </c>
      <c r="AG852" s="32">
        <v>2021</v>
      </c>
      <c r="AH852" s="33">
        <v>2021</v>
      </c>
      <c r="AT852" s="18" t="e">
        <f>VLOOKUP(C852,AW:AX,2,FALSE)</f>
        <v>#N/A</v>
      </c>
      <c r="BZ852" s="61"/>
    </row>
    <row r="853" spans="1:82" ht="61.5" x14ac:dyDescent="0.85">
      <c r="A853" s="18">
        <v>1</v>
      </c>
      <c r="B853" s="57">
        <f>SUBTOTAL(103,$A$558:A853)</f>
        <v>290</v>
      </c>
      <c r="C853" s="22" t="s">
        <v>1081</v>
      </c>
      <c r="D853" s="29">
        <f t="shared" si="147"/>
        <v>4226815.84</v>
      </c>
      <c r="E853" s="36">
        <v>0</v>
      </c>
      <c r="F853" s="36">
        <v>0</v>
      </c>
      <c r="G853" s="36">
        <v>0</v>
      </c>
      <c r="H853" s="36">
        <v>0</v>
      </c>
      <c r="I853" s="36">
        <v>0</v>
      </c>
      <c r="J853" s="36">
        <v>0</v>
      </c>
      <c r="K853" s="75">
        <v>0</v>
      </c>
      <c r="L853" s="36">
        <v>0</v>
      </c>
      <c r="M853" s="29">
        <v>857.4</v>
      </c>
      <c r="N853" s="29">
        <v>4036271.76</v>
      </c>
      <c r="O853" s="29">
        <v>0</v>
      </c>
      <c r="P853" s="29">
        <v>0</v>
      </c>
      <c r="Q853" s="29">
        <v>0</v>
      </c>
      <c r="R853" s="29">
        <v>0</v>
      </c>
      <c r="S853" s="29">
        <v>0</v>
      </c>
      <c r="T853" s="29">
        <v>0</v>
      </c>
      <c r="U853" s="29">
        <v>0</v>
      </c>
      <c r="V853" s="29">
        <v>0</v>
      </c>
      <c r="W853" s="29">
        <v>0</v>
      </c>
      <c r="X853" s="29">
        <v>0</v>
      </c>
      <c r="Y853" s="29">
        <v>0</v>
      </c>
      <c r="Z853" s="29">
        <v>0</v>
      </c>
      <c r="AA853" s="29">
        <v>0</v>
      </c>
      <c r="AB853" s="29">
        <v>0</v>
      </c>
      <c r="AC853" s="29">
        <f>ROUND(N853*1.5%,2)</f>
        <v>60544.08</v>
      </c>
      <c r="AD853" s="29">
        <v>130000</v>
      </c>
      <c r="AE853" s="29">
        <v>0</v>
      </c>
      <c r="AF853" s="32">
        <v>2021</v>
      </c>
      <c r="AG853" s="32">
        <v>2021</v>
      </c>
      <c r="AH853" s="33">
        <v>2021</v>
      </c>
      <c r="BZ853" s="61"/>
    </row>
    <row r="854" spans="1:82" ht="61.5" x14ac:dyDescent="0.85">
      <c r="A854" s="18">
        <v>1</v>
      </c>
      <c r="B854" s="57">
        <f>SUBTOTAL(103,$A$558:A854)</f>
        <v>291</v>
      </c>
      <c r="C854" s="22" t="s">
        <v>1182</v>
      </c>
      <c r="D854" s="29">
        <f t="shared" si="147"/>
        <v>5003194.3900000006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64">
        <v>0</v>
      </c>
      <c r="L854" s="29">
        <v>0</v>
      </c>
      <c r="M854" s="29">
        <v>1161</v>
      </c>
      <c r="N854" s="29">
        <v>4929255.5600000005</v>
      </c>
      <c r="O854" s="34">
        <v>0</v>
      </c>
      <c r="P854" s="34">
        <v>0</v>
      </c>
      <c r="Q854" s="29">
        <v>0</v>
      </c>
      <c r="R854" s="29">
        <v>0</v>
      </c>
      <c r="S854" s="29">
        <v>0</v>
      </c>
      <c r="T854" s="29">
        <v>0</v>
      </c>
      <c r="U854" s="29">
        <v>0</v>
      </c>
      <c r="V854" s="29">
        <v>0</v>
      </c>
      <c r="W854" s="29">
        <v>0</v>
      </c>
      <c r="X854" s="29">
        <v>0</v>
      </c>
      <c r="Y854" s="29">
        <v>0</v>
      </c>
      <c r="Z854" s="29">
        <v>0</v>
      </c>
      <c r="AA854" s="29">
        <v>0</v>
      </c>
      <c r="AB854" s="29">
        <v>0</v>
      </c>
      <c r="AC854" s="29">
        <f>ROUND(N854*1.5%,2)</f>
        <v>73938.83</v>
      </c>
      <c r="AD854" s="29">
        <v>0</v>
      </c>
      <c r="AE854" s="29">
        <v>0</v>
      </c>
      <c r="AF854" s="32" t="s">
        <v>268</v>
      </c>
      <c r="AG854" s="32">
        <v>2021</v>
      </c>
      <c r="AH854" s="33">
        <v>2021</v>
      </c>
      <c r="BZ854" s="61"/>
      <c r="CD854" s="18">
        <f>VLOOKUP(C854,CE:CF,2,FALSE)</f>
        <v>1161</v>
      </c>
    </row>
    <row r="855" spans="1:82" ht="61.5" x14ac:dyDescent="0.85">
      <c r="A855" s="18">
        <v>1</v>
      </c>
      <c r="B855" s="57">
        <f>SUBTOTAL(103,$A$558:A855)</f>
        <v>292</v>
      </c>
      <c r="C855" s="22" t="s">
        <v>1923</v>
      </c>
      <c r="D855" s="29">
        <f t="shared" si="147"/>
        <v>6971622.4100000001</v>
      </c>
      <c r="E855" s="36">
        <v>0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75">
        <v>0</v>
      </c>
      <c r="L855" s="36">
        <v>0</v>
      </c>
      <c r="M855" s="29">
        <v>1629.6</v>
      </c>
      <c r="N855" s="29">
        <v>6671549.1699999999</v>
      </c>
      <c r="O855" s="29">
        <v>0</v>
      </c>
      <c r="P855" s="29">
        <v>0</v>
      </c>
      <c r="Q855" s="29">
        <v>0</v>
      </c>
      <c r="R855" s="29">
        <v>0</v>
      </c>
      <c r="S855" s="29">
        <v>0</v>
      </c>
      <c r="T855" s="29">
        <v>0</v>
      </c>
      <c r="U855" s="29">
        <v>0</v>
      </c>
      <c r="V855" s="29">
        <v>0</v>
      </c>
      <c r="W855" s="29">
        <v>0</v>
      </c>
      <c r="X855" s="29">
        <v>0</v>
      </c>
      <c r="Y855" s="29">
        <v>0</v>
      </c>
      <c r="Z855" s="29">
        <v>0</v>
      </c>
      <c r="AA855" s="29">
        <v>0</v>
      </c>
      <c r="AB855" s="29">
        <v>0</v>
      </c>
      <c r="AC855" s="29">
        <f>ROUND(N855*1.5%,2)</f>
        <v>100073.24</v>
      </c>
      <c r="AD855" s="29">
        <v>200000</v>
      </c>
      <c r="AE855" s="29">
        <v>0</v>
      </c>
      <c r="AF855" s="32">
        <v>2021</v>
      </c>
      <c r="AG855" s="32">
        <v>2021</v>
      </c>
      <c r="AH855" s="33">
        <v>2021</v>
      </c>
      <c r="BZ855" s="61"/>
    </row>
    <row r="856" spans="1:82" ht="61.5" x14ac:dyDescent="0.85">
      <c r="B856" s="22" t="s">
        <v>809</v>
      </c>
      <c r="C856" s="22"/>
      <c r="D856" s="339">
        <f t="shared" ref="D856:AE856" si="148">SUM(D857:D862)</f>
        <v>22006421.640000001</v>
      </c>
      <c r="E856" s="29">
        <f t="shared" si="148"/>
        <v>0</v>
      </c>
      <c r="F856" s="29">
        <f t="shared" si="148"/>
        <v>0</v>
      </c>
      <c r="G856" s="29">
        <f t="shared" si="148"/>
        <v>0</v>
      </c>
      <c r="H856" s="29">
        <f t="shared" si="148"/>
        <v>0</v>
      </c>
      <c r="I856" s="29">
        <f t="shared" si="148"/>
        <v>0</v>
      </c>
      <c r="J856" s="29">
        <f t="shared" si="148"/>
        <v>0</v>
      </c>
      <c r="K856" s="31">
        <f t="shared" si="148"/>
        <v>0</v>
      </c>
      <c r="L856" s="29">
        <f t="shared" si="148"/>
        <v>0</v>
      </c>
      <c r="M856" s="29">
        <f t="shared" si="148"/>
        <v>4762.83</v>
      </c>
      <c r="N856" s="29">
        <f t="shared" si="148"/>
        <v>21144257.77</v>
      </c>
      <c r="O856" s="29">
        <f t="shared" si="148"/>
        <v>0</v>
      </c>
      <c r="P856" s="29">
        <f t="shared" si="148"/>
        <v>0</v>
      </c>
      <c r="Q856" s="29">
        <f t="shared" si="148"/>
        <v>0</v>
      </c>
      <c r="R856" s="29">
        <f t="shared" si="148"/>
        <v>0</v>
      </c>
      <c r="S856" s="29">
        <f t="shared" si="148"/>
        <v>0</v>
      </c>
      <c r="T856" s="29">
        <f t="shared" si="148"/>
        <v>0</v>
      </c>
      <c r="U856" s="29">
        <f t="shared" si="148"/>
        <v>0</v>
      </c>
      <c r="V856" s="29">
        <f t="shared" si="148"/>
        <v>0</v>
      </c>
      <c r="W856" s="29">
        <f t="shared" si="148"/>
        <v>0</v>
      </c>
      <c r="X856" s="29">
        <f t="shared" si="148"/>
        <v>0</v>
      </c>
      <c r="Y856" s="29">
        <f t="shared" si="148"/>
        <v>0</v>
      </c>
      <c r="Z856" s="29">
        <f t="shared" si="148"/>
        <v>0</v>
      </c>
      <c r="AA856" s="29">
        <f t="shared" si="148"/>
        <v>0</v>
      </c>
      <c r="AB856" s="29">
        <f t="shared" si="148"/>
        <v>0</v>
      </c>
      <c r="AC856" s="29">
        <f t="shared" si="148"/>
        <v>317163.87</v>
      </c>
      <c r="AD856" s="29">
        <f t="shared" si="148"/>
        <v>545000</v>
      </c>
      <c r="AE856" s="29">
        <f t="shared" si="148"/>
        <v>0</v>
      </c>
      <c r="AF856" s="62" t="s">
        <v>743</v>
      </c>
      <c r="AG856" s="62" t="s">
        <v>743</v>
      </c>
      <c r="AH856" s="77" t="s">
        <v>743</v>
      </c>
      <c r="AT856" s="18" t="e">
        <f>VLOOKUP(C856,AW:AX,2,FALSE)</f>
        <v>#N/A</v>
      </c>
      <c r="BZ856" s="61">
        <v>13069363.829999998</v>
      </c>
      <c r="CD856" s="18" t="e">
        <f>VLOOKUP(C856,CE:CF,2,FALSE)</f>
        <v>#N/A</v>
      </c>
    </row>
    <row r="857" spans="1:82" ht="61.5" x14ac:dyDescent="0.85">
      <c r="A857" s="18">
        <v>1</v>
      </c>
      <c r="B857" s="57">
        <f>SUBTOTAL(103,$A$558:A857)</f>
        <v>293</v>
      </c>
      <c r="C857" s="22" t="s">
        <v>638</v>
      </c>
      <c r="D857" s="29">
        <f t="shared" ref="D857:D862" si="149">E857+F857+G857+H857+I857+J857+L857+N857+P857+R857+T857+U857+V857+W857+X857+Y857+Z857+AA857+AB857+AC857+AD857+AE857</f>
        <v>1751245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1">
        <v>0</v>
      </c>
      <c r="L857" s="29">
        <v>0</v>
      </c>
      <c r="M857" s="29">
        <v>345</v>
      </c>
      <c r="N857" s="29">
        <v>1656399.01</v>
      </c>
      <c r="O857" s="29">
        <v>0</v>
      </c>
      <c r="P857" s="29">
        <v>0</v>
      </c>
      <c r="Q857" s="29">
        <v>0</v>
      </c>
      <c r="R857" s="29">
        <v>0</v>
      </c>
      <c r="S857" s="29">
        <v>0</v>
      </c>
      <c r="T857" s="29">
        <v>0</v>
      </c>
      <c r="U857" s="29">
        <v>0</v>
      </c>
      <c r="V857" s="29">
        <v>0</v>
      </c>
      <c r="W857" s="29">
        <v>0</v>
      </c>
      <c r="X857" s="29">
        <v>0</v>
      </c>
      <c r="Y857" s="29">
        <v>0</v>
      </c>
      <c r="Z857" s="29">
        <v>0</v>
      </c>
      <c r="AA857" s="29">
        <v>0</v>
      </c>
      <c r="AB857" s="29">
        <v>0</v>
      </c>
      <c r="AC857" s="29">
        <f t="shared" ref="AC857:AC862" si="150">ROUND(N857*1.5%,2)</f>
        <v>24845.99</v>
      </c>
      <c r="AD857" s="84">
        <v>70000</v>
      </c>
      <c r="AE857" s="29">
        <v>0</v>
      </c>
      <c r="AF857" s="32">
        <v>2021</v>
      </c>
      <c r="AG857" s="32">
        <v>2021</v>
      </c>
      <c r="AH857" s="33">
        <v>2021</v>
      </c>
      <c r="AT857" s="18" t="e">
        <f>VLOOKUP(C857,AW:AX,2,FALSE)</f>
        <v>#N/A</v>
      </c>
      <c r="BZ857" s="61"/>
      <c r="CD857" s="18" t="e">
        <f>VLOOKUP(C857,CE:CF,2,FALSE)</f>
        <v>#N/A</v>
      </c>
    </row>
    <row r="858" spans="1:82" ht="61.5" x14ac:dyDescent="0.85">
      <c r="A858" s="18">
        <v>1</v>
      </c>
      <c r="B858" s="57">
        <f>SUBTOTAL(103,$A$558:A858)</f>
        <v>294</v>
      </c>
      <c r="C858" s="22" t="s">
        <v>639</v>
      </c>
      <c r="D858" s="29">
        <f t="shared" si="149"/>
        <v>3880308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1">
        <v>0</v>
      </c>
      <c r="L858" s="29">
        <v>0</v>
      </c>
      <c r="M858" s="29">
        <v>748</v>
      </c>
      <c r="N858" s="29">
        <v>3699810.84</v>
      </c>
      <c r="O858" s="29">
        <v>0</v>
      </c>
      <c r="P858" s="29">
        <v>0</v>
      </c>
      <c r="Q858" s="29">
        <v>0</v>
      </c>
      <c r="R858" s="29">
        <v>0</v>
      </c>
      <c r="S858" s="29">
        <v>0</v>
      </c>
      <c r="T858" s="29">
        <v>0</v>
      </c>
      <c r="U858" s="29">
        <v>0</v>
      </c>
      <c r="V858" s="29">
        <v>0</v>
      </c>
      <c r="W858" s="29">
        <v>0</v>
      </c>
      <c r="X858" s="29">
        <v>0</v>
      </c>
      <c r="Y858" s="29">
        <v>0</v>
      </c>
      <c r="Z858" s="29">
        <v>0</v>
      </c>
      <c r="AA858" s="29">
        <v>0</v>
      </c>
      <c r="AB858" s="29">
        <v>0</v>
      </c>
      <c r="AC858" s="29">
        <f t="shared" si="150"/>
        <v>55497.16</v>
      </c>
      <c r="AD858" s="84">
        <v>125000</v>
      </c>
      <c r="AE858" s="29">
        <v>0</v>
      </c>
      <c r="AF858" s="32">
        <v>2021</v>
      </c>
      <c r="AG858" s="32">
        <v>2021</v>
      </c>
      <c r="AH858" s="33">
        <v>2021</v>
      </c>
      <c r="AT858" s="18" t="e">
        <f>VLOOKUP(C858,AW:AX,2,FALSE)</f>
        <v>#N/A</v>
      </c>
      <c r="BZ858" s="61"/>
      <c r="CD858" s="18" t="e">
        <f>VLOOKUP(C858,CE:CF,2,FALSE)</f>
        <v>#N/A</v>
      </c>
    </row>
    <row r="859" spans="1:82" ht="61.5" x14ac:dyDescent="0.85">
      <c r="A859" s="18">
        <v>1</v>
      </c>
      <c r="B859" s="57">
        <f>SUBTOTAL(103,$A$558:A859)</f>
        <v>295</v>
      </c>
      <c r="C859" s="22" t="s">
        <v>637</v>
      </c>
      <c r="D859" s="29">
        <f t="shared" si="149"/>
        <v>3108865.1999999997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1">
        <v>0</v>
      </c>
      <c r="L859" s="29">
        <v>0</v>
      </c>
      <c r="M859" s="29">
        <v>601.20000000000005</v>
      </c>
      <c r="N859" s="29">
        <v>2944694.78</v>
      </c>
      <c r="O859" s="29">
        <v>0</v>
      </c>
      <c r="P859" s="29">
        <v>0</v>
      </c>
      <c r="Q859" s="29">
        <v>0</v>
      </c>
      <c r="R859" s="29">
        <v>0</v>
      </c>
      <c r="S859" s="29">
        <v>0</v>
      </c>
      <c r="T859" s="29">
        <v>0</v>
      </c>
      <c r="U859" s="29">
        <v>0</v>
      </c>
      <c r="V859" s="29">
        <v>0</v>
      </c>
      <c r="W859" s="29">
        <v>0</v>
      </c>
      <c r="X859" s="29">
        <v>0</v>
      </c>
      <c r="Y859" s="29">
        <v>0</v>
      </c>
      <c r="Z859" s="29">
        <v>0</v>
      </c>
      <c r="AA859" s="29">
        <v>0</v>
      </c>
      <c r="AB859" s="29">
        <v>0</v>
      </c>
      <c r="AC859" s="29">
        <f t="shared" si="150"/>
        <v>44170.42</v>
      </c>
      <c r="AD859" s="84">
        <v>120000</v>
      </c>
      <c r="AE859" s="29">
        <v>0</v>
      </c>
      <c r="AF859" s="32">
        <v>2021</v>
      </c>
      <c r="AG859" s="32">
        <v>2021</v>
      </c>
      <c r="AH859" s="33">
        <v>2021</v>
      </c>
      <c r="AT859" s="18" t="e">
        <f>VLOOKUP(C859,AW:AX,2,FALSE)</f>
        <v>#N/A</v>
      </c>
      <c r="BZ859" s="61"/>
      <c r="CD859" s="18" t="e">
        <f>VLOOKUP(C859,CE:CF,2,FALSE)</f>
        <v>#N/A</v>
      </c>
    </row>
    <row r="860" spans="1:82" ht="61.5" x14ac:dyDescent="0.85">
      <c r="A860" s="18">
        <v>1</v>
      </c>
      <c r="B860" s="57">
        <f>SUBTOTAL(103,$A$558:A860)</f>
        <v>296</v>
      </c>
      <c r="C860" s="22" t="s">
        <v>1937</v>
      </c>
      <c r="D860" s="29">
        <f t="shared" si="149"/>
        <v>4152998.97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1">
        <v>0</v>
      </c>
      <c r="L860" s="29">
        <v>0</v>
      </c>
      <c r="M860" s="29">
        <v>703.7</v>
      </c>
      <c r="N860" s="29">
        <v>3993102.43</v>
      </c>
      <c r="O860" s="29">
        <v>0</v>
      </c>
      <c r="P860" s="29">
        <v>0</v>
      </c>
      <c r="Q860" s="29">
        <v>0</v>
      </c>
      <c r="R860" s="29">
        <v>0</v>
      </c>
      <c r="S860" s="29">
        <v>0</v>
      </c>
      <c r="T860" s="29">
        <v>0</v>
      </c>
      <c r="U860" s="29">
        <v>0</v>
      </c>
      <c r="V860" s="29">
        <v>0</v>
      </c>
      <c r="W860" s="29">
        <v>0</v>
      </c>
      <c r="X860" s="29">
        <v>0</v>
      </c>
      <c r="Y860" s="29">
        <v>0</v>
      </c>
      <c r="Z860" s="29">
        <v>0</v>
      </c>
      <c r="AA860" s="29">
        <v>0</v>
      </c>
      <c r="AB860" s="29">
        <v>0</v>
      </c>
      <c r="AC860" s="29">
        <f t="shared" si="150"/>
        <v>59896.54</v>
      </c>
      <c r="AD860" s="92">
        <v>100000</v>
      </c>
      <c r="AE860" s="29">
        <v>0</v>
      </c>
      <c r="AF860" s="32">
        <v>2021</v>
      </c>
      <c r="AG860" s="32">
        <v>2021</v>
      </c>
      <c r="AH860" s="33">
        <v>2021</v>
      </c>
      <c r="AT860" s="18" t="e">
        <f>VLOOKUP(C860,AW:AX,2,FALSE)</f>
        <v>#N/A</v>
      </c>
      <c r="BZ860" s="61"/>
      <c r="CD860" s="18" t="e">
        <f>VLOOKUP(C860,CE:CF,2,FALSE)</f>
        <v>#N/A</v>
      </c>
    </row>
    <row r="861" spans="1:82" ht="61.5" x14ac:dyDescent="0.85">
      <c r="A861" s="18">
        <v>1</v>
      </c>
      <c r="B861" s="57">
        <f>SUBTOTAL(103,$A$558:A861)</f>
        <v>297</v>
      </c>
      <c r="C861" s="22" t="s">
        <v>1938</v>
      </c>
      <c r="D861" s="29">
        <f t="shared" si="149"/>
        <v>4220194.8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1">
        <v>0</v>
      </c>
      <c r="L861" s="29">
        <v>0</v>
      </c>
      <c r="M861" s="29">
        <v>710.15</v>
      </c>
      <c r="N861" s="34">
        <v>4029748.57</v>
      </c>
      <c r="O861" s="29">
        <v>0</v>
      </c>
      <c r="P861" s="29">
        <v>0</v>
      </c>
      <c r="Q861" s="29">
        <v>0</v>
      </c>
      <c r="R861" s="29">
        <v>0</v>
      </c>
      <c r="S861" s="29">
        <v>0</v>
      </c>
      <c r="T861" s="29">
        <v>0</v>
      </c>
      <c r="U861" s="29">
        <v>0</v>
      </c>
      <c r="V861" s="29">
        <v>0</v>
      </c>
      <c r="W861" s="29">
        <v>0</v>
      </c>
      <c r="X861" s="29">
        <v>0</v>
      </c>
      <c r="Y861" s="29">
        <v>0</v>
      </c>
      <c r="Z861" s="29">
        <v>0</v>
      </c>
      <c r="AA861" s="29">
        <v>0</v>
      </c>
      <c r="AB861" s="29">
        <v>0</v>
      </c>
      <c r="AC861" s="29">
        <f t="shared" si="150"/>
        <v>60446.23</v>
      </c>
      <c r="AD861" s="92">
        <v>130000</v>
      </c>
      <c r="AE861" s="29">
        <v>0</v>
      </c>
      <c r="AF861" s="32">
        <v>2021</v>
      </c>
      <c r="AG861" s="32">
        <v>2021</v>
      </c>
      <c r="AH861" s="33">
        <v>2021</v>
      </c>
      <c r="AT861" s="18" t="e">
        <f>VLOOKUP(C861,AW:AX,2,FALSE)</f>
        <v>#N/A</v>
      </c>
      <c r="BZ861" s="61"/>
      <c r="CD861" s="18" t="e">
        <f>VLOOKUP(C861,CE:CF,2,FALSE)</f>
        <v>#N/A</v>
      </c>
    </row>
    <row r="862" spans="1:82" ht="61.5" x14ac:dyDescent="0.85">
      <c r="A862" s="18">
        <v>1</v>
      </c>
      <c r="B862" s="57">
        <f>SUBTOTAL(103,$A$558:A862)</f>
        <v>298</v>
      </c>
      <c r="C862" s="22" t="s">
        <v>1936</v>
      </c>
      <c r="D862" s="29">
        <f t="shared" si="149"/>
        <v>4892809.67</v>
      </c>
      <c r="E862" s="36">
        <v>0</v>
      </c>
      <c r="F862" s="36">
        <v>0</v>
      </c>
      <c r="G862" s="29">
        <v>0</v>
      </c>
      <c r="H862" s="36">
        <v>0</v>
      </c>
      <c r="I862" s="36">
        <v>0</v>
      </c>
      <c r="J862" s="36">
        <v>0</v>
      </c>
      <c r="K862" s="75">
        <v>0</v>
      </c>
      <c r="L862" s="36">
        <v>0</v>
      </c>
      <c r="M862" s="29">
        <v>1654.78</v>
      </c>
      <c r="N862" s="29">
        <v>4820502.1399999997</v>
      </c>
      <c r="O862" s="29">
        <v>0</v>
      </c>
      <c r="P862" s="29">
        <v>0</v>
      </c>
      <c r="Q862" s="29">
        <v>0</v>
      </c>
      <c r="R862" s="29">
        <v>0</v>
      </c>
      <c r="S862" s="29">
        <v>0</v>
      </c>
      <c r="T862" s="29">
        <v>0</v>
      </c>
      <c r="U862" s="29">
        <v>0</v>
      </c>
      <c r="V862" s="29">
        <v>0</v>
      </c>
      <c r="W862" s="29">
        <v>0</v>
      </c>
      <c r="X862" s="29">
        <v>0</v>
      </c>
      <c r="Y862" s="29">
        <v>0</v>
      </c>
      <c r="Z862" s="29">
        <v>0</v>
      </c>
      <c r="AA862" s="29">
        <v>0</v>
      </c>
      <c r="AB862" s="29">
        <v>0</v>
      </c>
      <c r="AC862" s="29">
        <f t="shared" si="150"/>
        <v>72307.53</v>
      </c>
      <c r="AD862" s="29">
        <v>0</v>
      </c>
      <c r="AE862" s="29">
        <v>0</v>
      </c>
      <c r="AF862" s="32" t="s">
        <v>268</v>
      </c>
      <c r="AG862" s="32">
        <v>2021</v>
      </c>
      <c r="AH862" s="33">
        <v>2021</v>
      </c>
      <c r="AT862" s="18" t="e">
        <f>VLOOKUP(C862,AW:AX,2,FALSE)</f>
        <v>#N/A</v>
      </c>
      <c r="BZ862" s="61"/>
      <c r="CD862" s="18" t="e">
        <f>VLOOKUP(C862,CE:CF,2,FALSE)</f>
        <v>#N/A</v>
      </c>
    </row>
    <row r="863" spans="1:82" ht="61.5" x14ac:dyDescent="0.85">
      <c r="B863" s="22" t="s">
        <v>810</v>
      </c>
      <c r="C863" s="22"/>
      <c r="D863" s="339">
        <f>SUM(D864:D867)</f>
        <v>13606335.93</v>
      </c>
      <c r="E863" s="29">
        <f t="shared" ref="E863:AE863" si="151">SUM(E864:E867)</f>
        <v>126532.34</v>
      </c>
      <c r="F863" s="29">
        <f t="shared" si="151"/>
        <v>0</v>
      </c>
      <c r="G863" s="29">
        <f t="shared" si="151"/>
        <v>1835434.08</v>
      </c>
      <c r="H863" s="29">
        <f t="shared" si="151"/>
        <v>207872.75</v>
      </c>
      <c r="I863" s="29">
        <f t="shared" si="151"/>
        <v>1860166.6600000001</v>
      </c>
      <c r="J863" s="29">
        <f t="shared" si="151"/>
        <v>0</v>
      </c>
      <c r="K863" s="31">
        <f t="shared" si="151"/>
        <v>0</v>
      </c>
      <c r="L863" s="29">
        <f t="shared" si="151"/>
        <v>0</v>
      </c>
      <c r="M863" s="29">
        <f t="shared" si="151"/>
        <v>1780</v>
      </c>
      <c r="N863" s="29">
        <f t="shared" si="151"/>
        <v>8587073.9000000004</v>
      </c>
      <c r="O863" s="29">
        <f t="shared" si="151"/>
        <v>0</v>
      </c>
      <c r="P863" s="29">
        <f t="shared" si="151"/>
        <v>0</v>
      </c>
      <c r="Q863" s="29">
        <f t="shared" si="151"/>
        <v>0</v>
      </c>
      <c r="R863" s="29">
        <f t="shared" si="151"/>
        <v>0</v>
      </c>
      <c r="S863" s="29">
        <f t="shared" si="151"/>
        <v>0</v>
      </c>
      <c r="T863" s="29">
        <f t="shared" si="151"/>
        <v>0</v>
      </c>
      <c r="U863" s="29">
        <f t="shared" si="151"/>
        <v>0</v>
      </c>
      <c r="V863" s="29">
        <f t="shared" si="151"/>
        <v>0</v>
      </c>
      <c r="W863" s="29">
        <f t="shared" si="151"/>
        <v>0</v>
      </c>
      <c r="X863" s="29">
        <f t="shared" si="151"/>
        <v>0</v>
      </c>
      <c r="Y863" s="29">
        <f t="shared" si="151"/>
        <v>0</v>
      </c>
      <c r="Z863" s="29">
        <f t="shared" si="151"/>
        <v>0</v>
      </c>
      <c r="AA863" s="29">
        <f t="shared" si="151"/>
        <v>0</v>
      </c>
      <c r="AB863" s="29">
        <f t="shared" si="151"/>
        <v>0</v>
      </c>
      <c r="AC863" s="29">
        <f t="shared" si="151"/>
        <v>189256.2</v>
      </c>
      <c r="AD863" s="29">
        <f t="shared" si="151"/>
        <v>800000</v>
      </c>
      <c r="AE863" s="29">
        <f t="shared" si="151"/>
        <v>0</v>
      </c>
      <c r="AF863" s="62" t="s">
        <v>743</v>
      </c>
      <c r="AG863" s="62" t="s">
        <v>743</v>
      </c>
      <c r="AH863" s="77" t="s">
        <v>743</v>
      </c>
      <c r="AT863" s="18" t="e">
        <f>VLOOKUP(C863,AW:AX,2,FALSE)</f>
        <v>#N/A</v>
      </c>
      <c r="BZ863" s="61">
        <v>9045880.0099999998</v>
      </c>
      <c r="CD863" s="18" t="e">
        <f>VLOOKUP(C863,CE:CF,2,FALSE)</f>
        <v>#N/A</v>
      </c>
    </row>
    <row r="864" spans="1:82" ht="61.5" x14ac:dyDescent="0.85">
      <c r="A864" s="18">
        <v>1</v>
      </c>
      <c r="B864" s="57">
        <f>SUBTOTAL(103,$A$558:A864)</f>
        <v>299</v>
      </c>
      <c r="C864" s="22" t="s">
        <v>644</v>
      </c>
      <c r="D864" s="29">
        <f>E864+F864+G864+H864+I864+J864+L864+N864+P864+R864+T864+U864+V864+W864+X864+Y864+Z864+AA864+AB864+AC864+AD864+AE864</f>
        <v>3550280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1">
        <v>0</v>
      </c>
      <c r="L864" s="29">
        <v>0</v>
      </c>
      <c r="M864" s="29">
        <v>680</v>
      </c>
      <c r="N864" s="29">
        <v>3350029.56</v>
      </c>
      <c r="O864" s="29">
        <v>0</v>
      </c>
      <c r="P864" s="29">
        <v>0</v>
      </c>
      <c r="Q864" s="29">
        <v>0</v>
      </c>
      <c r="R864" s="29">
        <v>0</v>
      </c>
      <c r="S864" s="29">
        <v>0</v>
      </c>
      <c r="T864" s="29">
        <v>0</v>
      </c>
      <c r="U864" s="29">
        <v>0</v>
      </c>
      <c r="V864" s="29">
        <v>0</v>
      </c>
      <c r="W864" s="29">
        <v>0</v>
      </c>
      <c r="X864" s="29">
        <v>0</v>
      </c>
      <c r="Y864" s="29">
        <v>0</v>
      </c>
      <c r="Z864" s="29">
        <v>0</v>
      </c>
      <c r="AA864" s="29">
        <v>0</v>
      </c>
      <c r="AB864" s="29">
        <v>0</v>
      </c>
      <c r="AC864" s="29">
        <f>ROUND(N864*1.5%,2)</f>
        <v>50250.44</v>
      </c>
      <c r="AD864" s="29">
        <v>150000</v>
      </c>
      <c r="AE864" s="29">
        <v>0</v>
      </c>
      <c r="AF864" s="32">
        <v>2021</v>
      </c>
      <c r="AG864" s="32">
        <v>2021</v>
      </c>
      <c r="AH864" s="33">
        <v>2021</v>
      </c>
      <c r="AT864" s="18" t="e">
        <f>VLOOKUP(C864,AW:AX,2,FALSE)</f>
        <v>#N/A</v>
      </c>
      <c r="BZ864" s="61"/>
      <c r="CD864" s="18" t="e">
        <f>VLOOKUP(C864,CE:CF,2,FALSE)</f>
        <v>#N/A</v>
      </c>
    </row>
    <row r="865" spans="1:82" ht="61.5" x14ac:dyDescent="0.85">
      <c r="A865" s="18">
        <v>1</v>
      </c>
      <c r="B865" s="57">
        <f>SUBTOTAL(103,$A$558:A865)</f>
        <v>300</v>
      </c>
      <c r="C865" s="22" t="s">
        <v>647</v>
      </c>
      <c r="D865" s="29">
        <f>E865+F865+G865+H865+I865+J865+L865+N865+P865+R865+T865+U865+V865+W865+X865+Y865+Z865+AA865+AB865+AC865+AD865+AE865</f>
        <v>5495600.0099999998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75">
        <v>0</v>
      </c>
      <c r="L865" s="36">
        <v>0</v>
      </c>
      <c r="M865" s="29">
        <v>1100</v>
      </c>
      <c r="N865" s="29">
        <v>5237044.34</v>
      </c>
      <c r="O865" s="29">
        <v>0</v>
      </c>
      <c r="P865" s="29">
        <v>0</v>
      </c>
      <c r="Q865" s="29">
        <v>0</v>
      </c>
      <c r="R865" s="29">
        <v>0</v>
      </c>
      <c r="S865" s="29">
        <v>0</v>
      </c>
      <c r="T865" s="29">
        <v>0</v>
      </c>
      <c r="U865" s="29">
        <v>0</v>
      </c>
      <c r="V865" s="29">
        <v>0</v>
      </c>
      <c r="W865" s="29">
        <v>0</v>
      </c>
      <c r="X865" s="29">
        <v>0</v>
      </c>
      <c r="Y865" s="29">
        <v>0</v>
      </c>
      <c r="Z865" s="29">
        <v>0</v>
      </c>
      <c r="AA865" s="29">
        <v>0</v>
      </c>
      <c r="AB865" s="29">
        <v>0</v>
      </c>
      <c r="AC865" s="29">
        <f>ROUND(N865*1.5%,2)</f>
        <v>78555.67</v>
      </c>
      <c r="AD865" s="29">
        <v>180000</v>
      </c>
      <c r="AE865" s="29">
        <v>0</v>
      </c>
      <c r="AF865" s="32">
        <v>2021</v>
      </c>
      <c r="AG865" s="32">
        <v>2021</v>
      </c>
      <c r="AH865" s="33">
        <v>2021</v>
      </c>
      <c r="AT865" s="18" t="e">
        <f>VLOOKUP(C865,AW:AX,2,FALSE)</f>
        <v>#N/A</v>
      </c>
      <c r="BZ865" s="61"/>
      <c r="CD865" s="18" t="e">
        <f>VLOOKUP(C865,CE:CF,2,FALSE)</f>
        <v>#N/A</v>
      </c>
    </row>
    <row r="866" spans="1:82" ht="61.5" x14ac:dyDescent="0.85">
      <c r="A866" s="18">
        <v>1</v>
      </c>
      <c r="B866" s="57">
        <f>SUBTOTAL(103,$A$558:A866)</f>
        <v>301</v>
      </c>
      <c r="C866" s="22" t="s">
        <v>1895</v>
      </c>
      <c r="D866" s="29">
        <f>E866+F866+G866+H866+I866+J866+L866+N866+P866+R866+T866+U866+V866+W866+X866+Y866+Z866+AA866+AB866+AC866+AD866+AE866</f>
        <v>3582812.32</v>
      </c>
      <c r="E866" s="36">
        <v>126532.34</v>
      </c>
      <c r="F866" s="36">
        <v>0</v>
      </c>
      <c r="G866" s="36">
        <f>2070237.87-234803.79</f>
        <v>1835434.08</v>
      </c>
      <c r="H866" s="36">
        <v>207872.75</v>
      </c>
      <c r="I866" s="36">
        <v>1044754.25</v>
      </c>
      <c r="J866" s="36">
        <v>0</v>
      </c>
      <c r="K866" s="75">
        <v>0</v>
      </c>
      <c r="L866" s="36">
        <v>0</v>
      </c>
      <c r="M866" s="29">
        <v>0</v>
      </c>
      <c r="N866" s="29">
        <v>0</v>
      </c>
      <c r="O866" s="29">
        <v>0</v>
      </c>
      <c r="P866" s="29">
        <v>0</v>
      </c>
      <c r="Q866" s="29">
        <v>0</v>
      </c>
      <c r="R866" s="29">
        <v>0</v>
      </c>
      <c r="S866" s="29">
        <v>0</v>
      </c>
      <c r="T866" s="29">
        <v>0</v>
      </c>
      <c r="U866" s="29">
        <v>0</v>
      </c>
      <c r="V866" s="29">
        <v>0</v>
      </c>
      <c r="W866" s="29">
        <v>0</v>
      </c>
      <c r="X866" s="29">
        <v>0</v>
      </c>
      <c r="Y866" s="29">
        <v>0</v>
      </c>
      <c r="Z866" s="29">
        <v>0</v>
      </c>
      <c r="AA866" s="29">
        <v>0</v>
      </c>
      <c r="AB866" s="29">
        <v>0</v>
      </c>
      <c r="AC866" s="29">
        <f>ROUND((E866+G866+H866+I866)*1.5%,2)</f>
        <v>48218.9</v>
      </c>
      <c r="AD866" s="29">
        <v>320000</v>
      </c>
      <c r="AE866" s="29">
        <v>0</v>
      </c>
      <c r="AF866" s="32">
        <v>2021</v>
      </c>
      <c r="AG866" s="32">
        <v>2021</v>
      </c>
      <c r="AH866" s="33">
        <v>2021</v>
      </c>
      <c r="AT866" s="18" t="e">
        <f>VLOOKUP(C866,AW:AX,2,FALSE)</f>
        <v>#N/A</v>
      </c>
      <c r="BZ866" s="61"/>
      <c r="CD866" s="18" t="e">
        <f>VLOOKUP(C866,CE:CF,2,FALSE)</f>
        <v>#N/A</v>
      </c>
    </row>
    <row r="867" spans="1:82" ht="61.5" x14ac:dyDescent="0.85">
      <c r="A867" s="18">
        <v>1</v>
      </c>
      <c r="B867" s="57">
        <f>SUBTOTAL(103,$A$558:A867)</f>
        <v>302</v>
      </c>
      <c r="C867" s="22" t="s">
        <v>1924</v>
      </c>
      <c r="D867" s="29">
        <f>E867+F867+G867+H867+I867+J867+L867+N867+P867+R867+T867+U867+V867+W867+X867+Y867+Z867+AA867+AB867+AC867+AD867+AE867</f>
        <v>977643.6</v>
      </c>
      <c r="E867" s="36">
        <v>0</v>
      </c>
      <c r="F867" s="36">
        <v>0</v>
      </c>
      <c r="G867" s="36">
        <v>0</v>
      </c>
      <c r="H867" s="36">
        <v>0</v>
      </c>
      <c r="I867" s="36">
        <v>815412.41</v>
      </c>
      <c r="J867" s="36">
        <v>0</v>
      </c>
      <c r="K867" s="75">
        <v>0</v>
      </c>
      <c r="L867" s="36">
        <v>0</v>
      </c>
      <c r="M867" s="29">
        <v>0</v>
      </c>
      <c r="N867" s="29">
        <v>0</v>
      </c>
      <c r="O867" s="29">
        <v>0</v>
      </c>
      <c r="P867" s="29">
        <v>0</v>
      </c>
      <c r="Q867" s="29">
        <v>0</v>
      </c>
      <c r="R867" s="29">
        <v>0</v>
      </c>
      <c r="S867" s="29">
        <v>0</v>
      </c>
      <c r="T867" s="29">
        <v>0</v>
      </c>
      <c r="U867" s="29">
        <v>0</v>
      </c>
      <c r="V867" s="29">
        <v>0</v>
      </c>
      <c r="W867" s="29">
        <v>0</v>
      </c>
      <c r="X867" s="29">
        <v>0</v>
      </c>
      <c r="Y867" s="29">
        <v>0</v>
      </c>
      <c r="Z867" s="29">
        <v>0</v>
      </c>
      <c r="AA867" s="29">
        <v>0</v>
      </c>
      <c r="AB867" s="29">
        <v>0</v>
      </c>
      <c r="AC867" s="29">
        <f>ROUND((E867+G867+H867+I867)*1.5%,2)</f>
        <v>12231.19</v>
      </c>
      <c r="AD867" s="29">
        <v>150000</v>
      </c>
      <c r="AE867" s="29">
        <v>0</v>
      </c>
      <c r="AF867" s="32">
        <v>2021</v>
      </c>
      <c r="AG867" s="32">
        <v>2021</v>
      </c>
      <c r="AH867" s="33">
        <v>2021</v>
      </c>
      <c r="AT867" s="18" t="e">
        <f>VLOOKUP(C867,AW:AX,2,FALSE)</f>
        <v>#N/A</v>
      </c>
      <c r="BZ867" s="61"/>
      <c r="CD867" s="18" t="e">
        <f>VLOOKUP(C867,CE:CF,2,FALSE)</f>
        <v>#N/A</v>
      </c>
    </row>
    <row r="868" spans="1:82" ht="61.5" x14ac:dyDescent="0.85">
      <c r="B868" s="22" t="s">
        <v>811</v>
      </c>
      <c r="C868" s="338"/>
      <c r="D868" s="339">
        <f t="shared" ref="D868:AE868" si="152">SUM(D869:D869)</f>
        <v>2579501.7000000002</v>
      </c>
      <c r="E868" s="29">
        <f t="shared" si="152"/>
        <v>0</v>
      </c>
      <c r="F868" s="29">
        <f t="shared" si="152"/>
        <v>0</v>
      </c>
      <c r="G868" s="29">
        <f t="shared" si="152"/>
        <v>0</v>
      </c>
      <c r="H868" s="29">
        <f t="shared" si="152"/>
        <v>0</v>
      </c>
      <c r="I868" s="29">
        <f t="shared" si="152"/>
        <v>0</v>
      </c>
      <c r="J868" s="29">
        <f t="shared" si="152"/>
        <v>0</v>
      </c>
      <c r="K868" s="31">
        <f t="shared" si="152"/>
        <v>0</v>
      </c>
      <c r="L868" s="29">
        <f t="shared" si="152"/>
        <v>0</v>
      </c>
      <c r="M868" s="29">
        <f t="shared" si="152"/>
        <v>1040</v>
      </c>
      <c r="N868" s="29">
        <f t="shared" si="152"/>
        <v>2393597.73</v>
      </c>
      <c r="O868" s="29">
        <f t="shared" si="152"/>
        <v>0</v>
      </c>
      <c r="P868" s="29">
        <f t="shared" si="152"/>
        <v>0</v>
      </c>
      <c r="Q868" s="29">
        <f t="shared" si="152"/>
        <v>0</v>
      </c>
      <c r="R868" s="29">
        <f t="shared" si="152"/>
        <v>0</v>
      </c>
      <c r="S868" s="29">
        <f t="shared" si="152"/>
        <v>0</v>
      </c>
      <c r="T868" s="29">
        <f t="shared" si="152"/>
        <v>0</v>
      </c>
      <c r="U868" s="29">
        <f t="shared" si="152"/>
        <v>0</v>
      </c>
      <c r="V868" s="29">
        <f t="shared" si="152"/>
        <v>0</v>
      </c>
      <c r="W868" s="29">
        <f t="shared" si="152"/>
        <v>0</v>
      </c>
      <c r="X868" s="29">
        <f t="shared" si="152"/>
        <v>0</v>
      </c>
      <c r="Y868" s="29">
        <f t="shared" si="152"/>
        <v>0</v>
      </c>
      <c r="Z868" s="29">
        <f t="shared" si="152"/>
        <v>0</v>
      </c>
      <c r="AA868" s="29">
        <f t="shared" si="152"/>
        <v>0</v>
      </c>
      <c r="AB868" s="29">
        <f t="shared" si="152"/>
        <v>0</v>
      </c>
      <c r="AC868" s="29">
        <f t="shared" si="152"/>
        <v>35903.97</v>
      </c>
      <c r="AD868" s="29">
        <f t="shared" si="152"/>
        <v>150000</v>
      </c>
      <c r="AE868" s="29">
        <f t="shared" si="152"/>
        <v>0</v>
      </c>
      <c r="AF868" s="62" t="s">
        <v>743</v>
      </c>
      <c r="AG868" s="62" t="s">
        <v>743</v>
      </c>
      <c r="AH868" s="77" t="s">
        <v>743</v>
      </c>
      <c r="AT868" s="18" t="e">
        <f>VLOOKUP(C868,AW:AX,2,FALSE)</f>
        <v>#N/A</v>
      </c>
      <c r="BZ868" s="61">
        <v>2579501.7000000002</v>
      </c>
      <c r="CD868" s="18" t="e">
        <f>VLOOKUP(C868,CE:CF,2,FALSE)</f>
        <v>#N/A</v>
      </c>
    </row>
    <row r="869" spans="1:82" ht="61.5" x14ac:dyDescent="0.85">
      <c r="A869" s="18">
        <v>1</v>
      </c>
      <c r="B869" s="57">
        <f>SUBTOTAL(103,$A$558:A869)</f>
        <v>303</v>
      </c>
      <c r="C869" s="22" t="s">
        <v>751</v>
      </c>
      <c r="D869" s="29">
        <f>E869+F869+G869+H869+I869+J869+L869+N869+P869+R869+T869+U869+V869+W869+X869+Y869+Z869+AA869+AB869+AC869+AD869+AE869</f>
        <v>2579501.7000000002</v>
      </c>
      <c r="E869" s="29">
        <v>0</v>
      </c>
      <c r="F869" s="29">
        <v>0</v>
      </c>
      <c r="G869" s="29">
        <v>0</v>
      </c>
      <c r="H869" s="29">
        <v>0</v>
      </c>
      <c r="I869" s="29">
        <v>0</v>
      </c>
      <c r="J869" s="29">
        <v>0</v>
      </c>
      <c r="K869" s="31">
        <v>0</v>
      </c>
      <c r="L869" s="29">
        <v>0</v>
      </c>
      <c r="M869" s="29">
        <v>1040</v>
      </c>
      <c r="N869" s="29">
        <v>2393597.73</v>
      </c>
      <c r="O869" s="29">
        <v>0</v>
      </c>
      <c r="P869" s="29">
        <v>0</v>
      </c>
      <c r="Q869" s="29">
        <v>0</v>
      </c>
      <c r="R869" s="29">
        <v>0</v>
      </c>
      <c r="S869" s="29">
        <v>0</v>
      </c>
      <c r="T869" s="29">
        <v>0</v>
      </c>
      <c r="U869" s="29">
        <v>0</v>
      </c>
      <c r="V869" s="29">
        <v>0</v>
      </c>
      <c r="W869" s="29">
        <v>0</v>
      </c>
      <c r="X869" s="29">
        <v>0</v>
      </c>
      <c r="Y869" s="29">
        <v>0</v>
      </c>
      <c r="Z869" s="29">
        <v>0</v>
      </c>
      <c r="AA869" s="29">
        <v>0</v>
      </c>
      <c r="AB869" s="29">
        <v>0</v>
      </c>
      <c r="AC869" s="29">
        <f>ROUND(N869*1.5%,2)</f>
        <v>35903.97</v>
      </c>
      <c r="AD869" s="29">
        <v>150000</v>
      </c>
      <c r="AE869" s="29">
        <v>0</v>
      </c>
      <c r="AF869" s="32">
        <v>2021</v>
      </c>
      <c r="AG869" s="32">
        <v>2021</v>
      </c>
      <c r="AH869" s="33">
        <v>2021</v>
      </c>
      <c r="AT869" s="18" t="e">
        <f>VLOOKUP(C869,AW:AX,2,FALSE)</f>
        <v>#N/A</v>
      </c>
      <c r="BZ869" s="61"/>
      <c r="CD869" s="18" t="e">
        <f>VLOOKUP(C869,CE:CF,2,FALSE)</f>
        <v>#N/A</v>
      </c>
    </row>
    <row r="870" spans="1:82" ht="61.5" x14ac:dyDescent="0.85">
      <c r="B870" s="22" t="s">
        <v>813</v>
      </c>
      <c r="C870" s="22"/>
      <c r="D870" s="339">
        <f t="shared" ref="D870:AE870" si="153">SUM(D871:D872)</f>
        <v>3008567.43</v>
      </c>
      <c r="E870" s="29">
        <f t="shared" si="153"/>
        <v>0</v>
      </c>
      <c r="F870" s="29">
        <f t="shared" si="153"/>
        <v>0</v>
      </c>
      <c r="G870" s="29">
        <f t="shared" si="153"/>
        <v>0</v>
      </c>
      <c r="H870" s="29">
        <f t="shared" si="153"/>
        <v>0</v>
      </c>
      <c r="I870" s="29">
        <f t="shared" si="153"/>
        <v>357402.65</v>
      </c>
      <c r="J870" s="29">
        <f t="shared" si="153"/>
        <v>0</v>
      </c>
      <c r="K870" s="31">
        <f t="shared" si="153"/>
        <v>0</v>
      </c>
      <c r="L870" s="29">
        <f t="shared" si="153"/>
        <v>0</v>
      </c>
      <c r="M870" s="29">
        <f t="shared" si="153"/>
        <v>646</v>
      </c>
      <c r="N870" s="29">
        <f t="shared" si="153"/>
        <v>2419511.06</v>
      </c>
      <c r="O870" s="29">
        <f t="shared" si="153"/>
        <v>0</v>
      </c>
      <c r="P870" s="29">
        <f t="shared" si="153"/>
        <v>0</v>
      </c>
      <c r="Q870" s="29">
        <f t="shared" si="153"/>
        <v>0</v>
      </c>
      <c r="R870" s="29">
        <f t="shared" si="153"/>
        <v>0</v>
      </c>
      <c r="S870" s="29">
        <f t="shared" si="153"/>
        <v>0</v>
      </c>
      <c r="T870" s="29">
        <f t="shared" si="153"/>
        <v>0</v>
      </c>
      <c r="U870" s="29">
        <f t="shared" si="153"/>
        <v>0</v>
      </c>
      <c r="V870" s="29">
        <f t="shared" si="153"/>
        <v>0</v>
      </c>
      <c r="W870" s="29">
        <f t="shared" si="153"/>
        <v>0</v>
      </c>
      <c r="X870" s="29">
        <f t="shared" si="153"/>
        <v>0</v>
      </c>
      <c r="Y870" s="29">
        <f t="shared" si="153"/>
        <v>0</v>
      </c>
      <c r="Z870" s="29">
        <f t="shared" si="153"/>
        <v>0</v>
      </c>
      <c r="AA870" s="29">
        <f t="shared" si="153"/>
        <v>0</v>
      </c>
      <c r="AB870" s="29">
        <f t="shared" si="153"/>
        <v>0</v>
      </c>
      <c r="AC870" s="29">
        <f t="shared" si="153"/>
        <v>41653.72</v>
      </c>
      <c r="AD870" s="29">
        <f t="shared" si="153"/>
        <v>190000</v>
      </c>
      <c r="AE870" s="29">
        <f t="shared" si="153"/>
        <v>0</v>
      </c>
      <c r="AF870" s="62" t="s">
        <v>743</v>
      </c>
      <c r="AG870" s="62" t="s">
        <v>743</v>
      </c>
      <c r="AH870" s="77" t="s">
        <v>743</v>
      </c>
      <c r="AT870" s="18" t="e">
        <f>VLOOKUP(C870,AW:AX,2,FALSE)</f>
        <v>#N/A</v>
      </c>
      <c r="BZ870" s="61">
        <v>3008567.42</v>
      </c>
      <c r="CD870" s="18" t="e">
        <f>VLOOKUP(C870,CE:CF,2,FALSE)</f>
        <v>#N/A</v>
      </c>
    </row>
    <row r="871" spans="1:82" ht="61.5" x14ac:dyDescent="0.85">
      <c r="A871" s="18">
        <v>1</v>
      </c>
      <c r="B871" s="57">
        <f>SUBTOTAL(103,$A$558:A871)</f>
        <v>304</v>
      </c>
      <c r="C871" s="22" t="s">
        <v>678</v>
      </c>
      <c r="D871" s="29">
        <f>E871+F871+G871+H871+I871+J871+L871+N871+P871+R871+T871+U871+V871+W871+X871+Y871+Z871+AA871+AB871+AC871+AD871+AE871</f>
        <v>2605803.7400000002</v>
      </c>
      <c r="E871" s="29">
        <v>0</v>
      </c>
      <c r="F871" s="29">
        <v>0</v>
      </c>
      <c r="G871" s="29">
        <v>0</v>
      </c>
      <c r="H871" s="29">
        <v>0</v>
      </c>
      <c r="I871" s="29">
        <v>0</v>
      </c>
      <c r="J871" s="29">
        <v>0</v>
      </c>
      <c r="K871" s="31">
        <v>0</v>
      </c>
      <c r="L871" s="29">
        <v>0</v>
      </c>
      <c r="M871" s="29">
        <v>646</v>
      </c>
      <c r="N871" s="29">
        <v>2419511.06</v>
      </c>
      <c r="O871" s="29">
        <v>0</v>
      </c>
      <c r="P871" s="29">
        <v>0</v>
      </c>
      <c r="Q871" s="29">
        <v>0</v>
      </c>
      <c r="R871" s="29">
        <v>0</v>
      </c>
      <c r="S871" s="29">
        <v>0</v>
      </c>
      <c r="T871" s="29">
        <v>0</v>
      </c>
      <c r="U871" s="29">
        <v>0</v>
      </c>
      <c r="V871" s="29">
        <v>0</v>
      </c>
      <c r="W871" s="29">
        <v>0</v>
      </c>
      <c r="X871" s="29">
        <v>0</v>
      </c>
      <c r="Y871" s="29">
        <v>0</v>
      </c>
      <c r="Z871" s="29">
        <v>0</v>
      </c>
      <c r="AA871" s="29">
        <v>0</v>
      </c>
      <c r="AB871" s="29">
        <v>0</v>
      </c>
      <c r="AC871" s="29">
        <f>ROUND(N871*1.5%,2)+0.01</f>
        <v>36292.68</v>
      </c>
      <c r="AD871" s="29">
        <v>150000</v>
      </c>
      <c r="AE871" s="29">
        <v>0</v>
      </c>
      <c r="AF871" s="32">
        <v>2021</v>
      </c>
      <c r="AG871" s="32">
        <v>2021</v>
      </c>
      <c r="AH871" s="33">
        <v>2021</v>
      </c>
      <c r="AT871" s="18" t="e">
        <f>VLOOKUP(C871,AW:AX,2,FALSE)</f>
        <v>#N/A</v>
      </c>
      <c r="BZ871" s="61"/>
      <c r="CD871" s="18" t="e">
        <f>VLOOKUP(C871,CE:CF,2,FALSE)</f>
        <v>#N/A</v>
      </c>
    </row>
    <row r="872" spans="1:82" ht="61.5" x14ac:dyDescent="0.85">
      <c r="A872" s="18">
        <v>1</v>
      </c>
      <c r="B872" s="57">
        <f>SUBTOTAL(103,$A$558:A872)</f>
        <v>305</v>
      </c>
      <c r="C872" s="22" t="s">
        <v>670</v>
      </c>
      <c r="D872" s="29">
        <f>E872+F872+G872+H872+I872+J872+L872+N872+P872+R872+T872+U872+V872+W872+X872+Y872+Z872+AA872+AB872+AC872+AD872+AE872</f>
        <v>402763.69</v>
      </c>
      <c r="E872" s="29">
        <v>0</v>
      </c>
      <c r="F872" s="29">
        <v>0</v>
      </c>
      <c r="G872" s="29">
        <v>0</v>
      </c>
      <c r="H872" s="29">
        <v>0</v>
      </c>
      <c r="I872" s="29">
        <v>357402.65</v>
      </c>
      <c r="J872" s="29">
        <v>0</v>
      </c>
      <c r="K872" s="31">
        <v>0</v>
      </c>
      <c r="L872" s="29">
        <v>0</v>
      </c>
      <c r="M872" s="29">
        <v>0</v>
      </c>
      <c r="N872" s="29">
        <v>0</v>
      </c>
      <c r="O872" s="29">
        <v>0</v>
      </c>
      <c r="P872" s="29">
        <v>0</v>
      </c>
      <c r="Q872" s="29">
        <v>0</v>
      </c>
      <c r="R872" s="29">
        <v>0</v>
      </c>
      <c r="S872" s="29">
        <v>0</v>
      </c>
      <c r="T872" s="29">
        <v>0</v>
      </c>
      <c r="U872" s="29">
        <v>0</v>
      </c>
      <c r="V872" s="29">
        <v>0</v>
      </c>
      <c r="W872" s="29">
        <v>0</v>
      </c>
      <c r="X872" s="29">
        <v>0</v>
      </c>
      <c r="Y872" s="29">
        <v>0</v>
      </c>
      <c r="Z872" s="29">
        <v>0</v>
      </c>
      <c r="AA872" s="29">
        <v>0</v>
      </c>
      <c r="AB872" s="29">
        <v>0</v>
      </c>
      <c r="AC872" s="29">
        <f>ROUND((E872+F872+G872+H872+I872+J872)*1.5%,2)</f>
        <v>5361.04</v>
      </c>
      <c r="AD872" s="29">
        <v>40000</v>
      </c>
      <c r="AE872" s="29">
        <v>0</v>
      </c>
      <c r="AF872" s="32">
        <v>2021</v>
      </c>
      <c r="AG872" s="32">
        <v>2021</v>
      </c>
      <c r="AH872" s="33">
        <v>2021</v>
      </c>
      <c r="AT872" s="18" t="e">
        <f>VLOOKUP(C872,AW:AX,2,FALSE)</f>
        <v>#N/A</v>
      </c>
      <c r="BZ872" s="61"/>
      <c r="CD872" s="18" t="e">
        <f>VLOOKUP(C872,CE:CF,2,FALSE)</f>
        <v>#N/A</v>
      </c>
    </row>
    <row r="873" spans="1:82" ht="61.5" x14ac:dyDescent="0.85">
      <c r="B873" s="22" t="s">
        <v>858</v>
      </c>
      <c r="C873" s="22"/>
      <c r="D873" s="339">
        <f t="shared" ref="D873:AE873" si="154">D874</f>
        <v>3080948</v>
      </c>
      <c r="E873" s="29">
        <f t="shared" si="154"/>
        <v>0</v>
      </c>
      <c r="F873" s="29">
        <f t="shared" si="154"/>
        <v>0</v>
      </c>
      <c r="G873" s="29">
        <f t="shared" si="154"/>
        <v>0</v>
      </c>
      <c r="H873" s="29">
        <f t="shared" si="154"/>
        <v>0</v>
      </c>
      <c r="I873" s="29">
        <f t="shared" si="154"/>
        <v>0</v>
      </c>
      <c r="J873" s="29">
        <f t="shared" si="154"/>
        <v>0</v>
      </c>
      <c r="K873" s="31">
        <f t="shared" si="154"/>
        <v>0</v>
      </c>
      <c r="L873" s="29">
        <f t="shared" si="154"/>
        <v>0</v>
      </c>
      <c r="M873" s="29">
        <f t="shared" si="154"/>
        <v>520</v>
      </c>
      <c r="N873" s="29">
        <f t="shared" si="154"/>
        <v>2887633.5</v>
      </c>
      <c r="O873" s="29">
        <f t="shared" si="154"/>
        <v>0</v>
      </c>
      <c r="P873" s="29">
        <f t="shared" si="154"/>
        <v>0</v>
      </c>
      <c r="Q873" s="29">
        <f t="shared" si="154"/>
        <v>0</v>
      </c>
      <c r="R873" s="29">
        <f t="shared" si="154"/>
        <v>0</v>
      </c>
      <c r="S873" s="29">
        <f t="shared" si="154"/>
        <v>0</v>
      </c>
      <c r="T873" s="29">
        <f t="shared" si="154"/>
        <v>0</v>
      </c>
      <c r="U873" s="29">
        <f t="shared" si="154"/>
        <v>0</v>
      </c>
      <c r="V873" s="29">
        <f t="shared" si="154"/>
        <v>0</v>
      </c>
      <c r="W873" s="29">
        <f t="shared" si="154"/>
        <v>0</v>
      </c>
      <c r="X873" s="29">
        <f t="shared" si="154"/>
        <v>0</v>
      </c>
      <c r="Y873" s="29">
        <f t="shared" si="154"/>
        <v>0</v>
      </c>
      <c r="Z873" s="29">
        <f t="shared" si="154"/>
        <v>0</v>
      </c>
      <c r="AA873" s="29">
        <f t="shared" si="154"/>
        <v>0</v>
      </c>
      <c r="AB873" s="29">
        <f t="shared" si="154"/>
        <v>0</v>
      </c>
      <c r="AC873" s="29">
        <f t="shared" si="154"/>
        <v>43314.5</v>
      </c>
      <c r="AD873" s="29">
        <f t="shared" si="154"/>
        <v>150000</v>
      </c>
      <c r="AE873" s="29">
        <f t="shared" si="154"/>
        <v>0</v>
      </c>
      <c r="AF873" s="62" t="s">
        <v>743</v>
      </c>
      <c r="AG873" s="62" t="s">
        <v>743</v>
      </c>
      <c r="AH873" s="77" t="s">
        <v>743</v>
      </c>
      <c r="AT873" s="18" t="e">
        <f>VLOOKUP(C873,AW:AX,2,FALSE)</f>
        <v>#N/A</v>
      </c>
      <c r="BZ873" s="61">
        <v>3080948</v>
      </c>
      <c r="CD873" s="18" t="e">
        <f>VLOOKUP(C873,CE:CF,2,FALSE)</f>
        <v>#N/A</v>
      </c>
    </row>
    <row r="874" spans="1:82" ht="61.5" x14ac:dyDescent="0.85">
      <c r="A874" s="18">
        <v>1</v>
      </c>
      <c r="B874" s="57">
        <f>SUBTOTAL(103,$A$558:A874)</f>
        <v>306</v>
      </c>
      <c r="C874" s="22" t="s">
        <v>664</v>
      </c>
      <c r="D874" s="29">
        <f>E874+F874+G874+H874+I874+J874+L874+N874+P874+R874+T874+U874+V874+W874+X874+Y874+Z874+AA874+AB874+AC874+AD874+AE874</f>
        <v>3080948</v>
      </c>
      <c r="E874" s="29">
        <v>0</v>
      </c>
      <c r="F874" s="29">
        <v>0</v>
      </c>
      <c r="G874" s="29">
        <v>0</v>
      </c>
      <c r="H874" s="29">
        <v>0</v>
      </c>
      <c r="I874" s="29">
        <v>0</v>
      </c>
      <c r="J874" s="29">
        <v>0</v>
      </c>
      <c r="K874" s="31">
        <v>0</v>
      </c>
      <c r="L874" s="29">
        <v>0</v>
      </c>
      <c r="M874" s="29">
        <v>520</v>
      </c>
      <c r="N874" s="29">
        <v>2887633.5</v>
      </c>
      <c r="O874" s="29">
        <v>0</v>
      </c>
      <c r="P874" s="29">
        <v>0</v>
      </c>
      <c r="Q874" s="29">
        <v>0</v>
      </c>
      <c r="R874" s="29">
        <v>0</v>
      </c>
      <c r="S874" s="29">
        <v>0</v>
      </c>
      <c r="T874" s="29">
        <v>0</v>
      </c>
      <c r="U874" s="29">
        <v>0</v>
      </c>
      <c r="V874" s="29">
        <v>0</v>
      </c>
      <c r="W874" s="29">
        <v>0</v>
      </c>
      <c r="X874" s="29">
        <v>0</v>
      </c>
      <c r="Y874" s="29">
        <v>0</v>
      </c>
      <c r="Z874" s="29">
        <v>0</v>
      </c>
      <c r="AA874" s="29">
        <v>0</v>
      </c>
      <c r="AB874" s="29">
        <v>0</v>
      </c>
      <c r="AC874" s="29">
        <f>ROUND(N874*1.5%,2)</f>
        <v>43314.5</v>
      </c>
      <c r="AD874" s="29">
        <v>150000</v>
      </c>
      <c r="AE874" s="29">
        <v>0</v>
      </c>
      <c r="AF874" s="32">
        <v>2021</v>
      </c>
      <c r="AG874" s="32">
        <v>2021</v>
      </c>
      <c r="AH874" s="33">
        <v>2021</v>
      </c>
      <c r="AT874" s="18" t="e">
        <f>VLOOKUP(C874,AW:AX,2,FALSE)</f>
        <v>#N/A</v>
      </c>
      <c r="BZ874" s="61"/>
      <c r="CD874" s="18" t="e">
        <f>VLOOKUP(C874,CE:CF,2,FALSE)</f>
        <v>#N/A</v>
      </c>
    </row>
    <row r="875" spans="1:82" ht="61.5" x14ac:dyDescent="0.85">
      <c r="B875" s="22" t="s">
        <v>814</v>
      </c>
      <c r="C875" s="22"/>
      <c r="D875" s="339">
        <f>D876</f>
        <v>2008998.15</v>
      </c>
      <c r="E875" s="29">
        <f t="shared" ref="E875:AE875" si="155">E876</f>
        <v>0</v>
      </c>
      <c r="F875" s="29">
        <f t="shared" si="155"/>
        <v>0</v>
      </c>
      <c r="G875" s="29">
        <f t="shared" si="155"/>
        <v>0</v>
      </c>
      <c r="H875" s="29">
        <f t="shared" si="155"/>
        <v>0</v>
      </c>
      <c r="I875" s="29">
        <f t="shared" si="155"/>
        <v>0</v>
      </c>
      <c r="J875" s="29">
        <f t="shared" si="155"/>
        <v>0</v>
      </c>
      <c r="K875" s="31">
        <f t="shared" si="155"/>
        <v>0</v>
      </c>
      <c r="L875" s="29">
        <f t="shared" si="155"/>
        <v>0</v>
      </c>
      <c r="M875" s="29">
        <f t="shared" si="155"/>
        <v>812</v>
      </c>
      <c r="N875" s="29">
        <f t="shared" si="155"/>
        <v>1851229.7</v>
      </c>
      <c r="O875" s="29">
        <f t="shared" si="155"/>
        <v>0</v>
      </c>
      <c r="P875" s="29">
        <f t="shared" si="155"/>
        <v>0</v>
      </c>
      <c r="Q875" s="29">
        <f t="shared" si="155"/>
        <v>0</v>
      </c>
      <c r="R875" s="29">
        <f t="shared" si="155"/>
        <v>0</v>
      </c>
      <c r="S875" s="29">
        <f t="shared" si="155"/>
        <v>0</v>
      </c>
      <c r="T875" s="29">
        <f t="shared" si="155"/>
        <v>0</v>
      </c>
      <c r="U875" s="29">
        <f t="shared" si="155"/>
        <v>0</v>
      </c>
      <c r="V875" s="29">
        <f t="shared" si="155"/>
        <v>0</v>
      </c>
      <c r="W875" s="29">
        <f t="shared" si="155"/>
        <v>0</v>
      </c>
      <c r="X875" s="29">
        <f t="shared" si="155"/>
        <v>0</v>
      </c>
      <c r="Y875" s="29">
        <f t="shared" si="155"/>
        <v>0</v>
      </c>
      <c r="Z875" s="29">
        <f t="shared" si="155"/>
        <v>0</v>
      </c>
      <c r="AA875" s="29">
        <f t="shared" si="155"/>
        <v>0</v>
      </c>
      <c r="AB875" s="29">
        <f t="shared" si="155"/>
        <v>0</v>
      </c>
      <c r="AC875" s="29">
        <f t="shared" si="155"/>
        <v>27768.45</v>
      </c>
      <c r="AD875" s="29">
        <f t="shared" si="155"/>
        <v>130000</v>
      </c>
      <c r="AE875" s="29">
        <f t="shared" si="155"/>
        <v>0</v>
      </c>
      <c r="AF875" s="62" t="s">
        <v>743</v>
      </c>
      <c r="AG875" s="62" t="s">
        <v>743</v>
      </c>
      <c r="AH875" s="77" t="s">
        <v>743</v>
      </c>
      <c r="AT875" s="18" t="e">
        <f>VLOOKUP(C875,AW:AX,2,FALSE)</f>
        <v>#N/A</v>
      </c>
      <c r="BZ875" s="61">
        <v>2000000</v>
      </c>
      <c r="CD875" s="18" t="e">
        <f>VLOOKUP(C875,CE:CF,2,FALSE)</f>
        <v>#N/A</v>
      </c>
    </row>
    <row r="876" spans="1:82" ht="61.5" x14ac:dyDescent="0.85">
      <c r="A876" s="18">
        <v>1</v>
      </c>
      <c r="B876" s="57">
        <f>SUBTOTAL(103,$A$558:A876)</f>
        <v>307</v>
      </c>
      <c r="C876" s="91" t="s">
        <v>671</v>
      </c>
      <c r="D876" s="29">
        <f>E876+F876+G876+H876+I876+J876+L876+N876+P876+R876+T876+U876+V876+W876+X876+Y876+Z876+AA876+AB876+AC876+AD876+AE876</f>
        <v>2008998.15</v>
      </c>
      <c r="E876" s="29">
        <v>0</v>
      </c>
      <c r="F876" s="29">
        <v>0</v>
      </c>
      <c r="G876" s="29">
        <v>0</v>
      </c>
      <c r="H876" s="29">
        <v>0</v>
      </c>
      <c r="I876" s="29">
        <v>0</v>
      </c>
      <c r="J876" s="29">
        <v>0</v>
      </c>
      <c r="K876" s="31">
        <v>0</v>
      </c>
      <c r="L876" s="29">
        <v>0</v>
      </c>
      <c r="M876" s="29">
        <v>812</v>
      </c>
      <c r="N876" s="29">
        <f>1842364.53+8865.17</f>
        <v>1851229.7</v>
      </c>
      <c r="O876" s="29">
        <v>0</v>
      </c>
      <c r="P876" s="29">
        <v>0</v>
      </c>
      <c r="Q876" s="29">
        <v>0</v>
      </c>
      <c r="R876" s="29">
        <v>0</v>
      </c>
      <c r="S876" s="29">
        <v>0</v>
      </c>
      <c r="T876" s="29">
        <v>0</v>
      </c>
      <c r="U876" s="29">
        <v>0</v>
      </c>
      <c r="V876" s="29">
        <v>0</v>
      </c>
      <c r="W876" s="29">
        <v>0</v>
      </c>
      <c r="X876" s="29">
        <v>0</v>
      </c>
      <c r="Y876" s="29">
        <v>0</v>
      </c>
      <c r="Z876" s="29">
        <v>0</v>
      </c>
      <c r="AA876" s="29">
        <v>0</v>
      </c>
      <c r="AB876" s="29">
        <v>0</v>
      </c>
      <c r="AC876" s="29">
        <f>ROUND(N876*1.5%,2)</f>
        <v>27768.45</v>
      </c>
      <c r="AD876" s="29">
        <v>130000</v>
      </c>
      <c r="AE876" s="29">
        <v>0</v>
      </c>
      <c r="AF876" s="32">
        <v>2021</v>
      </c>
      <c r="AG876" s="32">
        <v>2021</v>
      </c>
      <c r="AH876" s="33">
        <v>2021</v>
      </c>
      <c r="AT876" s="18" t="e">
        <f>VLOOKUP(C876,AW:AX,2,FALSE)</f>
        <v>#N/A</v>
      </c>
      <c r="BZ876" s="61"/>
      <c r="CD876" s="18" t="e">
        <f>VLOOKUP(C876,CE:CF,2,FALSE)</f>
        <v>#N/A</v>
      </c>
    </row>
    <row r="877" spans="1:82" ht="61.5" x14ac:dyDescent="0.85">
      <c r="B877" s="22" t="s">
        <v>815</v>
      </c>
      <c r="C877" s="22"/>
      <c r="D877" s="339">
        <f t="shared" ref="D877:AE877" si="156">SUM(D878:D893)</f>
        <v>57491241.360000007</v>
      </c>
      <c r="E877" s="29">
        <f t="shared" si="156"/>
        <v>0</v>
      </c>
      <c r="F877" s="29">
        <f t="shared" si="156"/>
        <v>0</v>
      </c>
      <c r="G877" s="29">
        <f t="shared" si="156"/>
        <v>0</v>
      </c>
      <c r="H877" s="29">
        <f t="shared" si="156"/>
        <v>0</v>
      </c>
      <c r="I877" s="29">
        <f t="shared" si="156"/>
        <v>0</v>
      </c>
      <c r="J877" s="29">
        <f t="shared" si="156"/>
        <v>0</v>
      </c>
      <c r="K877" s="31">
        <f t="shared" si="156"/>
        <v>2</v>
      </c>
      <c r="L877" s="29">
        <f t="shared" si="156"/>
        <v>4485345.6100000003</v>
      </c>
      <c r="M877" s="29">
        <f t="shared" si="156"/>
        <v>10031.5</v>
      </c>
      <c r="N877" s="29">
        <f t="shared" si="156"/>
        <v>43226679.710000001</v>
      </c>
      <c r="O877" s="29">
        <f t="shared" si="156"/>
        <v>0</v>
      </c>
      <c r="P877" s="29">
        <f t="shared" si="156"/>
        <v>0</v>
      </c>
      <c r="Q877" s="29">
        <f t="shared" si="156"/>
        <v>3354</v>
      </c>
      <c r="R877" s="29">
        <f t="shared" si="156"/>
        <v>5073900.45</v>
      </c>
      <c r="S877" s="29">
        <f t="shared" si="156"/>
        <v>62</v>
      </c>
      <c r="T877" s="29">
        <f t="shared" si="156"/>
        <v>2276041.94</v>
      </c>
      <c r="U877" s="29">
        <f t="shared" si="156"/>
        <v>0</v>
      </c>
      <c r="V877" s="29">
        <f t="shared" si="156"/>
        <v>0</v>
      </c>
      <c r="W877" s="29">
        <f t="shared" si="156"/>
        <v>0</v>
      </c>
      <c r="X877" s="29">
        <f t="shared" si="156"/>
        <v>0</v>
      </c>
      <c r="Y877" s="29">
        <f t="shared" si="156"/>
        <v>0</v>
      </c>
      <c r="Z877" s="29">
        <f t="shared" si="156"/>
        <v>0</v>
      </c>
      <c r="AA877" s="29">
        <f t="shared" si="156"/>
        <v>0</v>
      </c>
      <c r="AB877" s="29">
        <f t="shared" si="156"/>
        <v>0</v>
      </c>
      <c r="AC877" s="29">
        <f t="shared" si="156"/>
        <v>758649.33000000031</v>
      </c>
      <c r="AD877" s="29">
        <f t="shared" si="156"/>
        <v>1310624.32</v>
      </c>
      <c r="AE877" s="29">
        <f t="shared" si="156"/>
        <v>360000</v>
      </c>
      <c r="AF877" s="62" t="s">
        <v>743</v>
      </c>
      <c r="AG877" s="62" t="s">
        <v>743</v>
      </c>
      <c r="AH877" s="77" t="s">
        <v>743</v>
      </c>
      <c r="AT877" s="18" t="e">
        <f>VLOOKUP(C877,AW:AX,2,FALSE)</f>
        <v>#N/A</v>
      </c>
      <c r="BZ877" s="61">
        <v>23342012.82</v>
      </c>
      <c r="CD877" s="18" t="e">
        <f>VLOOKUP(C877,CE:CF,2,FALSE)</f>
        <v>#N/A</v>
      </c>
    </row>
    <row r="878" spans="1:82" ht="61.5" x14ac:dyDescent="0.85">
      <c r="A878" s="18">
        <v>1</v>
      </c>
      <c r="B878" s="57">
        <f>SUBTOTAL(103,$A$558:A878)</f>
        <v>308</v>
      </c>
      <c r="C878" s="22" t="s">
        <v>661</v>
      </c>
      <c r="D878" s="29">
        <f t="shared" ref="D878:D885" si="157">E878+F878+G878+H878+I878+J878+L878+N878+P878+R878+T878+U878+V878+W878+X878+Y878+Z878+AA878+AB878+AC878+AD878+AE878</f>
        <v>2492137.06</v>
      </c>
      <c r="E878" s="29">
        <v>0</v>
      </c>
      <c r="F878" s="29">
        <v>0</v>
      </c>
      <c r="G878" s="29">
        <v>0</v>
      </c>
      <c r="H878" s="29">
        <v>0</v>
      </c>
      <c r="I878" s="29">
        <v>0</v>
      </c>
      <c r="J878" s="29">
        <v>0</v>
      </c>
      <c r="K878" s="31">
        <v>0</v>
      </c>
      <c r="L878" s="29">
        <v>0</v>
      </c>
      <c r="M878" s="29">
        <v>0</v>
      </c>
      <c r="N878" s="29">
        <v>0</v>
      </c>
      <c r="O878" s="29">
        <v>0</v>
      </c>
      <c r="P878" s="29">
        <v>0</v>
      </c>
      <c r="Q878" s="29">
        <v>2768.5</v>
      </c>
      <c r="R878" s="29">
        <v>2307055.62</v>
      </c>
      <c r="S878" s="29">
        <v>0</v>
      </c>
      <c r="T878" s="29">
        <v>0</v>
      </c>
      <c r="U878" s="29">
        <v>0</v>
      </c>
      <c r="V878" s="29">
        <v>0</v>
      </c>
      <c r="W878" s="29">
        <v>0</v>
      </c>
      <c r="X878" s="29">
        <v>0</v>
      </c>
      <c r="Y878" s="29">
        <v>0</v>
      </c>
      <c r="Z878" s="29">
        <v>0</v>
      </c>
      <c r="AA878" s="29">
        <v>0</v>
      </c>
      <c r="AB878" s="29">
        <v>0</v>
      </c>
      <c r="AC878" s="29">
        <f>ROUND(R878*1.5%,2)</f>
        <v>34605.83</v>
      </c>
      <c r="AD878" s="29">
        <v>150475.60999999999</v>
      </c>
      <c r="AE878" s="29">
        <v>0</v>
      </c>
      <c r="AF878" s="32">
        <v>2021</v>
      </c>
      <c r="AG878" s="32">
        <v>2021</v>
      </c>
      <c r="AH878" s="33">
        <v>2021</v>
      </c>
      <c r="AT878" s="18">
        <f>VLOOKUP(C878,AW:AX,2,FALSE)</f>
        <v>1</v>
      </c>
      <c r="BZ878" s="61"/>
      <c r="CD878" s="18" t="e">
        <f>VLOOKUP(C878,CE:CF,2,FALSE)</f>
        <v>#N/A</v>
      </c>
    </row>
    <row r="879" spans="1:82" ht="61.5" x14ac:dyDescent="0.85">
      <c r="A879" s="18">
        <v>1</v>
      </c>
      <c r="B879" s="57">
        <f>SUBTOTAL(103,$A$558:A879)</f>
        <v>309</v>
      </c>
      <c r="C879" s="22" t="s">
        <v>649</v>
      </c>
      <c r="D879" s="29">
        <f t="shared" si="157"/>
        <v>5297053.71</v>
      </c>
      <c r="E879" s="29">
        <v>0</v>
      </c>
      <c r="F879" s="29">
        <v>0</v>
      </c>
      <c r="G879" s="29">
        <v>0</v>
      </c>
      <c r="H879" s="29">
        <v>0</v>
      </c>
      <c r="I879" s="29">
        <v>0</v>
      </c>
      <c r="J879" s="29">
        <v>0</v>
      </c>
      <c r="K879" s="31">
        <v>0</v>
      </c>
      <c r="L879" s="29">
        <v>0</v>
      </c>
      <c r="M879" s="29">
        <v>1323</v>
      </c>
      <c r="N879" s="29">
        <v>5114076.47</v>
      </c>
      <c r="O879" s="29">
        <v>0</v>
      </c>
      <c r="P879" s="29">
        <v>0</v>
      </c>
      <c r="Q879" s="29">
        <v>0</v>
      </c>
      <c r="R879" s="29">
        <v>0</v>
      </c>
      <c r="S879" s="29">
        <v>0</v>
      </c>
      <c r="T879" s="29">
        <v>0</v>
      </c>
      <c r="U879" s="29">
        <v>0</v>
      </c>
      <c r="V879" s="29">
        <v>0</v>
      </c>
      <c r="W879" s="29">
        <v>0</v>
      </c>
      <c r="X879" s="29">
        <v>0</v>
      </c>
      <c r="Y879" s="29">
        <v>0</v>
      </c>
      <c r="Z879" s="29">
        <v>0</v>
      </c>
      <c r="AA879" s="29">
        <v>0</v>
      </c>
      <c r="AB879" s="29">
        <v>0</v>
      </c>
      <c r="AC879" s="29">
        <f t="shared" ref="AC879:AC884" si="158">ROUND(N879*1.5%,2)</f>
        <v>76711.149999999994</v>
      </c>
      <c r="AD879" s="29">
        <v>106266.09</v>
      </c>
      <c r="AE879" s="29">
        <v>0</v>
      </c>
      <c r="AF879" s="32">
        <v>2021</v>
      </c>
      <c r="AG879" s="32">
        <v>2021</v>
      </c>
      <c r="AH879" s="33">
        <v>2021</v>
      </c>
      <c r="AT879" s="18" t="e">
        <f>VLOOKUP(C879,AW:AX,2,FALSE)</f>
        <v>#N/A</v>
      </c>
      <c r="BZ879" s="61"/>
      <c r="CD879" s="18" t="e">
        <f>VLOOKUP(C879,CE:CF,2,FALSE)</f>
        <v>#N/A</v>
      </c>
    </row>
    <row r="880" spans="1:82" ht="61.5" x14ac:dyDescent="0.85">
      <c r="A880" s="18">
        <v>1</v>
      </c>
      <c r="B880" s="57">
        <f>SUBTOTAL(103,$A$558:A880)</f>
        <v>310</v>
      </c>
      <c r="C880" s="22" t="s">
        <v>677</v>
      </c>
      <c r="D880" s="29">
        <f t="shared" si="157"/>
        <v>4028011.96</v>
      </c>
      <c r="E880" s="29">
        <v>0</v>
      </c>
      <c r="F880" s="29">
        <v>0</v>
      </c>
      <c r="G880" s="29">
        <v>0</v>
      </c>
      <c r="H880" s="29">
        <v>0</v>
      </c>
      <c r="I880" s="29">
        <v>0</v>
      </c>
      <c r="J880" s="29">
        <v>0</v>
      </c>
      <c r="K880" s="31">
        <v>0</v>
      </c>
      <c r="L880" s="29">
        <v>0</v>
      </c>
      <c r="M880" s="29">
        <v>856</v>
      </c>
      <c r="N880" s="29">
        <v>3865028.57</v>
      </c>
      <c r="O880" s="29">
        <v>0</v>
      </c>
      <c r="P880" s="29">
        <v>0</v>
      </c>
      <c r="Q880" s="29">
        <v>0</v>
      </c>
      <c r="R880" s="29">
        <v>0</v>
      </c>
      <c r="S880" s="29">
        <v>0</v>
      </c>
      <c r="T880" s="29">
        <v>0</v>
      </c>
      <c r="U880" s="29">
        <v>0</v>
      </c>
      <c r="V880" s="29">
        <v>0</v>
      </c>
      <c r="W880" s="29">
        <v>0</v>
      </c>
      <c r="X880" s="29">
        <v>0</v>
      </c>
      <c r="Y880" s="29">
        <v>0</v>
      </c>
      <c r="Z880" s="29">
        <v>0</v>
      </c>
      <c r="AA880" s="29">
        <v>0</v>
      </c>
      <c r="AB880" s="29">
        <v>0</v>
      </c>
      <c r="AC880" s="29">
        <f t="shared" si="158"/>
        <v>57975.43</v>
      </c>
      <c r="AD880" s="29">
        <v>105007.96</v>
      </c>
      <c r="AE880" s="29">
        <v>0</v>
      </c>
      <c r="AF880" s="32">
        <v>2021</v>
      </c>
      <c r="AG880" s="32">
        <v>2021</v>
      </c>
      <c r="AH880" s="33">
        <v>2021</v>
      </c>
      <c r="AT880" s="18" t="e">
        <f>VLOOKUP(C880,AW:AX,2,FALSE)</f>
        <v>#N/A</v>
      </c>
      <c r="BZ880" s="61"/>
      <c r="CD880" s="18" t="e">
        <f>VLOOKUP(C880,CE:CF,2,FALSE)</f>
        <v>#N/A</v>
      </c>
    </row>
    <row r="881" spans="1:82" ht="61.5" x14ac:dyDescent="0.85">
      <c r="A881" s="18">
        <v>1</v>
      </c>
      <c r="B881" s="57">
        <f>SUBTOTAL(103,$A$558:A881)</f>
        <v>311</v>
      </c>
      <c r="C881" s="22" t="s">
        <v>654</v>
      </c>
      <c r="D881" s="29">
        <f t="shared" si="157"/>
        <v>6197254.7200000007</v>
      </c>
      <c r="E881" s="29">
        <v>0</v>
      </c>
      <c r="F881" s="29">
        <v>0</v>
      </c>
      <c r="G881" s="29">
        <v>0</v>
      </c>
      <c r="H881" s="29">
        <v>0</v>
      </c>
      <c r="I881" s="29">
        <v>0</v>
      </c>
      <c r="J881" s="29">
        <v>0</v>
      </c>
      <c r="K881" s="31">
        <v>0</v>
      </c>
      <c r="L881" s="29">
        <v>0</v>
      </c>
      <c r="M881" s="29">
        <v>1358</v>
      </c>
      <c r="N881" s="28">
        <f>6250976.03-309350.64-39634.61</f>
        <v>5901990.7800000003</v>
      </c>
      <c r="O881" s="29">
        <v>0</v>
      </c>
      <c r="P881" s="29">
        <v>0</v>
      </c>
      <c r="Q881" s="29">
        <v>0</v>
      </c>
      <c r="R881" s="29">
        <v>0</v>
      </c>
      <c r="S881" s="29">
        <v>0</v>
      </c>
      <c r="T881" s="29">
        <v>0</v>
      </c>
      <c r="U881" s="29">
        <v>0</v>
      </c>
      <c r="V881" s="29">
        <v>0</v>
      </c>
      <c r="W881" s="29">
        <v>0</v>
      </c>
      <c r="X881" s="29">
        <v>0</v>
      </c>
      <c r="Y881" s="29">
        <v>0</v>
      </c>
      <c r="Z881" s="29">
        <v>0</v>
      </c>
      <c r="AA881" s="29">
        <v>0</v>
      </c>
      <c r="AB881" s="29">
        <v>0</v>
      </c>
      <c r="AC881" s="29">
        <f t="shared" si="158"/>
        <v>88529.86</v>
      </c>
      <c r="AD881" s="29">
        <v>206734.07999999999</v>
      </c>
      <c r="AE881" s="29">
        <v>0</v>
      </c>
      <c r="AF881" s="32">
        <v>2021</v>
      </c>
      <c r="AG881" s="32">
        <v>2021</v>
      </c>
      <c r="AH881" s="33">
        <v>2021</v>
      </c>
      <c r="AT881" s="18" t="e">
        <f>VLOOKUP(C881,AW:AX,2,FALSE)</f>
        <v>#N/A</v>
      </c>
      <c r="BZ881" s="61"/>
      <c r="CD881" s="18" t="e">
        <f>VLOOKUP(C881,CE:CF,2,FALSE)</f>
        <v>#N/A</v>
      </c>
    </row>
    <row r="882" spans="1:82" ht="61.5" x14ac:dyDescent="0.85">
      <c r="A882" s="18">
        <v>1</v>
      </c>
      <c r="B882" s="57">
        <f>SUBTOTAL(103,$A$558:A882)</f>
        <v>312</v>
      </c>
      <c r="C882" s="22" t="s">
        <v>659</v>
      </c>
      <c r="D882" s="29">
        <f t="shared" si="157"/>
        <v>4458567.82</v>
      </c>
      <c r="E882" s="29">
        <v>0</v>
      </c>
      <c r="F882" s="29">
        <v>0</v>
      </c>
      <c r="G882" s="29">
        <v>0</v>
      </c>
      <c r="H882" s="29">
        <v>0</v>
      </c>
      <c r="I882" s="29">
        <v>0</v>
      </c>
      <c r="J882" s="29">
        <v>0</v>
      </c>
      <c r="K882" s="31">
        <v>0</v>
      </c>
      <c r="L882" s="29">
        <v>0</v>
      </c>
      <c r="M882" s="29">
        <v>930</v>
      </c>
      <c r="N882" s="28">
        <v>4280859.87</v>
      </c>
      <c r="O882" s="29">
        <v>0</v>
      </c>
      <c r="P882" s="29">
        <v>0</v>
      </c>
      <c r="Q882" s="29">
        <v>0</v>
      </c>
      <c r="R882" s="29">
        <v>0</v>
      </c>
      <c r="S882" s="29">
        <v>0</v>
      </c>
      <c r="T882" s="29">
        <v>0</v>
      </c>
      <c r="U882" s="29">
        <v>0</v>
      </c>
      <c r="V882" s="29">
        <v>0</v>
      </c>
      <c r="W882" s="29">
        <v>0</v>
      </c>
      <c r="X882" s="29">
        <v>0</v>
      </c>
      <c r="Y882" s="29">
        <v>0</v>
      </c>
      <c r="Z882" s="29">
        <v>0</v>
      </c>
      <c r="AA882" s="29">
        <v>0</v>
      </c>
      <c r="AB882" s="29">
        <v>0</v>
      </c>
      <c r="AC882" s="29">
        <f t="shared" si="158"/>
        <v>64212.9</v>
      </c>
      <c r="AD882" s="29">
        <v>113495.05</v>
      </c>
      <c r="AE882" s="29">
        <v>0</v>
      </c>
      <c r="AF882" s="32">
        <v>2021</v>
      </c>
      <c r="AG882" s="32">
        <v>2021</v>
      </c>
      <c r="AH882" s="33">
        <v>2021</v>
      </c>
      <c r="AT882" s="18" t="e">
        <f>VLOOKUP(C882,AW:AX,2,FALSE)</f>
        <v>#N/A</v>
      </c>
      <c r="BZ882" s="61"/>
      <c r="CD882" s="18" t="e">
        <f>VLOOKUP(C882,CE:CF,2,FALSE)</f>
        <v>#N/A</v>
      </c>
    </row>
    <row r="883" spans="1:82" ht="61.5" x14ac:dyDescent="0.85">
      <c r="A883" s="18">
        <v>1</v>
      </c>
      <c r="B883" s="57">
        <f>SUBTOTAL(103,$A$558:A883)</f>
        <v>313</v>
      </c>
      <c r="C883" s="22" t="s">
        <v>658</v>
      </c>
      <c r="D883" s="29">
        <f t="shared" si="157"/>
        <v>3103798.52</v>
      </c>
      <c r="E883" s="29">
        <v>0</v>
      </c>
      <c r="F883" s="29">
        <v>0</v>
      </c>
      <c r="G883" s="29">
        <v>0</v>
      </c>
      <c r="H883" s="29">
        <v>0</v>
      </c>
      <c r="I883" s="29">
        <v>0</v>
      </c>
      <c r="J883" s="29">
        <v>0</v>
      </c>
      <c r="K883" s="31">
        <v>0</v>
      </c>
      <c r="L883" s="29">
        <v>0</v>
      </c>
      <c r="M883" s="29">
        <v>840</v>
      </c>
      <c r="N883" s="29">
        <v>2940000</v>
      </c>
      <c r="O883" s="29">
        <v>0</v>
      </c>
      <c r="P883" s="29">
        <v>0</v>
      </c>
      <c r="Q883" s="29">
        <v>0</v>
      </c>
      <c r="R883" s="29">
        <v>0</v>
      </c>
      <c r="S883" s="29">
        <v>0</v>
      </c>
      <c r="T883" s="29">
        <v>0</v>
      </c>
      <c r="U883" s="29">
        <v>0</v>
      </c>
      <c r="V883" s="29">
        <v>0</v>
      </c>
      <c r="W883" s="29">
        <v>0</v>
      </c>
      <c r="X883" s="29">
        <v>0</v>
      </c>
      <c r="Y883" s="29">
        <v>0</v>
      </c>
      <c r="Z883" s="29">
        <v>0</v>
      </c>
      <c r="AA883" s="29">
        <v>0</v>
      </c>
      <c r="AB883" s="29">
        <v>0</v>
      </c>
      <c r="AC883" s="29">
        <f t="shared" si="158"/>
        <v>44100</v>
      </c>
      <c r="AD883" s="29">
        <v>119698.52</v>
      </c>
      <c r="AE883" s="29">
        <v>0</v>
      </c>
      <c r="AF883" s="32">
        <v>2021</v>
      </c>
      <c r="AG883" s="32">
        <v>2021</v>
      </c>
      <c r="AH883" s="33">
        <v>2021</v>
      </c>
      <c r="AT883" s="18" t="e">
        <f>VLOOKUP(C883,AW:AX,2,FALSE)</f>
        <v>#N/A</v>
      </c>
      <c r="BZ883" s="61"/>
      <c r="CD883" s="18" t="e">
        <f>VLOOKUP(C883,CE:CF,2,FALSE)</f>
        <v>#N/A</v>
      </c>
    </row>
    <row r="884" spans="1:82" ht="61.5" x14ac:dyDescent="0.85">
      <c r="A884" s="18">
        <v>1</v>
      </c>
      <c r="B884" s="57">
        <f>SUBTOTAL(103,$A$558:A884)</f>
        <v>314</v>
      </c>
      <c r="C884" s="22" t="s">
        <v>1188</v>
      </c>
      <c r="D884" s="29">
        <f t="shared" si="157"/>
        <v>1859292.57</v>
      </c>
      <c r="E884" s="36">
        <v>0</v>
      </c>
      <c r="F884" s="36">
        <v>0</v>
      </c>
      <c r="G884" s="29">
        <v>0</v>
      </c>
      <c r="H884" s="36">
        <v>0</v>
      </c>
      <c r="I884" s="36">
        <v>0</v>
      </c>
      <c r="J884" s="36">
        <v>0</v>
      </c>
      <c r="K884" s="31">
        <v>0</v>
      </c>
      <c r="L884" s="29">
        <v>0</v>
      </c>
      <c r="M884" s="37">
        <v>407.8</v>
      </c>
      <c r="N884" s="37">
        <v>1713588.74</v>
      </c>
      <c r="O884" s="36">
        <v>0</v>
      </c>
      <c r="P884" s="36">
        <v>0</v>
      </c>
      <c r="Q884" s="29">
        <v>0</v>
      </c>
      <c r="R884" s="29">
        <v>0</v>
      </c>
      <c r="S884" s="29">
        <v>0</v>
      </c>
      <c r="T884" s="29">
        <v>0</v>
      </c>
      <c r="U884" s="29">
        <v>0</v>
      </c>
      <c r="V884" s="29">
        <v>0</v>
      </c>
      <c r="W884" s="29">
        <v>0</v>
      </c>
      <c r="X884" s="29">
        <v>0</v>
      </c>
      <c r="Y884" s="29">
        <v>0</v>
      </c>
      <c r="Z884" s="29">
        <v>0</v>
      </c>
      <c r="AA884" s="29">
        <v>0</v>
      </c>
      <c r="AB884" s="29">
        <v>0</v>
      </c>
      <c r="AC884" s="29">
        <f t="shared" si="158"/>
        <v>25703.83</v>
      </c>
      <c r="AD884" s="29">
        <v>0</v>
      </c>
      <c r="AE884" s="29">
        <v>120000</v>
      </c>
      <c r="AF884" s="32" t="s">
        <v>268</v>
      </c>
      <c r="AG884" s="32">
        <v>2021</v>
      </c>
      <c r="AH884" s="33">
        <v>2021</v>
      </c>
      <c r="BZ884" s="61"/>
      <c r="CD884" s="18">
        <f>VLOOKUP(C884,CE:CF,2,FALSE)</f>
        <v>407.8</v>
      </c>
    </row>
    <row r="885" spans="1:82" ht="61.5" x14ac:dyDescent="0.85">
      <c r="A885" s="18">
        <v>1</v>
      </c>
      <c r="B885" s="57">
        <f>SUBTOTAL(103,$A$558:A885)</f>
        <v>315</v>
      </c>
      <c r="C885" s="22" t="s">
        <v>663</v>
      </c>
      <c r="D885" s="29">
        <f t="shared" si="157"/>
        <v>1812677.05</v>
      </c>
      <c r="E885" s="36">
        <v>0</v>
      </c>
      <c r="F885" s="36">
        <v>0</v>
      </c>
      <c r="G885" s="29">
        <v>0</v>
      </c>
      <c r="H885" s="36">
        <v>0</v>
      </c>
      <c r="I885" s="36">
        <v>0</v>
      </c>
      <c r="J885" s="36">
        <v>0</v>
      </c>
      <c r="K885" s="31">
        <v>0</v>
      </c>
      <c r="L885" s="29">
        <v>0</v>
      </c>
      <c r="M885" s="37">
        <v>449.5</v>
      </c>
      <c r="N885" s="37">
        <v>1667662.12</v>
      </c>
      <c r="O885" s="36">
        <v>0</v>
      </c>
      <c r="P885" s="36">
        <v>0</v>
      </c>
      <c r="Q885" s="29">
        <v>0</v>
      </c>
      <c r="R885" s="29">
        <v>0</v>
      </c>
      <c r="S885" s="29">
        <v>0</v>
      </c>
      <c r="T885" s="29">
        <v>0</v>
      </c>
      <c r="U885" s="29">
        <v>0</v>
      </c>
      <c r="V885" s="29">
        <v>0</v>
      </c>
      <c r="W885" s="29">
        <v>0</v>
      </c>
      <c r="X885" s="29">
        <v>0</v>
      </c>
      <c r="Y885" s="29">
        <v>0</v>
      </c>
      <c r="Z885" s="29">
        <v>0</v>
      </c>
      <c r="AA885" s="29">
        <v>0</v>
      </c>
      <c r="AB885" s="29">
        <v>0</v>
      </c>
      <c r="AC885" s="29">
        <f>ROUND(N885*1.5%,2)</f>
        <v>25014.93</v>
      </c>
      <c r="AD885" s="29">
        <v>0</v>
      </c>
      <c r="AE885" s="29">
        <v>120000</v>
      </c>
      <c r="AF885" s="32" t="s">
        <v>268</v>
      </c>
      <c r="AG885" s="32">
        <v>2021</v>
      </c>
      <c r="AH885" s="33">
        <v>2021</v>
      </c>
      <c r="AT885" s="18" t="e">
        <f>VLOOKUP(C885,AW:AX,2,FALSE)</f>
        <v>#N/A</v>
      </c>
      <c r="BZ885" s="61"/>
      <c r="CD885" s="18" t="e">
        <f>VLOOKUP(C885,CE:CF,2,FALSE)</f>
        <v>#N/A</v>
      </c>
    </row>
    <row r="886" spans="1:82" ht="61.5" x14ac:dyDescent="0.85">
      <c r="A886" s="18">
        <v>1</v>
      </c>
      <c r="B886" s="57">
        <f>SUBTOTAL(103,$A$558:A886)</f>
        <v>316</v>
      </c>
      <c r="C886" s="22" t="s">
        <v>676</v>
      </c>
      <c r="D886" s="29">
        <f t="shared" ref="D886:D893" si="159">E886+F886+G886+H886+I886+J886+L886+N886+P886+R886+T886+U886+V886+W886+X886+Y886+Z886+AA886+AB886+AC886+AD886+AE886</f>
        <v>4559283.37</v>
      </c>
      <c r="E886" s="36">
        <v>0</v>
      </c>
      <c r="F886" s="36">
        <v>0</v>
      </c>
      <c r="G886" s="29">
        <v>0</v>
      </c>
      <c r="H886" s="36">
        <v>0</v>
      </c>
      <c r="I886" s="36">
        <v>0</v>
      </c>
      <c r="J886" s="36">
        <v>0</v>
      </c>
      <c r="K886" s="64">
        <v>0</v>
      </c>
      <c r="L886" s="29">
        <v>0</v>
      </c>
      <c r="M886" s="29">
        <v>870</v>
      </c>
      <c r="N886" s="29">
        <v>4491904.8</v>
      </c>
      <c r="O886" s="36">
        <v>0</v>
      </c>
      <c r="P886" s="36">
        <v>0</v>
      </c>
      <c r="Q886" s="29">
        <v>0</v>
      </c>
      <c r="R886" s="29">
        <v>0</v>
      </c>
      <c r="S886" s="29">
        <v>0</v>
      </c>
      <c r="T886" s="29">
        <v>0</v>
      </c>
      <c r="U886" s="29">
        <v>0</v>
      </c>
      <c r="V886" s="29">
        <v>0</v>
      </c>
      <c r="W886" s="29">
        <v>0</v>
      </c>
      <c r="X886" s="29">
        <v>0</v>
      </c>
      <c r="Y886" s="29">
        <v>0</v>
      </c>
      <c r="Z886" s="29">
        <v>0</v>
      </c>
      <c r="AA886" s="29">
        <v>0</v>
      </c>
      <c r="AB886" s="29">
        <v>0</v>
      </c>
      <c r="AC886" s="29">
        <f>ROUND(N886*1.5%,2)</f>
        <v>67378.570000000007</v>
      </c>
      <c r="AD886" s="29">
        <v>0</v>
      </c>
      <c r="AE886" s="29">
        <v>0</v>
      </c>
      <c r="AF886" s="32" t="s">
        <v>268</v>
      </c>
      <c r="AG886" s="32">
        <v>2021</v>
      </c>
      <c r="AH886" s="33">
        <v>2021</v>
      </c>
      <c r="AT886" s="18" t="e">
        <f>VLOOKUP(C886,AW:AX,2,FALSE)</f>
        <v>#N/A</v>
      </c>
      <c r="BZ886" s="61"/>
      <c r="CD886" s="18" t="e">
        <f>VLOOKUP(C886,CE:CF,2,FALSE)</f>
        <v>#N/A</v>
      </c>
    </row>
    <row r="887" spans="1:82" ht="61.5" x14ac:dyDescent="0.85">
      <c r="A887" s="18">
        <v>1</v>
      </c>
      <c r="B887" s="57">
        <f>SUBTOTAL(103,$A$558:A887)</f>
        <v>317</v>
      </c>
      <c r="C887" s="22" t="s">
        <v>651</v>
      </c>
      <c r="D887" s="29">
        <f t="shared" si="159"/>
        <v>5405855.4900000002</v>
      </c>
      <c r="E887" s="36">
        <v>0</v>
      </c>
      <c r="F887" s="36">
        <v>0</v>
      </c>
      <c r="G887" s="29">
        <v>0</v>
      </c>
      <c r="H887" s="36">
        <v>0</v>
      </c>
      <c r="I887" s="36">
        <v>0</v>
      </c>
      <c r="J887" s="36">
        <v>0</v>
      </c>
      <c r="K887" s="64">
        <v>0</v>
      </c>
      <c r="L887" s="29">
        <v>0</v>
      </c>
      <c r="M887" s="29">
        <v>991.5</v>
      </c>
      <c r="N887" s="29">
        <v>5325966</v>
      </c>
      <c r="O887" s="36">
        <v>0</v>
      </c>
      <c r="P887" s="36">
        <v>0</v>
      </c>
      <c r="Q887" s="29">
        <v>0</v>
      </c>
      <c r="R887" s="29">
        <v>0</v>
      </c>
      <c r="S887" s="29">
        <v>0</v>
      </c>
      <c r="T887" s="29">
        <v>0</v>
      </c>
      <c r="U887" s="29">
        <v>0</v>
      </c>
      <c r="V887" s="29">
        <v>0</v>
      </c>
      <c r="W887" s="29">
        <v>0</v>
      </c>
      <c r="X887" s="29">
        <v>0</v>
      </c>
      <c r="Y887" s="29">
        <v>0</v>
      </c>
      <c r="Z887" s="29">
        <v>0</v>
      </c>
      <c r="AA887" s="29">
        <v>0</v>
      </c>
      <c r="AB887" s="29">
        <v>0</v>
      </c>
      <c r="AC887" s="29">
        <f>ROUND(N887*1.5%,2)</f>
        <v>79889.490000000005</v>
      </c>
      <c r="AD887" s="29">
        <v>0</v>
      </c>
      <c r="AE887" s="29">
        <v>0</v>
      </c>
      <c r="AF887" s="32" t="s">
        <v>268</v>
      </c>
      <c r="AG887" s="32">
        <v>2021</v>
      </c>
      <c r="AH887" s="33">
        <v>2021</v>
      </c>
      <c r="AT887" s="18" t="e">
        <f>VLOOKUP(C887,AW:AX,2,FALSE)</f>
        <v>#N/A</v>
      </c>
      <c r="BZ887" s="61"/>
      <c r="CD887" s="18" t="e">
        <f>VLOOKUP(C887,CE:CF,2,FALSE)</f>
        <v>#N/A</v>
      </c>
    </row>
    <row r="888" spans="1:82" ht="61.5" x14ac:dyDescent="0.85">
      <c r="A888" s="18">
        <v>1</v>
      </c>
      <c r="B888" s="57">
        <f>SUBTOTAL(103,$A$558:A888)</f>
        <v>318</v>
      </c>
      <c r="C888" s="22" t="s">
        <v>1197</v>
      </c>
      <c r="D888" s="29">
        <f t="shared" si="159"/>
        <v>2630697.2999999998</v>
      </c>
      <c r="E888" s="36">
        <v>0</v>
      </c>
      <c r="F888" s="36">
        <v>0</v>
      </c>
      <c r="G888" s="29">
        <v>0</v>
      </c>
      <c r="H888" s="36">
        <v>0</v>
      </c>
      <c r="I888" s="36">
        <v>0</v>
      </c>
      <c r="J888" s="36">
        <v>0</v>
      </c>
      <c r="K888" s="64">
        <v>0</v>
      </c>
      <c r="L888" s="29">
        <v>0</v>
      </c>
      <c r="M888" s="37">
        <v>738.9</v>
      </c>
      <c r="N888" s="37">
        <v>2591820</v>
      </c>
      <c r="O888" s="36">
        <v>0</v>
      </c>
      <c r="P888" s="36">
        <v>0</v>
      </c>
      <c r="Q888" s="29">
        <v>0</v>
      </c>
      <c r="R888" s="29">
        <v>0</v>
      </c>
      <c r="S888" s="29">
        <v>0</v>
      </c>
      <c r="T888" s="29">
        <v>0</v>
      </c>
      <c r="U888" s="29">
        <v>0</v>
      </c>
      <c r="V888" s="29">
        <v>0</v>
      </c>
      <c r="W888" s="29">
        <v>0</v>
      </c>
      <c r="X888" s="29">
        <v>0</v>
      </c>
      <c r="Y888" s="29">
        <v>0</v>
      </c>
      <c r="Z888" s="29">
        <v>0</v>
      </c>
      <c r="AA888" s="29">
        <v>0</v>
      </c>
      <c r="AB888" s="29">
        <v>0</v>
      </c>
      <c r="AC888" s="29">
        <f>ROUND(N888*1.5%,2)</f>
        <v>38877.300000000003</v>
      </c>
      <c r="AD888" s="29">
        <v>0</v>
      </c>
      <c r="AE888" s="29">
        <v>0</v>
      </c>
      <c r="AF888" s="32" t="s">
        <v>268</v>
      </c>
      <c r="AG888" s="32">
        <v>2021</v>
      </c>
      <c r="AH888" s="33">
        <v>2021</v>
      </c>
      <c r="BZ888" s="61"/>
      <c r="CD888" s="18">
        <f>VLOOKUP(C888,CE:CF,2,FALSE)</f>
        <v>738.92</v>
      </c>
    </row>
    <row r="889" spans="1:82" s="158" customFormat="1" ht="61.5" x14ac:dyDescent="0.85">
      <c r="A889" s="158">
        <v>1</v>
      </c>
      <c r="B889" s="57">
        <f>SUBTOTAL(103,$A$558:A889)</f>
        <v>319</v>
      </c>
      <c r="C889" s="344" t="s">
        <v>1932</v>
      </c>
      <c r="D889" s="29">
        <f t="shared" si="159"/>
        <v>2202297.4500000002</v>
      </c>
      <c r="E889" s="159">
        <v>0</v>
      </c>
      <c r="F889" s="159">
        <v>0</v>
      </c>
      <c r="G889" s="159">
        <v>0</v>
      </c>
      <c r="H889" s="159">
        <v>0</v>
      </c>
      <c r="I889" s="159">
        <v>0</v>
      </c>
      <c r="J889" s="159">
        <v>0</v>
      </c>
      <c r="K889" s="160">
        <v>0</v>
      </c>
      <c r="L889" s="84">
        <v>0</v>
      </c>
      <c r="M889" s="84">
        <v>476.8</v>
      </c>
      <c r="N889" s="84">
        <f>2046196.68+32207.01</f>
        <v>2078403.69</v>
      </c>
      <c r="O889" s="84">
        <v>0</v>
      </c>
      <c r="P889" s="84">
        <v>0</v>
      </c>
      <c r="Q889" s="84">
        <v>0</v>
      </c>
      <c r="R889" s="84">
        <v>0</v>
      </c>
      <c r="S889" s="84">
        <v>0</v>
      </c>
      <c r="T889" s="84">
        <v>0</v>
      </c>
      <c r="U889" s="84">
        <v>0</v>
      </c>
      <c r="V889" s="84">
        <v>0</v>
      </c>
      <c r="W889" s="84">
        <v>0</v>
      </c>
      <c r="X889" s="84">
        <v>0</v>
      </c>
      <c r="Y889" s="84">
        <v>0</v>
      </c>
      <c r="Z889" s="84">
        <v>0</v>
      </c>
      <c r="AA889" s="84">
        <v>0</v>
      </c>
      <c r="AB889" s="84">
        <v>0</v>
      </c>
      <c r="AC889" s="84">
        <f>ROUND(N889*1.5%,2)</f>
        <v>31176.06</v>
      </c>
      <c r="AD889" s="345">
        <v>92717.7</v>
      </c>
      <c r="AE889" s="84">
        <v>0</v>
      </c>
      <c r="AF889" s="161">
        <v>2021</v>
      </c>
      <c r="AG889" s="161">
        <v>2021</v>
      </c>
      <c r="AH889" s="162">
        <v>2021</v>
      </c>
      <c r="AT889" s="158" t="e">
        <f>VLOOKUP(C889,AW:AX,2,FALSE)</f>
        <v>#N/A</v>
      </c>
      <c r="BZ889" s="163"/>
      <c r="CD889" s="158" t="e">
        <f>VLOOKUP(C889,CE:CF,2,FALSE)</f>
        <v>#N/A</v>
      </c>
    </row>
    <row r="890" spans="1:82" s="158" customFormat="1" ht="61.5" x14ac:dyDescent="0.85">
      <c r="A890" s="158">
        <v>1</v>
      </c>
      <c r="B890" s="57">
        <f>SUBTOTAL(103,$A$558:A890)</f>
        <v>320</v>
      </c>
      <c r="C890" s="344" t="s">
        <v>1933</v>
      </c>
      <c r="D890" s="29">
        <f t="shared" si="159"/>
        <v>2356236.9299999997</v>
      </c>
      <c r="E890" s="159">
        <v>0</v>
      </c>
      <c r="F890" s="159">
        <v>0</v>
      </c>
      <c r="G890" s="159">
        <v>0</v>
      </c>
      <c r="H890" s="159">
        <v>0</v>
      </c>
      <c r="I890" s="159">
        <v>0</v>
      </c>
      <c r="J890" s="159">
        <v>0</v>
      </c>
      <c r="K890" s="160">
        <v>0</v>
      </c>
      <c r="L890" s="84">
        <v>0</v>
      </c>
      <c r="M890" s="84">
        <v>0</v>
      </c>
      <c r="N890" s="84">
        <v>0</v>
      </c>
      <c r="O890" s="84">
        <v>0</v>
      </c>
      <c r="P890" s="84">
        <v>0</v>
      </c>
      <c r="Q890" s="84">
        <v>0</v>
      </c>
      <c r="R890" s="84">
        <v>0</v>
      </c>
      <c r="S890" s="84">
        <v>62</v>
      </c>
      <c r="T890" s="84">
        <f>1919206.85+356835.09</f>
        <v>2276041.94</v>
      </c>
      <c r="U890" s="84">
        <v>0</v>
      </c>
      <c r="V890" s="84">
        <v>0</v>
      </c>
      <c r="W890" s="84">
        <v>0</v>
      </c>
      <c r="X890" s="84">
        <v>0</v>
      </c>
      <c r="Y890" s="84">
        <v>0</v>
      </c>
      <c r="Z890" s="84">
        <v>0</v>
      </c>
      <c r="AA890" s="84">
        <v>0</v>
      </c>
      <c r="AB890" s="84">
        <v>0</v>
      </c>
      <c r="AC890" s="84">
        <f>ROUND(T890*1.5%,2)</f>
        <v>34140.629999999997</v>
      </c>
      <c r="AD890" s="345">
        <v>46054.36</v>
      </c>
      <c r="AE890" s="84">
        <v>0</v>
      </c>
      <c r="AF890" s="161">
        <v>2021</v>
      </c>
      <c r="AG890" s="161">
        <v>2021</v>
      </c>
      <c r="AH890" s="162">
        <v>2021</v>
      </c>
      <c r="AT890" s="158" t="e">
        <f>VLOOKUP(C890,AW:AX,2,FALSE)</f>
        <v>#N/A</v>
      </c>
      <c r="BZ890" s="163"/>
      <c r="CD890" s="158" t="e">
        <f>VLOOKUP(C890,CE:CF,2,FALSE)</f>
        <v>#N/A</v>
      </c>
    </row>
    <row r="891" spans="1:82" ht="61.5" x14ac:dyDescent="0.85">
      <c r="A891" s="18">
        <v>1</v>
      </c>
      <c r="B891" s="57">
        <f>SUBTOTAL(103,$A$558:A891)</f>
        <v>321</v>
      </c>
      <c r="C891" s="91" t="s">
        <v>662</v>
      </c>
      <c r="D891" s="29">
        <f t="shared" si="159"/>
        <v>3073347.5</v>
      </c>
      <c r="E891" s="29">
        <v>0</v>
      </c>
      <c r="F891" s="29">
        <v>0</v>
      </c>
      <c r="G891" s="29">
        <v>0</v>
      </c>
      <c r="H891" s="29">
        <v>0</v>
      </c>
      <c r="I891" s="29">
        <v>0</v>
      </c>
      <c r="J891" s="29">
        <v>0</v>
      </c>
      <c r="K891" s="64">
        <v>0</v>
      </c>
      <c r="L891" s="29">
        <v>0</v>
      </c>
      <c r="M891" s="29">
        <v>0</v>
      </c>
      <c r="N891" s="29">
        <v>0</v>
      </c>
      <c r="O891" s="29">
        <v>0</v>
      </c>
      <c r="P891" s="29">
        <v>0</v>
      </c>
      <c r="Q891" s="29">
        <v>585.5</v>
      </c>
      <c r="R891" s="29">
        <f>2885071.43-118226.6</f>
        <v>2766844.83</v>
      </c>
      <c r="S891" s="29">
        <v>0</v>
      </c>
      <c r="T891" s="29">
        <v>0</v>
      </c>
      <c r="U891" s="29">
        <v>0</v>
      </c>
      <c r="V891" s="29">
        <v>0</v>
      </c>
      <c r="W891" s="29">
        <v>0</v>
      </c>
      <c r="X891" s="29">
        <v>0</v>
      </c>
      <c r="Y891" s="29">
        <v>0</v>
      </c>
      <c r="Z891" s="29">
        <v>0</v>
      </c>
      <c r="AA891" s="29">
        <v>0</v>
      </c>
      <c r="AB891" s="29">
        <v>0</v>
      </c>
      <c r="AC891" s="29">
        <f>ROUND(R891*1.5%,2)</f>
        <v>41502.67</v>
      </c>
      <c r="AD891" s="29">
        <v>145000</v>
      </c>
      <c r="AE891" s="29">
        <v>120000</v>
      </c>
      <c r="AF891" s="32">
        <v>2021</v>
      </c>
      <c r="AG891" s="32">
        <v>2021</v>
      </c>
      <c r="AH891" s="33">
        <v>2021</v>
      </c>
      <c r="AT891" s="18" t="e">
        <f>VLOOKUP(C891,AW:AX,2,FALSE)</f>
        <v>#N/A</v>
      </c>
      <c r="BZ891" s="61"/>
    </row>
    <row r="892" spans="1:82" ht="61.5" x14ac:dyDescent="0.85">
      <c r="A892" s="18">
        <v>1</v>
      </c>
      <c r="B892" s="57">
        <f>SUBTOTAL(103,$A$558:A892)</f>
        <v>322</v>
      </c>
      <c r="C892" s="22" t="s">
        <v>2293</v>
      </c>
      <c r="D892" s="29">
        <f t="shared" si="159"/>
        <v>3413120.81</v>
      </c>
      <c r="E892" s="34">
        <v>0</v>
      </c>
      <c r="F892" s="34">
        <v>0</v>
      </c>
      <c r="G892" s="34">
        <v>0</v>
      </c>
      <c r="H892" s="34">
        <v>0</v>
      </c>
      <c r="I892" s="34">
        <v>0</v>
      </c>
      <c r="J892" s="34">
        <v>0</v>
      </c>
      <c r="K892" s="31">
        <v>0</v>
      </c>
      <c r="L892" s="29">
        <v>0</v>
      </c>
      <c r="M892" s="29">
        <v>790</v>
      </c>
      <c r="N892" s="29">
        <f>3255378.67</f>
        <v>3255378.67</v>
      </c>
      <c r="O892" s="29">
        <v>0</v>
      </c>
      <c r="P892" s="29">
        <v>0</v>
      </c>
      <c r="Q892" s="29">
        <v>0</v>
      </c>
      <c r="R892" s="29">
        <v>0</v>
      </c>
      <c r="S892" s="29">
        <v>0</v>
      </c>
      <c r="T892" s="29">
        <v>0</v>
      </c>
      <c r="U892" s="29">
        <v>0</v>
      </c>
      <c r="V892" s="29">
        <v>0</v>
      </c>
      <c r="W892" s="29">
        <v>0</v>
      </c>
      <c r="X892" s="29">
        <v>0</v>
      </c>
      <c r="Y892" s="29">
        <v>0</v>
      </c>
      <c r="Z892" s="29">
        <v>0</v>
      </c>
      <c r="AA892" s="29">
        <v>0</v>
      </c>
      <c r="AB892" s="29">
        <v>0</v>
      </c>
      <c r="AC892" s="29">
        <f>ROUND(N892*1.5%,2)</f>
        <v>48830.68</v>
      </c>
      <c r="AD892" s="37">
        <v>108911.46</v>
      </c>
      <c r="AE892" s="29">
        <v>0</v>
      </c>
      <c r="AF892" s="32">
        <v>2021</v>
      </c>
      <c r="AG892" s="32">
        <v>2021</v>
      </c>
      <c r="AH892" s="33">
        <v>2021</v>
      </c>
      <c r="AT892" s="18" t="e">
        <f>VLOOKUP(C892,AW:AX,2,FALSE)</f>
        <v>#N/A</v>
      </c>
      <c r="BZ892" s="61"/>
      <c r="CD892" s="18" t="e">
        <f>VLOOKUP(C892,CE:CF,2,FALSE)</f>
        <v>#N/A</v>
      </c>
    </row>
    <row r="893" spans="1:82" ht="61.5" x14ac:dyDescent="0.85">
      <c r="A893" s="18">
        <v>1</v>
      </c>
      <c r="B893" s="57">
        <f>SUBTOTAL(103,$A$558:A893)</f>
        <v>323</v>
      </c>
      <c r="C893" s="22" t="s">
        <v>648</v>
      </c>
      <c r="D893" s="29">
        <f t="shared" si="159"/>
        <v>4601609.1000000006</v>
      </c>
      <c r="E893" s="34">
        <v>0</v>
      </c>
      <c r="F893" s="34">
        <v>0</v>
      </c>
      <c r="G893" s="34">
        <v>0</v>
      </c>
      <c r="H893" s="34">
        <v>0</v>
      </c>
      <c r="I893" s="34">
        <v>0</v>
      </c>
      <c r="J893" s="34">
        <v>0</v>
      </c>
      <c r="K893" s="64">
        <v>2</v>
      </c>
      <c r="L893" s="29">
        <v>4485345.6100000003</v>
      </c>
      <c r="M893" s="29">
        <v>0</v>
      </c>
      <c r="N893" s="29">
        <v>0</v>
      </c>
      <c r="O893" s="29">
        <v>0</v>
      </c>
      <c r="P893" s="29">
        <v>0</v>
      </c>
      <c r="Q893" s="29">
        <v>0</v>
      </c>
      <c r="R893" s="29">
        <v>0</v>
      </c>
      <c r="S893" s="29">
        <v>0</v>
      </c>
      <c r="T893" s="29">
        <v>0</v>
      </c>
      <c r="U893" s="29">
        <v>0</v>
      </c>
      <c r="V893" s="29">
        <v>0</v>
      </c>
      <c r="W893" s="29">
        <v>0</v>
      </c>
      <c r="X893" s="29">
        <v>0</v>
      </c>
      <c r="Y893" s="29">
        <v>0</v>
      </c>
      <c r="Z893" s="29">
        <v>0</v>
      </c>
      <c r="AA893" s="29">
        <v>0</v>
      </c>
      <c r="AB893" s="29">
        <v>0</v>
      </c>
      <c r="AC893" s="29">
        <f>ROUND(N893*1.5%,2)</f>
        <v>0</v>
      </c>
      <c r="AD893" s="37">
        <v>116263.49</v>
      </c>
      <c r="AE893" s="29">
        <v>0</v>
      </c>
      <c r="AF893" s="32">
        <v>2021</v>
      </c>
      <c r="AG893" s="32">
        <v>2021</v>
      </c>
      <c r="AH893" s="32" t="s">
        <v>268</v>
      </c>
      <c r="AT893" s="18" t="e">
        <f>VLOOKUP(C893,AW:AX,2,FALSE)</f>
        <v>#N/A</v>
      </c>
      <c r="BZ893" s="61"/>
      <c r="CD893" s="18" t="e">
        <f>VLOOKUP(C893,CE:CF,2,FALSE)</f>
        <v>#N/A</v>
      </c>
    </row>
    <row r="894" spans="1:82" ht="61.5" x14ac:dyDescent="0.85">
      <c r="B894" s="22" t="s">
        <v>816</v>
      </c>
      <c r="C894" s="338"/>
      <c r="D894" s="339">
        <f t="shared" ref="D894:AE894" si="160">SUM(D895:D904)</f>
        <v>26694131.16</v>
      </c>
      <c r="E894" s="29">
        <f t="shared" si="160"/>
        <v>300000</v>
      </c>
      <c r="F894" s="29">
        <f t="shared" si="160"/>
        <v>0</v>
      </c>
      <c r="G894" s="29">
        <f t="shared" si="160"/>
        <v>0</v>
      </c>
      <c r="H894" s="29">
        <f t="shared" si="160"/>
        <v>400000</v>
      </c>
      <c r="I894" s="29">
        <f t="shared" si="160"/>
        <v>0</v>
      </c>
      <c r="J894" s="29">
        <f t="shared" si="160"/>
        <v>0</v>
      </c>
      <c r="K894" s="31">
        <f t="shared" si="160"/>
        <v>0</v>
      </c>
      <c r="L894" s="29">
        <f t="shared" si="160"/>
        <v>0</v>
      </c>
      <c r="M894" s="29">
        <f t="shared" si="160"/>
        <v>3264.4</v>
      </c>
      <c r="N894" s="29">
        <f t="shared" si="160"/>
        <v>15752756.27</v>
      </c>
      <c r="O894" s="29">
        <f t="shared" si="160"/>
        <v>0</v>
      </c>
      <c r="P894" s="29">
        <f t="shared" si="160"/>
        <v>0</v>
      </c>
      <c r="Q894" s="29">
        <f t="shared" si="160"/>
        <v>827.7</v>
      </c>
      <c r="R894" s="29">
        <f t="shared" si="160"/>
        <v>3839185.4299999997</v>
      </c>
      <c r="S894" s="29">
        <f t="shared" si="160"/>
        <v>84.3</v>
      </c>
      <c r="T894" s="29">
        <f t="shared" si="160"/>
        <v>1784615.64</v>
      </c>
      <c r="U894" s="29">
        <f t="shared" si="160"/>
        <v>4066158.53</v>
      </c>
      <c r="V894" s="29">
        <f t="shared" si="160"/>
        <v>0</v>
      </c>
      <c r="W894" s="29">
        <f t="shared" si="160"/>
        <v>0</v>
      </c>
      <c r="X894" s="29">
        <f t="shared" si="160"/>
        <v>0</v>
      </c>
      <c r="Y894" s="29">
        <f t="shared" si="160"/>
        <v>0</v>
      </c>
      <c r="Z894" s="29">
        <f t="shared" si="160"/>
        <v>0</v>
      </c>
      <c r="AA894" s="29">
        <f t="shared" si="160"/>
        <v>0</v>
      </c>
      <c r="AB894" s="29">
        <f t="shared" si="160"/>
        <v>0</v>
      </c>
      <c r="AC894" s="29">
        <f t="shared" si="160"/>
        <v>305480.75</v>
      </c>
      <c r="AD894" s="29">
        <f t="shared" si="160"/>
        <v>245934.54</v>
      </c>
      <c r="AE894" s="29">
        <f t="shared" si="160"/>
        <v>0</v>
      </c>
      <c r="AF894" s="62" t="s">
        <v>743</v>
      </c>
      <c r="AG894" s="62" t="s">
        <v>743</v>
      </c>
      <c r="AH894" s="77" t="s">
        <v>743</v>
      </c>
      <c r="AT894" s="18" t="e">
        <f>VLOOKUP(C894,AW:AX,2,FALSE)</f>
        <v>#N/A</v>
      </c>
      <c r="BZ894" s="61">
        <v>11973050.91</v>
      </c>
      <c r="CB894" s="61">
        <f>BZ894-D894</f>
        <v>-14721080.25</v>
      </c>
      <c r="CD894" s="18" t="e">
        <f>VLOOKUP(C894,CE:CF,2,FALSE)</f>
        <v>#N/A</v>
      </c>
    </row>
    <row r="895" spans="1:82" ht="61.5" x14ac:dyDescent="0.85">
      <c r="A895" s="18">
        <v>1</v>
      </c>
      <c r="B895" s="57">
        <f>SUBTOTAL(103,$A$558:A895)</f>
        <v>324</v>
      </c>
      <c r="C895" s="22" t="s">
        <v>235</v>
      </c>
      <c r="D895" s="29">
        <f>E895+F895+G895+H895+I895+J895+L895+N895+P895+R895+T895+U895+V895+W895+X895+Y895+Z895+AA895+AB895+AC895+AD895+AE895</f>
        <v>7603764.6500000004</v>
      </c>
      <c r="E895" s="29">
        <v>0</v>
      </c>
      <c r="F895" s="29">
        <v>0</v>
      </c>
      <c r="G895" s="29">
        <v>0</v>
      </c>
      <c r="H895" s="29">
        <v>0</v>
      </c>
      <c r="I895" s="29">
        <v>0</v>
      </c>
      <c r="J895" s="29">
        <v>0</v>
      </c>
      <c r="K895" s="31">
        <v>0</v>
      </c>
      <c r="L895" s="29">
        <v>0</v>
      </c>
      <c r="M895" s="29">
        <v>1509</v>
      </c>
      <c r="N895" s="29">
        <v>7404827.5899999999</v>
      </c>
      <c r="O895" s="29">
        <v>0</v>
      </c>
      <c r="P895" s="29">
        <v>0</v>
      </c>
      <c r="Q895" s="29">
        <v>0</v>
      </c>
      <c r="R895" s="29">
        <v>0</v>
      </c>
      <c r="S895" s="29">
        <v>0</v>
      </c>
      <c r="T895" s="29">
        <v>0</v>
      </c>
      <c r="U895" s="29">
        <v>0</v>
      </c>
      <c r="V895" s="29">
        <v>0</v>
      </c>
      <c r="W895" s="29">
        <v>0</v>
      </c>
      <c r="X895" s="29">
        <v>0</v>
      </c>
      <c r="Y895" s="29">
        <v>0</v>
      </c>
      <c r="Z895" s="29">
        <v>0</v>
      </c>
      <c r="AA895" s="29">
        <v>0</v>
      </c>
      <c r="AB895" s="29">
        <v>0</v>
      </c>
      <c r="AC895" s="29">
        <f>ROUND(N895*1.26%,2)</f>
        <v>93300.83</v>
      </c>
      <c r="AD895" s="29">
        <v>105636.23</v>
      </c>
      <c r="AE895" s="29">
        <v>0</v>
      </c>
      <c r="AF895" s="32">
        <v>2021</v>
      </c>
      <c r="AG895" s="32">
        <v>2021</v>
      </c>
      <c r="AH895" s="33">
        <v>2021</v>
      </c>
      <c r="AT895" s="18">
        <f>VLOOKUP(C895,AW:AX,2,FALSE)</f>
        <v>1</v>
      </c>
      <c r="BZ895" s="61"/>
      <c r="CD895" s="18" t="e">
        <f>VLOOKUP(C895,CE:CF,2,FALSE)</f>
        <v>#N/A</v>
      </c>
    </row>
    <row r="896" spans="1:82" ht="61.5" x14ac:dyDescent="0.85">
      <c r="A896" s="18">
        <v>1</v>
      </c>
      <c r="B896" s="57">
        <f>SUBTOTAL(103,$A$558:A896)</f>
        <v>325</v>
      </c>
      <c r="C896" s="22" t="s">
        <v>240</v>
      </c>
      <c r="D896" s="29">
        <f>E896+F896+G896+H896+I896+J896+L896+N896+P896+R896+T896+U896+V896+W896+X896+Y896+Z896+AA896+AB896+AC896+AD896+AE896</f>
        <v>4207919.8999999994</v>
      </c>
      <c r="E896" s="29">
        <v>0</v>
      </c>
      <c r="F896" s="29">
        <v>0</v>
      </c>
      <c r="G896" s="29">
        <v>0</v>
      </c>
      <c r="H896" s="29">
        <v>0</v>
      </c>
      <c r="I896" s="29">
        <v>0</v>
      </c>
      <c r="J896" s="29">
        <v>0</v>
      </c>
      <c r="K896" s="31">
        <v>0</v>
      </c>
      <c r="L896" s="29">
        <v>0</v>
      </c>
      <c r="M896" s="29">
        <v>0</v>
      </c>
      <c r="N896" s="29">
        <v>0</v>
      </c>
      <c r="O896" s="29">
        <v>0</v>
      </c>
      <c r="P896" s="29">
        <v>0</v>
      </c>
      <c r="Q896" s="29">
        <v>0</v>
      </c>
      <c r="R896" s="29">
        <v>0</v>
      </c>
      <c r="S896" s="29">
        <v>0</v>
      </c>
      <c r="T896" s="29">
        <v>0</v>
      </c>
      <c r="U896" s="29">
        <v>4066158.53</v>
      </c>
      <c r="V896" s="29">
        <v>0</v>
      </c>
      <c r="W896" s="29">
        <v>0</v>
      </c>
      <c r="X896" s="29">
        <v>0</v>
      </c>
      <c r="Y896" s="29">
        <v>0</v>
      </c>
      <c r="Z896" s="29">
        <v>0</v>
      </c>
      <c r="AA896" s="29">
        <v>0</v>
      </c>
      <c r="AB896" s="29">
        <v>0</v>
      </c>
      <c r="AC896" s="29">
        <f>ROUND(U896*1.26%,2)</f>
        <v>51233.599999999999</v>
      </c>
      <c r="AD896" s="29">
        <v>90527.77</v>
      </c>
      <c r="AE896" s="29">
        <v>0</v>
      </c>
      <c r="AF896" s="32">
        <v>2021</v>
      </c>
      <c r="AG896" s="32">
        <v>2021</v>
      </c>
      <c r="AH896" s="33">
        <v>2021</v>
      </c>
      <c r="AT896" s="18" t="e">
        <f>VLOOKUP(C896,AW:AX,2,FALSE)</f>
        <v>#N/A</v>
      </c>
      <c r="BZ896" s="61"/>
      <c r="CD896" s="18" t="e">
        <f>VLOOKUP(C896,CE:CF,2,FALSE)</f>
        <v>#N/A</v>
      </c>
    </row>
    <row r="897" spans="1:82" ht="61.5" x14ac:dyDescent="0.85">
      <c r="A897" s="18">
        <v>1</v>
      </c>
      <c r="B897" s="57">
        <f>SUBTOTAL(103,$A$558:A897)</f>
        <v>326</v>
      </c>
      <c r="C897" s="22" t="s">
        <v>1595</v>
      </c>
      <c r="D897" s="29">
        <f>E897+F897+G897+H897+I897+J897+L897+N897+P897+R897+T897+U897+V897+W897+X897+Y897+Z897+AA897+AB897+AC897+AD897+AE897</f>
        <v>1482259.2000000002</v>
      </c>
      <c r="E897" s="29">
        <v>0</v>
      </c>
      <c r="F897" s="29">
        <v>0</v>
      </c>
      <c r="G897" s="29">
        <v>0</v>
      </c>
      <c r="H897" s="29">
        <v>0</v>
      </c>
      <c r="I897" s="29">
        <v>0</v>
      </c>
      <c r="J897" s="29">
        <v>0</v>
      </c>
      <c r="K897" s="31">
        <v>0</v>
      </c>
      <c r="L897" s="29">
        <v>0</v>
      </c>
      <c r="M897" s="29">
        <v>280</v>
      </c>
      <c r="N897" s="29">
        <f>1361678.82+52985.07</f>
        <v>1414663.8900000001</v>
      </c>
      <c r="O897" s="29">
        <v>0</v>
      </c>
      <c r="P897" s="29">
        <v>0</v>
      </c>
      <c r="Q897" s="29">
        <v>0</v>
      </c>
      <c r="R897" s="29">
        <v>0</v>
      </c>
      <c r="S897" s="29">
        <v>0</v>
      </c>
      <c r="T897" s="29">
        <v>0</v>
      </c>
      <c r="U897" s="29">
        <v>0</v>
      </c>
      <c r="V897" s="29">
        <v>0</v>
      </c>
      <c r="W897" s="29">
        <v>0</v>
      </c>
      <c r="X897" s="29">
        <v>0</v>
      </c>
      <c r="Y897" s="29">
        <v>0</v>
      </c>
      <c r="Z897" s="29">
        <v>0</v>
      </c>
      <c r="AA897" s="29">
        <v>0</v>
      </c>
      <c r="AB897" s="29">
        <v>0</v>
      </c>
      <c r="AC897" s="29">
        <f>ROUND(N897*1.26%,2)</f>
        <v>17824.77</v>
      </c>
      <c r="AD897" s="29">
        <v>49770.54</v>
      </c>
      <c r="AE897" s="29">
        <v>0</v>
      </c>
      <c r="AF897" s="32">
        <v>2021</v>
      </c>
      <c r="AG897" s="32">
        <v>2021</v>
      </c>
      <c r="AH897" s="33">
        <v>2021</v>
      </c>
      <c r="BZ897" s="61"/>
      <c r="CD897" s="18" t="e">
        <f>VLOOKUP(C897,CE:CF,2,FALSE)</f>
        <v>#N/A</v>
      </c>
    </row>
    <row r="898" spans="1:82" ht="61.5" x14ac:dyDescent="0.85">
      <c r="A898" s="18">
        <v>1</v>
      </c>
      <c r="B898" s="57">
        <f>SUBTOTAL(103,$A$558:A898)</f>
        <v>327</v>
      </c>
      <c r="C898" s="22" t="s">
        <v>1203</v>
      </c>
      <c r="D898" s="29">
        <f>E898+F898+G898+H898+I898+J898+L898+N898+P898+R898+T898+U898+V898+W898+X898+Y898+Z898+AA898+AB898+AC898+AD898+AE898</f>
        <v>2297318.9499999997</v>
      </c>
      <c r="E898" s="36">
        <v>0</v>
      </c>
      <c r="F898" s="36">
        <v>0</v>
      </c>
      <c r="G898" s="29">
        <v>0</v>
      </c>
      <c r="H898" s="36">
        <v>0</v>
      </c>
      <c r="I898" s="36">
        <v>0</v>
      </c>
      <c r="J898" s="36">
        <v>0</v>
      </c>
      <c r="K898" s="31">
        <v>0</v>
      </c>
      <c r="L898" s="29">
        <v>0</v>
      </c>
      <c r="M898" s="29">
        <v>665</v>
      </c>
      <c r="N898" s="29">
        <v>2268732.92</v>
      </c>
      <c r="O898" s="36">
        <v>0</v>
      </c>
      <c r="P898" s="36">
        <v>0</v>
      </c>
      <c r="Q898" s="29">
        <v>0</v>
      </c>
      <c r="R898" s="29">
        <v>0</v>
      </c>
      <c r="S898" s="29">
        <v>0</v>
      </c>
      <c r="T898" s="29">
        <v>0</v>
      </c>
      <c r="U898" s="29">
        <v>0</v>
      </c>
      <c r="V898" s="29">
        <v>0</v>
      </c>
      <c r="W898" s="29">
        <v>0</v>
      </c>
      <c r="X898" s="29">
        <v>0</v>
      </c>
      <c r="Y898" s="29">
        <v>0</v>
      </c>
      <c r="Z898" s="29">
        <v>0</v>
      </c>
      <c r="AA898" s="29">
        <v>0</v>
      </c>
      <c r="AB898" s="29">
        <v>0</v>
      </c>
      <c r="AC898" s="29">
        <f>ROUND(N898*1.26%,2)</f>
        <v>28586.03</v>
      </c>
      <c r="AD898" s="29">
        <v>0</v>
      </c>
      <c r="AE898" s="29">
        <v>0</v>
      </c>
      <c r="AF898" s="32" t="s">
        <v>268</v>
      </c>
      <c r="AG898" s="32">
        <v>2021</v>
      </c>
      <c r="AH898" s="33">
        <v>2021</v>
      </c>
      <c r="BZ898" s="61"/>
      <c r="CD898" s="18" t="e">
        <f>VLOOKUP(C898,CE:CF,2,FALSE)</f>
        <v>#N/A</v>
      </c>
    </row>
    <row r="899" spans="1:82" ht="61.5" x14ac:dyDescent="0.85">
      <c r="A899" s="18">
        <v>1</v>
      </c>
      <c r="B899" s="57">
        <f>SUBTOTAL(103,$A$558:A899)</f>
        <v>328</v>
      </c>
      <c r="C899" s="22" t="s">
        <v>233</v>
      </c>
      <c r="D899" s="29">
        <f t="shared" ref="D899:D904" si="161">E899+F899+G899+H899+I899+J899+L899+N899+P899+R899+T899+U899+V899+W899+X899+Y899+Z899+AA899+AB899+AC899+AD899+AE899</f>
        <v>2469083.87</v>
      </c>
      <c r="E899" s="29">
        <v>0</v>
      </c>
      <c r="F899" s="29">
        <v>0</v>
      </c>
      <c r="G899" s="29">
        <v>0</v>
      </c>
      <c r="H899" s="29">
        <v>0</v>
      </c>
      <c r="I899" s="29">
        <v>0</v>
      </c>
      <c r="J899" s="29">
        <v>0</v>
      </c>
      <c r="K899" s="64">
        <v>0</v>
      </c>
      <c r="L899" s="29">
        <v>0</v>
      </c>
      <c r="M899" s="29">
        <v>0</v>
      </c>
      <c r="N899" s="29">
        <v>0</v>
      </c>
      <c r="O899" s="29">
        <v>0</v>
      </c>
      <c r="P899" s="29">
        <v>0</v>
      </c>
      <c r="Q899" s="29">
        <v>449.8</v>
      </c>
      <c r="R899" s="37">
        <v>2444334.98</v>
      </c>
      <c r="S899" s="29">
        <v>0</v>
      </c>
      <c r="T899" s="29">
        <v>0</v>
      </c>
      <c r="U899" s="29">
        <v>0</v>
      </c>
      <c r="V899" s="29">
        <v>0</v>
      </c>
      <c r="W899" s="29">
        <v>0</v>
      </c>
      <c r="X899" s="29">
        <v>0</v>
      </c>
      <c r="Y899" s="29">
        <v>0</v>
      </c>
      <c r="Z899" s="29">
        <v>0</v>
      </c>
      <c r="AA899" s="29">
        <v>0</v>
      </c>
      <c r="AB899" s="29">
        <v>0</v>
      </c>
      <c r="AC899" s="29">
        <f>ROUND(R899*1.0125%,2)</f>
        <v>24748.89</v>
      </c>
      <c r="AD899" s="29">
        <v>0</v>
      </c>
      <c r="AE899" s="29">
        <v>0</v>
      </c>
      <c r="AF899" s="32" t="s">
        <v>268</v>
      </c>
      <c r="AG899" s="32">
        <v>2021</v>
      </c>
      <c r="AH899" s="33">
        <v>2021</v>
      </c>
      <c r="AT899" s="18" t="e">
        <f>VLOOKUP(C899,AW:AX,2,FALSE)</f>
        <v>#N/A</v>
      </c>
      <c r="BZ899" s="61"/>
      <c r="CD899" s="18" t="e">
        <f>VLOOKUP(C899,CE:CF,2,FALSE)</f>
        <v>#N/A</v>
      </c>
    </row>
    <row r="900" spans="1:82" ht="61.5" x14ac:dyDescent="0.85">
      <c r="A900" s="18">
        <v>1</v>
      </c>
      <c r="B900" s="57">
        <f>SUBTOTAL(103,$A$558:A900)</f>
        <v>329</v>
      </c>
      <c r="C900" s="22" t="s">
        <v>237</v>
      </c>
      <c r="D900" s="29">
        <f t="shared" si="161"/>
        <v>1256038.19</v>
      </c>
      <c r="E900" s="29">
        <v>0</v>
      </c>
      <c r="F900" s="29">
        <v>0</v>
      </c>
      <c r="G900" s="29">
        <v>0</v>
      </c>
      <c r="H900" s="29">
        <v>0</v>
      </c>
      <c r="I900" s="29">
        <v>0</v>
      </c>
      <c r="J900" s="29">
        <v>0</v>
      </c>
      <c r="K900" s="64">
        <v>0</v>
      </c>
      <c r="L900" s="29">
        <v>0</v>
      </c>
      <c r="M900" s="29">
        <v>271</v>
      </c>
      <c r="N900" s="37">
        <v>1243448.28</v>
      </c>
      <c r="O900" s="29">
        <v>0</v>
      </c>
      <c r="P900" s="29">
        <v>0</v>
      </c>
      <c r="Q900" s="29">
        <v>0</v>
      </c>
      <c r="R900" s="29">
        <v>0</v>
      </c>
      <c r="S900" s="29">
        <v>0</v>
      </c>
      <c r="T900" s="29">
        <v>0</v>
      </c>
      <c r="U900" s="29">
        <v>0</v>
      </c>
      <c r="V900" s="29">
        <v>0</v>
      </c>
      <c r="W900" s="29">
        <v>0</v>
      </c>
      <c r="X900" s="29">
        <v>0</v>
      </c>
      <c r="Y900" s="29">
        <v>0</v>
      </c>
      <c r="Z900" s="29">
        <v>0</v>
      </c>
      <c r="AA900" s="29">
        <v>0</v>
      </c>
      <c r="AB900" s="29">
        <v>0</v>
      </c>
      <c r="AC900" s="29">
        <f>ROUND(N900*1.0125%,2)</f>
        <v>12589.91</v>
      </c>
      <c r="AD900" s="29">
        <v>0</v>
      </c>
      <c r="AE900" s="29">
        <v>0</v>
      </c>
      <c r="AF900" s="32" t="s">
        <v>268</v>
      </c>
      <c r="AG900" s="32">
        <v>2021</v>
      </c>
      <c r="AH900" s="33">
        <v>2021</v>
      </c>
      <c r="AT900" s="18" t="e">
        <f>VLOOKUP(C900,AW:AX,2,FALSE)</f>
        <v>#N/A</v>
      </c>
      <c r="BZ900" s="61"/>
      <c r="CD900" s="18" t="e">
        <f>VLOOKUP(C900,CE:CF,2,FALSE)</f>
        <v>#N/A</v>
      </c>
    </row>
    <row r="901" spans="1:82" ht="61.5" x14ac:dyDescent="0.85">
      <c r="A901" s="18">
        <v>1</v>
      </c>
      <c r="B901" s="57">
        <f>SUBTOTAL(103,$A$558:A901)</f>
        <v>330</v>
      </c>
      <c r="C901" s="22" t="s">
        <v>239</v>
      </c>
      <c r="D901" s="29">
        <f t="shared" si="161"/>
        <v>3455722.06</v>
      </c>
      <c r="E901" s="29">
        <v>0</v>
      </c>
      <c r="F901" s="29">
        <v>0</v>
      </c>
      <c r="G901" s="29">
        <v>0</v>
      </c>
      <c r="H901" s="29">
        <v>0</v>
      </c>
      <c r="I901" s="29">
        <v>0</v>
      </c>
      <c r="J901" s="29">
        <v>0</v>
      </c>
      <c r="K901" s="64">
        <v>0</v>
      </c>
      <c r="L901" s="29">
        <v>0</v>
      </c>
      <c r="M901" s="29">
        <v>539.4</v>
      </c>
      <c r="N901" s="29">
        <f>4012011-590927.41</f>
        <v>3421083.59</v>
      </c>
      <c r="O901" s="29">
        <v>0</v>
      </c>
      <c r="P901" s="29">
        <v>0</v>
      </c>
      <c r="Q901" s="29">
        <v>0</v>
      </c>
      <c r="R901" s="29">
        <v>0</v>
      </c>
      <c r="S901" s="29">
        <v>0</v>
      </c>
      <c r="T901" s="29">
        <v>0</v>
      </c>
      <c r="U901" s="29">
        <v>0</v>
      </c>
      <c r="V901" s="29">
        <v>0</v>
      </c>
      <c r="W901" s="29">
        <v>0</v>
      </c>
      <c r="X901" s="29">
        <v>0</v>
      </c>
      <c r="Y901" s="29">
        <v>0</v>
      </c>
      <c r="Z901" s="29">
        <v>0</v>
      </c>
      <c r="AA901" s="29">
        <v>0</v>
      </c>
      <c r="AB901" s="29">
        <v>0</v>
      </c>
      <c r="AC901" s="29">
        <f>ROUND(N901*1.0125%,2)</f>
        <v>34638.47</v>
      </c>
      <c r="AD901" s="29">
        <v>0</v>
      </c>
      <c r="AE901" s="29">
        <v>0</v>
      </c>
      <c r="AF901" s="32" t="s">
        <v>268</v>
      </c>
      <c r="AG901" s="32">
        <v>2021</v>
      </c>
      <c r="AH901" s="33">
        <v>2021</v>
      </c>
      <c r="AT901" s="18" t="e">
        <f>VLOOKUP(C901,AW:AX,2,FALSE)</f>
        <v>#N/A</v>
      </c>
      <c r="BZ901" s="61"/>
      <c r="CD901" s="18" t="e">
        <f>VLOOKUP(C901,CE:CF,2,FALSE)</f>
        <v>#N/A</v>
      </c>
    </row>
    <row r="902" spans="1:82" ht="61.5" x14ac:dyDescent="0.85">
      <c r="A902" s="18">
        <v>1</v>
      </c>
      <c r="B902" s="57">
        <f>SUBTOTAL(103,$A$558:A902)</f>
        <v>331</v>
      </c>
      <c r="C902" s="22" t="s">
        <v>1201</v>
      </c>
      <c r="D902" s="29">
        <f t="shared" si="161"/>
        <v>710500</v>
      </c>
      <c r="E902" s="36">
        <v>300000</v>
      </c>
      <c r="F902" s="36">
        <v>0</v>
      </c>
      <c r="G902" s="29">
        <v>0</v>
      </c>
      <c r="H902" s="36">
        <v>400000</v>
      </c>
      <c r="I902" s="36">
        <v>0</v>
      </c>
      <c r="J902" s="36">
        <v>0</v>
      </c>
      <c r="K902" s="64">
        <v>0</v>
      </c>
      <c r="L902" s="29">
        <v>0</v>
      </c>
      <c r="M902" s="29">
        <v>0</v>
      </c>
      <c r="N902" s="29">
        <v>0</v>
      </c>
      <c r="O902" s="36">
        <v>0</v>
      </c>
      <c r="P902" s="36">
        <v>0</v>
      </c>
      <c r="Q902" s="29">
        <v>0</v>
      </c>
      <c r="R902" s="29">
        <v>0</v>
      </c>
      <c r="S902" s="29">
        <v>0</v>
      </c>
      <c r="T902" s="29">
        <v>0</v>
      </c>
      <c r="U902" s="29">
        <v>0</v>
      </c>
      <c r="V902" s="29">
        <v>0</v>
      </c>
      <c r="W902" s="29">
        <v>0</v>
      </c>
      <c r="X902" s="29">
        <v>0</v>
      </c>
      <c r="Y902" s="29">
        <v>0</v>
      </c>
      <c r="Z902" s="29">
        <v>0</v>
      </c>
      <c r="AA902" s="29">
        <v>0</v>
      </c>
      <c r="AB902" s="29">
        <v>0</v>
      </c>
      <c r="AC902" s="29">
        <f>ROUND((E902+F902+G902+H902+I902+J902)*1.5%,2)</f>
        <v>10500</v>
      </c>
      <c r="AD902" s="29">
        <v>0</v>
      </c>
      <c r="AE902" s="29">
        <v>0</v>
      </c>
      <c r="AF902" s="32" t="s">
        <v>268</v>
      </c>
      <c r="AG902" s="32">
        <v>2021</v>
      </c>
      <c r="AH902" s="33">
        <v>2021</v>
      </c>
      <c r="BZ902" s="61"/>
      <c r="CD902" s="18" t="e">
        <f>VLOOKUP(C902,CE:CF,2,FALSE)</f>
        <v>#N/A</v>
      </c>
    </row>
    <row r="903" spans="1:82" ht="61.5" x14ac:dyDescent="0.85">
      <c r="A903" s="18">
        <v>1</v>
      </c>
      <c r="B903" s="57">
        <f>SUBTOTAL(103,$A$558:A903)</f>
        <v>332</v>
      </c>
      <c r="C903" s="22" t="s">
        <v>1204</v>
      </c>
      <c r="D903" s="29">
        <f t="shared" si="161"/>
        <v>1802551.0299999998</v>
      </c>
      <c r="E903" s="36">
        <v>0</v>
      </c>
      <c r="F903" s="36">
        <v>0</v>
      </c>
      <c r="G903" s="29">
        <v>0</v>
      </c>
      <c r="H903" s="36">
        <v>0</v>
      </c>
      <c r="I903" s="36">
        <v>0</v>
      </c>
      <c r="J903" s="36">
        <v>0</v>
      </c>
      <c r="K903" s="64">
        <v>0</v>
      </c>
      <c r="L903" s="29">
        <v>0</v>
      </c>
      <c r="M903" s="29">
        <v>0</v>
      </c>
      <c r="N903" s="29">
        <v>0</v>
      </c>
      <c r="O903" s="36">
        <v>0</v>
      </c>
      <c r="P903" s="36">
        <v>0</v>
      </c>
      <c r="Q903" s="29">
        <v>0</v>
      </c>
      <c r="R903" s="29">
        <v>0</v>
      </c>
      <c r="S903" s="29">
        <v>84.3</v>
      </c>
      <c r="T903" s="37">
        <v>1784615.64</v>
      </c>
      <c r="U903" s="29">
        <v>0</v>
      </c>
      <c r="V903" s="29">
        <v>0</v>
      </c>
      <c r="W903" s="29">
        <v>0</v>
      </c>
      <c r="X903" s="29">
        <v>0</v>
      </c>
      <c r="Y903" s="29">
        <v>0</v>
      </c>
      <c r="Z903" s="29">
        <v>0</v>
      </c>
      <c r="AA903" s="29">
        <v>0</v>
      </c>
      <c r="AB903" s="29">
        <v>0</v>
      </c>
      <c r="AC903" s="29">
        <f>ROUND(T903*1.005%,2)</f>
        <v>17935.39</v>
      </c>
      <c r="AD903" s="29">
        <v>0</v>
      </c>
      <c r="AE903" s="29">
        <v>0</v>
      </c>
      <c r="AF903" s="32" t="s">
        <v>268</v>
      </c>
      <c r="AG903" s="32">
        <v>2021</v>
      </c>
      <c r="AH903" s="33">
        <v>2021</v>
      </c>
      <c r="BZ903" s="61"/>
      <c r="CD903" s="18" t="e">
        <f>VLOOKUP(C903,CE:CF,2,FALSE)</f>
        <v>#N/A</v>
      </c>
    </row>
    <row r="904" spans="1:82" ht="61.5" x14ac:dyDescent="0.85">
      <c r="A904" s="18">
        <v>1</v>
      </c>
      <c r="B904" s="57">
        <f>SUBTOTAL(103,$A$558:A904)</f>
        <v>333</v>
      </c>
      <c r="C904" s="22" t="s">
        <v>1570</v>
      </c>
      <c r="D904" s="29">
        <f t="shared" si="161"/>
        <v>1408973.31</v>
      </c>
      <c r="E904" s="36">
        <v>0</v>
      </c>
      <c r="F904" s="36">
        <v>0</v>
      </c>
      <c r="G904" s="29">
        <v>0</v>
      </c>
      <c r="H904" s="36">
        <v>0</v>
      </c>
      <c r="I904" s="36">
        <v>0</v>
      </c>
      <c r="J904" s="36">
        <v>0</v>
      </c>
      <c r="K904" s="64">
        <v>0</v>
      </c>
      <c r="L904" s="29">
        <v>0</v>
      </c>
      <c r="M904" s="29">
        <v>0</v>
      </c>
      <c r="N904" s="29">
        <v>0</v>
      </c>
      <c r="O904" s="36">
        <v>0</v>
      </c>
      <c r="P904" s="36">
        <v>0</v>
      </c>
      <c r="Q904" s="29">
        <v>377.9</v>
      </c>
      <c r="R904" s="37">
        <v>1394850.45</v>
      </c>
      <c r="S904" s="29">
        <v>0</v>
      </c>
      <c r="T904" s="29">
        <v>0</v>
      </c>
      <c r="U904" s="29">
        <v>0</v>
      </c>
      <c r="V904" s="29">
        <v>0</v>
      </c>
      <c r="W904" s="29">
        <v>0</v>
      </c>
      <c r="X904" s="29">
        <v>0</v>
      </c>
      <c r="Y904" s="29">
        <v>0</v>
      </c>
      <c r="Z904" s="29">
        <v>0</v>
      </c>
      <c r="AA904" s="29">
        <v>0</v>
      </c>
      <c r="AB904" s="29">
        <v>0</v>
      </c>
      <c r="AC904" s="29">
        <f>ROUND(R904*1.0125%,2)</f>
        <v>14122.86</v>
      </c>
      <c r="AD904" s="29">
        <v>0</v>
      </c>
      <c r="AE904" s="29">
        <v>0</v>
      </c>
      <c r="AF904" s="32" t="s">
        <v>268</v>
      </c>
      <c r="AG904" s="32">
        <v>2021</v>
      </c>
      <c r="AH904" s="33">
        <v>2021</v>
      </c>
      <c r="BZ904" s="61"/>
      <c r="CD904" s="18" t="e">
        <f>VLOOKUP(C904,CE:CF,2,FALSE)</f>
        <v>#N/A</v>
      </c>
    </row>
    <row r="905" spans="1:82" ht="61.5" x14ac:dyDescent="0.85">
      <c r="B905" s="22" t="s">
        <v>1269</v>
      </c>
      <c r="C905" s="22"/>
      <c r="D905" s="339">
        <f t="shared" ref="D905:AE905" si="162">SUM(D906:D907)</f>
        <v>5970247.5199999996</v>
      </c>
      <c r="E905" s="29">
        <f t="shared" si="162"/>
        <v>0</v>
      </c>
      <c r="F905" s="29">
        <f t="shared" si="162"/>
        <v>0</v>
      </c>
      <c r="G905" s="29">
        <f t="shared" si="162"/>
        <v>0</v>
      </c>
      <c r="H905" s="29">
        <f t="shared" si="162"/>
        <v>0</v>
      </c>
      <c r="I905" s="29">
        <f t="shared" si="162"/>
        <v>0</v>
      </c>
      <c r="J905" s="29">
        <f t="shared" si="162"/>
        <v>0</v>
      </c>
      <c r="K905" s="31">
        <f t="shared" si="162"/>
        <v>0</v>
      </c>
      <c r="L905" s="29">
        <f t="shared" si="162"/>
        <v>0</v>
      </c>
      <c r="M905" s="29">
        <f t="shared" si="162"/>
        <v>0</v>
      </c>
      <c r="N905" s="29">
        <f t="shared" si="162"/>
        <v>0</v>
      </c>
      <c r="O905" s="29">
        <f t="shared" si="162"/>
        <v>0</v>
      </c>
      <c r="P905" s="29">
        <f t="shared" si="162"/>
        <v>0</v>
      </c>
      <c r="Q905" s="29">
        <f t="shared" si="162"/>
        <v>1339.37</v>
      </c>
      <c r="R905" s="29">
        <f t="shared" si="162"/>
        <v>5785082.2699999996</v>
      </c>
      <c r="S905" s="29">
        <f t="shared" si="162"/>
        <v>0</v>
      </c>
      <c r="T905" s="29">
        <f t="shared" si="162"/>
        <v>0</v>
      </c>
      <c r="U905" s="29">
        <f t="shared" si="162"/>
        <v>0</v>
      </c>
      <c r="V905" s="29">
        <f t="shared" si="162"/>
        <v>0</v>
      </c>
      <c r="W905" s="29">
        <f t="shared" si="162"/>
        <v>0</v>
      </c>
      <c r="X905" s="29">
        <f t="shared" si="162"/>
        <v>0</v>
      </c>
      <c r="Y905" s="29">
        <f t="shared" si="162"/>
        <v>0</v>
      </c>
      <c r="Z905" s="29">
        <f t="shared" si="162"/>
        <v>0</v>
      </c>
      <c r="AA905" s="29">
        <f t="shared" si="162"/>
        <v>0</v>
      </c>
      <c r="AB905" s="29">
        <f t="shared" si="162"/>
        <v>0</v>
      </c>
      <c r="AC905" s="29">
        <f t="shared" si="162"/>
        <v>79364.299999999988</v>
      </c>
      <c r="AD905" s="29">
        <f t="shared" si="162"/>
        <v>105800.95</v>
      </c>
      <c r="AE905" s="29">
        <f t="shared" si="162"/>
        <v>0</v>
      </c>
      <c r="AF905" s="62" t="s">
        <v>743</v>
      </c>
      <c r="AG905" s="62" t="s">
        <v>743</v>
      </c>
      <c r="AH905" s="77" t="s">
        <v>743</v>
      </c>
      <c r="AT905" s="18" t="e">
        <f>VLOOKUP(C905,AW:AX,2,FALSE)</f>
        <v>#N/A</v>
      </c>
      <c r="BZ905" s="61">
        <v>3284631.43</v>
      </c>
      <c r="CD905" s="18" t="e">
        <f>VLOOKUP(C905,CE:CF,2,FALSE)</f>
        <v>#N/A</v>
      </c>
    </row>
    <row r="906" spans="1:82" ht="61.5" x14ac:dyDescent="0.85">
      <c r="A906" s="18">
        <v>1</v>
      </c>
      <c r="B906" s="57">
        <f>SUBTOTAL(103,$A$558:A906)</f>
        <v>334</v>
      </c>
      <c r="C906" s="22" t="s">
        <v>1270</v>
      </c>
      <c r="D906" s="29">
        <f>E906+F906+G906+H906+I906+J906+L906+N906+P906+R906+T906+U906+V906+W906+X906+Y906+Z906+AA906+AB906+AC906+AD906+AE906</f>
        <v>3233020.45</v>
      </c>
      <c r="E906" s="29">
        <v>0</v>
      </c>
      <c r="F906" s="29">
        <v>0</v>
      </c>
      <c r="G906" s="29">
        <v>0</v>
      </c>
      <c r="H906" s="29">
        <v>0</v>
      </c>
      <c r="I906" s="29">
        <v>0</v>
      </c>
      <c r="J906" s="29">
        <v>0</v>
      </c>
      <c r="K906" s="31">
        <v>0</v>
      </c>
      <c r="L906" s="29">
        <v>0</v>
      </c>
      <c r="M906" s="29">
        <v>0</v>
      </c>
      <c r="N906" s="29">
        <v>0</v>
      </c>
      <c r="O906" s="29">
        <v>0</v>
      </c>
      <c r="P906" s="29">
        <v>0</v>
      </c>
      <c r="Q906" s="29">
        <v>842.36</v>
      </c>
      <c r="R906" s="29">
        <v>3088306.83</v>
      </c>
      <c r="S906" s="29">
        <v>0</v>
      </c>
      <c r="T906" s="29">
        <v>0</v>
      </c>
      <c r="U906" s="29">
        <v>0</v>
      </c>
      <c r="V906" s="29">
        <v>0</v>
      </c>
      <c r="W906" s="29">
        <v>0</v>
      </c>
      <c r="X906" s="29">
        <v>0</v>
      </c>
      <c r="Y906" s="29">
        <v>0</v>
      </c>
      <c r="Z906" s="29">
        <v>0</v>
      </c>
      <c r="AA906" s="29">
        <v>0</v>
      </c>
      <c r="AB906" s="29">
        <v>0</v>
      </c>
      <c r="AC906" s="29">
        <f>ROUND(R906*1.26%,2)</f>
        <v>38912.67</v>
      </c>
      <c r="AD906" s="29">
        <v>105800.95</v>
      </c>
      <c r="AE906" s="29">
        <v>0</v>
      </c>
      <c r="AF906" s="32">
        <v>2021</v>
      </c>
      <c r="AG906" s="32">
        <v>2021</v>
      </c>
      <c r="AH906" s="33">
        <v>2021</v>
      </c>
      <c r="BZ906" s="61"/>
      <c r="CD906" s="18" t="e">
        <f>VLOOKUP(C906,CE:CF,2,FALSE)</f>
        <v>#N/A</v>
      </c>
    </row>
    <row r="907" spans="1:82" ht="61.5" x14ac:dyDescent="0.85">
      <c r="A907" s="18">
        <v>1</v>
      </c>
      <c r="B907" s="57">
        <f>SUBTOTAL(103,$A$558:A907)</f>
        <v>335</v>
      </c>
      <c r="C907" s="22" t="s">
        <v>1207</v>
      </c>
      <c r="D907" s="29">
        <f>E907+F907+G907+H907+I907+J907+L907+N907+P907+R907+T907+U907+V907+W907+X907+Y907+Z907+AA907+AB907+AC907+AD907+AE907</f>
        <v>2737227.07</v>
      </c>
      <c r="E907" s="36">
        <v>0</v>
      </c>
      <c r="F907" s="36">
        <v>0</v>
      </c>
      <c r="G907" s="29">
        <v>0</v>
      </c>
      <c r="H907" s="36">
        <v>0</v>
      </c>
      <c r="I907" s="36">
        <v>0</v>
      </c>
      <c r="J907" s="36">
        <v>0</v>
      </c>
      <c r="K907" s="31">
        <v>0</v>
      </c>
      <c r="L907" s="29">
        <v>0</v>
      </c>
      <c r="M907" s="29">
        <v>0</v>
      </c>
      <c r="N907" s="29">
        <v>0</v>
      </c>
      <c r="O907" s="36">
        <v>0</v>
      </c>
      <c r="P907" s="36">
        <v>0</v>
      </c>
      <c r="Q907" s="29">
        <v>497.01</v>
      </c>
      <c r="R907" s="335">
        <v>2696775.44</v>
      </c>
      <c r="S907" s="29">
        <v>0</v>
      </c>
      <c r="T907" s="29">
        <v>0</v>
      </c>
      <c r="U907" s="29">
        <v>0</v>
      </c>
      <c r="V907" s="29">
        <v>0</v>
      </c>
      <c r="W907" s="29">
        <v>0</v>
      </c>
      <c r="X907" s="29">
        <v>0</v>
      </c>
      <c r="Y907" s="29">
        <v>0</v>
      </c>
      <c r="Z907" s="29">
        <v>0</v>
      </c>
      <c r="AA907" s="29">
        <v>0</v>
      </c>
      <c r="AB907" s="29">
        <v>0</v>
      </c>
      <c r="AC907" s="29">
        <f>ROUND(R907*1.5%,2)</f>
        <v>40451.629999999997</v>
      </c>
      <c r="AD907" s="29">
        <v>0</v>
      </c>
      <c r="AE907" s="29">
        <v>0</v>
      </c>
      <c r="AF907" s="32" t="s">
        <v>268</v>
      </c>
      <c r="AG907" s="32">
        <v>2021</v>
      </c>
      <c r="AH907" s="33">
        <v>2021</v>
      </c>
      <c r="BZ907" s="61"/>
      <c r="CD907" s="18" t="e">
        <f>VLOOKUP(C907,CE:CF,2,FALSE)</f>
        <v>#N/A</v>
      </c>
    </row>
    <row r="908" spans="1:82" ht="61.5" x14ac:dyDescent="0.85">
      <c r="B908" s="22" t="s">
        <v>817</v>
      </c>
      <c r="C908" s="22"/>
      <c r="D908" s="339">
        <f t="shared" ref="D908:AE908" si="163">SUM(D909:D910)</f>
        <v>1924810.92</v>
      </c>
      <c r="E908" s="29">
        <f t="shared" si="163"/>
        <v>0</v>
      </c>
      <c r="F908" s="29">
        <f t="shared" si="163"/>
        <v>0</v>
      </c>
      <c r="G908" s="29">
        <f t="shared" si="163"/>
        <v>0</v>
      </c>
      <c r="H908" s="29">
        <f t="shared" si="163"/>
        <v>0</v>
      </c>
      <c r="I908" s="29">
        <f t="shared" si="163"/>
        <v>0</v>
      </c>
      <c r="J908" s="29">
        <f t="shared" si="163"/>
        <v>0</v>
      </c>
      <c r="K908" s="31">
        <f t="shared" si="163"/>
        <v>0</v>
      </c>
      <c r="L908" s="29">
        <f t="shared" si="163"/>
        <v>0</v>
      </c>
      <c r="M908" s="29">
        <f t="shared" si="163"/>
        <v>0</v>
      </c>
      <c r="N908" s="29">
        <f t="shared" si="163"/>
        <v>0</v>
      </c>
      <c r="O908" s="29">
        <f t="shared" si="163"/>
        <v>0</v>
      </c>
      <c r="P908" s="29">
        <f t="shared" si="163"/>
        <v>0</v>
      </c>
      <c r="Q908" s="29">
        <f t="shared" si="163"/>
        <v>369.1</v>
      </c>
      <c r="R908" s="29">
        <f t="shared" si="163"/>
        <v>1525546</v>
      </c>
      <c r="S908" s="29">
        <f t="shared" si="163"/>
        <v>41.6</v>
      </c>
      <c r="T908" s="29">
        <f t="shared" si="163"/>
        <v>378146.57</v>
      </c>
      <c r="U908" s="29">
        <f t="shared" si="163"/>
        <v>0</v>
      </c>
      <c r="V908" s="29">
        <f t="shared" si="163"/>
        <v>0</v>
      </c>
      <c r="W908" s="29">
        <f t="shared" si="163"/>
        <v>0</v>
      </c>
      <c r="X908" s="29">
        <f t="shared" si="163"/>
        <v>0</v>
      </c>
      <c r="Y908" s="29">
        <f t="shared" si="163"/>
        <v>0</v>
      </c>
      <c r="Z908" s="29">
        <f t="shared" si="163"/>
        <v>0</v>
      </c>
      <c r="AA908" s="29">
        <f t="shared" si="163"/>
        <v>0</v>
      </c>
      <c r="AB908" s="29">
        <f t="shared" si="163"/>
        <v>0</v>
      </c>
      <c r="AC908" s="29">
        <f t="shared" si="163"/>
        <v>21118.35</v>
      </c>
      <c r="AD908" s="29">
        <f t="shared" si="163"/>
        <v>0</v>
      </c>
      <c r="AE908" s="29">
        <f t="shared" si="163"/>
        <v>0</v>
      </c>
      <c r="AF908" s="62" t="s">
        <v>743</v>
      </c>
      <c r="AG908" s="62" t="s">
        <v>743</v>
      </c>
      <c r="AH908" s="77" t="s">
        <v>743</v>
      </c>
      <c r="AT908" s="18" t="e">
        <f>VLOOKUP(C908,AW:AX,2,FALSE)</f>
        <v>#N/A</v>
      </c>
      <c r="BZ908" s="61">
        <v>3284631.43</v>
      </c>
      <c r="CD908" s="18" t="e">
        <f>VLOOKUP(C908,CE:CF,2,FALSE)</f>
        <v>#N/A</v>
      </c>
    </row>
    <row r="909" spans="1:82" ht="61.5" x14ac:dyDescent="0.85">
      <c r="A909" s="18">
        <v>1</v>
      </c>
      <c r="B909" s="57">
        <f>SUBTOTAL(103,$A$558:A909)</f>
        <v>336</v>
      </c>
      <c r="C909" s="22" t="s">
        <v>1208</v>
      </c>
      <c r="D909" s="29">
        <f>E909+F909+G909+H909+I909+J909+L909+N909+P909+R909+T909+U909+V909+W909+X909+Y909+Z909+AA909+AB909+AC909+AD909+AE909</f>
        <v>383818.77</v>
      </c>
      <c r="E909" s="29">
        <v>0</v>
      </c>
      <c r="F909" s="29">
        <v>0</v>
      </c>
      <c r="G909" s="29">
        <v>0</v>
      </c>
      <c r="H909" s="29">
        <v>0</v>
      </c>
      <c r="I909" s="29">
        <v>0</v>
      </c>
      <c r="J909" s="29">
        <v>0</v>
      </c>
      <c r="K909" s="64">
        <v>0</v>
      </c>
      <c r="L909" s="29">
        <v>0</v>
      </c>
      <c r="M909" s="29">
        <v>0</v>
      </c>
      <c r="N909" s="29">
        <v>0</v>
      </c>
      <c r="O909" s="29">
        <v>0</v>
      </c>
      <c r="P909" s="29">
        <v>0</v>
      </c>
      <c r="Q909" s="29">
        <v>0</v>
      </c>
      <c r="R909" s="29">
        <v>0</v>
      </c>
      <c r="S909" s="29">
        <v>41.6</v>
      </c>
      <c r="T909" s="29">
        <v>378146.57</v>
      </c>
      <c r="U909" s="29">
        <v>0</v>
      </c>
      <c r="V909" s="29">
        <v>0</v>
      </c>
      <c r="W909" s="29">
        <v>0</v>
      </c>
      <c r="X909" s="29">
        <v>0</v>
      </c>
      <c r="Y909" s="29">
        <v>0</v>
      </c>
      <c r="Z909" s="29">
        <v>0</v>
      </c>
      <c r="AA909" s="29">
        <v>0</v>
      </c>
      <c r="AB909" s="29">
        <v>0</v>
      </c>
      <c r="AC909" s="29">
        <f>ROUND(T909*1.5%,2)</f>
        <v>5672.2</v>
      </c>
      <c r="AD909" s="29">
        <v>0</v>
      </c>
      <c r="AE909" s="29">
        <v>0</v>
      </c>
      <c r="AF909" s="32" t="s">
        <v>268</v>
      </c>
      <c r="AG909" s="32">
        <v>2021</v>
      </c>
      <c r="AH909" s="33">
        <v>2021</v>
      </c>
      <c r="BZ909" s="61"/>
      <c r="CD909" s="18" t="e">
        <f>VLOOKUP(C909,CE:CF,2,FALSE)</f>
        <v>#N/A</v>
      </c>
    </row>
    <row r="910" spans="1:82" ht="61.5" x14ac:dyDescent="0.85">
      <c r="A910" s="18">
        <v>1</v>
      </c>
      <c r="B910" s="57">
        <f>SUBTOTAL(103,$A$558:A910)</f>
        <v>337</v>
      </c>
      <c r="C910" s="22" t="s">
        <v>244</v>
      </c>
      <c r="D910" s="29">
        <f>E910+F910+G910+H910+I910+J910+L910+N910+P910+R910+T910+U910+V910+W910+X910+Y910+Z910+AA910+AB910+AC910+AD910+AE910</f>
        <v>1540992.15</v>
      </c>
      <c r="E910" s="29">
        <v>0</v>
      </c>
      <c r="F910" s="29">
        <v>0</v>
      </c>
      <c r="G910" s="29">
        <v>0</v>
      </c>
      <c r="H910" s="29">
        <v>0</v>
      </c>
      <c r="I910" s="29">
        <v>0</v>
      </c>
      <c r="J910" s="29">
        <v>0</v>
      </c>
      <c r="K910" s="64">
        <v>0</v>
      </c>
      <c r="L910" s="29">
        <v>0</v>
      </c>
      <c r="M910" s="29">
        <v>0</v>
      </c>
      <c r="N910" s="29">
        <v>0</v>
      </c>
      <c r="O910" s="29">
        <v>0</v>
      </c>
      <c r="P910" s="29">
        <v>0</v>
      </c>
      <c r="Q910" s="29">
        <v>369.1</v>
      </c>
      <c r="R910" s="29">
        <f>1525546</f>
        <v>1525546</v>
      </c>
      <c r="S910" s="29">
        <v>0</v>
      </c>
      <c r="T910" s="29">
        <v>0</v>
      </c>
      <c r="U910" s="29">
        <v>0</v>
      </c>
      <c r="V910" s="29">
        <v>0</v>
      </c>
      <c r="W910" s="29">
        <v>0</v>
      </c>
      <c r="X910" s="29">
        <v>0</v>
      </c>
      <c r="Y910" s="29">
        <v>0</v>
      </c>
      <c r="Z910" s="29">
        <v>0</v>
      </c>
      <c r="AA910" s="29">
        <v>0</v>
      </c>
      <c r="AB910" s="29">
        <v>0</v>
      </c>
      <c r="AC910" s="29">
        <f>ROUND(R910*1.0125%,2)</f>
        <v>15446.15</v>
      </c>
      <c r="AD910" s="29">
        <v>0</v>
      </c>
      <c r="AE910" s="29">
        <v>0</v>
      </c>
      <c r="AF910" s="32" t="s">
        <v>268</v>
      </c>
      <c r="AG910" s="32">
        <v>2021</v>
      </c>
      <c r="AH910" s="33">
        <v>2021</v>
      </c>
      <c r="AT910" s="18" t="e">
        <f>VLOOKUP(C910,AW:AX,2,FALSE)</f>
        <v>#N/A</v>
      </c>
      <c r="BZ910" s="61"/>
      <c r="CD910" s="18" t="e">
        <f>VLOOKUP(C910,CE:CF,2,FALSE)</f>
        <v>#N/A</v>
      </c>
    </row>
    <row r="911" spans="1:82" ht="61.5" x14ac:dyDescent="0.85">
      <c r="B911" s="22" t="s">
        <v>859</v>
      </c>
      <c r="C911" s="22"/>
      <c r="D911" s="339">
        <f t="shared" ref="D911:AE911" si="164">SUM(D912)</f>
        <v>2192210.02</v>
      </c>
      <c r="E911" s="29">
        <f t="shared" si="164"/>
        <v>0</v>
      </c>
      <c r="F911" s="29">
        <f t="shared" si="164"/>
        <v>0</v>
      </c>
      <c r="G911" s="29">
        <f t="shared" si="164"/>
        <v>0</v>
      </c>
      <c r="H911" s="29">
        <f t="shared" si="164"/>
        <v>0</v>
      </c>
      <c r="I911" s="29">
        <f t="shared" si="164"/>
        <v>0</v>
      </c>
      <c r="J911" s="29">
        <f t="shared" si="164"/>
        <v>0</v>
      </c>
      <c r="K911" s="31">
        <f t="shared" si="164"/>
        <v>0</v>
      </c>
      <c r="L911" s="29">
        <f t="shared" si="164"/>
        <v>0</v>
      </c>
      <c r="M911" s="29">
        <f t="shared" si="164"/>
        <v>442.2</v>
      </c>
      <c r="N911" s="29">
        <f t="shared" si="164"/>
        <v>2103665.02</v>
      </c>
      <c r="O911" s="29">
        <f t="shared" si="164"/>
        <v>0</v>
      </c>
      <c r="P911" s="29">
        <f t="shared" si="164"/>
        <v>0</v>
      </c>
      <c r="Q911" s="29">
        <f t="shared" si="164"/>
        <v>0</v>
      </c>
      <c r="R911" s="29">
        <f t="shared" si="164"/>
        <v>0</v>
      </c>
      <c r="S911" s="29">
        <f t="shared" si="164"/>
        <v>0</v>
      </c>
      <c r="T911" s="29">
        <f t="shared" si="164"/>
        <v>0</v>
      </c>
      <c r="U911" s="29">
        <f t="shared" si="164"/>
        <v>0</v>
      </c>
      <c r="V911" s="29">
        <f t="shared" si="164"/>
        <v>0</v>
      </c>
      <c r="W911" s="29">
        <f t="shared" si="164"/>
        <v>0</v>
      </c>
      <c r="X911" s="29">
        <f t="shared" si="164"/>
        <v>0</v>
      </c>
      <c r="Y911" s="29">
        <f t="shared" si="164"/>
        <v>0</v>
      </c>
      <c r="Z911" s="29">
        <f t="shared" si="164"/>
        <v>0</v>
      </c>
      <c r="AA911" s="29">
        <f t="shared" si="164"/>
        <v>0</v>
      </c>
      <c r="AB911" s="29">
        <f t="shared" si="164"/>
        <v>0</v>
      </c>
      <c r="AC911" s="29">
        <f t="shared" si="164"/>
        <v>26506.18</v>
      </c>
      <c r="AD911" s="29">
        <f t="shared" si="164"/>
        <v>62038.82</v>
      </c>
      <c r="AE911" s="29">
        <f t="shared" si="164"/>
        <v>0</v>
      </c>
      <c r="AF911" s="62" t="s">
        <v>743</v>
      </c>
      <c r="AG911" s="62" t="s">
        <v>743</v>
      </c>
      <c r="AH911" s="77" t="s">
        <v>743</v>
      </c>
      <c r="AT911" s="18" t="e">
        <f>VLOOKUP(C911,AW:AX,2,FALSE)</f>
        <v>#N/A</v>
      </c>
      <c r="BZ911" s="61">
        <v>2255220</v>
      </c>
      <c r="CD911" s="18" t="e">
        <f>VLOOKUP(C911,CE:CF,2,FALSE)</f>
        <v>#N/A</v>
      </c>
    </row>
    <row r="912" spans="1:82" ht="61.5" x14ac:dyDescent="0.85">
      <c r="A912" s="18">
        <v>1</v>
      </c>
      <c r="B912" s="57">
        <f>SUBTOTAL(103,$A$558:A912)</f>
        <v>338</v>
      </c>
      <c r="C912" s="22" t="s">
        <v>242</v>
      </c>
      <c r="D912" s="29">
        <f>E912+F912+G912+H912+I912+J912+L912+N912+P912+R912+T912+U912+V912+W912+X912+Y912+Z912+AA912+AB912+AC912+AD912+AE912</f>
        <v>2192210.02</v>
      </c>
      <c r="E912" s="29">
        <v>0</v>
      </c>
      <c r="F912" s="29">
        <v>0</v>
      </c>
      <c r="G912" s="29">
        <v>0</v>
      </c>
      <c r="H912" s="29">
        <v>0</v>
      </c>
      <c r="I912" s="29">
        <v>0</v>
      </c>
      <c r="J912" s="29">
        <v>0</v>
      </c>
      <c r="K912" s="31">
        <v>0</v>
      </c>
      <c r="L912" s="29">
        <v>0</v>
      </c>
      <c r="M912" s="29">
        <v>442.2</v>
      </c>
      <c r="N912" s="29">
        <v>2103665.02</v>
      </c>
      <c r="O912" s="29">
        <v>0</v>
      </c>
      <c r="P912" s="29">
        <v>0</v>
      </c>
      <c r="Q912" s="29">
        <v>0</v>
      </c>
      <c r="R912" s="29">
        <v>0</v>
      </c>
      <c r="S912" s="29">
        <v>0</v>
      </c>
      <c r="T912" s="29">
        <v>0</v>
      </c>
      <c r="U912" s="29">
        <v>0</v>
      </c>
      <c r="V912" s="29">
        <v>0</v>
      </c>
      <c r="W912" s="29">
        <v>0</v>
      </c>
      <c r="X912" s="29">
        <v>0</v>
      </c>
      <c r="Y912" s="29">
        <v>0</v>
      </c>
      <c r="Z912" s="29">
        <v>0</v>
      </c>
      <c r="AA912" s="29">
        <v>0</v>
      </c>
      <c r="AB912" s="29">
        <v>0</v>
      </c>
      <c r="AC912" s="29">
        <f>ROUND(N912*1.26%,2)</f>
        <v>26506.18</v>
      </c>
      <c r="AD912" s="29">
        <v>62038.82</v>
      </c>
      <c r="AE912" s="29">
        <v>0</v>
      </c>
      <c r="AF912" s="32">
        <v>2021</v>
      </c>
      <c r="AG912" s="32">
        <v>2021</v>
      </c>
      <c r="AH912" s="33">
        <v>2021</v>
      </c>
      <c r="AT912" s="18" t="e">
        <f>VLOOKUP(C912,AW:AX,2,FALSE)</f>
        <v>#N/A</v>
      </c>
      <c r="BZ912" s="61"/>
      <c r="CD912" s="18" t="e">
        <f>VLOOKUP(C912,CE:CF,2,FALSE)</f>
        <v>#N/A</v>
      </c>
    </row>
    <row r="913" spans="1:82" ht="61.5" x14ac:dyDescent="0.85">
      <c r="B913" s="22" t="s">
        <v>819</v>
      </c>
      <c r="C913" s="343"/>
      <c r="D913" s="339">
        <f t="shared" ref="D913:AE915" si="165">D914</f>
        <v>2683618.7999999998</v>
      </c>
      <c r="E913" s="29">
        <f t="shared" si="165"/>
        <v>0</v>
      </c>
      <c r="F913" s="29">
        <f t="shared" si="165"/>
        <v>0</v>
      </c>
      <c r="G913" s="29">
        <f t="shared" si="165"/>
        <v>0</v>
      </c>
      <c r="H913" s="29">
        <f t="shared" si="165"/>
        <v>0</v>
      </c>
      <c r="I913" s="29">
        <f t="shared" si="165"/>
        <v>0</v>
      </c>
      <c r="J913" s="29">
        <f t="shared" si="165"/>
        <v>0</v>
      </c>
      <c r="K913" s="31">
        <f t="shared" si="165"/>
        <v>0</v>
      </c>
      <c r="L913" s="29">
        <f t="shared" si="165"/>
        <v>0</v>
      </c>
      <c r="M913" s="29">
        <f t="shared" si="165"/>
        <v>423</v>
      </c>
      <c r="N913" s="29">
        <f t="shared" si="165"/>
        <v>2579920</v>
      </c>
      <c r="O913" s="29">
        <f t="shared" si="165"/>
        <v>0</v>
      </c>
      <c r="P913" s="29">
        <f t="shared" si="165"/>
        <v>0</v>
      </c>
      <c r="Q913" s="29">
        <f t="shared" si="165"/>
        <v>0</v>
      </c>
      <c r="R913" s="29">
        <f t="shared" si="165"/>
        <v>0</v>
      </c>
      <c r="S913" s="29">
        <f t="shared" si="165"/>
        <v>0</v>
      </c>
      <c r="T913" s="29">
        <f t="shared" si="165"/>
        <v>0</v>
      </c>
      <c r="U913" s="29">
        <f t="shared" si="165"/>
        <v>0</v>
      </c>
      <c r="V913" s="29">
        <f t="shared" si="165"/>
        <v>0</v>
      </c>
      <c r="W913" s="29">
        <f t="shared" si="165"/>
        <v>0</v>
      </c>
      <c r="X913" s="29">
        <f t="shared" si="165"/>
        <v>0</v>
      </c>
      <c r="Y913" s="29">
        <f t="shared" si="165"/>
        <v>0</v>
      </c>
      <c r="Z913" s="29">
        <f t="shared" si="165"/>
        <v>0</v>
      </c>
      <c r="AA913" s="29">
        <f t="shared" si="165"/>
        <v>0</v>
      </c>
      <c r="AB913" s="29">
        <f t="shared" si="165"/>
        <v>0</v>
      </c>
      <c r="AC913" s="29">
        <f t="shared" si="165"/>
        <v>38698.800000000003</v>
      </c>
      <c r="AD913" s="29">
        <f t="shared" si="165"/>
        <v>65000</v>
      </c>
      <c r="AE913" s="29">
        <f t="shared" si="165"/>
        <v>0</v>
      </c>
      <c r="AF913" s="62" t="s">
        <v>743</v>
      </c>
      <c r="AG913" s="62" t="s">
        <v>743</v>
      </c>
      <c r="AH913" s="77" t="s">
        <v>743</v>
      </c>
      <c r="AT913" s="18" t="e">
        <f>VLOOKUP(C913,AW:AX,2,FALSE)</f>
        <v>#N/A</v>
      </c>
      <c r="BZ913" s="61">
        <v>2610900</v>
      </c>
      <c r="CD913" s="18" t="e">
        <f>VLOOKUP(C913,CE:CF,2,FALSE)</f>
        <v>#N/A</v>
      </c>
    </row>
    <row r="914" spans="1:82" ht="61.5" x14ac:dyDescent="0.85">
      <c r="A914" s="18">
        <v>1</v>
      </c>
      <c r="B914" s="57">
        <f>SUBTOTAL(103,$A$558:A914)</f>
        <v>339</v>
      </c>
      <c r="C914" s="23" t="s">
        <v>2271</v>
      </c>
      <c r="D914" s="29">
        <f>E914+F914+G914+H914+I914+J914+L914+N914+P914+R914+T914+U914+V914+W914+X914+Y914+Z914+AA914+AB914+AC914+AD914+AE914</f>
        <v>2683618.7999999998</v>
      </c>
      <c r="E914" s="29">
        <v>0</v>
      </c>
      <c r="F914" s="29">
        <v>0</v>
      </c>
      <c r="G914" s="29">
        <v>0</v>
      </c>
      <c r="H914" s="29">
        <v>0</v>
      </c>
      <c r="I914" s="29">
        <v>0</v>
      </c>
      <c r="J914" s="29">
        <v>0</v>
      </c>
      <c r="K914" s="31">
        <v>0</v>
      </c>
      <c r="L914" s="29">
        <v>0</v>
      </c>
      <c r="M914" s="29">
        <v>423</v>
      </c>
      <c r="N914" s="29">
        <v>2579920</v>
      </c>
      <c r="O914" s="29">
        <v>0</v>
      </c>
      <c r="P914" s="29">
        <v>0</v>
      </c>
      <c r="Q914" s="29">
        <v>0</v>
      </c>
      <c r="R914" s="29">
        <v>0</v>
      </c>
      <c r="S914" s="29">
        <v>0</v>
      </c>
      <c r="T914" s="29">
        <v>0</v>
      </c>
      <c r="U914" s="29">
        <v>0</v>
      </c>
      <c r="V914" s="29">
        <v>0</v>
      </c>
      <c r="W914" s="29">
        <v>0</v>
      </c>
      <c r="X914" s="29">
        <v>0</v>
      </c>
      <c r="Y914" s="29">
        <v>0</v>
      </c>
      <c r="Z914" s="29">
        <v>0</v>
      </c>
      <c r="AA914" s="29">
        <v>0</v>
      </c>
      <c r="AB914" s="29">
        <v>0</v>
      </c>
      <c r="AC914" s="29">
        <f>ROUND(N914*1.5%,2)</f>
        <v>38698.800000000003</v>
      </c>
      <c r="AD914" s="29">
        <v>65000</v>
      </c>
      <c r="AE914" s="29">
        <v>0</v>
      </c>
      <c r="AF914" s="32">
        <v>2021</v>
      </c>
      <c r="AG914" s="32">
        <v>2021</v>
      </c>
      <c r="AH914" s="33">
        <v>2021</v>
      </c>
      <c r="AT914" s="18" t="e">
        <f>VLOOKUP(C914,AW:AX,2,FALSE)</f>
        <v>#N/A</v>
      </c>
      <c r="BZ914" s="61"/>
      <c r="CD914" s="18" t="e">
        <f>VLOOKUP(C914,CE:CF,2,FALSE)</f>
        <v>#N/A</v>
      </c>
    </row>
    <row r="915" spans="1:82" ht="61.5" x14ac:dyDescent="0.85">
      <c r="B915" s="22" t="s">
        <v>860</v>
      </c>
      <c r="C915" s="343"/>
      <c r="D915" s="339">
        <f t="shared" si="165"/>
        <v>2610900</v>
      </c>
      <c r="E915" s="29">
        <f t="shared" si="165"/>
        <v>0</v>
      </c>
      <c r="F915" s="29">
        <f t="shared" si="165"/>
        <v>0</v>
      </c>
      <c r="G915" s="29">
        <f t="shared" si="165"/>
        <v>0</v>
      </c>
      <c r="H915" s="29">
        <f t="shared" si="165"/>
        <v>0</v>
      </c>
      <c r="I915" s="29">
        <f t="shared" si="165"/>
        <v>0</v>
      </c>
      <c r="J915" s="29">
        <f t="shared" si="165"/>
        <v>0</v>
      </c>
      <c r="K915" s="31">
        <f t="shared" si="165"/>
        <v>0</v>
      </c>
      <c r="L915" s="29">
        <f t="shared" si="165"/>
        <v>0</v>
      </c>
      <c r="M915" s="29">
        <f t="shared" si="165"/>
        <v>500</v>
      </c>
      <c r="N915" s="29">
        <f t="shared" si="165"/>
        <v>2454088.67</v>
      </c>
      <c r="O915" s="29">
        <f t="shared" si="165"/>
        <v>0</v>
      </c>
      <c r="P915" s="29">
        <f t="shared" si="165"/>
        <v>0</v>
      </c>
      <c r="Q915" s="29">
        <f t="shared" si="165"/>
        <v>0</v>
      </c>
      <c r="R915" s="29">
        <f t="shared" si="165"/>
        <v>0</v>
      </c>
      <c r="S915" s="29">
        <f t="shared" si="165"/>
        <v>0</v>
      </c>
      <c r="T915" s="29">
        <f t="shared" si="165"/>
        <v>0</v>
      </c>
      <c r="U915" s="29">
        <f t="shared" si="165"/>
        <v>0</v>
      </c>
      <c r="V915" s="29">
        <f t="shared" si="165"/>
        <v>0</v>
      </c>
      <c r="W915" s="29">
        <f t="shared" si="165"/>
        <v>0</v>
      </c>
      <c r="X915" s="29">
        <f t="shared" si="165"/>
        <v>0</v>
      </c>
      <c r="Y915" s="29">
        <f t="shared" si="165"/>
        <v>0</v>
      </c>
      <c r="Z915" s="29">
        <f t="shared" si="165"/>
        <v>0</v>
      </c>
      <c r="AA915" s="29">
        <f t="shared" si="165"/>
        <v>0</v>
      </c>
      <c r="AB915" s="29">
        <f t="shared" si="165"/>
        <v>0</v>
      </c>
      <c r="AC915" s="29">
        <f t="shared" si="165"/>
        <v>36811.33</v>
      </c>
      <c r="AD915" s="29">
        <f t="shared" si="165"/>
        <v>120000</v>
      </c>
      <c r="AE915" s="29">
        <f t="shared" si="165"/>
        <v>0</v>
      </c>
      <c r="AF915" s="62" t="s">
        <v>743</v>
      </c>
      <c r="AG915" s="62" t="s">
        <v>743</v>
      </c>
      <c r="AH915" s="77" t="s">
        <v>743</v>
      </c>
      <c r="AT915" s="18" t="e">
        <f>VLOOKUP(C915,AW:AX,2,FALSE)</f>
        <v>#N/A</v>
      </c>
      <c r="BZ915" s="61">
        <v>2610900</v>
      </c>
      <c r="CD915" s="18" t="e">
        <f>VLOOKUP(C915,CE:CF,2,FALSE)</f>
        <v>#N/A</v>
      </c>
    </row>
    <row r="916" spans="1:82" ht="61.5" x14ac:dyDescent="0.85">
      <c r="A916" s="18">
        <v>1</v>
      </c>
      <c r="B916" s="57">
        <f>SUBTOTAL(103,$A$558:A916)</f>
        <v>340</v>
      </c>
      <c r="C916" s="23" t="s">
        <v>2</v>
      </c>
      <c r="D916" s="29">
        <f>E916+F916+G916+H916+I916+J916+L916+N916+P916+R916+T916+U916+V916+W916+X916+Y916+Z916+AA916+AB916+AC916+AD916+AE916</f>
        <v>2610900</v>
      </c>
      <c r="E916" s="29">
        <v>0</v>
      </c>
      <c r="F916" s="29">
        <v>0</v>
      </c>
      <c r="G916" s="29">
        <v>0</v>
      </c>
      <c r="H916" s="29">
        <v>0</v>
      </c>
      <c r="I916" s="29">
        <v>0</v>
      </c>
      <c r="J916" s="29">
        <v>0</v>
      </c>
      <c r="K916" s="31">
        <v>0</v>
      </c>
      <c r="L916" s="29">
        <v>0</v>
      </c>
      <c r="M916" s="29">
        <v>500</v>
      </c>
      <c r="N916" s="29">
        <v>2454088.67</v>
      </c>
      <c r="O916" s="29">
        <v>0</v>
      </c>
      <c r="P916" s="29">
        <v>0</v>
      </c>
      <c r="Q916" s="29">
        <v>0</v>
      </c>
      <c r="R916" s="29">
        <v>0</v>
      </c>
      <c r="S916" s="29">
        <v>0</v>
      </c>
      <c r="T916" s="29">
        <v>0</v>
      </c>
      <c r="U916" s="29">
        <v>0</v>
      </c>
      <c r="V916" s="29">
        <v>0</v>
      </c>
      <c r="W916" s="29">
        <v>0</v>
      </c>
      <c r="X916" s="29">
        <v>0</v>
      </c>
      <c r="Y916" s="29">
        <v>0</v>
      </c>
      <c r="Z916" s="29">
        <v>0</v>
      </c>
      <c r="AA916" s="29">
        <v>0</v>
      </c>
      <c r="AB916" s="29">
        <v>0</v>
      </c>
      <c r="AC916" s="29">
        <f>ROUND(N916*1.5%,2)</f>
        <v>36811.33</v>
      </c>
      <c r="AD916" s="29">
        <v>120000</v>
      </c>
      <c r="AE916" s="29">
        <v>0</v>
      </c>
      <c r="AF916" s="32">
        <v>2021</v>
      </c>
      <c r="AG916" s="32">
        <v>2021</v>
      </c>
      <c r="AH916" s="33">
        <v>2021</v>
      </c>
      <c r="AT916" s="18" t="e">
        <f>VLOOKUP(C916,AW:AX,2,FALSE)</f>
        <v>#N/A</v>
      </c>
      <c r="BZ916" s="61"/>
      <c r="CD916" s="18" t="e">
        <f>VLOOKUP(C916,CE:CF,2,FALSE)</f>
        <v>#N/A</v>
      </c>
    </row>
    <row r="917" spans="1:82" ht="61.5" x14ac:dyDescent="0.85">
      <c r="B917" s="22" t="s">
        <v>861</v>
      </c>
      <c r="C917" s="23"/>
      <c r="D917" s="339">
        <f t="shared" ref="D917:AE919" si="166">D918</f>
        <v>3112313.47</v>
      </c>
      <c r="E917" s="29">
        <f t="shared" si="166"/>
        <v>0</v>
      </c>
      <c r="F917" s="29">
        <f t="shared" si="166"/>
        <v>0</v>
      </c>
      <c r="G917" s="29">
        <f t="shared" si="166"/>
        <v>0</v>
      </c>
      <c r="H917" s="29">
        <f t="shared" si="166"/>
        <v>0</v>
      </c>
      <c r="I917" s="29">
        <f t="shared" si="166"/>
        <v>0</v>
      </c>
      <c r="J917" s="29">
        <f t="shared" si="166"/>
        <v>0</v>
      </c>
      <c r="K917" s="31">
        <f t="shared" si="166"/>
        <v>0</v>
      </c>
      <c r="L917" s="29">
        <f t="shared" si="166"/>
        <v>0</v>
      </c>
      <c r="M917" s="29">
        <f t="shared" si="166"/>
        <v>600</v>
      </c>
      <c r="N917" s="29">
        <f t="shared" si="166"/>
        <v>2938995.07</v>
      </c>
      <c r="O917" s="29">
        <f t="shared" si="166"/>
        <v>0</v>
      </c>
      <c r="P917" s="29">
        <f t="shared" si="166"/>
        <v>0</v>
      </c>
      <c r="Q917" s="29">
        <f t="shared" si="166"/>
        <v>0</v>
      </c>
      <c r="R917" s="29">
        <f t="shared" si="166"/>
        <v>0</v>
      </c>
      <c r="S917" s="29">
        <f t="shared" si="166"/>
        <v>0</v>
      </c>
      <c r="T917" s="29">
        <f t="shared" si="166"/>
        <v>0</v>
      </c>
      <c r="U917" s="29">
        <f t="shared" si="166"/>
        <v>0</v>
      </c>
      <c r="V917" s="29">
        <f t="shared" si="166"/>
        <v>0</v>
      </c>
      <c r="W917" s="29">
        <f t="shared" si="166"/>
        <v>0</v>
      </c>
      <c r="X917" s="29">
        <f t="shared" si="166"/>
        <v>0</v>
      </c>
      <c r="Y917" s="29">
        <f t="shared" si="166"/>
        <v>0</v>
      </c>
      <c r="Z917" s="29">
        <f t="shared" si="166"/>
        <v>0</v>
      </c>
      <c r="AA917" s="29">
        <f t="shared" si="166"/>
        <v>0</v>
      </c>
      <c r="AB917" s="29">
        <f t="shared" si="166"/>
        <v>0</v>
      </c>
      <c r="AC917" s="29">
        <f t="shared" si="166"/>
        <v>44084.93</v>
      </c>
      <c r="AD917" s="29">
        <f t="shared" si="166"/>
        <v>129233.47</v>
      </c>
      <c r="AE917" s="29">
        <f t="shared" si="166"/>
        <v>0</v>
      </c>
      <c r="AF917" s="62" t="s">
        <v>743</v>
      </c>
      <c r="AG917" s="62" t="s">
        <v>743</v>
      </c>
      <c r="AH917" s="77" t="s">
        <v>743</v>
      </c>
      <c r="AT917" s="18" t="e">
        <f>VLOOKUP(C917,AW:AX,2,FALSE)</f>
        <v>#N/A</v>
      </c>
      <c r="BZ917" s="61">
        <v>3133080</v>
      </c>
      <c r="CB917" s="61">
        <f>BZ917-D917</f>
        <v>20766.529999999795</v>
      </c>
      <c r="CD917" s="18" t="e">
        <f>VLOOKUP(C917,CE:CF,2,FALSE)</f>
        <v>#N/A</v>
      </c>
    </row>
    <row r="918" spans="1:82" ht="61.5" x14ac:dyDescent="0.85">
      <c r="A918" s="18">
        <v>1</v>
      </c>
      <c r="B918" s="57">
        <f>SUBTOTAL(103,$A$558:A918)</f>
        <v>341</v>
      </c>
      <c r="C918" s="23" t="s">
        <v>1</v>
      </c>
      <c r="D918" s="29">
        <f>E918+F918+G918+H918+I918+J918+L918+N918+P918+R918+T918+U918+V918+W918+X918+Y918+Z918+AA918+AB918+AC918+AD918+AE918</f>
        <v>3112313.47</v>
      </c>
      <c r="E918" s="29">
        <v>0</v>
      </c>
      <c r="F918" s="29">
        <v>0</v>
      </c>
      <c r="G918" s="29">
        <v>0</v>
      </c>
      <c r="H918" s="29">
        <v>0</v>
      </c>
      <c r="I918" s="29">
        <v>0</v>
      </c>
      <c r="J918" s="29">
        <v>0</v>
      </c>
      <c r="K918" s="31">
        <v>0</v>
      </c>
      <c r="L918" s="29">
        <v>0</v>
      </c>
      <c r="M918" s="29">
        <v>600</v>
      </c>
      <c r="N918" s="29">
        <v>2938995.07</v>
      </c>
      <c r="O918" s="29">
        <v>0</v>
      </c>
      <c r="P918" s="29">
        <v>0</v>
      </c>
      <c r="Q918" s="29">
        <v>0</v>
      </c>
      <c r="R918" s="29">
        <v>0</v>
      </c>
      <c r="S918" s="29">
        <v>0</v>
      </c>
      <c r="T918" s="29">
        <v>0</v>
      </c>
      <c r="U918" s="29">
        <v>0</v>
      </c>
      <c r="V918" s="29">
        <v>0</v>
      </c>
      <c r="W918" s="29">
        <v>0</v>
      </c>
      <c r="X918" s="29">
        <v>0</v>
      </c>
      <c r="Y918" s="29">
        <v>0</v>
      </c>
      <c r="Z918" s="29">
        <v>0</v>
      </c>
      <c r="AA918" s="29">
        <v>0</v>
      </c>
      <c r="AB918" s="29">
        <v>0</v>
      </c>
      <c r="AC918" s="29">
        <f>ROUND(N918*1.5%,2)</f>
        <v>44084.93</v>
      </c>
      <c r="AD918" s="29">
        <f>150000-20766.53</f>
        <v>129233.47</v>
      </c>
      <c r="AE918" s="29">
        <v>0</v>
      </c>
      <c r="AF918" s="32">
        <v>2021</v>
      </c>
      <c r="AG918" s="32">
        <v>2021</v>
      </c>
      <c r="AH918" s="33">
        <v>2021</v>
      </c>
      <c r="AT918" s="18" t="e">
        <f>VLOOKUP(C918,AW:AX,2,FALSE)</f>
        <v>#N/A</v>
      </c>
      <c r="BZ918" s="61"/>
      <c r="CD918" s="18" t="e">
        <f>VLOOKUP(C918,CE:CF,2,FALSE)</f>
        <v>#N/A</v>
      </c>
    </row>
    <row r="919" spans="1:82" ht="61.5" x14ac:dyDescent="0.85">
      <c r="B919" s="22" t="s">
        <v>2436</v>
      </c>
      <c r="C919" s="23"/>
      <c r="D919" s="339">
        <f t="shared" si="166"/>
        <v>3560912.26</v>
      </c>
      <c r="E919" s="29">
        <f t="shared" si="166"/>
        <v>0</v>
      </c>
      <c r="F919" s="29">
        <f t="shared" si="166"/>
        <v>0</v>
      </c>
      <c r="G919" s="29">
        <f t="shared" si="166"/>
        <v>0</v>
      </c>
      <c r="H919" s="29">
        <f t="shared" si="166"/>
        <v>0</v>
      </c>
      <c r="I919" s="29">
        <f t="shared" si="166"/>
        <v>0</v>
      </c>
      <c r="J919" s="29">
        <f t="shared" si="166"/>
        <v>0</v>
      </c>
      <c r="K919" s="31">
        <f t="shared" si="166"/>
        <v>0</v>
      </c>
      <c r="L919" s="29">
        <f t="shared" si="166"/>
        <v>0</v>
      </c>
      <c r="M919" s="29">
        <f t="shared" si="166"/>
        <v>539.6</v>
      </c>
      <c r="N919" s="29">
        <f t="shared" si="166"/>
        <v>3360504.69</v>
      </c>
      <c r="O919" s="29">
        <f t="shared" si="166"/>
        <v>0</v>
      </c>
      <c r="P919" s="29">
        <f t="shared" si="166"/>
        <v>0</v>
      </c>
      <c r="Q919" s="29">
        <f t="shared" si="166"/>
        <v>0</v>
      </c>
      <c r="R919" s="29">
        <f t="shared" si="166"/>
        <v>0</v>
      </c>
      <c r="S919" s="29">
        <f t="shared" si="166"/>
        <v>0</v>
      </c>
      <c r="T919" s="29">
        <f t="shared" si="166"/>
        <v>0</v>
      </c>
      <c r="U919" s="29">
        <f t="shared" si="166"/>
        <v>0</v>
      </c>
      <c r="V919" s="29">
        <f t="shared" si="166"/>
        <v>0</v>
      </c>
      <c r="W919" s="29">
        <f t="shared" si="166"/>
        <v>0</v>
      </c>
      <c r="X919" s="29">
        <f t="shared" si="166"/>
        <v>0</v>
      </c>
      <c r="Y919" s="29">
        <f t="shared" si="166"/>
        <v>0</v>
      </c>
      <c r="Z919" s="29">
        <f t="shared" si="166"/>
        <v>0</v>
      </c>
      <c r="AA919" s="29">
        <f t="shared" si="166"/>
        <v>0</v>
      </c>
      <c r="AB919" s="29">
        <f t="shared" si="166"/>
        <v>0</v>
      </c>
      <c r="AC919" s="29">
        <f t="shared" si="166"/>
        <v>50407.57</v>
      </c>
      <c r="AD919" s="29">
        <f t="shared" si="166"/>
        <v>150000</v>
      </c>
      <c r="AE919" s="29">
        <f t="shared" si="166"/>
        <v>0</v>
      </c>
      <c r="AF919" s="62" t="s">
        <v>743</v>
      </c>
      <c r="AG919" s="62" t="s">
        <v>743</v>
      </c>
      <c r="AH919" s="77" t="s">
        <v>743</v>
      </c>
      <c r="AT919" s="18" t="e">
        <f>VLOOKUP(C919,AW:AX,2,FALSE)</f>
        <v>#N/A</v>
      </c>
      <c r="BZ919" s="61">
        <v>3133080</v>
      </c>
      <c r="CB919" s="61">
        <f>BZ919-D919</f>
        <v>-427832.25999999978</v>
      </c>
      <c r="CD919" s="18" t="e">
        <f>VLOOKUP(C919,CE:CF,2,FALSE)</f>
        <v>#N/A</v>
      </c>
    </row>
    <row r="920" spans="1:82" ht="61.5" x14ac:dyDescent="0.85">
      <c r="A920" s="18">
        <v>1</v>
      </c>
      <c r="B920" s="57">
        <f>SUBTOTAL(103,$A$558:A920)</f>
        <v>342</v>
      </c>
      <c r="C920" s="23" t="s">
        <v>2437</v>
      </c>
      <c r="D920" s="29">
        <f>E920+F920+G920+H920+I920+J920+L920+N920+P920+R920+T920+U920+V920+W920+X920+Y920+Z920+AA920+AB920+AC920+AD920+AE920</f>
        <v>3560912.26</v>
      </c>
      <c r="E920" s="29">
        <v>0</v>
      </c>
      <c r="F920" s="29">
        <v>0</v>
      </c>
      <c r="G920" s="29">
        <v>0</v>
      </c>
      <c r="H920" s="29">
        <v>0</v>
      </c>
      <c r="I920" s="29">
        <v>0</v>
      </c>
      <c r="J920" s="29">
        <v>0</v>
      </c>
      <c r="K920" s="31">
        <v>0</v>
      </c>
      <c r="L920" s="29">
        <v>0</v>
      </c>
      <c r="M920" s="29">
        <v>539.6</v>
      </c>
      <c r="N920" s="29">
        <v>3360504.69</v>
      </c>
      <c r="O920" s="29">
        <v>0</v>
      </c>
      <c r="P920" s="29">
        <v>0</v>
      </c>
      <c r="Q920" s="29">
        <v>0</v>
      </c>
      <c r="R920" s="29">
        <v>0</v>
      </c>
      <c r="S920" s="29">
        <v>0</v>
      </c>
      <c r="T920" s="29">
        <v>0</v>
      </c>
      <c r="U920" s="29">
        <v>0</v>
      </c>
      <c r="V920" s="29">
        <v>0</v>
      </c>
      <c r="W920" s="29">
        <v>0</v>
      </c>
      <c r="X920" s="29">
        <v>0</v>
      </c>
      <c r="Y920" s="29">
        <v>0</v>
      </c>
      <c r="Z920" s="29">
        <v>0</v>
      </c>
      <c r="AA920" s="29">
        <v>0</v>
      </c>
      <c r="AB920" s="29">
        <v>0</v>
      </c>
      <c r="AC920" s="29">
        <f>ROUND(N920*1.5%,2)</f>
        <v>50407.57</v>
      </c>
      <c r="AD920" s="29">
        <v>150000</v>
      </c>
      <c r="AE920" s="29">
        <v>0</v>
      </c>
      <c r="AF920" s="32">
        <v>2021</v>
      </c>
      <c r="AG920" s="32">
        <v>2021</v>
      </c>
      <c r="AH920" s="33">
        <v>2021</v>
      </c>
      <c r="AT920" s="18" t="e">
        <f>VLOOKUP(C920,AW:AX,2,FALSE)</f>
        <v>#N/A</v>
      </c>
      <c r="BZ920" s="61"/>
      <c r="CD920" s="18" t="e">
        <f>VLOOKUP(C920,CE:CF,2,FALSE)</f>
        <v>#N/A</v>
      </c>
    </row>
    <row r="921" spans="1:82" ht="61.5" x14ac:dyDescent="0.85">
      <c r="B921" s="22" t="s">
        <v>820</v>
      </c>
      <c r="C921" s="338"/>
      <c r="D921" s="339">
        <f t="shared" ref="D921:AE921" si="167">D922</f>
        <v>9833014.4500000011</v>
      </c>
      <c r="E921" s="29">
        <f t="shared" si="167"/>
        <v>0</v>
      </c>
      <c r="F921" s="29">
        <f t="shared" si="167"/>
        <v>0</v>
      </c>
      <c r="G921" s="29">
        <f t="shared" si="167"/>
        <v>0</v>
      </c>
      <c r="H921" s="29">
        <f t="shared" si="167"/>
        <v>0</v>
      </c>
      <c r="I921" s="29">
        <f t="shared" si="167"/>
        <v>0</v>
      </c>
      <c r="J921" s="29">
        <f t="shared" si="167"/>
        <v>0</v>
      </c>
      <c r="K921" s="31">
        <f t="shared" si="167"/>
        <v>0</v>
      </c>
      <c r="L921" s="29">
        <f t="shared" si="167"/>
        <v>0</v>
      </c>
      <c r="M921" s="29">
        <f t="shared" si="167"/>
        <v>2000</v>
      </c>
      <c r="N921" s="29">
        <f t="shared" si="167"/>
        <v>9539915.7100000009</v>
      </c>
      <c r="O921" s="29">
        <f t="shared" si="167"/>
        <v>0</v>
      </c>
      <c r="P921" s="29">
        <f t="shared" si="167"/>
        <v>0</v>
      </c>
      <c r="Q921" s="29">
        <f t="shared" si="167"/>
        <v>0</v>
      </c>
      <c r="R921" s="29">
        <f t="shared" si="167"/>
        <v>0</v>
      </c>
      <c r="S921" s="29">
        <f t="shared" si="167"/>
        <v>0</v>
      </c>
      <c r="T921" s="29">
        <f t="shared" si="167"/>
        <v>0</v>
      </c>
      <c r="U921" s="29">
        <f t="shared" si="167"/>
        <v>0</v>
      </c>
      <c r="V921" s="29">
        <f t="shared" si="167"/>
        <v>0</v>
      </c>
      <c r="W921" s="29">
        <f t="shared" si="167"/>
        <v>0</v>
      </c>
      <c r="X921" s="29">
        <f t="shared" si="167"/>
        <v>0</v>
      </c>
      <c r="Y921" s="29">
        <f t="shared" si="167"/>
        <v>0</v>
      </c>
      <c r="Z921" s="29">
        <f t="shared" si="167"/>
        <v>0</v>
      </c>
      <c r="AA921" s="29">
        <f t="shared" si="167"/>
        <v>0</v>
      </c>
      <c r="AB921" s="29">
        <f t="shared" si="167"/>
        <v>0</v>
      </c>
      <c r="AC921" s="29">
        <f t="shared" si="167"/>
        <v>143098.74</v>
      </c>
      <c r="AD921" s="29">
        <f t="shared" si="167"/>
        <v>150000</v>
      </c>
      <c r="AE921" s="29">
        <f t="shared" si="167"/>
        <v>0</v>
      </c>
      <c r="AF921" s="62" t="s">
        <v>743</v>
      </c>
      <c r="AG921" s="62" t="s">
        <v>743</v>
      </c>
      <c r="AH921" s="77" t="s">
        <v>743</v>
      </c>
      <c r="AT921" s="18" t="e">
        <f>VLOOKUP(C921,AW:AX,2,FALSE)</f>
        <v>#N/A</v>
      </c>
      <c r="BZ921" s="61">
        <v>7250046.1200000001</v>
      </c>
      <c r="CB921" s="61">
        <f>BZ921-D921</f>
        <v>-2582968.330000001</v>
      </c>
      <c r="CD921" s="18" t="e">
        <f>VLOOKUP(C921,CE:CF,2,FALSE)</f>
        <v>#N/A</v>
      </c>
    </row>
    <row r="922" spans="1:82" ht="61.5" x14ac:dyDescent="0.85">
      <c r="A922" s="18">
        <v>1</v>
      </c>
      <c r="B922" s="57">
        <f>SUBTOTAL(103,$A$558:A922)</f>
        <v>343</v>
      </c>
      <c r="C922" s="22" t="s">
        <v>686</v>
      </c>
      <c r="D922" s="29">
        <f>E922+F922+G922+H922+I922+J922+L922+N922+P922+R922+T922+U922+V922+W922+X922+Y922+Z922+AA922+AB922+AC922+AD922+AE922</f>
        <v>9833014.4500000011</v>
      </c>
      <c r="E922" s="29">
        <v>0</v>
      </c>
      <c r="F922" s="29">
        <v>0</v>
      </c>
      <c r="G922" s="29">
        <v>0</v>
      </c>
      <c r="H922" s="29">
        <v>0</v>
      </c>
      <c r="I922" s="29">
        <v>0</v>
      </c>
      <c r="J922" s="29">
        <v>0</v>
      </c>
      <c r="K922" s="31">
        <v>0</v>
      </c>
      <c r="L922" s="29">
        <v>0</v>
      </c>
      <c r="M922" s="29">
        <v>2000</v>
      </c>
      <c r="N922" s="29">
        <f>8185339.9+1354575.81</f>
        <v>9539915.7100000009</v>
      </c>
      <c r="O922" s="29">
        <v>0</v>
      </c>
      <c r="P922" s="29">
        <v>0</v>
      </c>
      <c r="Q922" s="29">
        <v>0</v>
      </c>
      <c r="R922" s="29">
        <v>0</v>
      </c>
      <c r="S922" s="29">
        <v>0</v>
      </c>
      <c r="T922" s="29">
        <v>0</v>
      </c>
      <c r="U922" s="29">
        <v>0</v>
      </c>
      <c r="V922" s="29">
        <v>0</v>
      </c>
      <c r="W922" s="29">
        <v>0</v>
      </c>
      <c r="X922" s="29">
        <v>0</v>
      </c>
      <c r="Y922" s="29">
        <v>0</v>
      </c>
      <c r="Z922" s="29">
        <v>0</v>
      </c>
      <c r="AA922" s="29">
        <v>0</v>
      </c>
      <c r="AB922" s="29">
        <v>0</v>
      </c>
      <c r="AC922" s="29">
        <f>ROUND(N922*1.5%,2)</f>
        <v>143098.74</v>
      </c>
      <c r="AD922" s="29">
        <v>150000</v>
      </c>
      <c r="AE922" s="29">
        <v>0</v>
      </c>
      <c r="AF922" s="32">
        <v>2021</v>
      </c>
      <c r="AG922" s="32">
        <v>2021</v>
      </c>
      <c r="AH922" s="33">
        <v>2021</v>
      </c>
      <c r="AT922" s="18" t="e">
        <f>VLOOKUP(C922,AW:AX,2,FALSE)</f>
        <v>#N/A</v>
      </c>
      <c r="BZ922" s="61"/>
      <c r="CD922" s="18" t="e">
        <f>VLOOKUP(C922,CE:CF,2,FALSE)</f>
        <v>#N/A</v>
      </c>
    </row>
    <row r="923" spans="1:82" ht="61.5" x14ac:dyDescent="0.85">
      <c r="B923" s="22" t="s">
        <v>862</v>
      </c>
      <c r="C923" s="22"/>
      <c r="D923" s="339">
        <f t="shared" ref="D923:AE923" si="168">D924</f>
        <v>2537436</v>
      </c>
      <c r="E923" s="29">
        <f t="shared" si="168"/>
        <v>0</v>
      </c>
      <c r="F923" s="29">
        <f t="shared" si="168"/>
        <v>0</v>
      </c>
      <c r="G923" s="29">
        <f t="shared" si="168"/>
        <v>0</v>
      </c>
      <c r="H923" s="29">
        <f t="shared" si="168"/>
        <v>0</v>
      </c>
      <c r="I923" s="29">
        <f t="shared" si="168"/>
        <v>0</v>
      </c>
      <c r="J923" s="29">
        <f t="shared" si="168"/>
        <v>0</v>
      </c>
      <c r="K923" s="31">
        <f t="shared" si="168"/>
        <v>0</v>
      </c>
      <c r="L923" s="29">
        <f t="shared" si="168"/>
        <v>0</v>
      </c>
      <c r="M923" s="29">
        <f t="shared" si="168"/>
        <v>600</v>
      </c>
      <c r="N923" s="29">
        <f t="shared" si="168"/>
        <v>2371858.13</v>
      </c>
      <c r="O923" s="29">
        <f t="shared" si="168"/>
        <v>0</v>
      </c>
      <c r="P923" s="29">
        <f t="shared" si="168"/>
        <v>0</v>
      </c>
      <c r="Q923" s="29">
        <f t="shared" si="168"/>
        <v>0</v>
      </c>
      <c r="R923" s="29">
        <f t="shared" si="168"/>
        <v>0</v>
      </c>
      <c r="S923" s="29">
        <f t="shared" si="168"/>
        <v>0</v>
      </c>
      <c r="T923" s="29">
        <f t="shared" si="168"/>
        <v>0</v>
      </c>
      <c r="U923" s="29">
        <f t="shared" si="168"/>
        <v>0</v>
      </c>
      <c r="V923" s="29">
        <f t="shared" si="168"/>
        <v>0</v>
      </c>
      <c r="W923" s="29">
        <f t="shared" si="168"/>
        <v>0</v>
      </c>
      <c r="X923" s="29">
        <f t="shared" si="168"/>
        <v>0</v>
      </c>
      <c r="Y923" s="29">
        <f t="shared" si="168"/>
        <v>0</v>
      </c>
      <c r="Z923" s="29">
        <f t="shared" si="168"/>
        <v>0</v>
      </c>
      <c r="AA923" s="29">
        <f t="shared" si="168"/>
        <v>0</v>
      </c>
      <c r="AB923" s="29">
        <f t="shared" si="168"/>
        <v>0</v>
      </c>
      <c r="AC923" s="29">
        <f t="shared" si="168"/>
        <v>35577.870000000003</v>
      </c>
      <c r="AD923" s="29">
        <f t="shared" si="168"/>
        <v>130000</v>
      </c>
      <c r="AE923" s="29">
        <f t="shared" si="168"/>
        <v>0</v>
      </c>
      <c r="AF923" s="62" t="s">
        <v>743</v>
      </c>
      <c r="AG923" s="62" t="s">
        <v>743</v>
      </c>
      <c r="AH923" s="77" t="s">
        <v>743</v>
      </c>
      <c r="AT923" s="18" t="e">
        <f>VLOOKUP(C923,AW:AX,2,FALSE)</f>
        <v>#N/A</v>
      </c>
      <c r="BZ923" s="61">
        <v>2473090.71</v>
      </c>
      <c r="CB923" s="61">
        <f>BZ923-D923</f>
        <v>-64345.290000000037</v>
      </c>
      <c r="CD923" s="18" t="e">
        <f>VLOOKUP(C923,CE:CF,2,FALSE)</f>
        <v>#N/A</v>
      </c>
    </row>
    <row r="924" spans="1:82" ht="61.5" x14ac:dyDescent="0.85">
      <c r="A924" s="18">
        <v>1</v>
      </c>
      <c r="B924" s="57">
        <f>SUBTOTAL(103,$A$558:A924)</f>
        <v>344</v>
      </c>
      <c r="C924" s="22" t="s">
        <v>692</v>
      </c>
      <c r="D924" s="29">
        <f>E924+F924+G924+H924+I924+J924+L924+N924+P924+R924+T924+U924+V924+W924+X924+Y924+Z924+AA924+AB924+AC924+AD924+AE924</f>
        <v>2537436</v>
      </c>
      <c r="E924" s="29">
        <v>0</v>
      </c>
      <c r="F924" s="29">
        <v>0</v>
      </c>
      <c r="G924" s="29">
        <v>0</v>
      </c>
      <c r="H924" s="29">
        <v>0</v>
      </c>
      <c r="I924" s="29">
        <v>0</v>
      </c>
      <c r="J924" s="29">
        <v>0</v>
      </c>
      <c r="K924" s="31">
        <v>0</v>
      </c>
      <c r="L924" s="29">
        <v>0</v>
      </c>
      <c r="M924" s="29">
        <v>600</v>
      </c>
      <c r="N924" s="29">
        <v>2371858.13</v>
      </c>
      <c r="O924" s="29">
        <v>0</v>
      </c>
      <c r="P924" s="29">
        <v>0</v>
      </c>
      <c r="Q924" s="29">
        <v>0</v>
      </c>
      <c r="R924" s="29">
        <v>0</v>
      </c>
      <c r="S924" s="29">
        <v>0</v>
      </c>
      <c r="T924" s="29">
        <v>0</v>
      </c>
      <c r="U924" s="29">
        <v>0</v>
      </c>
      <c r="V924" s="29">
        <v>0</v>
      </c>
      <c r="W924" s="29">
        <v>0</v>
      </c>
      <c r="X924" s="29">
        <v>0</v>
      </c>
      <c r="Y924" s="29">
        <v>0</v>
      </c>
      <c r="Z924" s="29">
        <v>0</v>
      </c>
      <c r="AA924" s="29">
        <v>0</v>
      </c>
      <c r="AB924" s="29">
        <v>0</v>
      </c>
      <c r="AC924" s="29">
        <f>ROUND(N924*1.5%,2)</f>
        <v>35577.870000000003</v>
      </c>
      <c r="AD924" s="29">
        <v>130000</v>
      </c>
      <c r="AE924" s="29">
        <v>0</v>
      </c>
      <c r="AF924" s="32">
        <v>2021</v>
      </c>
      <c r="AG924" s="32">
        <v>2021</v>
      </c>
      <c r="AH924" s="33">
        <v>2021</v>
      </c>
      <c r="AT924" s="18" t="e">
        <f>VLOOKUP(C924,AW:AX,2,FALSE)</f>
        <v>#N/A</v>
      </c>
      <c r="BZ924" s="61"/>
      <c r="CD924" s="18" t="e">
        <f>VLOOKUP(C924,CE:CF,2,FALSE)</f>
        <v>#N/A</v>
      </c>
    </row>
    <row r="925" spans="1:82" ht="61.5" x14ac:dyDescent="0.85">
      <c r="B925" s="22" t="s">
        <v>821</v>
      </c>
      <c r="C925" s="22"/>
      <c r="D925" s="339">
        <f t="shared" ref="D925:AE925" si="169">SUM(D926:D929)</f>
        <v>7294072.0299999993</v>
      </c>
      <c r="E925" s="29">
        <f t="shared" si="169"/>
        <v>350000</v>
      </c>
      <c r="F925" s="29">
        <f t="shared" si="169"/>
        <v>0</v>
      </c>
      <c r="G925" s="29">
        <f t="shared" si="169"/>
        <v>0</v>
      </c>
      <c r="H925" s="29">
        <f t="shared" si="169"/>
        <v>0</v>
      </c>
      <c r="I925" s="29">
        <f t="shared" si="169"/>
        <v>0</v>
      </c>
      <c r="J925" s="29">
        <f t="shared" si="169"/>
        <v>0</v>
      </c>
      <c r="K925" s="31">
        <f t="shared" si="169"/>
        <v>0</v>
      </c>
      <c r="L925" s="29">
        <f t="shared" si="169"/>
        <v>0</v>
      </c>
      <c r="M925" s="29">
        <f t="shared" si="169"/>
        <v>1464.8</v>
      </c>
      <c r="N925" s="29">
        <f t="shared" si="169"/>
        <v>5822136.9900000002</v>
      </c>
      <c r="O925" s="29">
        <f t="shared" si="169"/>
        <v>0</v>
      </c>
      <c r="P925" s="29">
        <f t="shared" si="169"/>
        <v>0</v>
      </c>
      <c r="Q925" s="29">
        <f t="shared" si="169"/>
        <v>1040</v>
      </c>
      <c r="R925" s="29">
        <f t="shared" si="169"/>
        <v>629919.39</v>
      </c>
      <c r="S925" s="29">
        <f t="shared" si="169"/>
        <v>0</v>
      </c>
      <c r="T925" s="29">
        <f t="shared" si="169"/>
        <v>0</v>
      </c>
      <c r="U925" s="29">
        <f t="shared" si="169"/>
        <v>0</v>
      </c>
      <c r="V925" s="29">
        <f t="shared" si="169"/>
        <v>0</v>
      </c>
      <c r="W925" s="29">
        <f t="shared" si="169"/>
        <v>0</v>
      </c>
      <c r="X925" s="29">
        <f t="shared" si="169"/>
        <v>0</v>
      </c>
      <c r="Y925" s="29">
        <f t="shared" si="169"/>
        <v>0</v>
      </c>
      <c r="Z925" s="29">
        <f t="shared" si="169"/>
        <v>0</v>
      </c>
      <c r="AA925" s="29">
        <f t="shared" si="169"/>
        <v>0</v>
      </c>
      <c r="AB925" s="29">
        <f t="shared" si="169"/>
        <v>0</v>
      </c>
      <c r="AC925" s="29">
        <f t="shared" si="169"/>
        <v>102030.85</v>
      </c>
      <c r="AD925" s="29">
        <f t="shared" si="169"/>
        <v>389984.8</v>
      </c>
      <c r="AE925" s="29">
        <f t="shared" si="169"/>
        <v>0</v>
      </c>
      <c r="AF925" s="62" t="s">
        <v>743</v>
      </c>
      <c r="AG925" s="62" t="s">
        <v>743</v>
      </c>
      <c r="AH925" s="77" t="s">
        <v>743</v>
      </c>
      <c r="AT925" s="18" t="e">
        <f>VLOOKUP(C925,AW:AX,2,FALSE)</f>
        <v>#N/A</v>
      </c>
      <c r="BZ925" s="61">
        <v>2622646.19</v>
      </c>
      <c r="CB925" s="61">
        <f>BZ925-D925</f>
        <v>-4671425.84</v>
      </c>
      <c r="CD925" s="18" t="e">
        <f>VLOOKUP(C925,CE:CF,2,FALSE)</f>
        <v>#N/A</v>
      </c>
    </row>
    <row r="926" spans="1:82" ht="61.5" x14ac:dyDescent="0.85">
      <c r="A926" s="18">
        <v>1</v>
      </c>
      <c r="B926" s="57">
        <f>SUBTOTAL(103,$A$558:A926)</f>
        <v>345</v>
      </c>
      <c r="C926" s="22" t="s">
        <v>689</v>
      </c>
      <c r="D926" s="29">
        <f>E926+F926+G926+H926+I926+J926+L926+N926+P926+R926+T926+U926+V926+W926+X926+Y926+Z926+AA926+AB926+AC926+AD926+AE926</f>
        <v>2999229.4099999997</v>
      </c>
      <c r="E926" s="29">
        <v>0</v>
      </c>
      <c r="F926" s="29">
        <v>0</v>
      </c>
      <c r="G926" s="29">
        <v>0</v>
      </c>
      <c r="H926" s="29">
        <v>0</v>
      </c>
      <c r="I926" s="29">
        <v>0</v>
      </c>
      <c r="J926" s="29">
        <v>0</v>
      </c>
      <c r="K926" s="31">
        <v>0</v>
      </c>
      <c r="L926" s="29">
        <v>0</v>
      </c>
      <c r="M926" s="29">
        <v>702</v>
      </c>
      <c r="N926" s="29">
        <f>2796847.41+6325.26+23669.31</f>
        <v>2826841.98</v>
      </c>
      <c r="O926" s="29">
        <v>0</v>
      </c>
      <c r="P926" s="29">
        <v>0</v>
      </c>
      <c r="Q926" s="29">
        <v>0</v>
      </c>
      <c r="R926" s="29">
        <v>0</v>
      </c>
      <c r="S926" s="29">
        <v>0</v>
      </c>
      <c r="T926" s="29">
        <v>0</v>
      </c>
      <c r="U926" s="29">
        <v>0</v>
      </c>
      <c r="V926" s="29">
        <v>0</v>
      </c>
      <c r="W926" s="29">
        <v>0</v>
      </c>
      <c r="X926" s="29">
        <v>0</v>
      </c>
      <c r="Y926" s="29">
        <v>0</v>
      </c>
      <c r="Z926" s="29">
        <v>0</v>
      </c>
      <c r="AA926" s="29">
        <v>0</v>
      </c>
      <c r="AB926" s="29">
        <v>0</v>
      </c>
      <c r="AC926" s="29">
        <f>ROUND(N926*1.5%,2)</f>
        <v>42402.63</v>
      </c>
      <c r="AD926" s="29">
        <f>130000.8-16</f>
        <v>129984.8</v>
      </c>
      <c r="AE926" s="29">
        <v>0</v>
      </c>
      <c r="AF926" s="32">
        <v>2021</v>
      </c>
      <c r="AG926" s="32">
        <v>2021</v>
      </c>
      <c r="AH926" s="33">
        <v>2021</v>
      </c>
      <c r="AT926" s="18" t="e">
        <f>VLOOKUP(C926,AW:AX,2,FALSE)</f>
        <v>#N/A</v>
      </c>
      <c r="BZ926" s="61"/>
      <c r="CD926" s="18" t="e">
        <f>VLOOKUP(C926,CE:CF,2,FALSE)</f>
        <v>#N/A</v>
      </c>
    </row>
    <row r="927" spans="1:82" ht="61.5" x14ac:dyDescent="0.85">
      <c r="A927" s="18">
        <v>1</v>
      </c>
      <c r="B927" s="57">
        <f>SUBTOTAL(103,$A$558:A927)</f>
        <v>346</v>
      </c>
      <c r="C927" s="22" t="s">
        <v>1541</v>
      </c>
      <c r="D927" s="29">
        <f>E927+F927+G927+H927+I927+J927+L927+N927+P927+R927+T927+U927+V927+W927+X927+Y927+Z927+AA927+AB927+AC927+AD927+AE927</f>
        <v>3040224.4400000004</v>
      </c>
      <c r="E927" s="29">
        <v>0</v>
      </c>
      <c r="F927" s="29">
        <v>0</v>
      </c>
      <c r="G927" s="29">
        <v>0</v>
      </c>
      <c r="H927" s="29">
        <v>0</v>
      </c>
      <c r="I927" s="29">
        <v>0</v>
      </c>
      <c r="J927" s="29">
        <v>0</v>
      </c>
      <c r="K927" s="31">
        <v>0</v>
      </c>
      <c r="L927" s="29">
        <v>0</v>
      </c>
      <c r="M927" s="29">
        <v>762.8</v>
      </c>
      <c r="N927" s="29">
        <f>3130467.24-135172.23</f>
        <v>2995295.0100000002</v>
      </c>
      <c r="O927" s="29">
        <v>0</v>
      </c>
      <c r="P927" s="29">
        <v>0</v>
      </c>
      <c r="Q927" s="29">
        <v>0</v>
      </c>
      <c r="R927" s="29">
        <v>0</v>
      </c>
      <c r="S927" s="29">
        <v>0</v>
      </c>
      <c r="T927" s="29">
        <v>0</v>
      </c>
      <c r="U927" s="29">
        <v>0</v>
      </c>
      <c r="V927" s="29">
        <v>0</v>
      </c>
      <c r="W927" s="29">
        <v>0</v>
      </c>
      <c r="X927" s="29">
        <v>0</v>
      </c>
      <c r="Y927" s="29">
        <v>0</v>
      </c>
      <c r="Z927" s="29">
        <v>0</v>
      </c>
      <c r="AA927" s="29">
        <v>0</v>
      </c>
      <c r="AB927" s="29">
        <v>0</v>
      </c>
      <c r="AC927" s="29">
        <f>ROUND(N927*1.5%,2)</f>
        <v>44929.43</v>
      </c>
      <c r="AD927" s="29">
        <v>0</v>
      </c>
      <c r="AE927" s="29">
        <v>0</v>
      </c>
      <c r="AF927" s="32" t="s">
        <v>268</v>
      </c>
      <c r="AG927" s="32">
        <v>2021</v>
      </c>
      <c r="AH927" s="33">
        <v>2021</v>
      </c>
      <c r="BZ927" s="61"/>
      <c r="CD927" s="18">
        <f>VLOOKUP(C927,CE:CF,2,FALSE)</f>
        <v>762.8</v>
      </c>
    </row>
    <row r="928" spans="1:82" ht="61.5" x14ac:dyDescent="0.85">
      <c r="A928" s="18">
        <v>1</v>
      </c>
      <c r="B928" s="57">
        <f>SUBTOTAL(103,$A$558:A928)</f>
        <v>347</v>
      </c>
      <c r="C928" s="22" t="s">
        <v>1210</v>
      </c>
      <c r="D928" s="29">
        <f>E928+F928+G928+H928+I928+J928+L928+N928+P928+R928+T928+U928+V928+W928+X928+Y928+Z928+AA928+AB928+AC928+AD928+AE928</f>
        <v>485250</v>
      </c>
      <c r="E928" s="29">
        <v>350000</v>
      </c>
      <c r="F928" s="29">
        <v>0</v>
      </c>
      <c r="G928" s="29">
        <v>0</v>
      </c>
      <c r="H928" s="29">
        <v>0</v>
      </c>
      <c r="I928" s="29">
        <v>0</v>
      </c>
      <c r="J928" s="29">
        <v>0</v>
      </c>
      <c r="K928" s="31">
        <v>0</v>
      </c>
      <c r="L928" s="29">
        <v>0</v>
      </c>
      <c r="M928" s="29">
        <v>0</v>
      </c>
      <c r="N928" s="29">
        <v>0</v>
      </c>
      <c r="O928" s="29">
        <v>0</v>
      </c>
      <c r="P928" s="29">
        <v>0</v>
      </c>
      <c r="Q928" s="29">
        <v>0</v>
      </c>
      <c r="R928" s="29">
        <v>0</v>
      </c>
      <c r="S928" s="29">
        <v>0</v>
      </c>
      <c r="T928" s="29">
        <v>0</v>
      </c>
      <c r="U928" s="29">
        <v>0</v>
      </c>
      <c r="V928" s="29">
        <v>0</v>
      </c>
      <c r="W928" s="29">
        <v>0</v>
      </c>
      <c r="X928" s="29">
        <v>0</v>
      </c>
      <c r="Y928" s="29">
        <v>0</v>
      </c>
      <c r="Z928" s="29">
        <v>0</v>
      </c>
      <c r="AA928" s="29">
        <v>0</v>
      </c>
      <c r="AB928" s="29">
        <v>0</v>
      </c>
      <c r="AC928" s="29">
        <f>ROUND((E928+F928+G928+H928+I928+J928)*1.5%,2)</f>
        <v>5250</v>
      </c>
      <c r="AD928" s="29">
        <v>130000</v>
      </c>
      <c r="AE928" s="29">
        <v>0</v>
      </c>
      <c r="AF928" s="32">
        <v>2021</v>
      </c>
      <c r="AG928" s="32">
        <v>2021</v>
      </c>
      <c r="AH928" s="33">
        <v>2021</v>
      </c>
      <c r="BZ928" s="61"/>
      <c r="CD928" s="18" t="e">
        <f>VLOOKUP(C928,CE:CF,2,FALSE)</f>
        <v>#N/A</v>
      </c>
    </row>
    <row r="929" spans="1:82" ht="61.5" x14ac:dyDescent="0.85">
      <c r="A929" s="18">
        <v>1</v>
      </c>
      <c r="B929" s="57">
        <f>SUBTOTAL(103,$A$558:A929)</f>
        <v>348</v>
      </c>
      <c r="C929" s="22" t="s">
        <v>1939</v>
      </c>
      <c r="D929" s="29">
        <f>E929+F929+G929+H929+I929+J929+L929+N929+P929+R929+T929+U929+V929+W929+X929+Y929+Z929+AA929+AB929+AC929+AD929+AE929</f>
        <v>769368.18</v>
      </c>
      <c r="E929" s="29">
        <v>0</v>
      </c>
      <c r="F929" s="29">
        <v>0</v>
      </c>
      <c r="G929" s="29">
        <v>0</v>
      </c>
      <c r="H929" s="29">
        <v>0</v>
      </c>
      <c r="I929" s="29">
        <v>0</v>
      </c>
      <c r="J929" s="29">
        <v>0</v>
      </c>
      <c r="K929" s="31">
        <v>0</v>
      </c>
      <c r="L929" s="29">
        <v>0</v>
      </c>
      <c r="M929" s="29">
        <v>0</v>
      </c>
      <c r="N929" s="29">
        <v>0</v>
      </c>
      <c r="O929" s="29">
        <v>0</v>
      </c>
      <c r="P929" s="29">
        <v>0</v>
      </c>
      <c r="Q929" s="29">
        <v>1040</v>
      </c>
      <c r="R929" s="29">
        <v>629919.39</v>
      </c>
      <c r="S929" s="29">
        <v>0</v>
      </c>
      <c r="T929" s="29">
        <v>0</v>
      </c>
      <c r="U929" s="29">
        <v>0</v>
      </c>
      <c r="V929" s="29">
        <v>0</v>
      </c>
      <c r="W929" s="29">
        <v>0</v>
      </c>
      <c r="X929" s="29">
        <v>0</v>
      </c>
      <c r="Y929" s="29">
        <v>0</v>
      </c>
      <c r="Z929" s="29">
        <v>0</v>
      </c>
      <c r="AA929" s="29">
        <v>0</v>
      </c>
      <c r="AB929" s="29">
        <v>0</v>
      </c>
      <c r="AC929" s="29">
        <f>ROUND(R929*1.5%,2)</f>
        <v>9448.7900000000009</v>
      </c>
      <c r="AD929" s="29">
        <v>130000</v>
      </c>
      <c r="AE929" s="29">
        <v>0</v>
      </c>
      <c r="AF929" s="32">
        <v>2021</v>
      </c>
      <c r="AG929" s="32">
        <v>2021</v>
      </c>
      <c r="AH929" s="33">
        <v>2021</v>
      </c>
      <c r="BZ929" s="61"/>
      <c r="CD929" s="18" t="e">
        <f>VLOOKUP(C929,CE:CF,2,FALSE)</f>
        <v>#N/A</v>
      </c>
    </row>
    <row r="930" spans="1:82" ht="61.5" x14ac:dyDescent="0.85">
      <c r="B930" s="22" t="s">
        <v>822</v>
      </c>
      <c r="C930" s="22"/>
      <c r="D930" s="339">
        <f t="shared" ref="D930:AE930" si="170">D931</f>
        <v>4024889.9</v>
      </c>
      <c r="E930" s="29">
        <f t="shared" si="170"/>
        <v>0</v>
      </c>
      <c r="F930" s="29">
        <f t="shared" si="170"/>
        <v>0</v>
      </c>
      <c r="G930" s="29">
        <f t="shared" si="170"/>
        <v>0</v>
      </c>
      <c r="H930" s="29">
        <f t="shared" si="170"/>
        <v>0</v>
      </c>
      <c r="I930" s="29">
        <f t="shared" si="170"/>
        <v>0</v>
      </c>
      <c r="J930" s="29">
        <f t="shared" si="170"/>
        <v>0</v>
      </c>
      <c r="K930" s="31">
        <f t="shared" si="170"/>
        <v>0</v>
      </c>
      <c r="L930" s="29">
        <f t="shared" si="170"/>
        <v>0</v>
      </c>
      <c r="M930" s="29">
        <f t="shared" si="170"/>
        <v>0</v>
      </c>
      <c r="N930" s="29">
        <f t="shared" si="170"/>
        <v>0</v>
      </c>
      <c r="O930" s="29">
        <f t="shared" si="170"/>
        <v>0</v>
      </c>
      <c r="P930" s="29">
        <f t="shared" si="170"/>
        <v>0</v>
      </c>
      <c r="Q930" s="29">
        <f t="shared" si="170"/>
        <v>716.49</v>
      </c>
      <c r="R930" s="29">
        <f t="shared" si="170"/>
        <v>3965408.77</v>
      </c>
      <c r="S930" s="29">
        <f t="shared" si="170"/>
        <v>0</v>
      </c>
      <c r="T930" s="29">
        <f t="shared" si="170"/>
        <v>0</v>
      </c>
      <c r="U930" s="29">
        <f t="shared" si="170"/>
        <v>0</v>
      </c>
      <c r="V930" s="29">
        <f t="shared" si="170"/>
        <v>0</v>
      </c>
      <c r="W930" s="29">
        <f t="shared" si="170"/>
        <v>0</v>
      </c>
      <c r="X930" s="29">
        <f t="shared" si="170"/>
        <v>0</v>
      </c>
      <c r="Y930" s="29">
        <f t="shared" si="170"/>
        <v>0</v>
      </c>
      <c r="Z930" s="29">
        <f t="shared" si="170"/>
        <v>0</v>
      </c>
      <c r="AA930" s="29">
        <f t="shared" si="170"/>
        <v>0</v>
      </c>
      <c r="AB930" s="29">
        <f t="shared" si="170"/>
        <v>0</v>
      </c>
      <c r="AC930" s="29">
        <f t="shared" si="170"/>
        <v>59481.13</v>
      </c>
      <c r="AD930" s="29">
        <f t="shared" si="170"/>
        <v>0</v>
      </c>
      <c r="AE930" s="29">
        <f t="shared" si="170"/>
        <v>0</v>
      </c>
      <c r="AF930" s="62" t="s">
        <v>743</v>
      </c>
      <c r="AG930" s="62" t="s">
        <v>743</v>
      </c>
      <c r="AH930" s="77" t="s">
        <v>743</v>
      </c>
      <c r="AT930" s="18" t="e">
        <f>VLOOKUP(C930,AW:AX,2,FALSE)</f>
        <v>#N/A</v>
      </c>
      <c r="BZ930" s="61">
        <v>2473090.71</v>
      </c>
      <c r="CB930" s="61">
        <f>BZ930-D930</f>
        <v>-1551799.19</v>
      </c>
      <c r="CD930" s="18" t="e">
        <f>VLOOKUP(C930,CE:CF,2,FALSE)</f>
        <v>#N/A</v>
      </c>
    </row>
    <row r="931" spans="1:82" ht="61.5" x14ac:dyDescent="0.85">
      <c r="A931" s="18">
        <v>1</v>
      </c>
      <c r="B931" s="57">
        <f>SUBTOTAL(103,$A$558:A931)</f>
        <v>349</v>
      </c>
      <c r="C931" s="22" t="s">
        <v>787</v>
      </c>
      <c r="D931" s="29">
        <f>E931+F931+G931+H931+I931+J931+L931+N931+P931+R931+T931+U931+V931+W931+X931+Y931+Z931+AA931+AB931+AC931+AD931+AE931</f>
        <v>4024889.9</v>
      </c>
      <c r="E931" s="29">
        <v>0</v>
      </c>
      <c r="F931" s="29">
        <v>0</v>
      </c>
      <c r="G931" s="29">
        <v>0</v>
      </c>
      <c r="H931" s="29">
        <v>0</v>
      </c>
      <c r="I931" s="29">
        <v>0</v>
      </c>
      <c r="J931" s="29">
        <v>0</v>
      </c>
      <c r="K931" s="64">
        <v>0</v>
      </c>
      <c r="L931" s="29">
        <v>0</v>
      </c>
      <c r="M931" s="29">
        <v>0</v>
      </c>
      <c r="N931" s="29">
        <v>0</v>
      </c>
      <c r="O931" s="29">
        <v>0</v>
      </c>
      <c r="P931" s="29">
        <v>0</v>
      </c>
      <c r="Q931" s="37">
        <v>716.49</v>
      </c>
      <c r="R931" s="37">
        <v>3965408.77</v>
      </c>
      <c r="S931" s="29">
        <v>0</v>
      </c>
      <c r="T931" s="29">
        <v>0</v>
      </c>
      <c r="U931" s="29">
        <v>0</v>
      </c>
      <c r="V931" s="29">
        <v>0</v>
      </c>
      <c r="W931" s="29">
        <v>0</v>
      </c>
      <c r="X931" s="29">
        <v>0</v>
      </c>
      <c r="Y931" s="29">
        <v>0</v>
      </c>
      <c r="Z931" s="29">
        <v>0</v>
      </c>
      <c r="AA931" s="29">
        <v>0</v>
      </c>
      <c r="AB931" s="29">
        <v>0</v>
      </c>
      <c r="AC931" s="29">
        <f>ROUND((N931+R931)*1.5%,2)</f>
        <v>59481.13</v>
      </c>
      <c r="AD931" s="29">
        <v>0</v>
      </c>
      <c r="AE931" s="29">
        <v>0</v>
      </c>
      <c r="AF931" s="32" t="s">
        <v>268</v>
      </c>
      <c r="AG931" s="32">
        <v>2021</v>
      </c>
      <c r="AH931" s="33">
        <v>2021</v>
      </c>
      <c r="AT931" s="18" t="e">
        <f>VLOOKUP(C931,AW:AX,2,FALSE)</f>
        <v>#N/A</v>
      </c>
      <c r="BZ931" s="61"/>
      <c r="CD931" s="18" t="e">
        <f>VLOOKUP(C931,CE:CF,2,FALSE)</f>
        <v>#N/A</v>
      </c>
    </row>
    <row r="932" spans="1:82" ht="61.5" x14ac:dyDescent="0.85">
      <c r="B932" s="22" t="s">
        <v>823</v>
      </c>
      <c r="C932" s="338"/>
      <c r="D932" s="339">
        <f t="shared" ref="D932:AE932" si="171">SUM(D933:D944)</f>
        <v>42452497.159999996</v>
      </c>
      <c r="E932" s="29">
        <f t="shared" si="171"/>
        <v>427797.72</v>
      </c>
      <c r="F932" s="29">
        <f t="shared" si="171"/>
        <v>0</v>
      </c>
      <c r="G932" s="29">
        <f t="shared" si="171"/>
        <v>2317678.87</v>
      </c>
      <c r="H932" s="29">
        <f t="shared" si="171"/>
        <v>510472.95</v>
      </c>
      <c r="I932" s="29">
        <f t="shared" si="171"/>
        <v>0</v>
      </c>
      <c r="J932" s="29">
        <f t="shared" si="171"/>
        <v>0</v>
      </c>
      <c r="K932" s="31">
        <f t="shared" si="171"/>
        <v>0</v>
      </c>
      <c r="L932" s="29">
        <f t="shared" si="171"/>
        <v>0</v>
      </c>
      <c r="M932" s="29">
        <f t="shared" si="171"/>
        <v>6280.55</v>
      </c>
      <c r="N932" s="29">
        <f t="shared" si="171"/>
        <v>29819139.800000001</v>
      </c>
      <c r="O932" s="29">
        <f t="shared" si="171"/>
        <v>0</v>
      </c>
      <c r="P932" s="29">
        <f t="shared" si="171"/>
        <v>0</v>
      </c>
      <c r="Q932" s="29">
        <f t="shared" si="171"/>
        <v>1218.8599999999999</v>
      </c>
      <c r="R932" s="29">
        <f t="shared" si="171"/>
        <v>3020176.4</v>
      </c>
      <c r="S932" s="29">
        <f t="shared" si="171"/>
        <v>0</v>
      </c>
      <c r="T932" s="29">
        <f t="shared" si="171"/>
        <v>0</v>
      </c>
      <c r="U932" s="29">
        <f t="shared" si="171"/>
        <v>4930927.92</v>
      </c>
      <c r="V932" s="29">
        <f t="shared" si="171"/>
        <v>0</v>
      </c>
      <c r="W932" s="29">
        <f t="shared" si="171"/>
        <v>0</v>
      </c>
      <c r="X932" s="29">
        <f t="shared" si="171"/>
        <v>0</v>
      </c>
      <c r="Y932" s="29">
        <f t="shared" si="171"/>
        <v>0</v>
      </c>
      <c r="Z932" s="29">
        <f t="shared" si="171"/>
        <v>0</v>
      </c>
      <c r="AA932" s="29">
        <f t="shared" si="171"/>
        <v>0</v>
      </c>
      <c r="AB932" s="29">
        <f t="shared" si="171"/>
        <v>0</v>
      </c>
      <c r="AC932" s="29">
        <f t="shared" si="171"/>
        <v>615392.9</v>
      </c>
      <c r="AD932" s="29">
        <f t="shared" si="171"/>
        <v>810910.6</v>
      </c>
      <c r="AE932" s="29">
        <f t="shared" si="171"/>
        <v>0</v>
      </c>
      <c r="AF932" s="62" t="s">
        <v>743</v>
      </c>
      <c r="AG932" s="62" t="s">
        <v>743</v>
      </c>
      <c r="AH932" s="77" t="s">
        <v>743</v>
      </c>
      <c r="AT932" s="18" t="e">
        <f>VLOOKUP(C932,AW:AX,2,FALSE)</f>
        <v>#N/A</v>
      </c>
      <c r="BZ932" s="61">
        <v>29283340</v>
      </c>
      <c r="CD932" s="18" t="e">
        <f>VLOOKUP(C932,CE:CF,2,FALSE)</f>
        <v>#N/A</v>
      </c>
    </row>
    <row r="933" spans="1:82" ht="61.5" x14ac:dyDescent="0.85">
      <c r="A933" s="18">
        <v>1</v>
      </c>
      <c r="B933" s="57">
        <f>SUBTOTAL(103,$A$558:A933)</f>
        <v>350</v>
      </c>
      <c r="C933" s="22" t="s">
        <v>123</v>
      </c>
      <c r="D933" s="29">
        <f t="shared" ref="D933:D939" si="172">E933+F933+G933+H933+I933+J933+L933+N933+P933+R933+T933+U933+V933+W933+X933+Y933+Z933+AA933+AB933+AC933+AD933+AE933</f>
        <v>3282441.93</v>
      </c>
      <c r="E933" s="29">
        <v>0</v>
      </c>
      <c r="F933" s="29">
        <v>0</v>
      </c>
      <c r="G933" s="29">
        <v>0</v>
      </c>
      <c r="H933" s="29">
        <v>0</v>
      </c>
      <c r="I933" s="29">
        <v>0</v>
      </c>
      <c r="J933" s="29">
        <v>0</v>
      </c>
      <c r="K933" s="31">
        <v>0</v>
      </c>
      <c r="L933" s="29">
        <v>0</v>
      </c>
      <c r="M933" s="29">
        <v>662.5</v>
      </c>
      <c r="N933" s="29">
        <v>3115763.55</v>
      </c>
      <c r="O933" s="29">
        <v>0</v>
      </c>
      <c r="P933" s="29">
        <v>0</v>
      </c>
      <c r="Q933" s="29">
        <v>0</v>
      </c>
      <c r="R933" s="29">
        <v>0</v>
      </c>
      <c r="S933" s="29">
        <v>0</v>
      </c>
      <c r="T933" s="29">
        <v>0</v>
      </c>
      <c r="U933" s="29">
        <v>0</v>
      </c>
      <c r="V933" s="29">
        <v>0</v>
      </c>
      <c r="W933" s="29">
        <v>0</v>
      </c>
      <c r="X933" s="29">
        <v>0</v>
      </c>
      <c r="Y933" s="29">
        <v>0</v>
      </c>
      <c r="Z933" s="29">
        <v>0</v>
      </c>
      <c r="AA933" s="29">
        <v>0</v>
      </c>
      <c r="AB933" s="29">
        <v>0</v>
      </c>
      <c r="AC933" s="29">
        <f t="shared" ref="AC933:AC939" si="173">ROUND(N933*1.5%,2)</f>
        <v>46736.45</v>
      </c>
      <c r="AD933" s="29">
        <v>119941.93</v>
      </c>
      <c r="AE933" s="29">
        <v>0</v>
      </c>
      <c r="AF933" s="32">
        <v>2021</v>
      </c>
      <c r="AG933" s="32">
        <v>2021</v>
      </c>
      <c r="AH933" s="33">
        <v>2021</v>
      </c>
      <c r="AT933" s="18" t="e">
        <f>VLOOKUP(C933,AW:AX,2,FALSE)</f>
        <v>#N/A</v>
      </c>
      <c r="BZ933" s="61"/>
      <c r="CD933" s="18" t="e">
        <f>VLOOKUP(C933,CE:CF,2,FALSE)</f>
        <v>#N/A</v>
      </c>
    </row>
    <row r="934" spans="1:82" ht="61.5" x14ac:dyDescent="0.85">
      <c r="A934" s="18">
        <v>1</v>
      </c>
      <c r="B934" s="57">
        <f>SUBTOTAL(103,$A$558:A934)</f>
        <v>351</v>
      </c>
      <c r="C934" s="22" t="s">
        <v>128</v>
      </c>
      <c r="D934" s="29">
        <f t="shared" si="172"/>
        <v>5004891.84</v>
      </c>
      <c r="E934" s="29">
        <v>0</v>
      </c>
      <c r="F934" s="29">
        <v>0</v>
      </c>
      <c r="G934" s="29">
        <v>0</v>
      </c>
      <c r="H934" s="29">
        <v>0</v>
      </c>
      <c r="I934" s="29">
        <v>0</v>
      </c>
      <c r="J934" s="29">
        <v>0</v>
      </c>
      <c r="K934" s="31">
        <v>0</v>
      </c>
      <c r="L934" s="29">
        <v>0</v>
      </c>
      <c r="M934" s="29">
        <v>0</v>
      </c>
      <c r="N934" s="29">
        <v>0</v>
      </c>
      <c r="O934" s="29">
        <v>0</v>
      </c>
      <c r="P934" s="29">
        <v>0</v>
      </c>
      <c r="Q934" s="29">
        <v>0</v>
      </c>
      <c r="R934" s="29">
        <v>0</v>
      </c>
      <c r="S934" s="29">
        <v>0</v>
      </c>
      <c r="T934" s="29">
        <v>0</v>
      </c>
      <c r="U934" s="29">
        <v>4930927.92</v>
      </c>
      <c r="V934" s="29">
        <v>0</v>
      </c>
      <c r="W934" s="29">
        <v>0</v>
      </c>
      <c r="X934" s="29">
        <v>0</v>
      </c>
      <c r="Y934" s="29">
        <v>0</v>
      </c>
      <c r="Z934" s="29">
        <v>0</v>
      </c>
      <c r="AA934" s="29">
        <v>0</v>
      </c>
      <c r="AB934" s="29">
        <v>0</v>
      </c>
      <c r="AC934" s="29">
        <f>ROUND(U934*1.5%,2)</f>
        <v>73963.92</v>
      </c>
      <c r="AD934" s="29">
        <v>0</v>
      </c>
      <c r="AE934" s="29">
        <v>0</v>
      </c>
      <c r="AF934" s="32" t="s">
        <v>268</v>
      </c>
      <c r="AG934" s="32">
        <v>2021</v>
      </c>
      <c r="AH934" s="33">
        <v>2021</v>
      </c>
      <c r="AT934" s="18" t="e">
        <f>VLOOKUP(C934,AW:AX,2,FALSE)</f>
        <v>#N/A</v>
      </c>
      <c r="BZ934" s="61"/>
      <c r="CD934" s="18" t="e">
        <f>VLOOKUP(C934,CE:CF,2,FALSE)</f>
        <v>#N/A</v>
      </c>
    </row>
    <row r="935" spans="1:82" ht="61.5" x14ac:dyDescent="0.85">
      <c r="A935" s="18">
        <v>1</v>
      </c>
      <c r="B935" s="57">
        <f>SUBTOTAL(103,$A$558:A935)</f>
        <v>352</v>
      </c>
      <c r="C935" s="22" t="s">
        <v>126</v>
      </c>
      <c r="D935" s="29">
        <f t="shared" si="172"/>
        <v>4183177.36</v>
      </c>
      <c r="E935" s="29">
        <v>0</v>
      </c>
      <c r="F935" s="29">
        <v>0</v>
      </c>
      <c r="G935" s="29">
        <v>0</v>
      </c>
      <c r="H935" s="29">
        <v>0</v>
      </c>
      <c r="I935" s="29">
        <v>0</v>
      </c>
      <c r="J935" s="29">
        <v>0</v>
      </c>
      <c r="K935" s="31">
        <v>0</v>
      </c>
      <c r="L935" s="29">
        <v>0</v>
      </c>
      <c r="M935" s="29">
        <v>897.57</v>
      </c>
      <c r="N935" s="29">
        <v>4121357</v>
      </c>
      <c r="O935" s="29">
        <v>0</v>
      </c>
      <c r="P935" s="29">
        <v>0</v>
      </c>
      <c r="Q935" s="29">
        <v>0</v>
      </c>
      <c r="R935" s="29">
        <v>0</v>
      </c>
      <c r="S935" s="29">
        <v>0</v>
      </c>
      <c r="T935" s="29">
        <v>0</v>
      </c>
      <c r="U935" s="29">
        <v>0</v>
      </c>
      <c r="V935" s="29">
        <v>0</v>
      </c>
      <c r="W935" s="29">
        <v>0</v>
      </c>
      <c r="X935" s="29">
        <v>0</v>
      </c>
      <c r="Y935" s="29">
        <v>0</v>
      </c>
      <c r="Z935" s="29">
        <v>0</v>
      </c>
      <c r="AA935" s="29">
        <v>0</v>
      </c>
      <c r="AB935" s="29">
        <v>0</v>
      </c>
      <c r="AC935" s="29">
        <f t="shared" si="173"/>
        <v>61820.36</v>
      </c>
      <c r="AD935" s="29">
        <v>0</v>
      </c>
      <c r="AE935" s="29">
        <v>0</v>
      </c>
      <c r="AF935" s="32" t="s">
        <v>268</v>
      </c>
      <c r="AG935" s="32">
        <v>2021</v>
      </c>
      <c r="AH935" s="33">
        <v>2021</v>
      </c>
      <c r="AT935" s="18" t="e">
        <f>VLOOKUP(C935,AW:AX,2,FALSE)</f>
        <v>#N/A</v>
      </c>
      <c r="BZ935" s="61"/>
      <c r="CD935" s="18" t="e">
        <f>VLOOKUP(C935,CE:CF,2,FALSE)</f>
        <v>#N/A</v>
      </c>
    </row>
    <row r="936" spans="1:82" ht="61.5" x14ac:dyDescent="0.85">
      <c r="A936" s="18">
        <v>1</v>
      </c>
      <c r="B936" s="57">
        <f>SUBTOTAL(103,$A$558:A936)</f>
        <v>353</v>
      </c>
      <c r="C936" s="22" t="s">
        <v>129</v>
      </c>
      <c r="D936" s="29">
        <f t="shared" si="172"/>
        <v>3494323.56</v>
      </c>
      <c r="E936" s="29">
        <v>0</v>
      </c>
      <c r="F936" s="29">
        <v>0</v>
      </c>
      <c r="G936" s="29">
        <v>0</v>
      </c>
      <c r="H936" s="29">
        <v>0</v>
      </c>
      <c r="I936" s="29">
        <v>0</v>
      </c>
      <c r="J936" s="29">
        <v>0</v>
      </c>
      <c r="K936" s="31">
        <v>0</v>
      </c>
      <c r="L936" s="29">
        <v>0</v>
      </c>
      <c r="M936" s="29">
        <v>670</v>
      </c>
      <c r="N936" s="29">
        <f>3152709.36+289973.95</f>
        <v>3442683.31</v>
      </c>
      <c r="O936" s="29">
        <v>0</v>
      </c>
      <c r="P936" s="29">
        <v>0</v>
      </c>
      <c r="Q936" s="29">
        <v>0</v>
      </c>
      <c r="R936" s="29">
        <v>0</v>
      </c>
      <c r="S936" s="29">
        <v>0</v>
      </c>
      <c r="T936" s="29">
        <v>0</v>
      </c>
      <c r="U936" s="29">
        <v>0</v>
      </c>
      <c r="V936" s="29">
        <v>0</v>
      </c>
      <c r="W936" s="29">
        <v>0</v>
      </c>
      <c r="X936" s="29">
        <v>0</v>
      </c>
      <c r="Y936" s="29">
        <v>0</v>
      </c>
      <c r="Z936" s="29">
        <v>0</v>
      </c>
      <c r="AA936" s="29">
        <v>0</v>
      </c>
      <c r="AB936" s="29">
        <v>0</v>
      </c>
      <c r="AC936" s="29">
        <f t="shared" si="173"/>
        <v>51640.25</v>
      </c>
      <c r="AD936" s="29">
        <v>0</v>
      </c>
      <c r="AE936" s="29">
        <v>0</v>
      </c>
      <c r="AF936" s="32" t="s">
        <v>268</v>
      </c>
      <c r="AG936" s="32">
        <v>2021</v>
      </c>
      <c r="AH936" s="33">
        <v>2021</v>
      </c>
      <c r="AT936" s="18">
        <f>VLOOKUP(C936,AW:AX,2,FALSE)</f>
        <v>1</v>
      </c>
      <c r="BZ936" s="61"/>
      <c r="CD936" s="18" t="e">
        <f>VLOOKUP(C936,CE:CF,2,FALSE)</f>
        <v>#N/A</v>
      </c>
    </row>
    <row r="937" spans="1:82" ht="61.5" x14ac:dyDescent="0.85">
      <c r="A937" s="18">
        <v>1</v>
      </c>
      <c r="B937" s="57">
        <f>SUBTOTAL(103,$A$558:A937)</f>
        <v>354</v>
      </c>
      <c r="C937" s="22" t="s">
        <v>127</v>
      </c>
      <c r="D937" s="29">
        <f t="shared" si="172"/>
        <v>3011574.49</v>
      </c>
      <c r="E937" s="29">
        <v>0</v>
      </c>
      <c r="F937" s="29">
        <v>0</v>
      </c>
      <c r="G937" s="29">
        <v>0</v>
      </c>
      <c r="H937" s="29">
        <v>0</v>
      </c>
      <c r="I937" s="29">
        <v>0</v>
      </c>
      <c r="J937" s="29">
        <v>0</v>
      </c>
      <c r="K937" s="31">
        <v>0</v>
      </c>
      <c r="L937" s="29">
        <v>0</v>
      </c>
      <c r="M937" s="29">
        <v>616.12</v>
      </c>
      <c r="N937" s="29">
        <v>2887290.64</v>
      </c>
      <c r="O937" s="29">
        <v>0</v>
      </c>
      <c r="P937" s="29">
        <v>0</v>
      </c>
      <c r="Q937" s="29">
        <v>0</v>
      </c>
      <c r="R937" s="29">
        <v>0</v>
      </c>
      <c r="S937" s="29">
        <v>0</v>
      </c>
      <c r="T937" s="29">
        <v>0</v>
      </c>
      <c r="U937" s="29">
        <v>0</v>
      </c>
      <c r="V937" s="29">
        <v>0</v>
      </c>
      <c r="W937" s="29">
        <v>0</v>
      </c>
      <c r="X937" s="29">
        <v>0</v>
      </c>
      <c r="Y937" s="29">
        <v>0</v>
      </c>
      <c r="Z937" s="29">
        <v>0</v>
      </c>
      <c r="AA937" s="29">
        <v>0</v>
      </c>
      <c r="AB937" s="29">
        <v>0</v>
      </c>
      <c r="AC937" s="29">
        <f t="shared" si="173"/>
        <v>43309.36</v>
      </c>
      <c r="AD937" s="29">
        <v>80974.490000000005</v>
      </c>
      <c r="AE937" s="29">
        <v>0</v>
      </c>
      <c r="AF937" s="32">
        <v>2021</v>
      </c>
      <c r="AG937" s="32">
        <v>2021</v>
      </c>
      <c r="AH937" s="33">
        <v>2021</v>
      </c>
      <c r="AT937" s="18" t="e">
        <f>VLOOKUP(C937,AW:AX,2,FALSE)</f>
        <v>#N/A</v>
      </c>
      <c r="BZ937" s="61"/>
      <c r="CD937" s="18" t="e">
        <f>VLOOKUP(C937,CE:CF,2,FALSE)</f>
        <v>#N/A</v>
      </c>
    </row>
    <row r="938" spans="1:82" ht="61.5" x14ac:dyDescent="0.85">
      <c r="A938" s="18">
        <v>1</v>
      </c>
      <c r="B938" s="57">
        <f>SUBTOTAL(103,$A$558:A938)</f>
        <v>355</v>
      </c>
      <c r="C938" s="22" t="s">
        <v>124</v>
      </c>
      <c r="D938" s="29">
        <f t="shared" si="172"/>
        <v>4108566.83</v>
      </c>
      <c r="E938" s="29">
        <v>0</v>
      </c>
      <c r="F938" s="29">
        <v>0</v>
      </c>
      <c r="G938" s="29">
        <v>0</v>
      </c>
      <c r="H938" s="29">
        <v>0</v>
      </c>
      <c r="I938" s="29">
        <v>0</v>
      </c>
      <c r="J938" s="29">
        <v>0</v>
      </c>
      <c r="K938" s="31">
        <v>0</v>
      </c>
      <c r="L938" s="29">
        <v>0</v>
      </c>
      <c r="M938" s="29">
        <v>773.7</v>
      </c>
      <c r="N938" s="29">
        <f>3206187.19+723368.23</f>
        <v>3929555.42</v>
      </c>
      <c r="O938" s="29">
        <v>0</v>
      </c>
      <c r="P938" s="29">
        <v>0</v>
      </c>
      <c r="Q938" s="29">
        <v>0</v>
      </c>
      <c r="R938" s="29">
        <v>0</v>
      </c>
      <c r="S938" s="29">
        <v>0</v>
      </c>
      <c r="T938" s="29">
        <v>0</v>
      </c>
      <c r="U938" s="29">
        <v>0</v>
      </c>
      <c r="V938" s="29">
        <v>0</v>
      </c>
      <c r="W938" s="29">
        <v>0</v>
      </c>
      <c r="X938" s="29">
        <v>0</v>
      </c>
      <c r="Y938" s="29">
        <v>0</v>
      </c>
      <c r="Z938" s="29">
        <v>0</v>
      </c>
      <c r="AA938" s="29">
        <v>0</v>
      </c>
      <c r="AB938" s="29">
        <v>0</v>
      </c>
      <c r="AC938" s="29">
        <f t="shared" si="173"/>
        <v>58943.33</v>
      </c>
      <c r="AD938" s="29">
        <v>120068.08</v>
      </c>
      <c r="AE938" s="29">
        <v>0</v>
      </c>
      <c r="AF938" s="32">
        <v>2021</v>
      </c>
      <c r="AG938" s="32">
        <v>2021</v>
      </c>
      <c r="AH938" s="33">
        <v>2021</v>
      </c>
      <c r="AT938" s="18" t="e">
        <f>VLOOKUP(C938,AW:AX,2,FALSE)</f>
        <v>#N/A</v>
      </c>
      <c r="BZ938" s="61"/>
      <c r="CD938" s="18" t="e">
        <f>VLOOKUP(C938,CE:CF,2,FALSE)</f>
        <v>#N/A</v>
      </c>
    </row>
    <row r="939" spans="1:82" ht="61.5" x14ac:dyDescent="0.85">
      <c r="A939" s="18">
        <v>1</v>
      </c>
      <c r="B939" s="57">
        <f>SUBTOTAL(103,$A$558:A939)</f>
        <v>356</v>
      </c>
      <c r="C939" s="22" t="s">
        <v>125</v>
      </c>
      <c r="D939" s="29">
        <f t="shared" si="172"/>
        <v>4644926.0999999996</v>
      </c>
      <c r="E939" s="29">
        <v>0</v>
      </c>
      <c r="F939" s="29">
        <v>0</v>
      </c>
      <c r="G939" s="29">
        <v>0</v>
      </c>
      <c r="H939" s="29">
        <v>0</v>
      </c>
      <c r="I939" s="29">
        <v>0</v>
      </c>
      <c r="J939" s="29">
        <v>0</v>
      </c>
      <c r="K939" s="31">
        <v>0</v>
      </c>
      <c r="L939" s="29">
        <v>0</v>
      </c>
      <c r="M939" s="29">
        <v>935</v>
      </c>
      <c r="N939" s="29">
        <v>4458128.08</v>
      </c>
      <c r="O939" s="29">
        <v>0</v>
      </c>
      <c r="P939" s="29">
        <v>0</v>
      </c>
      <c r="Q939" s="29">
        <v>0</v>
      </c>
      <c r="R939" s="29">
        <v>0</v>
      </c>
      <c r="S939" s="29">
        <v>0</v>
      </c>
      <c r="T939" s="29">
        <v>0</v>
      </c>
      <c r="U939" s="29">
        <v>0</v>
      </c>
      <c r="V939" s="29">
        <v>0</v>
      </c>
      <c r="W939" s="29">
        <v>0</v>
      </c>
      <c r="X939" s="29">
        <v>0</v>
      </c>
      <c r="Y939" s="29">
        <v>0</v>
      </c>
      <c r="Z939" s="29">
        <v>0</v>
      </c>
      <c r="AA939" s="29">
        <v>0</v>
      </c>
      <c r="AB939" s="29">
        <v>0</v>
      </c>
      <c r="AC939" s="29">
        <f t="shared" si="173"/>
        <v>66871.92</v>
      </c>
      <c r="AD939" s="29">
        <v>119926.1</v>
      </c>
      <c r="AE939" s="29">
        <v>0</v>
      </c>
      <c r="AF939" s="32">
        <v>2021</v>
      </c>
      <c r="AG939" s="32">
        <v>2021</v>
      </c>
      <c r="AH939" s="33">
        <v>2021</v>
      </c>
      <c r="AT939" s="18" t="e">
        <f>VLOOKUP(C939,AW:AX,2,FALSE)</f>
        <v>#N/A</v>
      </c>
      <c r="BZ939" s="61"/>
      <c r="CD939" s="18" t="e">
        <f>VLOOKUP(C939,CE:CF,2,FALSE)</f>
        <v>#N/A</v>
      </c>
    </row>
    <row r="940" spans="1:82" ht="61.5" x14ac:dyDescent="0.85">
      <c r="A940" s="18">
        <v>1</v>
      </c>
      <c r="B940" s="57">
        <f>SUBTOTAL(103,$A$558:A940)</f>
        <v>357</v>
      </c>
      <c r="C940" s="22" t="s">
        <v>130</v>
      </c>
      <c r="D940" s="29">
        <f>E940+F940+G940+H940+I940+J940+L940+N940+P940+R940+T940+U940+V940+W940+X940+Y940+Z940+AA940+AB940+AC940+AD940+AE940</f>
        <v>6607023.6600000001</v>
      </c>
      <c r="E940" s="29">
        <v>0</v>
      </c>
      <c r="F940" s="29">
        <v>0</v>
      </c>
      <c r="G940" s="29">
        <v>0</v>
      </c>
      <c r="H940" s="29">
        <v>0</v>
      </c>
      <c r="I940" s="29">
        <v>0</v>
      </c>
      <c r="J940" s="29">
        <v>0</v>
      </c>
      <c r="K940" s="31">
        <v>0</v>
      </c>
      <c r="L940" s="29">
        <v>0</v>
      </c>
      <c r="M940" s="29">
        <v>740.9</v>
      </c>
      <c r="N940" s="29">
        <f>3064000+178901.1</f>
        <v>3242901.1</v>
      </c>
      <c r="O940" s="29">
        <v>0</v>
      </c>
      <c r="P940" s="29">
        <v>0</v>
      </c>
      <c r="Q940" s="29">
        <v>1218.8599999999999</v>
      </c>
      <c r="R940" s="29">
        <v>3020176.4</v>
      </c>
      <c r="S940" s="29">
        <v>0</v>
      </c>
      <c r="T940" s="29">
        <v>0</v>
      </c>
      <c r="U940" s="29">
        <v>0</v>
      </c>
      <c r="V940" s="29">
        <v>0</v>
      </c>
      <c r="W940" s="29">
        <v>0</v>
      </c>
      <c r="X940" s="29">
        <v>0</v>
      </c>
      <c r="Y940" s="29">
        <v>0</v>
      </c>
      <c r="Z940" s="29">
        <v>0</v>
      </c>
      <c r="AA940" s="29">
        <v>0</v>
      </c>
      <c r="AB940" s="29">
        <v>0</v>
      </c>
      <c r="AC940" s="29">
        <f>ROUND((N940+R940)*1.5%,2)</f>
        <v>93946.16</v>
      </c>
      <c r="AD940" s="29">
        <v>250000</v>
      </c>
      <c r="AE940" s="29">
        <v>0</v>
      </c>
      <c r="AF940" s="32">
        <v>2021</v>
      </c>
      <c r="AG940" s="32">
        <v>2021</v>
      </c>
      <c r="AH940" s="33">
        <v>2021</v>
      </c>
      <c r="AT940" s="18" t="e">
        <f>VLOOKUP(C940,AW:AX,2,FALSE)</f>
        <v>#N/A</v>
      </c>
      <c r="BZ940" s="61"/>
      <c r="CD940" s="18" t="e">
        <f>VLOOKUP(C940,CE:CF,2,FALSE)</f>
        <v>#N/A</v>
      </c>
    </row>
    <row r="941" spans="1:82" ht="61.5" x14ac:dyDescent="0.85">
      <c r="A941" s="18">
        <v>1</v>
      </c>
      <c r="B941" s="57">
        <f>SUBTOTAL(103,$A$558:A941)</f>
        <v>358</v>
      </c>
      <c r="C941" s="22" t="s">
        <v>114</v>
      </c>
      <c r="D941" s="29">
        <f>E941+F941+G941+H941+I941+J941+L941+N941+P941+R941+T941+U941+V941+W941+X941+Y941+Z941+AA941+AB941+AC941+AD941+AE941</f>
        <v>2535216.96</v>
      </c>
      <c r="E941" s="29">
        <v>0</v>
      </c>
      <c r="F941" s="29">
        <v>0</v>
      </c>
      <c r="G941" s="29">
        <v>0</v>
      </c>
      <c r="H941" s="29">
        <v>0</v>
      </c>
      <c r="I941" s="29">
        <v>0</v>
      </c>
      <c r="J941" s="29">
        <v>0</v>
      </c>
      <c r="K941" s="31">
        <v>0</v>
      </c>
      <c r="L941" s="29">
        <v>0</v>
      </c>
      <c r="M941" s="37">
        <v>636.6</v>
      </c>
      <c r="N941" s="37">
        <v>2497750.7000000002</v>
      </c>
      <c r="O941" s="29">
        <v>0</v>
      </c>
      <c r="P941" s="29">
        <v>0</v>
      </c>
      <c r="Q941" s="29">
        <v>0</v>
      </c>
      <c r="R941" s="29">
        <v>0</v>
      </c>
      <c r="S941" s="29">
        <v>0</v>
      </c>
      <c r="T941" s="29">
        <v>0</v>
      </c>
      <c r="U941" s="29">
        <v>0</v>
      </c>
      <c r="V941" s="29">
        <v>0</v>
      </c>
      <c r="W941" s="29">
        <v>0</v>
      </c>
      <c r="X941" s="29">
        <v>0</v>
      </c>
      <c r="Y941" s="29">
        <v>0</v>
      </c>
      <c r="Z941" s="29">
        <v>0</v>
      </c>
      <c r="AA941" s="29">
        <v>0</v>
      </c>
      <c r="AB941" s="29">
        <v>0</v>
      </c>
      <c r="AC941" s="29">
        <f>ROUND(N941*1.5%,2)</f>
        <v>37466.26</v>
      </c>
      <c r="AD941" s="29">
        <v>0</v>
      </c>
      <c r="AE941" s="29">
        <v>0</v>
      </c>
      <c r="AF941" s="32" t="s">
        <v>268</v>
      </c>
      <c r="AG941" s="32">
        <v>2021</v>
      </c>
      <c r="AH941" s="33">
        <v>2021</v>
      </c>
      <c r="AT941" s="18" t="e">
        <f>VLOOKUP(C941,AW:AX,2,FALSE)</f>
        <v>#N/A</v>
      </c>
      <c r="BZ941" s="61"/>
      <c r="CD941" s="18" t="e">
        <f>VLOOKUP(C941,CE:CF,2,FALSE)</f>
        <v>#N/A</v>
      </c>
    </row>
    <row r="942" spans="1:82" ht="61.5" x14ac:dyDescent="0.85">
      <c r="A942" s="18">
        <v>1</v>
      </c>
      <c r="B942" s="57">
        <f>SUBTOTAL(103,$A$558:A942)</f>
        <v>359</v>
      </c>
      <c r="C942" s="22" t="s">
        <v>1215</v>
      </c>
      <c r="D942" s="29">
        <f>E942+F942+G942+H942+I942+J942+L942+N942+P942+R942+T942+U942+V942+W942+X942+Y942+Z942+AA942+AB942+AC942+AD942+AE942</f>
        <v>1106806.3400000001</v>
      </c>
      <c r="E942" s="29">
        <v>0</v>
      </c>
      <c r="F942" s="29">
        <v>0</v>
      </c>
      <c r="G942" s="29">
        <f>990961.93+5314</f>
        <v>996275.93</v>
      </c>
      <c r="H942" s="37">
        <v>94173.67</v>
      </c>
      <c r="I942" s="29">
        <v>0</v>
      </c>
      <c r="J942" s="29">
        <v>0</v>
      </c>
      <c r="K942" s="64">
        <v>0</v>
      </c>
      <c r="L942" s="29">
        <v>0</v>
      </c>
      <c r="M942" s="29">
        <v>0</v>
      </c>
      <c r="N942" s="29">
        <v>0</v>
      </c>
      <c r="O942" s="29">
        <v>0</v>
      </c>
      <c r="P942" s="29">
        <v>0</v>
      </c>
      <c r="Q942" s="29">
        <v>0</v>
      </c>
      <c r="R942" s="29">
        <v>0</v>
      </c>
      <c r="S942" s="29">
        <v>0</v>
      </c>
      <c r="T942" s="29">
        <v>0</v>
      </c>
      <c r="U942" s="29">
        <v>0</v>
      </c>
      <c r="V942" s="29">
        <v>0</v>
      </c>
      <c r="W942" s="29">
        <v>0</v>
      </c>
      <c r="X942" s="29">
        <v>0</v>
      </c>
      <c r="Y942" s="29">
        <v>0</v>
      </c>
      <c r="Z942" s="29">
        <v>0</v>
      </c>
      <c r="AA942" s="29">
        <v>0</v>
      </c>
      <c r="AB942" s="29">
        <v>0</v>
      </c>
      <c r="AC942" s="29">
        <f>ROUND((E942+F942+G942+H942+I942+J942)*1.5%,2)</f>
        <v>16356.74</v>
      </c>
      <c r="AD942" s="29">
        <v>0</v>
      </c>
      <c r="AE942" s="29">
        <v>0</v>
      </c>
      <c r="AF942" s="32" t="s">
        <v>268</v>
      </c>
      <c r="AG942" s="32">
        <v>2021</v>
      </c>
      <c r="AH942" s="33">
        <v>2021</v>
      </c>
      <c r="BZ942" s="61"/>
      <c r="CD942" s="18" t="e">
        <f>VLOOKUP(C942,CE:CF,2,FALSE)</f>
        <v>#N/A</v>
      </c>
    </row>
    <row r="943" spans="1:82" ht="61.5" x14ac:dyDescent="0.85">
      <c r="A943" s="18">
        <v>1</v>
      </c>
      <c r="B943" s="57">
        <f>SUBTOTAL(103,$A$558:A943)</f>
        <v>360</v>
      </c>
      <c r="C943" s="22" t="s">
        <v>119</v>
      </c>
      <c r="D943" s="29">
        <f>E943+F943+G943+H943+I943+J943+L943+N943+P943+R943+T943+U943+V943+W943+X943+Y943+Z943+AA943+AB943+AC943+AD943+AE943</f>
        <v>2197982.44</v>
      </c>
      <c r="E943" s="29">
        <v>427797.72</v>
      </c>
      <c r="F943" s="29">
        <v>0</v>
      </c>
      <c r="G943" s="29">
        <v>1321402.94</v>
      </c>
      <c r="H943" s="29">
        <v>416299.28</v>
      </c>
      <c r="I943" s="29">
        <v>0</v>
      </c>
      <c r="J943" s="29">
        <v>0</v>
      </c>
      <c r="K943" s="64">
        <v>0</v>
      </c>
      <c r="L943" s="29">
        <v>0</v>
      </c>
      <c r="M943" s="29">
        <v>0</v>
      </c>
      <c r="N943" s="29">
        <v>0</v>
      </c>
      <c r="O943" s="29">
        <v>0</v>
      </c>
      <c r="P943" s="29">
        <v>0</v>
      </c>
      <c r="Q943" s="29">
        <v>0</v>
      </c>
      <c r="R943" s="29">
        <v>0</v>
      </c>
      <c r="S943" s="29">
        <v>0</v>
      </c>
      <c r="T943" s="29">
        <v>0</v>
      </c>
      <c r="U943" s="29">
        <v>0</v>
      </c>
      <c r="V943" s="29">
        <v>0</v>
      </c>
      <c r="W943" s="29">
        <v>0</v>
      </c>
      <c r="X943" s="29">
        <v>0</v>
      </c>
      <c r="Y943" s="29">
        <v>0</v>
      </c>
      <c r="Z943" s="29">
        <v>0</v>
      </c>
      <c r="AA943" s="29">
        <v>0</v>
      </c>
      <c r="AB943" s="29">
        <v>0</v>
      </c>
      <c r="AC943" s="29">
        <f>ROUND((E943+F943+G943+H943+I943+J943)*1.5%,2)</f>
        <v>32482.5</v>
      </c>
      <c r="AD943" s="29">
        <v>0</v>
      </c>
      <c r="AE943" s="29">
        <v>0</v>
      </c>
      <c r="AF943" s="32" t="s">
        <v>268</v>
      </c>
      <c r="AG943" s="32">
        <v>2021</v>
      </c>
      <c r="AH943" s="33">
        <v>2021</v>
      </c>
      <c r="AT943" s="18" t="e">
        <f>VLOOKUP(C943,AW:AX,2,FALSE)</f>
        <v>#N/A</v>
      </c>
      <c r="BZ943" s="61"/>
      <c r="CD943" s="18" t="e">
        <f>VLOOKUP(C943,CE:CF,2,FALSE)</f>
        <v>#N/A</v>
      </c>
    </row>
    <row r="944" spans="1:82" ht="61.5" x14ac:dyDescent="0.85">
      <c r="A944" s="18">
        <v>1</v>
      </c>
      <c r="B944" s="57">
        <f>SUBTOTAL(103,$A$558:A944)</f>
        <v>361</v>
      </c>
      <c r="C944" s="22" t="s">
        <v>2294</v>
      </c>
      <c r="D944" s="29">
        <f>E944+F944+G944+H944+I944+J944+L944+N944+P944+R944+T944+U944+V944+W944+X944+Y944+Z944+AA944+AB944+AC944+AD944+AE944</f>
        <v>2275565.65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1">
        <v>0</v>
      </c>
      <c r="L944" s="29">
        <v>0</v>
      </c>
      <c r="M944" s="29">
        <v>348.16</v>
      </c>
      <c r="N944" s="29">
        <v>2123710</v>
      </c>
      <c r="O944" s="29">
        <v>0</v>
      </c>
      <c r="P944" s="29">
        <v>0</v>
      </c>
      <c r="Q944" s="29">
        <v>0</v>
      </c>
      <c r="R944" s="29">
        <v>0</v>
      </c>
      <c r="S944" s="29">
        <v>0</v>
      </c>
      <c r="T944" s="29">
        <v>0</v>
      </c>
      <c r="U944" s="29">
        <v>0</v>
      </c>
      <c r="V944" s="29">
        <v>0</v>
      </c>
      <c r="W944" s="29">
        <v>0</v>
      </c>
      <c r="X944" s="29">
        <v>0</v>
      </c>
      <c r="Y944" s="29">
        <v>0</v>
      </c>
      <c r="Z944" s="29">
        <v>0</v>
      </c>
      <c r="AA944" s="29">
        <v>0</v>
      </c>
      <c r="AB944" s="29">
        <v>0</v>
      </c>
      <c r="AC944" s="29">
        <f>ROUND(N944*1.5%,2)</f>
        <v>31855.65</v>
      </c>
      <c r="AD944" s="29">
        <v>120000</v>
      </c>
      <c r="AE944" s="29">
        <v>0</v>
      </c>
      <c r="AF944" s="32">
        <v>2021</v>
      </c>
      <c r="AG944" s="32">
        <v>2021</v>
      </c>
      <c r="AH944" s="33">
        <v>2021</v>
      </c>
      <c r="AT944" s="18" t="e">
        <f>VLOOKUP(C944,AW:AX,2,FALSE)</f>
        <v>#N/A</v>
      </c>
      <c r="BZ944" s="61"/>
      <c r="CD944" s="18" t="e">
        <f>VLOOKUP(C944,CE:CF,2,FALSE)</f>
        <v>#N/A</v>
      </c>
    </row>
    <row r="945" spans="1:82" ht="61.5" x14ac:dyDescent="0.85">
      <c r="B945" s="22" t="s">
        <v>826</v>
      </c>
      <c r="C945" s="338"/>
      <c r="D945" s="339">
        <f t="shared" ref="D945:AE945" si="174">SUM(D946:D947)</f>
        <v>5513180.9399999995</v>
      </c>
      <c r="E945" s="29">
        <f t="shared" si="174"/>
        <v>0</v>
      </c>
      <c r="F945" s="29">
        <f t="shared" si="174"/>
        <v>0</v>
      </c>
      <c r="G945" s="29">
        <f t="shared" si="174"/>
        <v>0</v>
      </c>
      <c r="H945" s="29">
        <f t="shared" si="174"/>
        <v>0</v>
      </c>
      <c r="I945" s="29">
        <f t="shared" si="174"/>
        <v>0</v>
      </c>
      <c r="J945" s="29">
        <f t="shared" si="174"/>
        <v>0</v>
      </c>
      <c r="K945" s="31">
        <f t="shared" si="174"/>
        <v>0</v>
      </c>
      <c r="L945" s="29">
        <f t="shared" si="174"/>
        <v>0</v>
      </c>
      <c r="M945" s="29">
        <f t="shared" si="174"/>
        <v>293</v>
      </c>
      <c r="N945" s="29">
        <f t="shared" si="174"/>
        <v>1132822</v>
      </c>
      <c r="O945" s="29">
        <f t="shared" si="174"/>
        <v>0</v>
      </c>
      <c r="P945" s="29">
        <f t="shared" si="174"/>
        <v>0</v>
      </c>
      <c r="Q945" s="29">
        <f t="shared" si="174"/>
        <v>0</v>
      </c>
      <c r="R945" s="29">
        <f t="shared" si="174"/>
        <v>0</v>
      </c>
      <c r="S945" s="29">
        <f t="shared" si="174"/>
        <v>0</v>
      </c>
      <c r="T945" s="29">
        <f t="shared" si="174"/>
        <v>0</v>
      </c>
      <c r="U945" s="29">
        <f t="shared" si="174"/>
        <v>4310144.67</v>
      </c>
      <c r="V945" s="29">
        <f t="shared" si="174"/>
        <v>0</v>
      </c>
      <c r="W945" s="29">
        <f t="shared" si="174"/>
        <v>0</v>
      </c>
      <c r="X945" s="29">
        <f t="shared" si="174"/>
        <v>0</v>
      </c>
      <c r="Y945" s="29">
        <f t="shared" si="174"/>
        <v>0</v>
      </c>
      <c r="Z945" s="29">
        <f t="shared" si="174"/>
        <v>0</v>
      </c>
      <c r="AA945" s="29">
        <f t="shared" si="174"/>
        <v>0</v>
      </c>
      <c r="AB945" s="29">
        <f t="shared" si="174"/>
        <v>0</v>
      </c>
      <c r="AC945" s="29">
        <f t="shared" si="174"/>
        <v>70214.27</v>
      </c>
      <c r="AD945" s="29">
        <f t="shared" si="174"/>
        <v>0</v>
      </c>
      <c r="AE945" s="29">
        <f t="shared" si="174"/>
        <v>0</v>
      </c>
      <c r="AF945" s="62" t="s">
        <v>743</v>
      </c>
      <c r="AG945" s="62" t="s">
        <v>743</v>
      </c>
      <c r="AH945" s="77" t="s">
        <v>743</v>
      </c>
      <c r="AT945" s="18" t="e">
        <f>VLOOKUP(C945,AW:AX,2,FALSE)</f>
        <v>#N/A</v>
      </c>
      <c r="BZ945" s="61">
        <v>3328825.5</v>
      </c>
      <c r="CD945" s="18" t="e">
        <f>VLOOKUP(C945,CE:CF,2,FALSE)</f>
        <v>#N/A</v>
      </c>
    </row>
    <row r="946" spans="1:82" ht="61.5" x14ac:dyDescent="0.85">
      <c r="A946" s="18">
        <v>1</v>
      </c>
      <c r="B946" s="57">
        <f>SUBTOTAL(103,$A$558:A946)</f>
        <v>362</v>
      </c>
      <c r="C946" s="22" t="s">
        <v>169</v>
      </c>
      <c r="D946" s="29">
        <f>E946+F946+G946+H946+I946+J946+L946+N946+P946+R946+T946+U946+V946+W946+X946+Y946+Z946+AA946+AB946+AC946+AD946+AE946</f>
        <v>4365745.54</v>
      </c>
      <c r="E946" s="29">
        <v>0</v>
      </c>
      <c r="F946" s="29">
        <v>0</v>
      </c>
      <c r="G946" s="29">
        <v>0</v>
      </c>
      <c r="H946" s="29">
        <v>0</v>
      </c>
      <c r="I946" s="29">
        <v>0</v>
      </c>
      <c r="J946" s="29">
        <v>0</v>
      </c>
      <c r="K946" s="64">
        <v>0</v>
      </c>
      <c r="L946" s="29">
        <v>0</v>
      </c>
      <c r="M946" s="29">
        <v>0</v>
      </c>
      <c r="N946" s="29">
        <v>0</v>
      </c>
      <c r="O946" s="29">
        <v>0</v>
      </c>
      <c r="P946" s="29">
        <v>0</v>
      </c>
      <c r="Q946" s="29">
        <v>0</v>
      </c>
      <c r="R946" s="29">
        <v>0</v>
      </c>
      <c r="S946" s="29">
        <v>0</v>
      </c>
      <c r="T946" s="29">
        <v>0</v>
      </c>
      <c r="U946" s="37">
        <v>4310144.67</v>
      </c>
      <c r="V946" s="29">
        <v>0</v>
      </c>
      <c r="W946" s="29">
        <v>0</v>
      </c>
      <c r="X946" s="29">
        <v>0</v>
      </c>
      <c r="Y946" s="29">
        <v>0</v>
      </c>
      <c r="Z946" s="29">
        <v>0</v>
      </c>
      <c r="AA946" s="29">
        <v>0</v>
      </c>
      <c r="AB946" s="29">
        <v>0</v>
      </c>
      <c r="AC946" s="37">
        <v>55600.87</v>
      </c>
      <c r="AD946" s="29">
        <v>0</v>
      </c>
      <c r="AE946" s="29">
        <v>0</v>
      </c>
      <c r="AF946" s="32" t="s">
        <v>268</v>
      </c>
      <c r="AG946" s="32">
        <v>2021</v>
      </c>
      <c r="AH946" s="33">
        <v>2021</v>
      </c>
      <c r="AT946" s="18" t="e">
        <f>VLOOKUP(C946,AW:AX,2,FALSE)</f>
        <v>#N/A</v>
      </c>
      <c r="BZ946" s="61"/>
      <c r="CD946" s="18" t="e">
        <f>VLOOKUP(C946,CE:CF,2,FALSE)</f>
        <v>#N/A</v>
      </c>
    </row>
    <row r="947" spans="1:82" ht="61.5" x14ac:dyDescent="0.85">
      <c r="A947" s="18">
        <v>1</v>
      </c>
      <c r="B947" s="57">
        <f>SUBTOTAL(103,$A$558:A947)</f>
        <v>363</v>
      </c>
      <c r="C947" s="22" t="s">
        <v>1560</v>
      </c>
      <c r="D947" s="29">
        <f>E947+F947+G947+H947+I947+J947+L947+N947+P947+R947+T947+U947+V947+W947+X947+Y947+Z947+AA947+AB947+AC947+AD947+AE947</f>
        <v>1147435.3999999999</v>
      </c>
      <c r="E947" s="29">
        <v>0</v>
      </c>
      <c r="F947" s="29">
        <v>0</v>
      </c>
      <c r="G947" s="29">
        <v>0</v>
      </c>
      <c r="H947" s="29">
        <v>0</v>
      </c>
      <c r="I947" s="29">
        <v>0</v>
      </c>
      <c r="J947" s="29">
        <v>0</v>
      </c>
      <c r="K947" s="64">
        <v>0</v>
      </c>
      <c r="L947" s="29">
        <v>0</v>
      </c>
      <c r="M947" s="37">
        <v>293</v>
      </c>
      <c r="N947" s="37">
        <v>1132822</v>
      </c>
      <c r="O947" s="29">
        <v>0</v>
      </c>
      <c r="P947" s="29">
        <v>0</v>
      </c>
      <c r="Q947" s="29">
        <v>0</v>
      </c>
      <c r="R947" s="29">
        <v>0</v>
      </c>
      <c r="S947" s="29">
        <v>0</v>
      </c>
      <c r="T947" s="29">
        <v>0</v>
      </c>
      <c r="U947" s="29">
        <v>0</v>
      </c>
      <c r="V947" s="29">
        <v>0</v>
      </c>
      <c r="W947" s="29">
        <v>0</v>
      </c>
      <c r="X947" s="29">
        <v>0</v>
      </c>
      <c r="Y947" s="29">
        <v>0</v>
      </c>
      <c r="Z947" s="29">
        <v>0</v>
      </c>
      <c r="AA947" s="29">
        <v>0</v>
      </c>
      <c r="AB947" s="29">
        <v>0</v>
      </c>
      <c r="AC947" s="37">
        <v>14613.4</v>
      </c>
      <c r="AD947" s="29">
        <v>0</v>
      </c>
      <c r="AE947" s="29">
        <v>0</v>
      </c>
      <c r="AF947" s="32" t="s">
        <v>268</v>
      </c>
      <c r="AG947" s="32">
        <v>2021</v>
      </c>
      <c r="AH947" s="33">
        <v>2021</v>
      </c>
      <c r="BZ947" s="61"/>
      <c r="CD947" s="18" t="e">
        <f>VLOOKUP(C947,CE:CF,2,FALSE)</f>
        <v>#N/A</v>
      </c>
    </row>
    <row r="948" spans="1:82" ht="61.5" x14ac:dyDescent="0.85">
      <c r="B948" s="22" t="s">
        <v>828</v>
      </c>
      <c r="C948" s="338"/>
      <c r="D948" s="339">
        <f>SUM(D949:D951)</f>
        <v>7320616.3300000001</v>
      </c>
      <c r="E948" s="29">
        <f t="shared" ref="E948:AE948" si="175">SUM(E949:E951)</f>
        <v>0</v>
      </c>
      <c r="F948" s="29">
        <f t="shared" si="175"/>
        <v>0</v>
      </c>
      <c r="G948" s="29">
        <f t="shared" si="175"/>
        <v>0</v>
      </c>
      <c r="H948" s="29">
        <f t="shared" si="175"/>
        <v>0</v>
      </c>
      <c r="I948" s="29">
        <f t="shared" si="175"/>
        <v>0</v>
      </c>
      <c r="J948" s="29">
        <f t="shared" si="175"/>
        <v>0</v>
      </c>
      <c r="K948" s="31">
        <f t="shared" si="175"/>
        <v>0</v>
      </c>
      <c r="L948" s="29">
        <f t="shared" si="175"/>
        <v>0</v>
      </c>
      <c r="M948" s="29">
        <f t="shared" si="175"/>
        <v>650</v>
      </c>
      <c r="N948" s="29">
        <f t="shared" si="175"/>
        <v>2960568.4299999997</v>
      </c>
      <c r="O948" s="29">
        <f t="shared" si="175"/>
        <v>0</v>
      </c>
      <c r="P948" s="29">
        <f t="shared" si="175"/>
        <v>0</v>
      </c>
      <c r="Q948" s="29">
        <f t="shared" si="175"/>
        <v>655.53</v>
      </c>
      <c r="R948" s="29">
        <f t="shared" si="175"/>
        <v>2352267</v>
      </c>
      <c r="S948" s="29">
        <f t="shared" si="175"/>
        <v>0</v>
      </c>
      <c r="T948" s="29">
        <f t="shared" si="175"/>
        <v>0</v>
      </c>
      <c r="U948" s="29">
        <f t="shared" si="175"/>
        <v>1815231</v>
      </c>
      <c r="V948" s="29">
        <f t="shared" si="175"/>
        <v>0</v>
      </c>
      <c r="W948" s="29">
        <f t="shared" si="175"/>
        <v>0</v>
      </c>
      <c r="X948" s="29">
        <f t="shared" si="175"/>
        <v>0</v>
      </c>
      <c r="Y948" s="29">
        <f t="shared" si="175"/>
        <v>0</v>
      </c>
      <c r="Z948" s="29">
        <f t="shared" si="175"/>
        <v>0</v>
      </c>
      <c r="AA948" s="29">
        <f t="shared" si="175"/>
        <v>0</v>
      </c>
      <c r="AB948" s="29">
        <f t="shared" si="175"/>
        <v>0</v>
      </c>
      <c r="AC948" s="29">
        <f t="shared" si="175"/>
        <v>103109.02</v>
      </c>
      <c r="AD948" s="29">
        <f t="shared" si="175"/>
        <v>89440.88</v>
      </c>
      <c r="AE948" s="29">
        <f t="shared" si="175"/>
        <v>0</v>
      </c>
      <c r="AF948" s="62" t="s">
        <v>743</v>
      </c>
      <c r="AG948" s="62" t="s">
        <v>743</v>
      </c>
      <c r="AH948" s="77" t="s">
        <v>743</v>
      </c>
      <c r="AT948" s="18" t="e">
        <f>VLOOKUP(C948,AW:AX,2,FALSE)</f>
        <v>#N/A</v>
      </c>
      <c r="BZ948" s="61">
        <v>3328825.5</v>
      </c>
      <c r="CD948" s="18" t="e">
        <f>VLOOKUP(C948,CE:CF,2,FALSE)</f>
        <v>#N/A</v>
      </c>
    </row>
    <row r="949" spans="1:82" ht="61.5" x14ac:dyDescent="0.85">
      <c r="A949" s="18">
        <v>1</v>
      </c>
      <c r="B949" s="57">
        <f>SUBTOTAL(103,$A$558:A949)</f>
        <v>364</v>
      </c>
      <c r="C949" s="22" t="s">
        <v>176</v>
      </c>
      <c r="D949" s="29">
        <f>E949+F949+G949+H949+I949+J949+L949+N949+P949+R949+T949+U949+V949+W949+X949+Y949+Z949+AA949+AB949+AC949+AD949+AE949</f>
        <v>3094417.8399999994</v>
      </c>
      <c r="E949" s="29">
        <v>0</v>
      </c>
      <c r="F949" s="29">
        <v>0</v>
      </c>
      <c r="G949" s="29">
        <v>0</v>
      </c>
      <c r="H949" s="29">
        <v>0</v>
      </c>
      <c r="I949" s="29">
        <v>0</v>
      </c>
      <c r="J949" s="29">
        <v>0</v>
      </c>
      <c r="K949" s="31">
        <v>0</v>
      </c>
      <c r="L949" s="29">
        <v>0</v>
      </c>
      <c r="M949" s="29">
        <v>650</v>
      </c>
      <c r="N949" s="29">
        <f>3131847.78-171279.35</f>
        <v>2960568.4299999997</v>
      </c>
      <c r="O949" s="29">
        <v>0</v>
      </c>
      <c r="P949" s="29">
        <v>0</v>
      </c>
      <c r="Q949" s="29">
        <v>0</v>
      </c>
      <c r="R949" s="29">
        <v>0</v>
      </c>
      <c r="S949" s="29">
        <v>0</v>
      </c>
      <c r="T949" s="29">
        <v>0</v>
      </c>
      <c r="U949" s="29">
        <v>0</v>
      </c>
      <c r="V949" s="29">
        <v>0</v>
      </c>
      <c r="W949" s="29">
        <v>0</v>
      </c>
      <c r="X949" s="29">
        <v>0</v>
      </c>
      <c r="Y949" s="29">
        <v>0</v>
      </c>
      <c r="Z949" s="29">
        <v>0</v>
      </c>
      <c r="AA949" s="29">
        <v>0</v>
      </c>
      <c r="AB949" s="29">
        <v>0</v>
      </c>
      <c r="AC949" s="29">
        <f>ROUND(N949*1.5%,2)</f>
        <v>44408.53</v>
      </c>
      <c r="AD949" s="29">
        <v>89440.88</v>
      </c>
      <c r="AE949" s="29">
        <v>0</v>
      </c>
      <c r="AF949" s="32">
        <v>2021</v>
      </c>
      <c r="AG949" s="32">
        <v>2021</v>
      </c>
      <c r="AH949" s="33">
        <v>2021</v>
      </c>
      <c r="AT949" s="18" t="e">
        <f>VLOOKUP(C949,AW:AX,2,FALSE)</f>
        <v>#N/A</v>
      </c>
      <c r="BZ949" s="61"/>
      <c r="CD949" s="18" t="e">
        <f>VLOOKUP(C949,CE:CF,2,FALSE)</f>
        <v>#N/A</v>
      </c>
    </row>
    <row r="950" spans="1:82" ht="61.5" x14ac:dyDescent="0.85">
      <c r="A950" s="18">
        <v>1</v>
      </c>
      <c r="B950" s="57">
        <f>SUBTOTAL(103,$A$558:A950)</f>
        <v>365</v>
      </c>
      <c r="C950" s="22" t="s">
        <v>181</v>
      </c>
      <c r="D950" s="29">
        <f>E950+F950+G950+H950+I950+J950+L950+N950+P950+R950+T950+U950+V950+W950+X950+Y950+Z950+AA950+AB950+AC950+AD950+AE950</f>
        <v>2387551.0099999998</v>
      </c>
      <c r="E950" s="29">
        <v>0</v>
      </c>
      <c r="F950" s="29">
        <v>0</v>
      </c>
      <c r="G950" s="29">
        <v>0</v>
      </c>
      <c r="H950" s="29">
        <v>0</v>
      </c>
      <c r="I950" s="29">
        <v>0</v>
      </c>
      <c r="J950" s="29">
        <v>0</v>
      </c>
      <c r="K950" s="64">
        <v>0</v>
      </c>
      <c r="L950" s="29">
        <v>0</v>
      </c>
      <c r="M950" s="29">
        <v>0</v>
      </c>
      <c r="N950" s="29">
        <v>0</v>
      </c>
      <c r="O950" s="29">
        <v>0</v>
      </c>
      <c r="P950" s="29">
        <v>0</v>
      </c>
      <c r="Q950" s="37">
        <v>655.53</v>
      </c>
      <c r="R950" s="37">
        <v>2352267</v>
      </c>
      <c r="S950" s="29">
        <v>0</v>
      </c>
      <c r="T950" s="29">
        <v>0</v>
      </c>
      <c r="U950" s="29">
        <v>0</v>
      </c>
      <c r="V950" s="29">
        <v>0</v>
      </c>
      <c r="W950" s="29">
        <v>0</v>
      </c>
      <c r="X950" s="29">
        <v>0</v>
      </c>
      <c r="Y950" s="29">
        <v>0</v>
      </c>
      <c r="Z950" s="29">
        <v>0</v>
      </c>
      <c r="AA950" s="29">
        <v>0</v>
      </c>
      <c r="AB950" s="29">
        <v>0</v>
      </c>
      <c r="AC950" s="29">
        <f>ROUND(R950*1.5%,2)</f>
        <v>35284.01</v>
      </c>
      <c r="AD950" s="29">
        <v>0</v>
      </c>
      <c r="AE950" s="29">
        <v>0</v>
      </c>
      <c r="AF950" s="32" t="s">
        <v>268</v>
      </c>
      <c r="AG950" s="32">
        <v>2021</v>
      </c>
      <c r="AH950" s="33">
        <v>2021</v>
      </c>
      <c r="AT950" s="18" t="e">
        <f>VLOOKUP(C950,AW:AX,2,FALSE)</f>
        <v>#N/A</v>
      </c>
      <c r="BZ950" s="61"/>
      <c r="CD950" s="18" t="e">
        <f>VLOOKUP(C950,CE:CF,2,FALSE)</f>
        <v>#N/A</v>
      </c>
    </row>
    <row r="951" spans="1:82" ht="61.5" x14ac:dyDescent="0.85">
      <c r="A951" s="18">
        <v>1</v>
      </c>
      <c r="B951" s="57">
        <f>SUBTOTAL(103,$A$558:A951)</f>
        <v>366</v>
      </c>
      <c r="C951" s="22" t="s">
        <v>1559</v>
      </c>
      <c r="D951" s="29">
        <f>E951+F951+G951+H951+I951+J951+L951+N951+P951+R951+T951+U951+V951+W951+X951+Y951+Z951+AA951+AB951+AC951+AD951+AE951</f>
        <v>1838647.48</v>
      </c>
      <c r="E951" s="29">
        <v>0</v>
      </c>
      <c r="F951" s="29">
        <v>0</v>
      </c>
      <c r="G951" s="29">
        <v>0</v>
      </c>
      <c r="H951" s="29">
        <v>0</v>
      </c>
      <c r="I951" s="29">
        <v>0</v>
      </c>
      <c r="J951" s="29">
        <v>0</v>
      </c>
      <c r="K951" s="64">
        <v>0</v>
      </c>
      <c r="L951" s="29">
        <v>0</v>
      </c>
      <c r="M951" s="29">
        <v>0</v>
      </c>
      <c r="N951" s="29">
        <v>0</v>
      </c>
      <c r="O951" s="29">
        <v>0</v>
      </c>
      <c r="P951" s="29">
        <v>0</v>
      </c>
      <c r="Q951" s="29">
        <v>0</v>
      </c>
      <c r="R951" s="29">
        <v>0</v>
      </c>
      <c r="S951" s="29">
        <v>0</v>
      </c>
      <c r="T951" s="29">
        <v>0</v>
      </c>
      <c r="U951" s="29">
        <v>1815231</v>
      </c>
      <c r="V951" s="29">
        <v>0</v>
      </c>
      <c r="W951" s="29">
        <v>0</v>
      </c>
      <c r="X951" s="29">
        <v>0</v>
      </c>
      <c r="Y951" s="29">
        <v>0</v>
      </c>
      <c r="Z951" s="29">
        <v>0</v>
      </c>
      <c r="AA951" s="29">
        <v>0</v>
      </c>
      <c r="AB951" s="29">
        <v>0</v>
      </c>
      <c r="AC951" s="37">
        <v>23416.48</v>
      </c>
      <c r="AD951" s="29">
        <v>0</v>
      </c>
      <c r="AE951" s="29">
        <v>0</v>
      </c>
      <c r="AF951" s="32" t="s">
        <v>268</v>
      </c>
      <c r="AG951" s="32">
        <v>2021</v>
      </c>
      <c r="AH951" s="33">
        <v>2021</v>
      </c>
      <c r="BZ951" s="61"/>
      <c r="CD951" s="18" t="e">
        <f>VLOOKUP(C951,CE:CF,2,FALSE)</f>
        <v>#N/A</v>
      </c>
    </row>
    <row r="952" spans="1:82" ht="61.5" x14ac:dyDescent="0.85">
      <c r="B952" s="22" t="s">
        <v>827</v>
      </c>
      <c r="C952" s="22"/>
      <c r="D952" s="339">
        <f t="shared" ref="D952:AE952" si="176">D953+D954</f>
        <v>5162888.5</v>
      </c>
      <c r="E952" s="29">
        <f t="shared" si="176"/>
        <v>0</v>
      </c>
      <c r="F952" s="29">
        <f t="shared" si="176"/>
        <v>0</v>
      </c>
      <c r="G952" s="29">
        <f t="shared" si="176"/>
        <v>0</v>
      </c>
      <c r="H952" s="29">
        <f t="shared" si="176"/>
        <v>0</v>
      </c>
      <c r="I952" s="29">
        <f t="shared" si="176"/>
        <v>0</v>
      </c>
      <c r="J952" s="29">
        <f t="shared" si="176"/>
        <v>0</v>
      </c>
      <c r="K952" s="31">
        <f t="shared" si="176"/>
        <v>0</v>
      </c>
      <c r="L952" s="29">
        <f t="shared" si="176"/>
        <v>0</v>
      </c>
      <c r="M952" s="29">
        <f t="shared" si="176"/>
        <v>0</v>
      </c>
      <c r="N952" s="29">
        <f t="shared" si="176"/>
        <v>0</v>
      </c>
      <c r="O952" s="29">
        <f t="shared" si="176"/>
        <v>0</v>
      </c>
      <c r="P952" s="29">
        <f t="shared" si="176"/>
        <v>0</v>
      </c>
      <c r="Q952" s="29">
        <f t="shared" si="176"/>
        <v>884.5</v>
      </c>
      <c r="R952" s="29">
        <f t="shared" si="176"/>
        <v>4944963.95</v>
      </c>
      <c r="S952" s="29">
        <f t="shared" si="176"/>
        <v>0</v>
      </c>
      <c r="T952" s="29">
        <f t="shared" si="176"/>
        <v>0</v>
      </c>
      <c r="U952" s="29">
        <f t="shared" si="176"/>
        <v>0</v>
      </c>
      <c r="V952" s="29">
        <f t="shared" si="176"/>
        <v>0</v>
      </c>
      <c r="W952" s="29">
        <f t="shared" si="176"/>
        <v>0</v>
      </c>
      <c r="X952" s="29">
        <f t="shared" si="176"/>
        <v>0</v>
      </c>
      <c r="Y952" s="29">
        <f t="shared" si="176"/>
        <v>0</v>
      </c>
      <c r="Z952" s="29">
        <f t="shared" si="176"/>
        <v>0</v>
      </c>
      <c r="AA952" s="29">
        <f t="shared" si="176"/>
        <v>0</v>
      </c>
      <c r="AB952" s="29">
        <f t="shared" si="176"/>
        <v>0</v>
      </c>
      <c r="AC952" s="29">
        <f t="shared" si="176"/>
        <v>74174.459999999992</v>
      </c>
      <c r="AD952" s="29">
        <f t="shared" si="176"/>
        <v>143750.09000000003</v>
      </c>
      <c r="AE952" s="29">
        <f t="shared" si="176"/>
        <v>0</v>
      </c>
      <c r="AF952" s="62" t="s">
        <v>743</v>
      </c>
      <c r="AG952" s="62" t="s">
        <v>743</v>
      </c>
      <c r="AH952" s="77" t="s">
        <v>743</v>
      </c>
      <c r="AT952" s="18" t="e">
        <f>VLOOKUP(C952,AW:AX,2,FALSE)</f>
        <v>#N/A</v>
      </c>
      <c r="BZ952" s="61">
        <v>5279138.41</v>
      </c>
      <c r="CD952" s="18" t="e">
        <f>VLOOKUP(C952,CE:CF,2,FALSE)</f>
        <v>#N/A</v>
      </c>
    </row>
    <row r="953" spans="1:82" ht="61.5" x14ac:dyDescent="0.85">
      <c r="A953" s="18">
        <v>1</v>
      </c>
      <c r="B953" s="57">
        <f>SUBTOTAL(103,$A$558:A953)</f>
        <v>367</v>
      </c>
      <c r="C953" s="22" t="s">
        <v>174</v>
      </c>
      <c r="D953" s="29">
        <f>E953+F953+G953+H953+I953+J953+L953+N953+P953+R953+T953+U953+V953+W953+X953+Y953+Z953+AA953+AB953+AC953+AD953+AE953</f>
        <v>2662806.4000000004</v>
      </c>
      <c r="E953" s="29">
        <v>0</v>
      </c>
      <c r="F953" s="29">
        <v>0</v>
      </c>
      <c r="G953" s="29">
        <v>0</v>
      </c>
      <c r="H953" s="29">
        <v>0</v>
      </c>
      <c r="I953" s="29">
        <v>0</v>
      </c>
      <c r="J953" s="29">
        <v>0</v>
      </c>
      <c r="K953" s="31">
        <v>0</v>
      </c>
      <c r="L953" s="29">
        <v>0</v>
      </c>
      <c r="M953" s="29">
        <v>0</v>
      </c>
      <c r="N953" s="29">
        <v>0</v>
      </c>
      <c r="O953" s="29">
        <v>0</v>
      </c>
      <c r="P953" s="29">
        <v>0</v>
      </c>
      <c r="Q953" s="29">
        <v>459</v>
      </c>
      <c r="R953" s="29">
        <v>2553228.2400000002</v>
      </c>
      <c r="S953" s="29">
        <v>0</v>
      </c>
      <c r="T953" s="29">
        <v>0</v>
      </c>
      <c r="U953" s="29">
        <v>0</v>
      </c>
      <c r="V953" s="29">
        <v>0</v>
      </c>
      <c r="W953" s="29">
        <v>0</v>
      </c>
      <c r="X953" s="29">
        <v>0</v>
      </c>
      <c r="Y953" s="29">
        <v>0</v>
      </c>
      <c r="Z953" s="29">
        <v>0</v>
      </c>
      <c r="AA953" s="29">
        <v>0</v>
      </c>
      <c r="AB953" s="29">
        <v>0</v>
      </c>
      <c r="AC953" s="29">
        <f>ROUND(R953*1.5%,2)</f>
        <v>38298.42</v>
      </c>
      <c r="AD953" s="29">
        <v>71279.740000000005</v>
      </c>
      <c r="AE953" s="29">
        <v>0</v>
      </c>
      <c r="AF953" s="32">
        <v>2021</v>
      </c>
      <c r="AG953" s="32">
        <v>2021</v>
      </c>
      <c r="AH953" s="33">
        <v>2021</v>
      </c>
      <c r="AT953" s="18" t="e">
        <f>VLOOKUP(C953,AW:AX,2,FALSE)</f>
        <v>#N/A</v>
      </c>
      <c r="BZ953" s="61"/>
      <c r="CD953" s="18" t="e">
        <f>VLOOKUP(C953,CE:CF,2,FALSE)</f>
        <v>#N/A</v>
      </c>
    </row>
    <row r="954" spans="1:82" ht="61.5" x14ac:dyDescent="0.85">
      <c r="A954" s="18">
        <v>1</v>
      </c>
      <c r="B954" s="57">
        <f>SUBTOTAL(103,$A$558:A954)</f>
        <v>368</v>
      </c>
      <c r="C954" s="22" t="s">
        <v>175</v>
      </c>
      <c r="D954" s="29">
        <f>E954+F954+G954+H954+I954+J954+L954+N954+P954+R954+T954+U954+V954+W954+X954+Y954+Z954+AA954+AB954+AC954+AD954+AE954</f>
        <v>2500082.1</v>
      </c>
      <c r="E954" s="29">
        <v>0</v>
      </c>
      <c r="F954" s="29">
        <v>0</v>
      </c>
      <c r="G954" s="29">
        <v>0</v>
      </c>
      <c r="H954" s="29">
        <v>0</v>
      </c>
      <c r="I954" s="29">
        <v>0</v>
      </c>
      <c r="J954" s="29">
        <v>0</v>
      </c>
      <c r="K954" s="31">
        <v>0</v>
      </c>
      <c r="L954" s="29">
        <v>0</v>
      </c>
      <c r="M954" s="29">
        <v>0</v>
      </c>
      <c r="N954" s="29">
        <v>0</v>
      </c>
      <c r="O954" s="29">
        <v>0</v>
      </c>
      <c r="P954" s="29">
        <v>0</v>
      </c>
      <c r="Q954" s="29">
        <v>425.5</v>
      </c>
      <c r="R954" s="29">
        <v>2391735.71</v>
      </c>
      <c r="S954" s="29">
        <v>0</v>
      </c>
      <c r="T954" s="29">
        <v>0</v>
      </c>
      <c r="U954" s="29">
        <v>0</v>
      </c>
      <c r="V954" s="29">
        <v>0</v>
      </c>
      <c r="W954" s="29">
        <v>0</v>
      </c>
      <c r="X954" s="29">
        <v>0</v>
      </c>
      <c r="Y954" s="29">
        <v>0</v>
      </c>
      <c r="Z954" s="29">
        <v>0</v>
      </c>
      <c r="AA954" s="29">
        <v>0</v>
      </c>
      <c r="AB954" s="29">
        <v>0</v>
      </c>
      <c r="AC954" s="29">
        <f>ROUND(R954*1.5%,2)</f>
        <v>35876.04</v>
      </c>
      <c r="AD954" s="29">
        <v>72470.350000000006</v>
      </c>
      <c r="AE954" s="29">
        <v>0</v>
      </c>
      <c r="AF954" s="32">
        <v>2021</v>
      </c>
      <c r="AG954" s="32">
        <v>2021</v>
      </c>
      <c r="AH954" s="33">
        <v>2021</v>
      </c>
      <c r="AT954" s="18" t="e">
        <f>VLOOKUP(C954,AW:AX,2,FALSE)</f>
        <v>#N/A</v>
      </c>
      <c r="BZ954" s="61"/>
      <c r="CD954" s="18" t="e">
        <f>VLOOKUP(C954,CE:CF,2,FALSE)</f>
        <v>#N/A</v>
      </c>
    </row>
    <row r="955" spans="1:82" ht="61.5" x14ac:dyDescent="0.85">
      <c r="B955" s="22" t="s">
        <v>863</v>
      </c>
      <c r="C955" s="22"/>
      <c r="D955" s="339">
        <f>SUM(D956:D957)</f>
        <v>6619041.75</v>
      </c>
      <c r="E955" s="29">
        <f t="shared" ref="E955:AE955" si="177">SUM(E956:E957)</f>
        <v>0</v>
      </c>
      <c r="F955" s="29">
        <f t="shared" si="177"/>
        <v>0</v>
      </c>
      <c r="G955" s="29">
        <f t="shared" si="177"/>
        <v>0</v>
      </c>
      <c r="H955" s="29">
        <f t="shared" si="177"/>
        <v>0</v>
      </c>
      <c r="I955" s="29">
        <f t="shared" si="177"/>
        <v>0</v>
      </c>
      <c r="J955" s="29">
        <f t="shared" si="177"/>
        <v>0</v>
      </c>
      <c r="K955" s="31">
        <f t="shared" si="177"/>
        <v>0</v>
      </c>
      <c r="L955" s="29">
        <f t="shared" si="177"/>
        <v>0</v>
      </c>
      <c r="M955" s="29">
        <f t="shared" si="177"/>
        <v>816</v>
      </c>
      <c r="N955" s="29">
        <f t="shared" si="177"/>
        <v>3969415.09</v>
      </c>
      <c r="O955" s="29">
        <f t="shared" si="177"/>
        <v>0</v>
      </c>
      <c r="P955" s="29">
        <f t="shared" si="177"/>
        <v>0</v>
      </c>
      <c r="Q955" s="29">
        <f t="shared" si="177"/>
        <v>420</v>
      </c>
      <c r="R955" s="29">
        <f t="shared" si="177"/>
        <v>2339619.88</v>
      </c>
      <c r="S955" s="29">
        <f t="shared" si="177"/>
        <v>0</v>
      </c>
      <c r="T955" s="29">
        <f t="shared" si="177"/>
        <v>0</v>
      </c>
      <c r="U955" s="29">
        <f t="shared" si="177"/>
        <v>0</v>
      </c>
      <c r="V955" s="29">
        <f t="shared" si="177"/>
        <v>0</v>
      </c>
      <c r="W955" s="29">
        <f t="shared" si="177"/>
        <v>0</v>
      </c>
      <c r="X955" s="29">
        <f t="shared" si="177"/>
        <v>0</v>
      </c>
      <c r="Y955" s="29">
        <f t="shared" si="177"/>
        <v>0</v>
      </c>
      <c r="Z955" s="29">
        <f t="shared" si="177"/>
        <v>0</v>
      </c>
      <c r="AA955" s="29">
        <f t="shared" si="177"/>
        <v>0</v>
      </c>
      <c r="AB955" s="29">
        <f t="shared" si="177"/>
        <v>0</v>
      </c>
      <c r="AC955" s="29">
        <f t="shared" si="177"/>
        <v>94635.53</v>
      </c>
      <c r="AD955" s="29">
        <f t="shared" si="177"/>
        <v>215371.25</v>
      </c>
      <c r="AE955" s="29">
        <f t="shared" si="177"/>
        <v>0</v>
      </c>
      <c r="AF955" s="62" t="s">
        <v>743</v>
      </c>
      <c r="AG955" s="62" t="s">
        <v>743</v>
      </c>
      <c r="AH955" s="77" t="s">
        <v>743</v>
      </c>
      <c r="AT955" s="18" t="e">
        <f>VLOOKUP(C955,AW:AX,2,FALSE)</f>
        <v>#N/A</v>
      </c>
      <c r="BZ955" s="61">
        <v>4178956.32</v>
      </c>
      <c r="CD955" s="18" t="e">
        <f>VLOOKUP(C955,CE:CF,2,FALSE)</f>
        <v>#N/A</v>
      </c>
    </row>
    <row r="956" spans="1:82" ht="61.5" x14ac:dyDescent="0.85">
      <c r="A956" s="18">
        <v>1</v>
      </c>
      <c r="B956" s="57">
        <f>SUBTOTAL(103,$A$558:A956)</f>
        <v>369</v>
      </c>
      <c r="C956" s="22" t="s">
        <v>173</v>
      </c>
      <c r="D956" s="29">
        <f>E956+F956+G956+H956+I956+J956+L956+N956+P956+R956+T956+U956+V956+W956+X956+Y956+Z956+AA956+AB956+AC956+AD956+AE956</f>
        <v>4128275.26</v>
      </c>
      <c r="E956" s="29">
        <v>0</v>
      </c>
      <c r="F956" s="29">
        <v>0</v>
      </c>
      <c r="G956" s="29">
        <v>0</v>
      </c>
      <c r="H956" s="29">
        <v>0</v>
      </c>
      <c r="I956" s="29">
        <v>0</v>
      </c>
      <c r="J956" s="29">
        <v>0</v>
      </c>
      <c r="K956" s="31">
        <v>0</v>
      </c>
      <c r="L956" s="29">
        <v>0</v>
      </c>
      <c r="M956" s="29">
        <v>816</v>
      </c>
      <c r="N956" s="29">
        <v>3969415.09</v>
      </c>
      <c r="O956" s="29">
        <v>0</v>
      </c>
      <c r="P956" s="29">
        <v>0</v>
      </c>
      <c r="Q956" s="29">
        <v>0</v>
      </c>
      <c r="R956" s="29">
        <v>0</v>
      </c>
      <c r="S956" s="29">
        <v>0</v>
      </c>
      <c r="T956" s="29">
        <v>0</v>
      </c>
      <c r="U956" s="29">
        <v>0</v>
      </c>
      <c r="V956" s="29">
        <v>0</v>
      </c>
      <c r="W956" s="29">
        <v>0</v>
      </c>
      <c r="X956" s="29">
        <v>0</v>
      </c>
      <c r="Y956" s="29">
        <v>0</v>
      </c>
      <c r="Z956" s="29">
        <v>0</v>
      </c>
      <c r="AA956" s="29">
        <v>0</v>
      </c>
      <c r="AB956" s="29">
        <v>0</v>
      </c>
      <c r="AC956" s="29">
        <f>ROUND(N956*1.5%,2)</f>
        <v>59541.23</v>
      </c>
      <c r="AD956" s="29">
        <v>99318.94</v>
      </c>
      <c r="AE956" s="29">
        <v>0</v>
      </c>
      <c r="AF956" s="32">
        <v>2021</v>
      </c>
      <c r="AG956" s="32">
        <v>2021</v>
      </c>
      <c r="AH956" s="33">
        <v>2021</v>
      </c>
      <c r="AT956" s="18" t="e">
        <f>VLOOKUP(C956,AW:AX,2,FALSE)</f>
        <v>#N/A</v>
      </c>
      <c r="BZ956" s="61"/>
      <c r="CD956" s="18" t="e">
        <f>VLOOKUP(C956,CE:CF,2,FALSE)</f>
        <v>#N/A</v>
      </c>
    </row>
    <row r="957" spans="1:82" ht="61.5" x14ac:dyDescent="0.85">
      <c r="A957" s="18">
        <v>1</v>
      </c>
      <c r="B957" s="57">
        <f>SUBTOTAL(103,$A$558:A957)</f>
        <v>370</v>
      </c>
      <c r="C957" s="22" t="s">
        <v>1941</v>
      </c>
      <c r="D957" s="29">
        <f>E957+F957+G957+H957+I957+J957+L957+N957+P957+R957+T957+U957+V957+W957+X957+Y957+Z957+AA957+AB957+AC957+AD957+AE957</f>
        <v>2490766.4899999998</v>
      </c>
      <c r="E957" s="29">
        <v>0</v>
      </c>
      <c r="F957" s="29">
        <v>0</v>
      </c>
      <c r="G957" s="29">
        <v>0</v>
      </c>
      <c r="H957" s="29">
        <v>0</v>
      </c>
      <c r="I957" s="29">
        <v>0</v>
      </c>
      <c r="J957" s="29">
        <v>0</v>
      </c>
      <c r="K957" s="31">
        <v>0</v>
      </c>
      <c r="L957" s="29">
        <v>0</v>
      </c>
      <c r="M957" s="29">
        <v>0</v>
      </c>
      <c r="N957" s="29">
        <v>0</v>
      </c>
      <c r="O957" s="29">
        <v>0</v>
      </c>
      <c r="P957" s="29">
        <v>0</v>
      </c>
      <c r="Q957" s="29">
        <v>420</v>
      </c>
      <c r="R957" s="29">
        <v>2339619.88</v>
      </c>
      <c r="S957" s="29">
        <v>0</v>
      </c>
      <c r="T957" s="29">
        <v>0</v>
      </c>
      <c r="U957" s="29">
        <v>0</v>
      </c>
      <c r="V957" s="29">
        <v>0</v>
      </c>
      <c r="W957" s="29">
        <v>0</v>
      </c>
      <c r="X957" s="29">
        <v>0</v>
      </c>
      <c r="Y957" s="29">
        <v>0</v>
      </c>
      <c r="Z957" s="29">
        <v>0</v>
      </c>
      <c r="AA957" s="29">
        <v>0</v>
      </c>
      <c r="AB957" s="29">
        <v>0</v>
      </c>
      <c r="AC957" s="29">
        <f>ROUND(R957*1.5%,2)</f>
        <v>35094.300000000003</v>
      </c>
      <c r="AD957" s="29">
        <v>116052.31</v>
      </c>
      <c r="AE957" s="29">
        <v>0</v>
      </c>
      <c r="AF957" s="32">
        <v>2021</v>
      </c>
      <c r="AG957" s="32">
        <v>2021</v>
      </c>
      <c r="AH957" s="33">
        <v>2021</v>
      </c>
      <c r="AT957" s="18" t="e">
        <f>VLOOKUP(C957,AW:AX,2,FALSE)</f>
        <v>#N/A</v>
      </c>
      <c r="BZ957" s="61"/>
      <c r="CD957" s="18" t="e">
        <f>VLOOKUP(C957,CE:CF,2,FALSE)</f>
        <v>#N/A</v>
      </c>
    </row>
    <row r="958" spans="1:82" ht="61.5" x14ac:dyDescent="0.85">
      <c r="B958" s="22" t="s">
        <v>829</v>
      </c>
      <c r="C958" s="22"/>
      <c r="D958" s="339">
        <f>SUM(D959:D960)</f>
        <v>3151634.72</v>
      </c>
      <c r="E958" s="29">
        <f t="shared" ref="E958:AE958" si="178">SUM(E959:E960)</f>
        <v>0</v>
      </c>
      <c r="F958" s="29">
        <f t="shared" si="178"/>
        <v>0</v>
      </c>
      <c r="G958" s="29">
        <f t="shared" si="178"/>
        <v>0</v>
      </c>
      <c r="H958" s="29">
        <f t="shared" si="178"/>
        <v>0</v>
      </c>
      <c r="I958" s="29">
        <f t="shared" si="178"/>
        <v>0</v>
      </c>
      <c r="J958" s="29">
        <f t="shared" si="178"/>
        <v>0</v>
      </c>
      <c r="K958" s="31">
        <f t="shared" si="178"/>
        <v>0</v>
      </c>
      <c r="L958" s="29">
        <f t="shared" si="178"/>
        <v>0</v>
      </c>
      <c r="M958" s="29">
        <f t="shared" si="178"/>
        <v>705.04</v>
      </c>
      <c r="N958" s="29">
        <f t="shared" si="178"/>
        <v>3043313.7199999997</v>
      </c>
      <c r="O958" s="29">
        <f t="shared" si="178"/>
        <v>0</v>
      </c>
      <c r="P958" s="29">
        <f t="shared" si="178"/>
        <v>0</v>
      </c>
      <c r="Q958" s="29">
        <f t="shared" si="178"/>
        <v>0</v>
      </c>
      <c r="R958" s="29">
        <f t="shared" si="178"/>
        <v>0</v>
      </c>
      <c r="S958" s="29">
        <f t="shared" si="178"/>
        <v>0</v>
      </c>
      <c r="T958" s="29">
        <f t="shared" si="178"/>
        <v>0</v>
      </c>
      <c r="U958" s="29">
        <f t="shared" si="178"/>
        <v>0</v>
      </c>
      <c r="V958" s="29">
        <f t="shared" si="178"/>
        <v>0</v>
      </c>
      <c r="W958" s="29">
        <f t="shared" si="178"/>
        <v>0</v>
      </c>
      <c r="X958" s="29">
        <f t="shared" si="178"/>
        <v>0</v>
      </c>
      <c r="Y958" s="29">
        <f t="shared" si="178"/>
        <v>0</v>
      </c>
      <c r="Z958" s="29">
        <f t="shared" si="178"/>
        <v>0</v>
      </c>
      <c r="AA958" s="29">
        <f t="shared" si="178"/>
        <v>0</v>
      </c>
      <c r="AB958" s="29">
        <f t="shared" si="178"/>
        <v>0</v>
      </c>
      <c r="AC958" s="29">
        <f t="shared" si="178"/>
        <v>45649.7</v>
      </c>
      <c r="AD958" s="29">
        <f t="shared" si="178"/>
        <v>62671.3</v>
      </c>
      <c r="AE958" s="29">
        <f t="shared" si="178"/>
        <v>0</v>
      </c>
      <c r="AF958" s="62" t="s">
        <v>743</v>
      </c>
      <c r="AG958" s="62" t="s">
        <v>743</v>
      </c>
      <c r="AH958" s="77" t="s">
        <v>743</v>
      </c>
      <c r="AT958" s="18" t="e">
        <f>VLOOKUP(C958,AW:AX,2,FALSE)</f>
        <v>#N/A</v>
      </c>
      <c r="BZ958" s="61">
        <v>1889236.5</v>
      </c>
      <c r="CD958" s="18" t="e">
        <f>VLOOKUP(C958,CE:CF,2,FALSE)</f>
        <v>#N/A</v>
      </c>
    </row>
    <row r="959" spans="1:82" s="144" customFormat="1" ht="123" x14ac:dyDescent="0.85">
      <c r="A959" s="144">
        <v>1</v>
      </c>
      <c r="B959" s="57">
        <f>SUBTOTAL(103,$A$558:A959)</f>
        <v>371</v>
      </c>
      <c r="C959" s="145" t="s">
        <v>172</v>
      </c>
      <c r="D959" s="106">
        <f>E959+F959+G959+H959+I959+J959+L959+N959+P959+R959+T959+U959+V959+W959+X959+Y959+Z959+AA959+AB959+AC959+AD959+AE959</f>
        <v>1831907.8</v>
      </c>
      <c r="E959" s="106">
        <v>0</v>
      </c>
      <c r="F959" s="106">
        <v>0</v>
      </c>
      <c r="G959" s="106">
        <v>0</v>
      </c>
      <c r="H959" s="106">
        <v>0</v>
      </c>
      <c r="I959" s="106">
        <v>0</v>
      </c>
      <c r="J959" s="106">
        <v>0</v>
      </c>
      <c r="K959" s="146">
        <v>0</v>
      </c>
      <c r="L959" s="106">
        <v>0</v>
      </c>
      <c r="M959" s="106">
        <v>368.9</v>
      </c>
      <c r="N959" s="106">
        <v>1743090.15</v>
      </c>
      <c r="O959" s="106">
        <v>0</v>
      </c>
      <c r="P959" s="106">
        <v>0</v>
      </c>
      <c r="Q959" s="106">
        <v>0</v>
      </c>
      <c r="R959" s="106">
        <v>0</v>
      </c>
      <c r="S959" s="106">
        <v>0</v>
      </c>
      <c r="T959" s="106">
        <v>0</v>
      </c>
      <c r="U959" s="106">
        <v>0</v>
      </c>
      <c r="V959" s="106">
        <v>0</v>
      </c>
      <c r="W959" s="106">
        <v>0</v>
      </c>
      <c r="X959" s="106">
        <v>0</v>
      </c>
      <c r="Y959" s="106">
        <v>0</v>
      </c>
      <c r="Z959" s="106">
        <v>0</v>
      </c>
      <c r="AA959" s="106">
        <v>0</v>
      </c>
      <c r="AB959" s="106">
        <v>0</v>
      </c>
      <c r="AC959" s="106">
        <f>ROUND(N959*1.5%,2)</f>
        <v>26146.35</v>
      </c>
      <c r="AD959" s="106">
        <v>62671.3</v>
      </c>
      <c r="AE959" s="106">
        <v>0</v>
      </c>
      <c r="AF959" s="147">
        <v>2021</v>
      </c>
      <c r="AG959" s="147">
        <v>2021</v>
      </c>
      <c r="AH959" s="148">
        <v>2021</v>
      </c>
      <c r="AT959" s="144" t="e">
        <f>VLOOKUP(C959,AW:AX,2,FALSE)</f>
        <v>#N/A</v>
      </c>
      <c r="BZ959" s="149"/>
      <c r="CD959" s="144" t="e">
        <f>VLOOKUP(C959,CE:CF,2,FALSE)</f>
        <v>#N/A</v>
      </c>
    </row>
    <row r="960" spans="1:82" s="144" customFormat="1" ht="123" x14ac:dyDescent="0.85">
      <c r="A960" s="144">
        <v>1</v>
      </c>
      <c r="B960" s="57">
        <f>SUBTOTAL(103,$A$558:A960)</f>
        <v>372</v>
      </c>
      <c r="C960" s="145" t="s">
        <v>167</v>
      </c>
      <c r="D960" s="106">
        <f>E960+F960+G960+H960+I960+J960+L960+N960+P960+R960+T960+U960+V960+W960+X960+Y960+Z960+AA960+AB960+AC960+AD960+AE960</f>
        <v>1319726.9200000002</v>
      </c>
      <c r="E960" s="106">
        <v>0</v>
      </c>
      <c r="F960" s="106">
        <v>0</v>
      </c>
      <c r="G960" s="106">
        <v>0</v>
      </c>
      <c r="H960" s="106">
        <v>0</v>
      </c>
      <c r="I960" s="106">
        <v>0</v>
      </c>
      <c r="J960" s="106">
        <v>0</v>
      </c>
      <c r="K960" s="99">
        <v>0</v>
      </c>
      <c r="L960" s="106">
        <v>0</v>
      </c>
      <c r="M960" s="106">
        <v>336.14</v>
      </c>
      <c r="N960" s="106">
        <f>1300000+223.57</f>
        <v>1300223.57</v>
      </c>
      <c r="O960" s="106">
        <v>0</v>
      </c>
      <c r="P960" s="106">
        <v>0</v>
      </c>
      <c r="Q960" s="106">
        <v>0</v>
      </c>
      <c r="R960" s="106">
        <v>0</v>
      </c>
      <c r="S960" s="106">
        <v>0</v>
      </c>
      <c r="T960" s="106">
        <v>0</v>
      </c>
      <c r="U960" s="106">
        <v>0</v>
      </c>
      <c r="V960" s="106">
        <v>0</v>
      </c>
      <c r="W960" s="106">
        <v>0</v>
      </c>
      <c r="X960" s="106">
        <v>0</v>
      </c>
      <c r="Y960" s="106">
        <v>0</v>
      </c>
      <c r="Z960" s="106">
        <v>0</v>
      </c>
      <c r="AA960" s="106">
        <v>0</v>
      </c>
      <c r="AB960" s="106">
        <v>0</v>
      </c>
      <c r="AC960" s="106">
        <f>ROUND(N960*1.5%,2)</f>
        <v>19503.349999999999</v>
      </c>
      <c r="AD960" s="106">
        <v>0</v>
      </c>
      <c r="AE960" s="106">
        <v>0</v>
      </c>
      <c r="AF960" s="147" t="s">
        <v>268</v>
      </c>
      <c r="AG960" s="147">
        <v>2021</v>
      </c>
      <c r="AH960" s="148">
        <v>2021</v>
      </c>
      <c r="AT960" s="144" t="e">
        <f>VLOOKUP(C960,AW:AX,2,FALSE)</f>
        <v>#N/A</v>
      </c>
      <c r="BZ960" s="149"/>
      <c r="CD960" s="144">
        <f>VLOOKUP(C960,CE:CF,2,FALSE)</f>
        <v>336.14</v>
      </c>
    </row>
    <row r="961" spans="1:82" ht="61.5" x14ac:dyDescent="0.85">
      <c r="B961" s="22" t="s">
        <v>830</v>
      </c>
      <c r="C961" s="338"/>
      <c r="D961" s="339">
        <f t="shared" ref="D961:AE961" si="179">SUM(D962:D969)</f>
        <v>25708169.950000003</v>
      </c>
      <c r="E961" s="29">
        <f t="shared" si="179"/>
        <v>0</v>
      </c>
      <c r="F961" s="29">
        <f t="shared" si="179"/>
        <v>0</v>
      </c>
      <c r="G961" s="29">
        <f t="shared" si="179"/>
        <v>0</v>
      </c>
      <c r="H961" s="29">
        <f t="shared" si="179"/>
        <v>0</v>
      </c>
      <c r="I961" s="29">
        <f t="shared" si="179"/>
        <v>0</v>
      </c>
      <c r="J961" s="29">
        <f t="shared" si="179"/>
        <v>0</v>
      </c>
      <c r="K961" s="31">
        <f t="shared" si="179"/>
        <v>0</v>
      </c>
      <c r="L961" s="29">
        <f t="shared" si="179"/>
        <v>0</v>
      </c>
      <c r="M961" s="29">
        <f t="shared" si="179"/>
        <v>4589.29</v>
      </c>
      <c r="N961" s="29">
        <f t="shared" si="179"/>
        <v>24944009.789999999</v>
      </c>
      <c r="O961" s="29">
        <f t="shared" si="179"/>
        <v>0</v>
      </c>
      <c r="P961" s="29">
        <f t="shared" si="179"/>
        <v>0</v>
      </c>
      <c r="Q961" s="29">
        <f t="shared" si="179"/>
        <v>0</v>
      </c>
      <c r="R961" s="29">
        <f t="shared" si="179"/>
        <v>0</v>
      </c>
      <c r="S961" s="29">
        <f t="shared" si="179"/>
        <v>0</v>
      </c>
      <c r="T961" s="29">
        <f t="shared" si="179"/>
        <v>0</v>
      </c>
      <c r="U961" s="29">
        <f t="shared" si="179"/>
        <v>0</v>
      </c>
      <c r="V961" s="29">
        <f t="shared" si="179"/>
        <v>0</v>
      </c>
      <c r="W961" s="29">
        <f t="shared" si="179"/>
        <v>0</v>
      </c>
      <c r="X961" s="29">
        <f t="shared" si="179"/>
        <v>0</v>
      </c>
      <c r="Y961" s="29">
        <f t="shared" si="179"/>
        <v>0</v>
      </c>
      <c r="Z961" s="29">
        <f t="shared" si="179"/>
        <v>0</v>
      </c>
      <c r="AA961" s="29">
        <f t="shared" si="179"/>
        <v>0</v>
      </c>
      <c r="AB961" s="29">
        <f t="shared" si="179"/>
        <v>0</v>
      </c>
      <c r="AC961" s="29">
        <f t="shared" si="179"/>
        <v>374160.16000000003</v>
      </c>
      <c r="AD961" s="29">
        <f t="shared" si="179"/>
        <v>390000</v>
      </c>
      <c r="AE961" s="29">
        <f t="shared" si="179"/>
        <v>0</v>
      </c>
      <c r="AF961" s="62" t="s">
        <v>743</v>
      </c>
      <c r="AG961" s="62" t="s">
        <v>743</v>
      </c>
      <c r="AH961" s="77" t="s">
        <v>743</v>
      </c>
      <c r="AT961" s="18" t="e">
        <f>VLOOKUP(C961,AW:AX,2,FALSE)</f>
        <v>#N/A</v>
      </c>
      <c r="BZ961" s="61">
        <v>10103503.050000001</v>
      </c>
      <c r="CD961" s="18" t="e">
        <f>VLOOKUP(C961,CE:CF,2,FALSE)</f>
        <v>#N/A</v>
      </c>
    </row>
    <row r="962" spans="1:82" ht="61.5" x14ac:dyDescent="0.85">
      <c r="A962" s="18">
        <v>1</v>
      </c>
      <c r="B962" s="57">
        <f>SUBTOTAL(103,$A$558:A962)</f>
        <v>373</v>
      </c>
      <c r="C962" s="22" t="s">
        <v>1665</v>
      </c>
      <c r="D962" s="29">
        <f t="shared" ref="D962:D969" si="180">E962+F962+G962+H962+I962+J962+L962+N962+P962+R962+T962+U962+V962+W962+X962+Y962+Z962+AA962+AB962+AC962+AD962+AE962</f>
        <v>2987360.15</v>
      </c>
      <c r="E962" s="29">
        <v>0</v>
      </c>
      <c r="F962" s="29">
        <v>0</v>
      </c>
      <c r="G962" s="29">
        <v>0</v>
      </c>
      <c r="H962" s="29">
        <v>0</v>
      </c>
      <c r="I962" s="29">
        <v>0</v>
      </c>
      <c r="J962" s="29">
        <v>0</v>
      </c>
      <c r="K962" s="31">
        <v>0</v>
      </c>
      <c r="L962" s="29">
        <v>0</v>
      </c>
      <c r="M962" s="29">
        <v>368.29</v>
      </c>
      <c r="N962" s="29">
        <f>2889837.04-122663.22+28254.9</f>
        <v>2795428.7199999997</v>
      </c>
      <c r="O962" s="29">
        <v>0</v>
      </c>
      <c r="P962" s="29">
        <v>0</v>
      </c>
      <c r="Q962" s="29">
        <v>0</v>
      </c>
      <c r="R962" s="29">
        <v>0</v>
      </c>
      <c r="S962" s="29">
        <v>0</v>
      </c>
      <c r="T962" s="29">
        <v>0</v>
      </c>
      <c r="U962" s="29">
        <v>0</v>
      </c>
      <c r="V962" s="29">
        <v>0</v>
      </c>
      <c r="W962" s="29">
        <v>0</v>
      </c>
      <c r="X962" s="29">
        <v>0</v>
      </c>
      <c r="Y962" s="29">
        <v>0</v>
      </c>
      <c r="Z962" s="29">
        <v>0</v>
      </c>
      <c r="AA962" s="29">
        <v>0</v>
      </c>
      <c r="AB962" s="29">
        <v>0</v>
      </c>
      <c r="AC962" s="29">
        <f t="shared" ref="AC962:AC969" si="181">ROUND(N962*1.5%,2)</f>
        <v>41931.43</v>
      </c>
      <c r="AD962" s="29">
        <v>150000</v>
      </c>
      <c r="AE962" s="29">
        <v>0</v>
      </c>
      <c r="AF962" s="32">
        <v>2021</v>
      </c>
      <c r="AG962" s="32">
        <v>2021</v>
      </c>
      <c r="AH962" s="33">
        <v>2021</v>
      </c>
      <c r="AT962" s="18" t="e">
        <f>VLOOKUP(C962,AW:AX,2,FALSE)</f>
        <v>#N/A</v>
      </c>
      <c r="BZ962" s="61"/>
      <c r="CD962" s="18" t="e">
        <f>VLOOKUP(C962,CE:CF,2,FALSE)</f>
        <v>#N/A</v>
      </c>
    </row>
    <row r="963" spans="1:82" ht="61.5" x14ac:dyDescent="0.85">
      <c r="A963" s="18">
        <v>1</v>
      </c>
      <c r="B963" s="57">
        <f>SUBTOTAL(103,$A$558:A963)</f>
        <v>374</v>
      </c>
      <c r="C963" s="22" t="s">
        <v>79</v>
      </c>
      <c r="D963" s="29">
        <f t="shared" si="180"/>
        <v>1670230.3</v>
      </c>
      <c r="E963" s="29">
        <v>0</v>
      </c>
      <c r="F963" s="29">
        <v>0</v>
      </c>
      <c r="G963" s="29">
        <v>0</v>
      </c>
      <c r="H963" s="29">
        <v>0</v>
      </c>
      <c r="I963" s="29">
        <v>0</v>
      </c>
      <c r="J963" s="29">
        <v>0</v>
      </c>
      <c r="K963" s="31">
        <v>0</v>
      </c>
      <c r="L963" s="29">
        <v>0</v>
      </c>
      <c r="M963" s="29">
        <v>430</v>
      </c>
      <c r="N963" s="29">
        <f>1600000+45547.09</f>
        <v>1645547.09</v>
      </c>
      <c r="O963" s="29">
        <v>0</v>
      </c>
      <c r="P963" s="29">
        <v>0</v>
      </c>
      <c r="Q963" s="29">
        <v>0</v>
      </c>
      <c r="R963" s="29">
        <v>0</v>
      </c>
      <c r="S963" s="29">
        <v>0</v>
      </c>
      <c r="T963" s="29">
        <v>0</v>
      </c>
      <c r="U963" s="29">
        <v>0</v>
      </c>
      <c r="V963" s="29">
        <v>0</v>
      </c>
      <c r="W963" s="29">
        <v>0</v>
      </c>
      <c r="X963" s="29">
        <v>0</v>
      </c>
      <c r="Y963" s="29">
        <v>0</v>
      </c>
      <c r="Z963" s="29">
        <v>0</v>
      </c>
      <c r="AA963" s="29">
        <v>0</v>
      </c>
      <c r="AB963" s="29">
        <v>0</v>
      </c>
      <c r="AC963" s="29">
        <f t="shared" si="181"/>
        <v>24683.21</v>
      </c>
      <c r="AD963" s="29">
        <v>0</v>
      </c>
      <c r="AE963" s="29">
        <v>0</v>
      </c>
      <c r="AF963" s="32" t="s">
        <v>268</v>
      </c>
      <c r="AG963" s="32">
        <v>2021</v>
      </c>
      <c r="AH963" s="33">
        <v>2021</v>
      </c>
      <c r="AT963" s="18" t="e">
        <f>VLOOKUP(C963,AW:AX,2,FALSE)</f>
        <v>#N/A</v>
      </c>
      <c r="BZ963" s="61"/>
      <c r="CD963" s="18" t="e">
        <f>VLOOKUP(C963,CE:CF,2,FALSE)</f>
        <v>#N/A</v>
      </c>
    </row>
    <row r="964" spans="1:82" ht="61.5" x14ac:dyDescent="0.85">
      <c r="A964" s="18">
        <v>1</v>
      </c>
      <c r="B964" s="57">
        <f>SUBTOTAL(103,$A$558:A964)</f>
        <v>375</v>
      </c>
      <c r="C964" s="22" t="s">
        <v>80</v>
      </c>
      <c r="D964" s="29">
        <f t="shared" si="180"/>
        <v>2548951.23</v>
      </c>
      <c r="E964" s="29">
        <v>0</v>
      </c>
      <c r="F964" s="29">
        <v>0</v>
      </c>
      <c r="G964" s="29">
        <v>0</v>
      </c>
      <c r="H964" s="29">
        <v>0</v>
      </c>
      <c r="I964" s="29">
        <v>0</v>
      </c>
      <c r="J964" s="29">
        <v>0</v>
      </c>
      <c r="K964" s="31">
        <v>0</v>
      </c>
      <c r="L964" s="29">
        <v>0</v>
      </c>
      <c r="M964" s="29">
        <v>430</v>
      </c>
      <c r="N964" s="29">
        <v>2511282</v>
      </c>
      <c r="O964" s="29">
        <v>0</v>
      </c>
      <c r="P964" s="29">
        <v>0</v>
      </c>
      <c r="Q964" s="29">
        <v>0</v>
      </c>
      <c r="R964" s="29">
        <v>0</v>
      </c>
      <c r="S964" s="29">
        <v>0</v>
      </c>
      <c r="T964" s="29">
        <v>0</v>
      </c>
      <c r="U964" s="29">
        <v>0</v>
      </c>
      <c r="V964" s="29">
        <v>0</v>
      </c>
      <c r="W964" s="29">
        <v>0</v>
      </c>
      <c r="X964" s="29">
        <v>0</v>
      </c>
      <c r="Y964" s="29">
        <v>0</v>
      </c>
      <c r="Z964" s="29">
        <v>0</v>
      </c>
      <c r="AA964" s="29">
        <v>0</v>
      </c>
      <c r="AB964" s="29">
        <v>0</v>
      </c>
      <c r="AC964" s="29">
        <f t="shared" si="181"/>
        <v>37669.230000000003</v>
      </c>
      <c r="AD964" s="29">
        <v>0</v>
      </c>
      <c r="AE964" s="29">
        <v>0</v>
      </c>
      <c r="AF964" s="32" t="s">
        <v>268</v>
      </c>
      <c r="AG964" s="32">
        <v>2021</v>
      </c>
      <c r="AH964" s="33">
        <v>2021</v>
      </c>
      <c r="AT964" s="18" t="e">
        <f>VLOOKUP(C964,AW:AX,2,FALSE)</f>
        <v>#N/A</v>
      </c>
      <c r="BZ964" s="61"/>
      <c r="CD964" s="18" t="e">
        <f>VLOOKUP(C964,CE:CF,2,FALSE)</f>
        <v>#N/A</v>
      </c>
    </row>
    <row r="965" spans="1:82" ht="61.5" x14ac:dyDescent="0.85">
      <c r="A965" s="18">
        <v>1</v>
      </c>
      <c r="B965" s="57">
        <f>SUBTOTAL(103,$A$558:A965)</f>
        <v>376</v>
      </c>
      <c r="C965" s="22" t="s">
        <v>78</v>
      </c>
      <c r="D965" s="29">
        <f t="shared" si="180"/>
        <v>2170941.85</v>
      </c>
      <c r="E965" s="29">
        <v>0</v>
      </c>
      <c r="F965" s="29">
        <v>0</v>
      </c>
      <c r="G965" s="29">
        <v>0</v>
      </c>
      <c r="H965" s="29">
        <v>0</v>
      </c>
      <c r="I965" s="29">
        <v>0</v>
      </c>
      <c r="J965" s="29">
        <v>0</v>
      </c>
      <c r="K965" s="31">
        <v>0</v>
      </c>
      <c r="L965" s="29">
        <v>0</v>
      </c>
      <c r="M965" s="29">
        <v>385</v>
      </c>
      <c r="N965" s="29">
        <v>2020632.36</v>
      </c>
      <c r="O965" s="29">
        <v>0</v>
      </c>
      <c r="P965" s="29">
        <v>0</v>
      </c>
      <c r="Q965" s="29">
        <v>0</v>
      </c>
      <c r="R965" s="29">
        <v>0</v>
      </c>
      <c r="S965" s="29">
        <v>0</v>
      </c>
      <c r="T965" s="29">
        <v>0</v>
      </c>
      <c r="U965" s="29">
        <v>0</v>
      </c>
      <c r="V965" s="29">
        <v>0</v>
      </c>
      <c r="W965" s="29">
        <v>0</v>
      </c>
      <c r="X965" s="29">
        <v>0</v>
      </c>
      <c r="Y965" s="29">
        <v>0</v>
      </c>
      <c r="Z965" s="29">
        <v>0</v>
      </c>
      <c r="AA965" s="29">
        <v>0</v>
      </c>
      <c r="AB965" s="29">
        <v>0</v>
      </c>
      <c r="AC965" s="29">
        <f t="shared" si="181"/>
        <v>30309.49</v>
      </c>
      <c r="AD965" s="29">
        <v>120000</v>
      </c>
      <c r="AE965" s="29">
        <v>0</v>
      </c>
      <c r="AF965" s="32">
        <v>2021</v>
      </c>
      <c r="AG965" s="32">
        <v>2021</v>
      </c>
      <c r="AH965" s="33">
        <v>2021</v>
      </c>
      <c r="AT965" s="18" t="e">
        <f>VLOOKUP(C965,AW:AX,2,FALSE)</f>
        <v>#N/A</v>
      </c>
      <c r="BZ965" s="61"/>
      <c r="CD965" s="18" t="e">
        <f>VLOOKUP(C965,CE:CF,2,FALSE)</f>
        <v>#N/A</v>
      </c>
    </row>
    <row r="966" spans="1:82" ht="61.5" x14ac:dyDescent="0.85">
      <c r="A966" s="18">
        <v>1</v>
      </c>
      <c r="B966" s="57">
        <f>SUBTOTAL(103,$A$558:A966)</f>
        <v>377</v>
      </c>
      <c r="C966" s="22" t="s">
        <v>1664</v>
      </c>
      <c r="D966" s="29">
        <f t="shared" si="180"/>
        <v>4891218.01</v>
      </c>
      <c r="E966" s="29">
        <v>0</v>
      </c>
      <c r="F966" s="29">
        <v>0</v>
      </c>
      <c r="G966" s="29">
        <v>0</v>
      </c>
      <c r="H966" s="29">
        <v>0</v>
      </c>
      <c r="I966" s="29">
        <v>0</v>
      </c>
      <c r="J966" s="29">
        <v>0</v>
      </c>
      <c r="K966" s="31">
        <v>0</v>
      </c>
      <c r="L966" s="29">
        <v>0</v>
      </c>
      <c r="M966" s="29">
        <v>950</v>
      </c>
      <c r="N966" s="29">
        <v>4818934</v>
      </c>
      <c r="O966" s="29">
        <v>0</v>
      </c>
      <c r="P966" s="29">
        <v>0</v>
      </c>
      <c r="Q966" s="29">
        <v>0</v>
      </c>
      <c r="R966" s="29">
        <v>0</v>
      </c>
      <c r="S966" s="29">
        <v>0</v>
      </c>
      <c r="T966" s="29">
        <v>0</v>
      </c>
      <c r="U966" s="29">
        <v>0</v>
      </c>
      <c r="V966" s="29">
        <v>0</v>
      </c>
      <c r="W966" s="29">
        <v>0</v>
      </c>
      <c r="X966" s="29">
        <v>0</v>
      </c>
      <c r="Y966" s="29">
        <v>0</v>
      </c>
      <c r="Z966" s="29">
        <v>0</v>
      </c>
      <c r="AA966" s="29">
        <v>0</v>
      </c>
      <c r="AB966" s="29">
        <v>0</v>
      </c>
      <c r="AC966" s="29">
        <f t="shared" si="181"/>
        <v>72284.009999999995</v>
      </c>
      <c r="AD966" s="29">
        <v>0</v>
      </c>
      <c r="AE966" s="29">
        <v>0</v>
      </c>
      <c r="AF966" s="32" t="s">
        <v>268</v>
      </c>
      <c r="AG966" s="32">
        <v>2021</v>
      </c>
      <c r="AH966" s="33">
        <v>2021</v>
      </c>
      <c r="BZ966" s="61"/>
      <c r="CD966" s="18" t="e">
        <f>VLOOKUP(C966,CE:CF,2,FALSE)</f>
        <v>#N/A</v>
      </c>
    </row>
    <row r="967" spans="1:82" ht="61.5" x14ac:dyDescent="0.85">
      <c r="A967" s="18">
        <v>1</v>
      </c>
      <c r="B967" s="57">
        <f>SUBTOTAL(103,$A$558:A967)</f>
        <v>378</v>
      </c>
      <c r="C967" s="22" t="s">
        <v>76</v>
      </c>
      <c r="D967" s="29">
        <f t="shared" si="180"/>
        <v>5421953.8200000003</v>
      </c>
      <c r="E967" s="29">
        <v>0</v>
      </c>
      <c r="F967" s="29">
        <v>0</v>
      </c>
      <c r="G967" s="29">
        <v>0</v>
      </c>
      <c r="H967" s="29">
        <v>0</v>
      </c>
      <c r="I967" s="29">
        <v>0</v>
      </c>
      <c r="J967" s="29">
        <v>0</v>
      </c>
      <c r="K967" s="64">
        <v>0</v>
      </c>
      <c r="L967" s="29">
        <v>0</v>
      </c>
      <c r="M967" s="29">
        <v>954</v>
      </c>
      <c r="N967" s="29">
        <v>5341826.42</v>
      </c>
      <c r="O967" s="29">
        <v>0</v>
      </c>
      <c r="P967" s="29">
        <v>0</v>
      </c>
      <c r="Q967" s="29">
        <v>0</v>
      </c>
      <c r="R967" s="29">
        <v>0</v>
      </c>
      <c r="S967" s="29">
        <v>0</v>
      </c>
      <c r="T967" s="29">
        <v>0</v>
      </c>
      <c r="U967" s="29">
        <v>0</v>
      </c>
      <c r="V967" s="29">
        <v>0</v>
      </c>
      <c r="W967" s="29">
        <v>0</v>
      </c>
      <c r="X967" s="29">
        <v>0</v>
      </c>
      <c r="Y967" s="29">
        <v>0</v>
      </c>
      <c r="Z967" s="29">
        <v>0</v>
      </c>
      <c r="AA967" s="29">
        <v>0</v>
      </c>
      <c r="AB967" s="29">
        <v>0</v>
      </c>
      <c r="AC967" s="29">
        <f t="shared" si="181"/>
        <v>80127.399999999994</v>
      </c>
      <c r="AD967" s="29">
        <v>0</v>
      </c>
      <c r="AE967" s="29">
        <v>0</v>
      </c>
      <c r="AF967" s="32" t="s">
        <v>268</v>
      </c>
      <c r="AG967" s="32">
        <v>2021</v>
      </c>
      <c r="AH967" s="32">
        <v>2021</v>
      </c>
      <c r="AT967" s="18" t="e">
        <f>VLOOKUP(C967,AW:AX,2,FALSE)</f>
        <v>#N/A</v>
      </c>
      <c r="BZ967" s="61"/>
      <c r="CD967" s="18" t="e">
        <f>VLOOKUP(C967,CE:CF,2,FALSE)</f>
        <v>#N/A</v>
      </c>
    </row>
    <row r="968" spans="1:82" ht="61.5" x14ac:dyDescent="0.85">
      <c r="A968" s="18">
        <v>1</v>
      </c>
      <c r="B968" s="57">
        <f>SUBTOTAL(103,$A$558:A968)</f>
        <v>379</v>
      </c>
      <c r="C968" s="22" t="s">
        <v>1223</v>
      </c>
      <c r="D968" s="29">
        <f t="shared" si="180"/>
        <v>2394114.0999999996</v>
      </c>
      <c r="E968" s="29">
        <v>0</v>
      </c>
      <c r="F968" s="29">
        <v>0</v>
      </c>
      <c r="G968" s="29">
        <v>0</v>
      </c>
      <c r="H968" s="29">
        <v>0</v>
      </c>
      <c r="I968" s="29">
        <v>0</v>
      </c>
      <c r="J968" s="29">
        <v>0</v>
      </c>
      <c r="K968" s="64">
        <v>0</v>
      </c>
      <c r="L968" s="29">
        <v>0</v>
      </c>
      <c r="M968" s="29">
        <v>600</v>
      </c>
      <c r="N968" s="29">
        <f>2297468.55+61264.55</f>
        <v>2358733.0999999996</v>
      </c>
      <c r="O968" s="29">
        <v>0</v>
      </c>
      <c r="P968" s="29">
        <v>0</v>
      </c>
      <c r="Q968" s="29">
        <v>0</v>
      </c>
      <c r="R968" s="29">
        <v>0</v>
      </c>
      <c r="S968" s="29">
        <v>0</v>
      </c>
      <c r="T968" s="29">
        <v>0</v>
      </c>
      <c r="U968" s="29">
        <v>0</v>
      </c>
      <c r="V968" s="29">
        <v>0</v>
      </c>
      <c r="W968" s="29">
        <v>0</v>
      </c>
      <c r="X968" s="29">
        <v>0</v>
      </c>
      <c r="Y968" s="29">
        <v>0</v>
      </c>
      <c r="Z968" s="29">
        <v>0</v>
      </c>
      <c r="AA968" s="29">
        <v>0</v>
      </c>
      <c r="AB968" s="29">
        <v>0</v>
      </c>
      <c r="AC968" s="29">
        <f t="shared" si="181"/>
        <v>35381</v>
      </c>
      <c r="AD968" s="29">
        <v>0</v>
      </c>
      <c r="AE968" s="29">
        <v>0</v>
      </c>
      <c r="AF968" s="32" t="s">
        <v>268</v>
      </c>
      <c r="AG968" s="32">
        <v>2021</v>
      </c>
      <c r="AH968" s="32">
        <v>2021</v>
      </c>
      <c r="BZ968" s="61"/>
      <c r="CD968" s="18">
        <f>VLOOKUP(C968,CE:CF,2,FALSE)</f>
        <v>600</v>
      </c>
    </row>
    <row r="969" spans="1:82" ht="61.5" x14ac:dyDescent="0.85">
      <c r="A969" s="18">
        <v>1</v>
      </c>
      <c r="B969" s="57">
        <f>SUBTOTAL(103,$A$558:A969)</f>
        <v>380</v>
      </c>
      <c r="C969" s="22" t="s">
        <v>2260</v>
      </c>
      <c r="D969" s="29">
        <f t="shared" si="180"/>
        <v>3623400.49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1">
        <v>0</v>
      </c>
      <c r="L969" s="29">
        <v>0</v>
      </c>
      <c r="M969" s="29">
        <v>472</v>
      </c>
      <c r="N969" s="29">
        <v>3451626.1</v>
      </c>
      <c r="O969" s="29">
        <v>0</v>
      </c>
      <c r="P969" s="29">
        <v>0</v>
      </c>
      <c r="Q969" s="29">
        <v>0</v>
      </c>
      <c r="R969" s="29">
        <v>0</v>
      </c>
      <c r="S969" s="29">
        <v>0</v>
      </c>
      <c r="T969" s="29">
        <v>0</v>
      </c>
      <c r="U969" s="29">
        <v>0</v>
      </c>
      <c r="V969" s="29">
        <v>0</v>
      </c>
      <c r="W969" s="29">
        <v>0</v>
      </c>
      <c r="X969" s="29">
        <v>0</v>
      </c>
      <c r="Y969" s="29">
        <v>0</v>
      </c>
      <c r="Z969" s="29">
        <v>0</v>
      </c>
      <c r="AA969" s="29">
        <v>0</v>
      </c>
      <c r="AB969" s="29">
        <v>0</v>
      </c>
      <c r="AC969" s="29">
        <f t="shared" si="181"/>
        <v>51774.39</v>
      </c>
      <c r="AD969" s="29">
        <v>120000</v>
      </c>
      <c r="AE969" s="29">
        <v>0</v>
      </c>
      <c r="AF969" s="32">
        <v>2021</v>
      </c>
      <c r="AG969" s="32">
        <v>2021</v>
      </c>
      <c r="AH969" s="33">
        <v>2021</v>
      </c>
      <c r="AT969" s="18" t="e">
        <f>VLOOKUP(C969,AW:AX,2,FALSE)</f>
        <v>#N/A</v>
      </c>
      <c r="BZ969" s="61"/>
      <c r="CD969" s="18" t="e">
        <f>VLOOKUP(C969,CE:CF,2,FALSE)</f>
        <v>#N/A</v>
      </c>
    </row>
    <row r="970" spans="1:82" ht="61.5" x14ac:dyDescent="0.85">
      <c r="B970" s="22" t="s">
        <v>864</v>
      </c>
      <c r="C970" s="22"/>
      <c r="D970" s="339">
        <f>SUM(D971:D973)</f>
        <v>2999636.55</v>
      </c>
      <c r="E970" s="29">
        <f t="shared" ref="E970:AE970" si="182">SUM(E971:E973)</f>
        <v>0</v>
      </c>
      <c r="F970" s="29">
        <f t="shared" si="182"/>
        <v>0</v>
      </c>
      <c r="G970" s="29">
        <f t="shared" si="182"/>
        <v>0</v>
      </c>
      <c r="H970" s="29">
        <f t="shared" si="182"/>
        <v>318522.17</v>
      </c>
      <c r="I970" s="29">
        <f t="shared" si="182"/>
        <v>0</v>
      </c>
      <c r="J970" s="29">
        <f t="shared" si="182"/>
        <v>0</v>
      </c>
      <c r="K970" s="31">
        <f t="shared" si="182"/>
        <v>0</v>
      </c>
      <c r="L970" s="29">
        <f t="shared" si="182"/>
        <v>0</v>
      </c>
      <c r="M970" s="29">
        <f t="shared" si="182"/>
        <v>467</v>
      </c>
      <c r="N970" s="29">
        <f t="shared" si="182"/>
        <v>2636784.7800000003</v>
      </c>
      <c r="O970" s="29">
        <f t="shared" si="182"/>
        <v>0</v>
      </c>
      <c r="P970" s="29">
        <f t="shared" si="182"/>
        <v>0</v>
      </c>
      <c r="Q970" s="29">
        <f t="shared" si="182"/>
        <v>0</v>
      </c>
      <c r="R970" s="29">
        <f t="shared" si="182"/>
        <v>0</v>
      </c>
      <c r="S970" s="29">
        <f t="shared" si="182"/>
        <v>0</v>
      </c>
      <c r="T970" s="29">
        <f t="shared" si="182"/>
        <v>0</v>
      </c>
      <c r="U970" s="29">
        <f t="shared" si="182"/>
        <v>0</v>
      </c>
      <c r="V970" s="29">
        <f t="shared" si="182"/>
        <v>0</v>
      </c>
      <c r="W970" s="29">
        <f t="shared" si="182"/>
        <v>0</v>
      </c>
      <c r="X970" s="29">
        <f t="shared" si="182"/>
        <v>0</v>
      </c>
      <c r="Y970" s="29">
        <f t="shared" si="182"/>
        <v>0</v>
      </c>
      <c r="Z970" s="29">
        <f t="shared" si="182"/>
        <v>0</v>
      </c>
      <c r="AA970" s="29">
        <f t="shared" si="182"/>
        <v>0</v>
      </c>
      <c r="AB970" s="29">
        <f t="shared" si="182"/>
        <v>0</v>
      </c>
      <c r="AC970" s="29">
        <f t="shared" si="182"/>
        <v>44329.600000000006</v>
      </c>
      <c r="AD970" s="29">
        <f t="shared" si="182"/>
        <v>0</v>
      </c>
      <c r="AE970" s="29">
        <f t="shared" si="182"/>
        <v>0</v>
      </c>
      <c r="AF970" s="62" t="s">
        <v>743</v>
      </c>
      <c r="AG970" s="62" t="s">
        <v>743</v>
      </c>
      <c r="AH970" s="77" t="s">
        <v>743</v>
      </c>
      <c r="AT970" s="18" t="e">
        <f>VLOOKUP(C970,AW:AX,2,FALSE)</f>
        <v>#N/A</v>
      </c>
      <c r="BZ970" s="61">
        <v>2766932.97</v>
      </c>
      <c r="CD970" s="18" t="e">
        <f>VLOOKUP(C970,CE:CF,2,FALSE)</f>
        <v>#N/A</v>
      </c>
    </row>
    <row r="971" spans="1:82" ht="61.5" x14ac:dyDescent="0.85">
      <c r="A971" s="18">
        <v>1</v>
      </c>
      <c r="B971" s="57">
        <f>SUBTOTAL(103,$A$558:A971)</f>
        <v>381</v>
      </c>
      <c r="C971" s="22" t="s">
        <v>81</v>
      </c>
      <c r="D971" s="29">
        <f>E971+F971+G971+H971+I971+J971+L971+N971+P971+R971+T971+U971+V971+W971+X971+Y971+Z971+AA971+AB971+AC971+AD971+AE971</f>
        <v>1774373.57</v>
      </c>
      <c r="E971" s="29">
        <v>0</v>
      </c>
      <c r="F971" s="29">
        <v>0</v>
      </c>
      <c r="G971" s="29">
        <v>0</v>
      </c>
      <c r="H971" s="29">
        <v>0</v>
      </c>
      <c r="I971" s="29">
        <v>0</v>
      </c>
      <c r="J971" s="29">
        <v>0</v>
      </c>
      <c r="K971" s="31">
        <v>0</v>
      </c>
      <c r="L971" s="29">
        <v>0</v>
      </c>
      <c r="M971" s="29">
        <v>307</v>
      </c>
      <c r="N971" s="29">
        <f>1673839.77+62376.79+11934.74</f>
        <v>1748151.3</v>
      </c>
      <c r="O971" s="29">
        <v>0</v>
      </c>
      <c r="P971" s="29">
        <v>0</v>
      </c>
      <c r="Q971" s="29">
        <v>0</v>
      </c>
      <c r="R971" s="29">
        <v>0</v>
      </c>
      <c r="S971" s="29">
        <v>0</v>
      </c>
      <c r="T971" s="29">
        <v>0</v>
      </c>
      <c r="U971" s="29">
        <v>0</v>
      </c>
      <c r="V971" s="29">
        <v>0</v>
      </c>
      <c r="W971" s="29">
        <v>0</v>
      </c>
      <c r="X971" s="29">
        <v>0</v>
      </c>
      <c r="Y971" s="29">
        <v>0</v>
      </c>
      <c r="Z971" s="29">
        <v>0</v>
      </c>
      <c r="AA971" s="29">
        <v>0</v>
      </c>
      <c r="AB971" s="29">
        <v>0</v>
      </c>
      <c r="AC971" s="29">
        <f>ROUND(N971*1.5%,2)</f>
        <v>26222.27</v>
      </c>
      <c r="AD971" s="29">
        <v>0</v>
      </c>
      <c r="AE971" s="29">
        <v>0</v>
      </c>
      <c r="AF971" s="32" t="s">
        <v>268</v>
      </c>
      <c r="AG971" s="32">
        <v>2021</v>
      </c>
      <c r="AH971" s="33">
        <v>2021</v>
      </c>
      <c r="AT971" s="18" t="e">
        <f>VLOOKUP(C971,AW:AX,2,FALSE)</f>
        <v>#N/A</v>
      </c>
      <c r="BZ971" s="61"/>
      <c r="CD971" s="18" t="e">
        <f>VLOOKUP(C971,CE:CF,2,FALSE)</f>
        <v>#N/A</v>
      </c>
    </row>
    <row r="972" spans="1:82" ht="61.5" x14ac:dyDescent="0.85">
      <c r="A972" s="18">
        <v>1</v>
      </c>
      <c r="B972" s="57">
        <f>SUBTOTAL(103,$A$558:A972)</f>
        <v>382</v>
      </c>
      <c r="C972" s="22" t="s">
        <v>82</v>
      </c>
      <c r="D972" s="29">
        <f>E972+F972+G972+H972+I972+J972+L972+N972+P972+R972+T972+U972+V972+W972+X972+Y972+Z972+AA972+AB972+AC972+AD972+AE972</f>
        <v>901962.98</v>
      </c>
      <c r="E972" s="29">
        <v>0</v>
      </c>
      <c r="F972" s="29">
        <v>0</v>
      </c>
      <c r="G972" s="29">
        <v>0</v>
      </c>
      <c r="H972" s="29">
        <v>0</v>
      </c>
      <c r="I972" s="29">
        <v>0</v>
      </c>
      <c r="J972" s="29">
        <v>0</v>
      </c>
      <c r="K972" s="31">
        <v>0</v>
      </c>
      <c r="L972" s="29">
        <v>0</v>
      </c>
      <c r="M972" s="29">
        <v>160</v>
      </c>
      <c r="N972" s="29">
        <f>815749.36+72884.12</f>
        <v>888633.48</v>
      </c>
      <c r="O972" s="29">
        <v>0</v>
      </c>
      <c r="P972" s="29">
        <v>0</v>
      </c>
      <c r="Q972" s="29">
        <v>0</v>
      </c>
      <c r="R972" s="29">
        <v>0</v>
      </c>
      <c r="S972" s="29">
        <v>0</v>
      </c>
      <c r="T972" s="29">
        <v>0</v>
      </c>
      <c r="U972" s="29">
        <v>0</v>
      </c>
      <c r="V972" s="29">
        <v>0</v>
      </c>
      <c r="W972" s="29">
        <v>0</v>
      </c>
      <c r="X972" s="29">
        <v>0</v>
      </c>
      <c r="Y972" s="29">
        <v>0</v>
      </c>
      <c r="Z972" s="29">
        <v>0</v>
      </c>
      <c r="AA972" s="29">
        <v>0</v>
      </c>
      <c r="AB972" s="29">
        <v>0</v>
      </c>
      <c r="AC972" s="29">
        <f>ROUND(N972*1.5%,2)</f>
        <v>13329.5</v>
      </c>
      <c r="AD972" s="29">
        <v>0</v>
      </c>
      <c r="AE972" s="29">
        <v>0</v>
      </c>
      <c r="AF972" s="32" t="s">
        <v>268</v>
      </c>
      <c r="AG972" s="32">
        <v>2021</v>
      </c>
      <c r="AH972" s="33">
        <v>2021</v>
      </c>
      <c r="AT972" s="18" t="e">
        <f>VLOOKUP(C972,AW:AX,2,FALSE)</f>
        <v>#N/A</v>
      </c>
      <c r="BZ972" s="61"/>
      <c r="CD972" s="18" t="e">
        <f>VLOOKUP(C972,CE:CF,2,FALSE)</f>
        <v>#N/A</v>
      </c>
    </row>
    <row r="973" spans="1:82" ht="61.5" x14ac:dyDescent="0.85">
      <c r="A973" s="18">
        <v>1</v>
      </c>
      <c r="B973" s="57">
        <f>SUBTOTAL(103,$A$558:A973)</f>
        <v>383</v>
      </c>
      <c r="C973" s="22" t="s">
        <v>2262</v>
      </c>
      <c r="D973" s="29">
        <f>E973+F973+G973+H973+I973+J973+L973+N973+P973+R973+T973+U973+V973+W973+X973+Y973+Z973+AA973+AB973+AC973+AD973+AE973</f>
        <v>323300</v>
      </c>
      <c r="E973" s="34">
        <v>0</v>
      </c>
      <c r="F973" s="34">
        <v>0</v>
      </c>
      <c r="G973" s="34">
        <v>0</v>
      </c>
      <c r="H973" s="34">
        <f>220000+98522.17</f>
        <v>318522.17</v>
      </c>
      <c r="I973" s="34">
        <v>0</v>
      </c>
      <c r="J973" s="34">
        <v>0</v>
      </c>
      <c r="K973" s="31">
        <v>0</v>
      </c>
      <c r="L973" s="29">
        <v>0</v>
      </c>
      <c r="M973" s="29">
        <v>0</v>
      </c>
      <c r="N973" s="29">
        <v>0</v>
      </c>
      <c r="O973" s="29">
        <v>0</v>
      </c>
      <c r="P973" s="29">
        <v>0</v>
      </c>
      <c r="Q973" s="29">
        <v>0</v>
      </c>
      <c r="R973" s="29">
        <v>0</v>
      </c>
      <c r="S973" s="29">
        <v>0</v>
      </c>
      <c r="T973" s="29">
        <v>0</v>
      </c>
      <c r="U973" s="29">
        <v>0</v>
      </c>
      <c r="V973" s="29">
        <v>0</v>
      </c>
      <c r="W973" s="29">
        <v>0</v>
      </c>
      <c r="X973" s="29">
        <v>0</v>
      </c>
      <c r="Y973" s="29">
        <v>0</v>
      </c>
      <c r="Z973" s="29">
        <v>0</v>
      </c>
      <c r="AA973" s="29">
        <v>0</v>
      </c>
      <c r="AB973" s="29">
        <v>0</v>
      </c>
      <c r="AC973" s="29">
        <f>ROUND(H973*1.5%,2)</f>
        <v>4777.83</v>
      </c>
      <c r="AD973" s="29">
        <v>0</v>
      </c>
      <c r="AE973" s="29">
        <v>0</v>
      </c>
      <c r="AF973" s="32" t="s">
        <v>268</v>
      </c>
      <c r="AG973" s="32">
        <v>2021</v>
      </c>
      <c r="AH973" s="33">
        <v>2021</v>
      </c>
      <c r="AT973" s="18" t="e">
        <f>VLOOKUP(C973,AW:AX,2,FALSE)</f>
        <v>#N/A</v>
      </c>
      <c r="BZ973" s="61"/>
      <c r="CD973" s="18" t="e">
        <f>VLOOKUP(C973,CE:CF,2,FALSE)</f>
        <v>#N/A</v>
      </c>
    </row>
    <row r="974" spans="1:82" ht="61.5" x14ac:dyDescent="0.85">
      <c r="B974" s="22" t="s">
        <v>865</v>
      </c>
      <c r="C974" s="22"/>
      <c r="D974" s="339">
        <f t="shared" ref="D974:AE974" si="183">D975</f>
        <v>3037413.17</v>
      </c>
      <c r="E974" s="29">
        <f t="shared" si="183"/>
        <v>0</v>
      </c>
      <c r="F974" s="29">
        <f t="shared" si="183"/>
        <v>0</v>
      </c>
      <c r="G974" s="29">
        <f t="shared" si="183"/>
        <v>0</v>
      </c>
      <c r="H974" s="29">
        <f t="shared" si="183"/>
        <v>0</v>
      </c>
      <c r="I974" s="29">
        <f t="shared" si="183"/>
        <v>0</v>
      </c>
      <c r="J974" s="29">
        <f t="shared" si="183"/>
        <v>0</v>
      </c>
      <c r="K974" s="31">
        <f t="shared" si="183"/>
        <v>0</v>
      </c>
      <c r="L974" s="29">
        <f t="shared" si="183"/>
        <v>0</v>
      </c>
      <c r="M974" s="29">
        <f t="shared" si="183"/>
        <v>399.43</v>
      </c>
      <c r="N974" s="29">
        <f t="shared" si="183"/>
        <v>2909535</v>
      </c>
      <c r="O974" s="29">
        <f t="shared" si="183"/>
        <v>0</v>
      </c>
      <c r="P974" s="29">
        <f t="shared" si="183"/>
        <v>0</v>
      </c>
      <c r="Q974" s="29">
        <f t="shared" si="183"/>
        <v>0</v>
      </c>
      <c r="R974" s="29">
        <f t="shared" si="183"/>
        <v>0</v>
      </c>
      <c r="S974" s="29">
        <f t="shared" si="183"/>
        <v>0</v>
      </c>
      <c r="T974" s="29">
        <f t="shared" si="183"/>
        <v>0</v>
      </c>
      <c r="U974" s="29">
        <f t="shared" si="183"/>
        <v>0</v>
      </c>
      <c r="V974" s="29">
        <f t="shared" si="183"/>
        <v>0</v>
      </c>
      <c r="W974" s="29">
        <f t="shared" si="183"/>
        <v>0</v>
      </c>
      <c r="X974" s="29">
        <f t="shared" si="183"/>
        <v>0</v>
      </c>
      <c r="Y974" s="29">
        <f t="shared" si="183"/>
        <v>0</v>
      </c>
      <c r="Z974" s="29">
        <f t="shared" si="183"/>
        <v>0</v>
      </c>
      <c r="AA974" s="29">
        <f t="shared" si="183"/>
        <v>0</v>
      </c>
      <c r="AB974" s="29">
        <f t="shared" si="183"/>
        <v>0</v>
      </c>
      <c r="AC974" s="29">
        <f t="shared" si="183"/>
        <v>43643.03</v>
      </c>
      <c r="AD974" s="29">
        <f t="shared" si="183"/>
        <v>84235.14</v>
      </c>
      <c r="AE974" s="29">
        <f t="shared" si="183"/>
        <v>0</v>
      </c>
      <c r="AF974" s="62" t="s">
        <v>743</v>
      </c>
      <c r="AG974" s="62" t="s">
        <v>743</v>
      </c>
      <c r="AH974" s="77" t="s">
        <v>743</v>
      </c>
      <c r="AT974" s="18" t="e">
        <f>VLOOKUP(C974,AW:AX,2,FALSE)</f>
        <v>#N/A</v>
      </c>
      <c r="BZ974" s="61">
        <v>2568179.12</v>
      </c>
      <c r="CD974" s="18" t="e">
        <f>VLOOKUP(C974,CE:CF,2,FALSE)</f>
        <v>#N/A</v>
      </c>
    </row>
    <row r="975" spans="1:82" ht="61.5" x14ac:dyDescent="0.85">
      <c r="A975" s="18">
        <v>1</v>
      </c>
      <c r="B975" s="57">
        <f>SUBTOTAL(103,$A$558:A975)</f>
        <v>384</v>
      </c>
      <c r="C975" s="22" t="s">
        <v>83</v>
      </c>
      <c r="D975" s="29">
        <f>E975+F975+G975+H975+I975+J975+L975+N975+P975+R975+T975+U975+V975+W975+X975+Y975+Z975+AA975+AB975+AC975+AD975+AE975</f>
        <v>3037413.17</v>
      </c>
      <c r="E975" s="29">
        <v>0</v>
      </c>
      <c r="F975" s="29">
        <v>0</v>
      </c>
      <c r="G975" s="29">
        <v>0</v>
      </c>
      <c r="H975" s="29">
        <v>0</v>
      </c>
      <c r="I975" s="29">
        <v>0</v>
      </c>
      <c r="J975" s="29">
        <v>0</v>
      </c>
      <c r="K975" s="31">
        <v>0</v>
      </c>
      <c r="L975" s="29">
        <v>0</v>
      </c>
      <c r="M975" s="29">
        <v>399.43</v>
      </c>
      <c r="N975" s="29">
        <v>2909535</v>
      </c>
      <c r="O975" s="29">
        <v>0</v>
      </c>
      <c r="P975" s="29">
        <v>0</v>
      </c>
      <c r="Q975" s="29">
        <v>0</v>
      </c>
      <c r="R975" s="29">
        <v>0</v>
      </c>
      <c r="S975" s="29">
        <v>0</v>
      </c>
      <c r="T975" s="29">
        <v>0</v>
      </c>
      <c r="U975" s="29">
        <v>0</v>
      </c>
      <c r="V975" s="29">
        <v>0</v>
      </c>
      <c r="W975" s="29">
        <v>0</v>
      </c>
      <c r="X975" s="29">
        <v>0</v>
      </c>
      <c r="Y975" s="29">
        <v>0</v>
      </c>
      <c r="Z975" s="29">
        <v>0</v>
      </c>
      <c r="AA975" s="29">
        <v>0</v>
      </c>
      <c r="AB975" s="29">
        <v>0</v>
      </c>
      <c r="AC975" s="29">
        <f>ROUND(N975*1.5%,2)</f>
        <v>43643.03</v>
      </c>
      <c r="AD975" s="29">
        <v>84235.14</v>
      </c>
      <c r="AE975" s="29">
        <v>0</v>
      </c>
      <c r="AF975" s="32">
        <v>2021</v>
      </c>
      <c r="AG975" s="32">
        <v>2021</v>
      </c>
      <c r="AH975" s="33">
        <v>2021</v>
      </c>
      <c r="AT975" s="18" t="e">
        <f>VLOOKUP(C975,AW:AX,2,FALSE)</f>
        <v>#N/A</v>
      </c>
      <c r="BZ975" s="61"/>
      <c r="CD975" s="18" t="e">
        <f>VLOOKUP(C975,CE:CF,2,FALSE)</f>
        <v>#N/A</v>
      </c>
    </row>
    <row r="976" spans="1:82" ht="61.5" x14ac:dyDescent="0.85">
      <c r="B976" s="22" t="s">
        <v>832</v>
      </c>
      <c r="C976" s="338"/>
      <c r="D976" s="339">
        <f t="shared" ref="D976:AE976" si="184">SUM(D977:D980)</f>
        <v>13139008.529999999</v>
      </c>
      <c r="E976" s="29">
        <f t="shared" si="184"/>
        <v>0</v>
      </c>
      <c r="F976" s="29">
        <f t="shared" si="184"/>
        <v>0</v>
      </c>
      <c r="G976" s="29">
        <f t="shared" si="184"/>
        <v>0</v>
      </c>
      <c r="H976" s="29">
        <f t="shared" si="184"/>
        <v>0</v>
      </c>
      <c r="I976" s="29">
        <f t="shared" si="184"/>
        <v>0</v>
      </c>
      <c r="J976" s="29">
        <f t="shared" si="184"/>
        <v>0</v>
      </c>
      <c r="K976" s="31">
        <f t="shared" si="184"/>
        <v>0</v>
      </c>
      <c r="L976" s="29">
        <f t="shared" si="184"/>
        <v>0</v>
      </c>
      <c r="M976" s="29">
        <f t="shared" si="184"/>
        <v>1691</v>
      </c>
      <c r="N976" s="29">
        <f t="shared" si="184"/>
        <v>7960528.9400000004</v>
      </c>
      <c r="O976" s="29">
        <f t="shared" si="184"/>
        <v>0</v>
      </c>
      <c r="P976" s="29">
        <f t="shared" si="184"/>
        <v>0</v>
      </c>
      <c r="Q976" s="29">
        <f t="shared" si="184"/>
        <v>0</v>
      </c>
      <c r="R976" s="29">
        <f t="shared" si="184"/>
        <v>0</v>
      </c>
      <c r="S976" s="29">
        <f t="shared" si="184"/>
        <v>0</v>
      </c>
      <c r="T976" s="29">
        <f t="shared" si="184"/>
        <v>0</v>
      </c>
      <c r="U976" s="29">
        <f t="shared" si="184"/>
        <v>4730250.49</v>
      </c>
      <c r="V976" s="29">
        <f t="shared" si="184"/>
        <v>0</v>
      </c>
      <c r="W976" s="29">
        <f t="shared" si="184"/>
        <v>0</v>
      </c>
      <c r="X976" s="29">
        <f t="shared" si="184"/>
        <v>0</v>
      </c>
      <c r="Y976" s="29">
        <f t="shared" si="184"/>
        <v>0</v>
      </c>
      <c r="Z976" s="29">
        <f t="shared" si="184"/>
        <v>0</v>
      </c>
      <c r="AA976" s="29">
        <f t="shared" si="184"/>
        <v>0</v>
      </c>
      <c r="AB976" s="29">
        <f t="shared" si="184"/>
        <v>0</v>
      </c>
      <c r="AC976" s="29">
        <f t="shared" si="184"/>
        <v>145660.82</v>
      </c>
      <c r="AD976" s="29">
        <f t="shared" si="184"/>
        <v>182568.28</v>
      </c>
      <c r="AE976" s="29">
        <f t="shared" si="184"/>
        <v>120000</v>
      </c>
      <c r="AF976" s="62" t="s">
        <v>743</v>
      </c>
      <c r="AG976" s="62" t="s">
        <v>743</v>
      </c>
      <c r="AH976" s="77" t="s">
        <v>743</v>
      </c>
      <c r="AT976" s="18" t="e">
        <f>VLOOKUP(C976,AW:AX,2,FALSE)</f>
        <v>#N/A</v>
      </c>
      <c r="BZ976" s="61">
        <v>2981647.8</v>
      </c>
      <c r="CD976" s="18" t="e">
        <f>VLOOKUP(C976,CE:CF,2,FALSE)</f>
        <v>#N/A</v>
      </c>
    </row>
    <row r="977" spans="1:82" ht="61.5" x14ac:dyDescent="0.85">
      <c r="A977" s="18">
        <v>1</v>
      </c>
      <c r="B977" s="57">
        <f>SUBTOTAL(103,$A$558:A977)</f>
        <v>385</v>
      </c>
      <c r="C977" s="22" t="s">
        <v>106</v>
      </c>
      <c r="D977" s="29">
        <f>E977+F977+G977+H977+I977+J977+L977+N977+P977+R977+T977+U977+V977+W977+X977+Y977+Z977+AA977+AB977+AC977+AD977+AE977</f>
        <v>2911346.1599999997</v>
      </c>
      <c r="E977" s="29">
        <v>0</v>
      </c>
      <c r="F977" s="29">
        <v>0</v>
      </c>
      <c r="G977" s="29">
        <v>0</v>
      </c>
      <c r="H977" s="29">
        <v>0</v>
      </c>
      <c r="I977" s="29">
        <v>0</v>
      </c>
      <c r="J977" s="29">
        <v>0</v>
      </c>
      <c r="K977" s="31">
        <v>0</v>
      </c>
      <c r="L977" s="29">
        <v>0</v>
      </c>
      <c r="M977" s="29">
        <v>571</v>
      </c>
      <c r="N977" s="29">
        <v>2789800.79</v>
      </c>
      <c r="O977" s="29">
        <v>0</v>
      </c>
      <c r="P977" s="29">
        <v>0</v>
      </c>
      <c r="Q977" s="29">
        <v>0</v>
      </c>
      <c r="R977" s="29">
        <v>0</v>
      </c>
      <c r="S977" s="29">
        <v>0</v>
      </c>
      <c r="T977" s="29">
        <v>0</v>
      </c>
      <c r="U977" s="29">
        <v>0</v>
      </c>
      <c r="V977" s="29">
        <v>0</v>
      </c>
      <c r="W977" s="29">
        <v>0</v>
      </c>
      <c r="X977" s="29">
        <v>0</v>
      </c>
      <c r="Y977" s="29">
        <v>0</v>
      </c>
      <c r="Z977" s="29">
        <v>0</v>
      </c>
      <c r="AA977" s="29">
        <v>0</v>
      </c>
      <c r="AB977" s="29">
        <v>0</v>
      </c>
      <c r="AC977" s="29">
        <f>ROUND(N977*1.5%,2)</f>
        <v>41847.01</v>
      </c>
      <c r="AD977" s="29">
        <v>79698.36</v>
      </c>
      <c r="AE977" s="29">
        <v>0</v>
      </c>
      <c r="AF977" s="32">
        <v>2021</v>
      </c>
      <c r="AG977" s="32">
        <v>2021</v>
      </c>
      <c r="AH977" s="33">
        <v>2021</v>
      </c>
      <c r="AT977" s="18" t="e">
        <f>VLOOKUP(C977,AW:AX,2,FALSE)</f>
        <v>#N/A</v>
      </c>
      <c r="BZ977" s="61"/>
      <c r="CD977" s="18" t="e">
        <f>VLOOKUP(C977,CE:CF,2,FALSE)</f>
        <v>#N/A</v>
      </c>
    </row>
    <row r="978" spans="1:82" ht="61.5" x14ac:dyDescent="0.85">
      <c r="A978" s="18">
        <v>1</v>
      </c>
      <c r="B978" s="57">
        <f>SUBTOTAL(103,$A$558:A978)</f>
        <v>386</v>
      </c>
      <c r="C978" s="22" t="s">
        <v>1227</v>
      </c>
      <c r="D978" s="29">
        <f>E978+F978+G978+H978+I978+J978+L978+N978+P978+R978+T978+U978+V978+W978+X978+Y978+Z978+AA978+AB978+AC978+AD978+AE978</f>
        <v>1129889.3199999998</v>
      </c>
      <c r="E978" s="29">
        <v>0</v>
      </c>
      <c r="F978" s="29">
        <v>0</v>
      </c>
      <c r="G978" s="29">
        <v>0</v>
      </c>
      <c r="H978" s="29">
        <v>0</v>
      </c>
      <c r="I978" s="29">
        <v>0</v>
      </c>
      <c r="J978" s="29">
        <v>0</v>
      </c>
      <c r="K978" s="31">
        <v>0</v>
      </c>
      <c r="L978" s="29">
        <v>0</v>
      </c>
      <c r="M978" s="29">
        <v>335</v>
      </c>
      <c r="N978" s="29">
        <f>994964.85</f>
        <v>994964.85</v>
      </c>
      <c r="O978" s="29">
        <v>0</v>
      </c>
      <c r="P978" s="29">
        <v>0</v>
      </c>
      <c r="Q978" s="29">
        <v>0</v>
      </c>
      <c r="R978" s="29">
        <v>0</v>
      </c>
      <c r="S978" s="29">
        <v>0</v>
      </c>
      <c r="T978" s="29">
        <v>0</v>
      </c>
      <c r="U978" s="29">
        <v>0</v>
      </c>
      <c r="V978" s="29">
        <v>0</v>
      </c>
      <c r="W978" s="29">
        <v>0</v>
      </c>
      <c r="X978" s="29">
        <v>0</v>
      </c>
      <c r="Y978" s="29">
        <v>0</v>
      </c>
      <c r="Z978" s="29">
        <v>0</v>
      </c>
      <c r="AA978" s="29">
        <v>0</v>
      </c>
      <c r="AB978" s="29">
        <v>0</v>
      </c>
      <c r="AC978" s="29">
        <f>ROUND(N978*1.5%,2)</f>
        <v>14924.47</v>
      </c>
      <c r="AD978" s="29">
        <v>0</v>
      </c>
      <c r="AE978" s="29">
        <v>120000</v>
      </c>
      <c r="AF978" s="32" t="s">
        <v>268</v>
      </c>
      <c r="AG978" s="32">
        <v>2021</v>
      </c>
      <c r="AH978" s="32">
        <v>2021</v>
      </c>
      <c r="BZ978" s="61"/>
      <c r="CD978" s="18">
        <f>VLOOKUP(C978,CE:CF,2,FALSE)</f>
        <v>335</v>
      </c>
    </row>
    <row r="979" spans="1:82" ht="61.5" x14ac:dyDescent="0.85">
      <c r="A979" s="18">
        <v>1</v>
      </c>
      <c r="B979" s="57">
        <f>SUBTOTAL(103,$A$558:A979)</f>
        <v>387</v>
      </c>
      <c r="C979" s="22" t="s">
        <v>1226</v>
      </c>
      <c r="D979" s="29">
        <f>E979+F979+G979+H979+I979+J979+L979+N979+P979+R979+T979+U979+V979+W979+X979+Y979+Z979+AA979+AB979+AC979+AD979+AE979</f>
        <v>4756503.38</v>
      </c>
      <c r="E979" s="29">
        <v>0</v>
      </c>
      <c r="F979" s="29">
        <v>0</v>
      </c>
      <c r="G979" s="29">
        <v>0</v>
      </c>
      <c r="H979" s="29">
        <v>0</v>
      </c>
      <c r="I979" s="29">
        <v>0</v>
      </c>
      <c r="J979" s="29">
        <v>0</v>
      </c>
      <c r="K979" s="64">
        <v>0</v>
      </c>
      <c r="L979" s="29">
        <v>0</v>
      </c>
      <c r="M979" s="29">
        <v>0</v>
      </c>
      <c r="N979" s="29">
        <v>0</v>
      </c>
      <c r="O979" s="29">
        <v>0</v>
      </c>
      <c r="P979" s="29">
        <v>0</v>
      </c>
      <c r="Q979" s="29">
        <v>0</v>
      </c>
      <c r="R979" s="29">
        <v>0</v>
      </c>
      <c r="S979" s="29">
        <v>0</v>
      </c>
      <c r="T979" s="29">
        <v>0</v>
      </c>
      <c r="U979" s="37">
        <v>4730250.49</v>
      </c>
      <c r="V979" s="29">
        <v>0</v>
      </c>
      <c r="W979" s="29">
        <v>0</v>
      </c>
      <c r="X979" s="29">
        <v>0</v>
      </c>
      <c r="Y979" s="29">
        <v>0</v>
      </c>
      <c r="Z979" s="29">
        <v>0</v>
      </c>
      <c r="AA979" s="29">
        <v>0</v>
      </c>
      <c r="AB979" s="29">
        <v>0</v>
      </c>
      <c r="AC979" s="37">
        <v>26252.89</v>
      </c>
      <c r="AD979" s="29">
        <v>0</v>
      </c>
      <c r="AE979" s="29">
        <v>0</v>
      </c>
      <c r="AF979" s="32" t="s">
        <v>268</v>
      </c>
      <c r="AG979" s="32">
        <v>2021</v>
      </c>
      <c r="AH979" s="32">
        <v>2021</v>
      </c>
      <c r="BZ979" s="61"/>
      <c r="CD979" s="18">
        <f>VLOOKUP(C979,CE:CF,2,FALSE)</f>
        <v>901.42</v>
      </c>
    </row>
    <row r="980" spans="1:82" ht="61.5" x14ac:dyDescent="0.85">
      <c r="A980" s="18">
        <v>1</v>
      </c>
      <c r="B980" s="57">
        <f>SUBTOTAL(103,$A$558:A980)</f>
        <v>388</v>
      </c>
      <c r="C980" s="22" t="s">
        <v>2299</v>
      </c>
      <c r="D980" s="29">
        <f>E980+F980+G980+H980+I980+J980+L980+N980+P980+R980+T980+U980+V980+W980+X980+Y980+Z980+AA980+AB980+AC980+AD980+AE980</f>
        <v>4341269.67</v>
      </c>
      <c r="E980" s="34">
        <v>0</v>
      </c>
      <c r="F980" s="34">
        <v>0</v>
      </c>
      <c r="G980" s="34">
        <v>0</v>
      </c>
      <c r="H980" s="34">
        <v>0</v>
      </c>
      <c r="I980" s="34">
        <v>0</v>
      </c>
      <c r="J980" s="34">
        <v>0</v>
      </c>
      <c r="K980" s="31">
        <v>0</v>
      </c>
      <c r="L980" s="29">
        <v>0</v>
      </c>
      <c r="M980" s="29">
        <v>785</v>
      </c>
      <c r="N980" s="29">
        <f>3736092.32+58756.2+313748.47+67166.31</f>
        <v>4175763.3000000003</v>
      </c>
      <c r="O980" s="29">
        <v>0</v>
      </c>
      <c r="P980" s="29">
        <v>0</v>
      </c>
      <c r="Q980" s="29">
        <v>0</v>
      </c>
      <c r="R980" s="29">
        <v>0</v>
      </c>
      <c r="S980" s="29">
        <v>0</v>
      </c>
      <c r="T980" s="29">
        <v>0</v>
      </c>
      <c r="U980" s="29">
        <v>0</v>
      </c>
      <c r="V980" s="29">
        <v>0</v>
      </c>
      <c r="W980" s="29">
        <v>0</v>
      </c>
      <c r="X980" s="29">
        <v>0</v>
      </c>
      <c r="Y980" s="29">
        <v>0</v>
      </c>
      <c r="Z980" s="29">
        <v>0</v>
      </c>
      <c r="AA980" s="29">
        <v>0</v>
      </c>
      <c r="AB980" s="29">
        <v>0</v>
      </c>
      <c r="AC980" s="29">
        <f>ROUND(N980*1.5%,2)</f>
        <v>62636.45</v>
      </c>
      <c r="AD980" s="29">
        <v>102869.92</v>
      </c>
      <c r="AE980" s="29">
        <v>0</v>
      </c>
      <c r="AF980" s="32">
        <v>2021</v>
      </c>
      <c r="AG980" s="32">
        <v>2021</v>
      </c>
      <c r="AH980" s="33">
        <v>2021</v>
      </c>
      <c r="AT980" s="18" t="e">
        <f>VLOOKUP(C980,AW:AX,2,FALSE)</f>
        <v>#N/A</v>
      </c>
      <c r="BZ980" s="61"/>
      <c r="CD980" s="18" t="e">
        <f>VLOOKUP(C980,CE:CF,2,FALSE)</f>
        <v>#N/A</v>
      </c>
    </row>
    <row r="981" spans="1:82" ht="61.5" x14ac:dyDescent="0.85">
      <c r="B981" s="22" t="s">
        <v>2296</v>
      </c>
      <c r="C981" s="22"/>
      <c r="D981" s="339">
        <f t="shared" ref="D981:AE983" si="185">D982</f>
        <v>962789.91</v>
      </c>
      <c r="E981" s="29">
        <f t="shared" si="185"/>
        <v>0</v>
      </c>
      <c r="F981" s="29">
        <f t="shared" si="185"/>
        <v>0</v>
      </c>
      <c r="G981" s="29">
        <f t="shared" si="185"/>
        <v>0</v>
      </c>
      <c r="H981" s="29">
        <f t="shared" si="185"/>
        <v>0</v>
      </c>
      <c r="I981" s="29">
        <f t="shared" si="185"/>
        <v>0</v>
      </c>
      <c r="J981" s="29">
        <f t="shared" si="185"/>
        <v>0</v>
      </c>
      <c r="K981" s="31">
        <f t="shared" si="185"/>
        <v>0</v>
      </c>
      <c r="L981" s="29">
        <f t="shared" si="185"/>
        <v>0</v>
      </c>
      <c r="M981" s="29">
        <f t="shared" si="185"/>
        <v>146</v>
      </c>
      <c r="N981" s="29">
        <f t="shared" si="185"/>
        <v>890470</v>
      </c>
      <c r="O981" s="29">
        <f t="shared" si="185"/>
        <v>0</v>
      </c>
      <c r="P981" s="29">
        <f t="shared" si="185"/>
        <v>0</v>
      </c>
      <c r="Q981" s="29">
        <f t="shared" si="185"/>
        <v>0</v>
      </c>
      <c r="R981" s="29">
        <f t="shared" si="185"/>
        <v>0</v>
      </c>
      <c r="S981" s="29">
        <f t="shared" si="185"/>
        <v>0</v>
      </c>
      <c r="T981" s="29">
        <f t="shared" si="185"/>
        <v>0</v>
      </c>
      <c r="U981" s="29">
        <f t="shared" si="185"/>
        <v>0</v>
      </c>
      <c r="V981" s="29">
        <f t="shared" si="185"/>
        <v>0</v>
      </c>
      <c r="W981" s="29">
        <f t="shared" si="185"/>
        <v>0</v>
      </c>
      <c r="X981" s="29">
        <f t="shared" si="185"/>
        <v>0</v>
      </c>
      <c r="Y981" s="29">
        <f t="shared" si="185"/>
        <v>0</v>
      </c>
      <c r="Z981" s="29">
        <f t="shared" si="185"/>
        <v>0</v>
      </c>
      <c r="AA981" s="29">
        <f t="shared" si="185"/>
        <v>0</v>
      </c>
      <c r="AB981" s="29">
        <f t="shared" si="185"/>
        <v>0</v>
      </c>
      <c r="AC981" s="29">
        <f t="shared" si="185"/>
        <v>13357.05</v>
      </c>
      <c r="AD981" s="29">
        <f t="shared" si="185"/>
        <v>58962.86</v>
      </c>
      <c r="AE981" s="29">
        <f t="shared" si="185"/>
        <v>0</v>
      </c>
      <c r="AF981" s="62" t="s">
        <v>743</v>
      </c>
      <c r="AG981" s="62" t="s">
        <v>743</v>
      </c>
      <c r="AH981" s="77" t="s">
        <v>743</v>
      </c>
      <c r="AT981" s="18" t="e">
        <f>VLOOKUP(C981,AW:AX,2,FALSE)</f>
        <v>#N/A</v>
      </c>
      <c r="BZ981" s="61">
        <v>4290230.8800000008</v>
      </c>
      <c r="CD981" s="18" t="e">
        <f>VLOOKUP(C981,CE:CF,2,FALSE)</f>
        <v>#N/A</v>
      </c>
    </row>
    <row r="982" spans="1:82" ht="61.5" x14ac:dyDescent="0.85">
      <c r="A982" s="18">
        <v>1</v>
      </c>
      <c r="B982" s="57">
        <f>SUBTOTAL(103,$A$558:A982)</f>
        <v>389</v>
      </c>
      <c r="C982" s="22" t="s">
        <v>2297</v>
      </c>
      <c r="D982" s="29">
        <f>E982+F982+G982+H982+I982+J982+L982+N982+P982+R982+T982+U982+V982+W982+X982+Y982+Z982+AA982+AB982+AC982+AD982+AE982</f>
        <v>962789.91</v>
      </c>
      <c r="E982" s="29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31">
        <v>0</v>
      </c>
      <c r="L982" s="29">
        <v>0</v>
      </c>
      <c r="M982" s="29">
        <v>146</v>
      </c>
      <c r="N982" s="29">
        <v>890470</v>
      </c>
      <c r="O982" s="29">
        <v>0</v>
      </c>
      <c r="P982" s="29">
        <v>0</v>
      </c>
      <c r="Q982" s="29">
        <v>0</v>
      </c>
      <c r="R982" s="29">
        <v>0</v>
      </c>
      <c r="S982" s="29">
        <v>0</v>
      </c>
      <c r="T982" s="29">
        <v>0</v>
      </c>
      <c r="U982" s="29">
        <v>0</v>
      </c>
      <c r="V982" s="29">
        <v>0</v>
      </c>
      <c r="W982" s="29">
        <v>0</v>
      </c>
      <c r="X982" s="29">
        <v>0</v>
      </c>
      <c r="Y982" s="29">
        <v>0</v>
      </c>
      <c r="Z982" s="29">
        <v>0</v>
      </c>
      <c r="AA982" s="29">
        <v>0</v>
      </c>
      <c r="AB982" s="29">
        <v>0</v>
      </c>
      <c r="AC982" s="29">
        <f>ROUND(N982*1.5%,2)</f>
        <v>13357.05</v>
      </c>
      <c r="AD982" s="29">
        <v>58962.86</v>
      </c>
      <c r="AE982" s="29">
        <v>0</v>
      </c>
      <c r="AF982" s="32">
        <v>2021</v>
      </c>
      <c r="AG982" s="32">
        <v>2021</v>
      </c>
      <c r="AH982" s="33">
        <v>2021</v>
      </c>
      <c r="AT982" s="18" t="e">
        <f>VLOOKUP(C982,AW:AX,2,FALSE)</f>
        <v>#N/A</v>
      </c>
      <c r="BZ982" s="61"/>
      <c r="CD982" s="18" t="e">
        <f>VLOOKUP(C982,CE:CF,2,FALSE)</f>
        <v>#N/A</v>
      </c>
    </row>
    <row r="983" spans="1:82" ht="61.5" x14ac:dyDescent="0.85">
      <c r="B983" s="22" t="s">
        <v>866</v>
      </c>
      <c r="C983" s="22"/>
      <c r="D983" s="339">
        <f t="shared" si="185"/>
        <v>3760087.36</v>
      </c>
      <c r="E983" s="29">
        <f t="shared" si="185"/>
        <v>0</v>
      </c>
      <c r="F983" s="29">
        <f t="shared" si="185"/>
        <v>0</v>
      </c>
      <c r="G983" s="29">
        <f t="shared" si="185"/>
        <v>0</v>
      </c>
      <c r="H983" s="29">
        <f t="shared" si="185"/>
        <v>0</v>
      </c>
      <c r="I983" s="29">
        <f t="shared" si="185"/>
        <v>0</v>
      </c>
      <c r="J983" s="29">
        <f t="shared" si="185"/>
        <v>0</v>
      </c>
      <c r="K983" s="31">
        <f t="shared" si="185"/>
        <v>0</v>
      </c>
      <c r="L983" s="29">
        <f t="shared" si="185"/>
        <v>0</v>
      </c>
      <c r="M983" s="29">
        <f t="shared" si="185"/>
        <v>838.06</v>
      </c>
      <c r="N983" s="29">
        <f t="shared" si="185"/>
        <v>3635096.33</v>
      </c>
      <c r="O983" s="29">
        <f t="shared" si="185"/>
        <v>0</v>
      </c>
      <c r="P983" s="29">
        <f t="shared" si="185"/>
        <v>0</v>
      </c>
      <c r="Q983" s="29">
        <f t="shared" si="185"/>
        <v>0</v>
      </c>
      <c r="R983" s="29">
        <f t="shared" si="185"/>
        <v>0</v>
      </c>
      <c r="S983" s="29">
        <f t="shared" si="185"/>
        <v>0</v>
      </c>
      <c r="T983" s="29">
        <f t="shared" si="185"/>
        <v>0</v>
      </c>
      <c r="U983" s="29">
        <f t="shared" si="185"/>
        <v>0</v>
      </c>
      <c r="V983" s="29">
        <f t="shared" si="185"/>
        <v>0</v>
      </c>
      <c r="W983" s="29">
        <f t="shared" si="185"/>
        <v>0</v>
      </c>
      <c r="X983" s="29">
        <f t="shared" si="185"/>
        <v>0</v>
      </c>
      <c r="Y983" s="29">
        <f t="shared" si="185"/>
        <v>0</v>
      </c>
      <c r="Z983" s="29">
        <f t="shared" si="185"/>
        <v>0</v>
      </c>
      <c r="AA983" s="29">
        <f t="shared" si="185"/>
        <v>0</v>
      </c>
      <c r="AB983" s="29">
        <f t="shared" si="185"/>
        <v>0</v>
      </c>
      <c r="AC983" s="29">
        <f t="shared" si="185"/>
        <v>37623.25</v>
      </c>
      <c r="AD983" s="29">
        <f t="shared" si="185"/>
        <v>87367.78</v>
      </c>
      <c r="AE983" s="29">
        <f t="shared" si="185"/>
        <v>0</v>
      </c>
      <c r="AF983" s="62" t="s">
        <v>743</v>
      </c>
      <c r="AG983" s="62" t="s">
        <v>743</v>
      </c>
      <c r="AH983" s="77" t="s">
        <v>743</v>
      </c>
      <c r="AT983" s="18" t="e">
        <f>VLOOKUP(C983,AW:AX,2,FALSE)</f>
        <v>#N/A</v>
      </c>
      <c r="BZ983" s="61">
        <v>4290230.8800000008</v>
      </c>
      <c r="CD983" s="18" t="e">
        <f>VLOOKUP(C983,CE:CF,2,FALSE)</f>
        <v>#N/A</v>
      </c>
    </row>
    <row r="984" spans="1:82" ht="61.5" x14ac:dyDescent="0.85">
      <c r="A984" s="18">
        <v>1</v>
      </c>
      <c r="B984" s="57">
        <f>SUBTOTAL(103,$A$558:A984)</f>
        <v>390</v>
      </c>
      <c r="C984" s="22" t="s">
        <v>112</v>
      </c>
      <c r="D984" s="29">
        <f>E984+F984+G984+H984+I984+J984+L984+N984+P984+R984+T984+U984+V984+W984+X984+Y984+Z984+AA984+AB984+AC984+AD984+AE984</f>
        <v>3760087.36</v>
      </c>
      <c r="E984" s="29">
        <v>0</v>
      </c>
      <c r="F984" s="29">
        <v>0</v>
      </c>
      <c r="G984" s="29">
        <v>0</v>
      </c>
      <c r="H984" s="29">
        <v>0</v>
      </c>
      <c r="I984" s="29">
        <v>0</v>
      </c>
      <c r="J984" s="29">
        <v>0</v>
      </c>
      <c r="K984" s="31">
        <v>0</v>
      </c>
      <c r="L984" s="29">
        <v>0</v>
      </c>
      <c r="M984" s="29">
        <v>838.06</v>
      </c>
      <c r="N984" s="29">
        <v>3635096.33</v>
      </c>
      <c r="O984" s="29">
        <v>0</v>
      </c>
      <c r="P984" s="29">
        <v>0</v>
      </c>
      <c r="Q984" s="29">
        <v>0</v>
      </c>
      <c r="R984" s="29">
        <v>0</v>
      </c>
      <c r="S984" s="29">
        <v>0</v>
      </c>
      <c r="T984" s="29">
        <v>0</v>
      </c>
      <c r="U984" s="29">
        <v>0</v>
      </c>
      <c r="V984" s="29">
        <v>0</v>
      </c>
      <c r="W984" s="29">
        <v>0</v>
      </c>
      <c r="X984" s="29">
        <v>0</v>
      </c>
      <c r="Y984" s="29">
        <v>0</v>
      </c>
      <c r="Z984" s="29">
        <v>0</v>
      </c>
      <c r="AA984" s="29">
        <v>0</v>
      </c>
      <c r="AB984" s="29">
        <v>0</v>
      </c>
      <c r="AC984" s="29">
        <v>37623.25</v>
      </c>
      <c r="AD984" s="29">
        <v>87367.78</v>
      </c>
      <c r="AE984" s="29">
        <v>0</v>
      </c>
      <c r="AF984" s="32">
        <v>2021</v>
      </c>
      <c r="AG984" s="32">
        <v>2021</v>
      </c>
      <c r="AH984" s="33">
        <v>2021</v>
      </c>
      <c r="AT984" s="18" t="e">
        <f>VLOOKUP(C984,AW:AX,2,FALSE)</f>
        <v>#N/A</v>
      </c>
      <c r="BZ984" s="61"/>
      <c r="CD984" s="18" t="e">
        <f>VLOOKUP(C984,CE:CF,2,FALSE)</f>
        <v>#N/A</v>
      </c>
    </row>
    <row r="985" spans="1:82" ht="61.5" x14ac:dyDescent="0.85">
      <c r="B985" s="22" t="s">
        <v>867</v>
      </c>
      <c r="C985" s="22"/>
      <c r="D985" s="339">
        <f t="shared" ref="D985:AE985" si="186">D986</f>
        <v>2964091.65</v>
      </c>
      <c r="E985" s="29">
        <f t="shared" si="186"/>
        <v>0</v>
      </c>
      <c r="F985" s="29">
        <f t="shared" si="186"/>
        <v>0</v>
      </c>
      <c r="G985" s="29">
        <f t="shared" si="186"/>
        <v>0</v>
      </c>
      <c r="H985" s="29">
        <f t="shared" si="186"/>
        <v>0</v>
      </c>
      <c r="I985" s="29">
        <f t="shared" si="186"/>
        <v>0</v>
      </c>
      <c r="J985" s="29">
        <f t="shared" si="186"/>
        <v>0</v>
      </c>
      <c r="K985" s="31">
        <f t="shared" si="186"/>
        <v>0</v>
      </c>
      <c r="L985" s="29">
        <f t="shared" si="186"/>
        <v>0</v>
      </c>
      <c r="M985" s="29">
        <f t="shared" si="186"/>
        <v>641.02</v>
      </c>
      <c r="N985" s="29">
        <f t="shared" si="186"/>
        <v>2848618.86</v>
      </c>
      <c r="O985" s="29">
        <f t="shared" si="186"/>
        <v>0</v>
      </c>
      <c r="P985" s="29">
        <f t="shared" si="186"/>
        <v>0</v>
      </c>
      <c r="Q985" s="29">
        <f t="shared" si="186"/>
        <v>0</v>
      </c>
      <c r="R985" s="29">
        <f t="shared" si="186"/>
        <v>0</v>
      </c>
      <c r="S985" s="29">
        <f t="shared" si="186"/>
        <v>0</v>
      </c>
      <c r="T985" s="29">
        <f t="shared" si="186"/>
        <v>0</v>
      </c>
      <c r="U985" s="29">
        <f t="shared" si="186"/>
        <v>0</v>
      </c>
      <c r="V985" s="29">
        <f t="shared" si="186"/>
        <v>0</v>
      </c>
      <c r="W985" s="29">
        <f t="shared" si="186"/>
        <v>0</v>
      </c>
      <c r="X985" s="29">
        <f t="shared" si="186"/>
        <v>0</v>
      </c>
      <c r="Y985" s="29">
        <f t="shared" si="186"/>
        <v>0</v>
      </c>
      <c r="Z985" s="29">
        <f t="shared" si="186"/>
        <v>0</v>
      </c>
      <c r="AA985" s="29">
        <f t="shared" si="186"/>
        <v>0</v>
      </c>
      <c r="AB985" s="29">
        <f t="shared" si="186"/>
        <v>0</v>
      </c>
      <c r="AC985" s="29">
        <f t="shared" si="186"/>
        <v>29483.21</v>
      </c>
      <c r="AD985" s="29">
        <f t="shared" si="186"/>
        <v>85989.58</v>
      </c>
      <c r="AE985" s="29">
        <f t="shared" si="186"/>
        <v>0</v>
      </c>
      <c r="AF985" s="62" t="s">
        <v>743</v>
      </c>
      <c r="AG985" s="62" t="s">
        <v>743</v>
      </c>
      <c r="AH985" s="77" t="s">
        <v>743</v>
      </c>
      <c r="AT985" s="18" t="e">
        <f>VLOOKUP(C985,AW:AX,2,FALSE)</f>
        <v>#N/A</v>
      </c>
      <c r="BZ985" s="61">
        <v>2903320.8000000003</v>
      </c>
      <c r="CD985" s="18" t="e">
        <f>VLOOKUP(C985,CE:CF,2,FALSE)</f>
        <v>#N/A</v>
      </c>
    </row>
    <row r="986" spans="1:82" ht="61.5" x14ac:dyDescent="0.85">
      <c r="A986" s="18">
        <v>1</v>
      </c>
      <c r="B986" s="57">
        <f>SUBTOTAL(103,$A$558:A986)</f>
        <v>391</v>
      </c>
      <c r="C986" s="22" t="s">
        <v>111</v>
      </c>
      <c r="D986" s="29">
        <f>E986+F986+G986+H986+I986+J986+L986+N986+P986+R986+T986+U986+V986+W986+X986+Y986+Z986+AA986+AB986+AC986+AD986+AE986</f>
        <v>2964091.65</v>
      </c>
      <c r="E986" s="29">
        <v>0</v>
      </c>
      <c r="F986" s="29">
        <v>0</v>
      </c>
      <c r="G986" s="29">
        <v>0</v>
      </c>
      <c r="H986" s="29">
        <v>0</v>
      </c>
      <c r="I986" s="29">
        <v>0</v>
      </c>
      <c r="J986" s="29">
        <v>0</v>
      </c>
      <c r="K986" s="31">
        <v>0</v>
      </c>
      <c r="L986" s="29">
        <v>0</v>
      </c>
      <c r="M986" s="29">
        <v>641.02</v>
      </c>
      <c r="N986" s="29">
        <v>2848618.86</v>
      </c>
      <c r="O986" s="29">
        <v>0</v>
      </c>
      <c r="P986" s="29">
        <v>0</v>
      </c>
      <c r="Q986" s="29">
        <v>0</v>
      </c>
      <c r="R986" s="29">
        <v>0</v>
      </c>
      <c r="S986" s="29">
        <v>0</v>
      </c>
      <c r="T986" s="29">
        <v>0</v>
      </c>
      <c r="U986" s="29">
        <v>0</v>
      </c>
      <c r="V986" s="29">
        <v>0</v>
      </c>
      <c r="W986" s="29">
        <v>0</v>
      </c>
      <c r="X986" s="29">
        <v>0</v>
      </c>
      <c r="Y986" s="29">
        <v>0</v>
      </c>
      <c r="Z986" s="29">
        <v>0</v>
      </c>
      <c r="AA986" s="29">
        <v>0</v>
      </c>
      <c r="AB986" s="29">
        <v>0</v>
      </c>
      <c r="AC986" s="29">
        <v>29483.21</v>
      </c>
      <c r="AD986" s="29">
        <v>85989.58</v>
      </c>
      <c r="AE986" s="29">
        <v>0</v>
      </c>
      <c r="AF986" s="32">
        <v>2021</v>
      </c>
      <c r="AG986" s="32">
        <v>2021</v>
      </c>
      <c r="AH986" s="33">
        <v>2021</v>
      </c>
      <c r="AT986" s="18" t="e">
        <f>VLOOKUP(C986,AW:AX,2,FALSE)</f>
        <v>#N/A</v>
      </c>
      <c r="BZ986" s="61"/>
      <c r="CD986" s="18" t="e">
        <f>VLOOKUP(C986,CE:CF,2,FALSE)</f>
        <v>#N/A</v>
      </c>
    </row>
    <row r="987" spans="1:82" ht="61.5" x14ac:dyDescent="0.85">
      <c r="B987" s="22" t="s">
        <v>833</v>
      </c>
      <c r="C987" s="338"/>
      <c r="D987" s="339">
        <f t="shared" ref="D987:AE987" si="187">D988</f>
        <v>3826397.3</v>
      </c>
      <c r="E987" s="29">
        <f t="shared" si="187"/>
        <v>0</v>
      </c>
      <c r="F987" s="29">
        <f t="shared" si="187"/>
        <v>0</v>
      </c>
      <c r="G987" s="29">
        <f t="shared" si="187"/>
        <v>0</v>
      </c>
      <c r="H987" s="29">
        <f t="shared" si="187"/>
        <v>0</v>
      </c>
      <c r="I987" s="29">
        <f t="shared" si="187"/>
        <v>0</v>
      </c>
      <c r="J987" s="29">
        <f t="shared" si="187"/>
        <v>0</v>
      </c>
      <c r="K987" s="31">
        <f t="shared" si="187"/>
        <v>0</v>
      </c>
      <c r="L987" s="29">
        <f t="shared" si="187"/>
        <v>0</v>
      </c>
      <c r="M987" s="29">
        <f t="shared" si="187"/>
        <v>794.3</v>
      </c>
      <c r="N987" s="29">
        <f t="shared" si="187"/>
        <v>3661475.17</v>
      </c>
      <c r="O987" s="29">
        <f t="shared" si="187"/>
        <v>0</v>
      </c>
      <c r="P987" s="29">
        <f t="shared" si="187"/>
        <v>0</v>
      </c>
      <c r="Q987" s="29">
        <f t="shared" si="187"/>
        <v>0</v>
      </c>
      <c r="R987" s="29">
        <f t="shared" si="187"/>
        <v>0</v>
      </c>
      <c r="S987" s="29">
        <f t="shared" si="187"/>
        <v>0</v>
      </c>
      <c r="T987" s="29">
        <f t="shared" si="187"/>
        <v>0</v>
      </c>
      <c r="U987" s="29">
        <f t="shared" si="187"/>
        <v>0</v>
      </c>
      <c r="V987" s="29">
        <f t="shared" si="187"/>
        <v>0</v>
      </c>
      <c r="W987" s="29">
        <f t="shared" si="187"/>
        <v>0</v>
      </c>
      <c r="X987" s="29">
        <f t="shared" si="187"/>
        <v>0</v>
      </c>
      <c r="Y987" s="29">
        <f t="shared" si="187"/>
        <v>0</v>
      </c>
      <c r="Z987" s="29">
        <f t="shared" si="187"/>
        <v>0</v>
      </c>
      <c r="AA987" s="29">
        <f t="shared" si="187"/>
        <v>0</v>
      </c>
      <c r="AB987" s="29">
        <f t="shared" si="187"/>
        <v>0</v>
      </c>
      <c r="AC987" s="29">
        <f t="shared" si="187"/>
        <v>54922.13</v>
      </c>
      <c r="AD987" s="29">
        <f t="shared" si="187"/>
        <v>110000</v>
      </c>
      <c r="AE987" s="29">
        <f t="shared" si="187"/>
        <v>0</v>
      </c>
      <c r="AF987" s="62" t="s">
        <v>743</v>
      </c>
      <c r="AG987" s="62" t="s">
        <v>743</v>
      </c>
      <c r="AH987" s="77" t="s">
        <v>743</v>
      </c>
      <c r="AT987" s="18" t="e">
        <f>VLOOKUP(C987,AW:AX,2,FALSE)</f>
        <v>#N/A</v>
      </c>
      <c r="BZ987" s="61">
        <v>3826397.3000000003</v>
      </c>
      <c r="CD987" s="18" t="e">
        <f>VLOOKUP(C987,CE:CF,2,FALSE)</f>
        <v>#N/A</v>
      </c>
    </row>
    <row r="988" spans="1:82" ht="61.5" x14ac:dyDescent="0.85">
      <c r="A988" s="18">
        <v>1</v>
      </c>
      <c r="B988" s="57">
        <f>SUBTOTAL(103,$A$558:A988)</f>
        <v>392</v>
      </c>
      <c r="C988" s="22" t="s">
        <v>57</v>
      </c>
      <c r="D988" s="29">
        <f>E988+F988+G988+H988+I988+J988+L988+N988+P988+R988+T988+U988+V988+W988+X988+Y988+Z988+AA988+AB988+AC988+AD988+AE988</f>
        <v>3826397.3</v>
      </c>
      <c r="E988" s="29">
        <v>0</v>
      </c>
      <c r="F988" s="29">
        <v>0</v>
      </c>
      <c r="G988" s="29">
        <v>0</v>
      </c>
      <c r="H988" s="29">
        <v>0</v>
      </c>
      <c r="I988" s="29">
        <v>0</v>
      </c>
      <c r="J988" s="29">
        <v>0</v>
      </c>
      <c r="K988" s="31">
        <v>0</v>
      </c>
      <c r="L988" s="29">
        <v>0</v>
      </c>
      <c r="M988" s="29">
        <v>794.3</v>
      </c>
      <c r="N988" s="29">
        <f>3622066.31+39408.86</f>
        <v>3661475.17</v>
      </c>
      <c r="O988" s="29">
        <v>0</v>
      </c>
      <c r="P988" s="29">
        <v>0</v>
      </c>
      <c r="Q988" s="29">
        <v>0</v>
      </c>
      <c r="R988" s="29">
        <v>0</v>
      </c>
      <c r="S988" s="29">
        <v>0</v>
      </c>
      <c r="T988" s="29">
        <v>0</v>
      </c>
      <c r="U988" s="29">
        <v>0</v>
      </c>
      <c r="V988" s="29">
        <v>0</v>
      </c>
      <c r="W988" s="29">
        <v>0</v>
      </c>
      <c r="X988" s="29">
        <v>0</v>
      </c>
      <c r="Y988" s="29">
        <v>0</v>
      </c>
      <c r="Z988" s="29">
        <v>0</v>
      </c>
      <c r="AA988" s="29">
        <v>0</v>
      </c>
      <c r="AB988" s="29">
        <v>0</v>
      </c>
      <c r="AC988" s="29">
        <f>ROUND(N988*1.5%,2)</f>
        <v>54922.13</v>
      </c>
      <c r="AD988" s="29">
        <v>110000</v>
      </c>
      <c r="AE988" s="29">
        <v>0</v>
      </c>
      <c r="AF988" s="32">
        <v>2021</v>
      </c>
      <c r="AG988" s="32">
        <v>2021</v>
      </c>
      <c r="AH988" s="33">
        <v>2021</v>
      </c>
      <c r="AT988" s="18" t="e">
        <f>VLOOKUP(C988,AW:AX,2,FALSE)</f>
        <v>#N/A</v>
      </c>
      <c r="BZ988" s="61"/>
      <c r="CD988" s="18" t="e">
        <f>VLOOKUP(C988,CE:CF,2,FALSE)</f>
        <v>#N/A</v>
      </c>
    </row>
    <row r="989" spans="1:82" ht="61.5" x14ac:dyDescent="0.85">
      <c r="B989" s="22" t="s">
        <v>834</v>
      </c>
      <c r="C989" s="22"/>
      <c r="D989" s="339">
        <f>SUM(D990:D993)</f>
        <v>27427227.939999998</v>
      </c>
      <c r="E989" s="29">
        <f t="shared" ref="E989:AE989" si="188">SUM(E990:E993)</f>
        <v>0</v>
      </c>
      <c r="F989" s="29">
        <f t="shared" si="188"/>
        <v>0</v>
      </c>
      <c r="G989" s="29">
        <f t="shared" si="188"/>
        <v>0</v>
      </c>
      <c r="H989" s="29">
        <f t="shared" si="188"/>
        <v>0</v>
      </c>
      <c r="I989" s="29">
        <f t="shared" si="188"/>
        <v>0</v>
      </c>
      <c r="J989" s="29">
        <f t="shared" si="188"/>
        <v>0</v>
      </c>
      <c r="K989" s="31">
        <f t="shared" si="188"/>
        <v>0</v>
      </c>
      <c r="L989" s="29">
        <f t="shared" si="188"/>
        <v>0</v>
      </c>
      <c r="M989" s="29">
        <f t="shared" si="188"/>
        <v>5688</v>
      </c>
      <c r="N989" s="29">
        <f t="shared" si="188"/>
        <v>26952672.329999998</v>
      </c>
      <c r="O989" s="29">
        <f t="shared" si="188"/>
        <v>0</v>
      </c>
      <c r="P989" s="29">
        <f t="shared" si="188"/>
        <v>0</v>
      </c>
      <c r="Q989" s="29">
        <f t="shared" si="188"/>
        <v>0</v>
      </c>
      <c r="R989" s="29">
        <f t="shared" si="188"/>
        <v>0</v>
      </c>
      <c r="S989" s="29">
        <f t="shared" si="188"/>
        <v>0</v>
      </c>
      <c r="T989" s="29">
        <f t="shared" si="188"/>
        <v>0</v>
      </c>
      <c r="U989" s="29">
        <f t="shared" si="188"/>
        <v>0</v>
      </c>
      <c r="V989" s="29">
        <f t="shared" si="188"/>
        <v>0</v>
      </c>
      <c r="W989" s="29">
        <f t="shared" si="188"/>
        <v>0</v>
      </c>
      <c r="X989" s="29">
        <f t="shared" si="188"/>
        <v>0</v>
      </c>
      <c r="Y989" s="29">
        <f t="shared" si="188"/>
        <v>0</v>
      </c>
      <c r="Z989" s="29">
        <f t="shared" si="188"/>
        <v>0</v>
      </c>
      <c r="AA989" s="29">
        <f t="shared" si="188"/>
        <v>0</v>
      </c>
      <c r="AB989" s="29">
        <f t="shared" si="188"/>
        <v>0</v>
      </c>
      <c r="AC989" s="29">
        <f t="shared" si="188"/>
        <v>344555.61</v>
      </c>
      <c r="AD989" s="29">
        <f t="shared" si="188"/>
        <v>130000</v>
      </c>
      <c r="AE989" s="29">
        <f t="shared" si="188"/>
        <v>0</v>
      </c>
      <c r="AF989" s="62" t="s">
        <v>743</v>
      </c>
      <c r="AG989" s="62" t="s">
        <v>743</v>
      </c>
      <c r="AH989" s="77" t="s">
        <v>743</v>
      </c>
      <c r="AT989" s="18" t="e">
        <f>VLOOKUP(C989,AW:AX,2,FALSE)</f>
        <v>#N/A</v>
      </c>
      <c r="BZ989" s="61">
        <v>5858309.4800000004</v>
      </c>
      <c r="CD989" s="18" t="e">
        <f>VLOOKUP(C989,CE:CF,2,FALSE)</f>
        <v>#N/A</v>
      </c>
    </row>
    <row r="990" spans="1:82" ht="61.5" x14ac:dyDescent="0.85">
      <c r="A990" s="18">
        <v>1</v>
      </c>
      <c r="B990" s="57">
        <f>SUBTOTAL(103,$A$558:A990)</f>
        <v>393</v>
      </c>
      <c r="C990" s="22" t="s">
        <v>41</v>
      </c>
      <c r="D990" s="29">
        <f>E990+F990+G990+H990+I990+J990+L990+N990+P990+R990+T990+U990+V990+W990+X990+Y990+Z990+AA990+AB990+AC990+AD990+AE990</f>
        <v>8424219.5199999996</v>
      </c>
      <c r="E990" s="29">
        <v>0</v>
      </c>
      <c r="F990" s="29">
        <v>0</v>
      </c>
      <c r="G990" s="29">
        <v>0</v>
      </c>
      <c r="H990" s="29">
        <v>0</v>
      </c>
      <c r="I990" s="29">
        <v>0</v>
      </c>
      <c r="J990" s="29">
        <v>0</v>
      </c>
      <c r="K990" s="31">
        <v>0</v>
      </c>
      <c r="L990" s="29">
        <v>0</v>
      </c>
      <c r="M990" s="29">
        <v>1576</v>
      </c>
      <c r="N990" s="29">
        <f>5594393.58+1577251.27+1000000</f>
        <v>8171644.8499999996</v>
      </c>
      <c r="O990" s="29">
        <v>0</v>
      </c>
      <c r="P990" s="29">
        <v>0</v>
      </c>
      <c r="Q990" s="29">
        <v>0</v>
      </c>
      <c r="R990" s="29">
        <v>0</v>
      </c>
      <c r="S990" s="29">
        <v>0</v>
      </c>
      <c r="T990" s="29">
        <v>0</v>
      </c>
      <c r="U990" s="29">
        <v>0</v>
      </c>
      <c r="V990" s="29">
        <v>0</v>
      </c>
      <c r="W990" s="29">
        <v>0</v>
      </c>
      <c r="X990" s="29">
        <v>0</v>
      </c>
      <c r="Y990" s="29">
        <v>0</v>
      </c>
      <c r="Z990" s="29">
        <v>0</v>
      </c>
      <c r="AA990" s="29">
        <v>0</v>
      </c>
      <c r="AB990" s="29">
        <v>0</v>
      </c>
      <c r="AC990" s="29">
        <f>ROUND(N990*1.5%,2)</f>
        <v>122574.67</v>
      </c>
      <c r="AD990" s="29">
        <v>130000</v>
      </c>
      <c r="AE990" s="29">
        <v>0</v>
      </c>
      <c r="AF990" s="32">
        <v>2021</v>
      </c>
      <c r="AG990" s="32">
        <v>2021</v>
      </c>
      <c r="AH990" s="33">
        <v>2021</v>
      </c>
      <c r="AT990" s="18" t="e">
        <f>VLOOKUP(C990,AW:AX,2,FALSE)</f>
        <v>#N/A</v>
      </c>
      <c r="BZ990" s="61"/>
      <c r="CD990" s="18" t="e">
        <f>VLOOKUP(C990,CE:CF,2,FALSE)</f>
        <v>#N/A</v>
      </c>
    </row>
    <row r="991" spans="1:82" ht="61.5" x14ac:dyDescent="0.85">
      <c r="A991" s="18">
        <v>1</v>
      </c>
      <c r="B991" s="57">
        <f>SUBTOTAL(103,$A$558:A991)</f>
        <v>394</v>
      </c>
      <c r="C991" s="22" t="s">
        <v>1538</v>
      </c>
      <c r="D991" s="29">
        <f>E991+F991+G991+H991+I991+J991+L991+N991+P991+R991+T991+U991+V991+W991+X991+Y991+Z991+AA991+AB991+AC991+AD991+AE991</f>
        <v>5709104.1399999997</v>
      </c>
      <c r="E991" s="29">
        <v>0</v>
      </c>
      <c r="F991" s="29">
        <v>0</v>
      </c>
      <c r="G991" s="29">
        <v>0</v>
      </c>
      <c r="H991" s="29">
        <v>0</v>
      </c>
      <c r="I991" s="29">
        <v>0</v>
      </c>
      <c r="J991" s="29">
        <v>0</v>
      </c>
      <c r="K991" s="31">
        <v>0</v>
      </c>
      <c r="L991" s="29">
        <v>0</v>
      </c>
      <c r="M991" s="29">
        <v>1331</v>
      </c>
      <c r="N991" s="29">
        <v>5683584.8399999999</v>
      </c>
      <c r="O991" s="29">
        <v>0</v>
      </c>
      <c r="P991" s="29">
        <v>0</v>
      </c>
      <c r="Q991" s="29">
        <v>0</v>
      </c>
      <c r="R991" s="29">
        <v>0</v>
      </c>
      <c r="S991" s="29">
        <v>0</v>
      </c>
      <c r="T991" s="29">
        <v>0</v>
      </c>
      <c r="U991" s="29">
        <v>0</v>
      </c>
      <c r="V991" s="29">
        <v>0</v>
      </c>
      <c r="W991" s="29">
        <v>0</v>
      </c>
      <c r="X991" s="29">
        <v>0</v>
      </c>
      <c r="Y991" s="29">
        <v>0</v>
      </c>
      <c r="Z991" s="29">
        <v>0</v>
      </c>
      <c r="AA991" s="29">
        <v>0</v>
      </c>
      <c r="AB991" s="29">
        <v>0</v>
      </c>
      <c r="AC991" s="29">
        <f>ROUND(N991*0.449%,2)</f>
        <v>25519.3</v>
      </c>
      <c r="AD991" s="29">
        <v>0</v>
      </c>
      <c r="AE991" s="29">
        <v>0</v>
      </c>
      <c r="AF991" s="32" t="s">
        <v>268</v>
      </c>
      <c r="AG991" s="32">
        <v>2021</v>
      </c>
      <c r="AH991" s="32">
        <v>2021</v>
      </c>
      <c r="BZ991" s="61"/>
      <c r="CD991" s="18" t="e">
        <f>VLOOKUP(C991,CE:CF,2,FALSE)</f>
        <v>#N/A</v>
      </c>
    </row>
    <row r="992" spans="1:82" ht="61.5" x14ac:dyDescent="0.85">
      <c r="A992" s="18">
        <v>1</v>
      </c>
      <c r="B992" s="57">
        <f>SUBTOTAL(103,$A$558:A992)</f>
        <v>395</v>
      </c>
      <c r="C992" s="22" t="s">
        <v>63</v>
      </c>
      <c r="D992" s="29">
        <f>E992+F992+G992+H992+I992+J992+L992+N992+P992+R992+T992+U992+V992+W992+X992+Y992+Z992+AA992+AB992+AC992+AD992+AE992</f>
        <v>6173366.919999999</v>
      </c>
      <c r="E992" s="29">
        <v>0</v>
      </c>
      <c r="F992" s="29">
        <v>0</v>
      </c>
      <c r="G992" s="29">
        <v>0</v>
      </c>
      <c r="H992" s="29">
        <v>0</v>
      </c>
      <c r="I992" s="29">
        <v>0</v>
      </c>
      <c r="J992" s="29">
        <v>0</v>
      </c>
      <c r="K992" s="64">
        <v>0</v>
      </c>
      <c r="L992" s="29">
        <v>0</v>
      </c>
      <c r="M992" s="29">
        <v>1420</v>
      </c>
      <c r="N992" s="29">
        <f>5786396.52+295738.38</f>
        <v>6082134.8999999994</v>
      </c>
      <c r="O992" s="29">
        <v>0</v>
      </c>
      <c r="P992" s="29">
        <v>0</v>
      </c>
      <c r="Q992" s="29">
        <v>0</v>
      </c>
      <c r="R992" s="29">
        <v>0</v>
      </c>
      <c r="S992" s="29">
        <v>0</v>
      </c>
      <c r="T992" s="29">
        <v>0</v>
      </c>
      <c r="U992" s="29">
        <v>0</v>
      </c>
      <c r="V992" s="29">
        <v>0</v>
      </c>
      <c r="W992" s="29">
        <v>0</v>
      </c>
      <c r="X992" s="29">
        <v>0</v>
      </c>
      <c r="Y992" s="29">
        <v>0</v>
      </c>
      <c r="Z992" s="29">
        <v>0</v>
      </c>
      <c r="AA992" s="29">
        <v>0</v>
      </c>
      <c r="AB992" s="29">
        <v>0</v>
      </c>
      <c r="AC992" s="29">
        <f>ROUND(N992*1.5%,2)</f>
        <v>91232.02</v>
      </c>
      <c r="AD992" s="29">
        <v>0</v>
      </c>
      <c r="AE992" s="29">
        <v>0</v>
      </c>
      <c r="AF992" s="32" t="s">
        <v>268</v>
      </c>
      <c r="AG992" s="32">
        <v>2021</v>
      </c>
      <c r="AH992" s="32">
        <v>2021</v>
      </c>
      <c r="AT992" s="18" t="e">
        <f>VLOOKUP(C992,AW:AX,2,FALSE)</f>
        <v>#N/A</v>
      </c>
      <c r="BZ992" s="61"/>
      <c r="CD992" s="18" t="e">
        <f>VLOOKUP(C992,CE:CF,2,FALSE)</f>
        <v>#N/A</v>
      </c>
    </row>
    <row r="993" spans="1:82" ht="61.5" x14ac:dyDescent="0.85">
      <c r="A993" s="18">
        <v>1</v>
      </c>
      <c r="B993" s="57">
        <f>SUBTOTAL(103,$A$558:A993)</f>
        <v>396</v>
      </c>
      <c r="C993" s="22" t="s">
        <v>52</v>
      </c>
      <c r="D993" s="29">
        <f>E993+F993+G993+H993+I993+J993+L993+N993+P993+R993+T993+U993+V993+W993+X993+Y993+Z993+AA993+AB993+AC993+AD993+AE993</f>
        <v>7120537.3600000003</v>
      </c>
      <c r="E993" s="29">
        <v>0</v>
      </c>
      <c r="F993" s="29">
        <v>0</v>
      </c>
      <c r="G993" s="29">
        <v>0</v>
      </c>
      <c r="H993" s="29">
        <v>0</v>
      </c>
      <c r="I993" s="29">
        <v>0</v>
      </c>
      <c r="J993" s="29">
        <v>0</v>
      </c>
      <c r="K993" s="64">
        <v>0</v>
      </c>
      <c r="L993" s="29">
        <v>0</v>
      </c>
      <c r="M993" s="29">
        <v>1361</v>
      </c>
      <c r="N993" s="29">
        <f>5607810.5+1407497.24</f>
        <v>7015307.7400000002</v>
      </c>
      <c r="O993" s="29">
        <v>0</v>
      </c>
      <c r="P993" s="29">
        <v>0</v>
      </c>
      <c r="Q993" s="29">
        <v>0</v>
      </c>
      <c r="R993" s="29">
        <v>0</v>
      </c>
      <c r="S993" s="29">
        <v>0</v>
      </c>
      <c r="T993" s="29">
        <v>0</v>
      </c>
      <c r="U993" s="29">
        <v>0</v>
      </c>
      <c r="V993" s="29">
        <v>0</v>
      </c>
      <c r="W993" s="29">
        <v>0</v>
      </c>
      <c r="X993" s="29">
        <v>0</v>
      </c>
      <c r="Y993" s="29">
        <v>0</v>
      </c>
      <c r="Z993" s="29">
        <v>0</v>
      </c>
      <c r="AA993" s="29">
        <v>0</v>
      </c>
      <c r="AB993" s="29">
        <v>0</v>
      </c>
      <c r="AC993" s="29">
        <f>ROUND(N993*1.5%,2)</f>
        <v>105229.62</v>
      </c>
      <c r="AD993" s="29">
        <v>0</v>
      </c>
      <c r="AE993" s="29">
        <v>0</v>
      </c>
      <c r="AF993" s="32" t="s">
        <v>268</v>
      </c>
      <c r="AG993" s="32">
        <v>2021</v>
      </c>
      <c r="AH993" s="32">
        <v>2021</v>
      </c>
      <c r="AT993" s="18" t="e">
        <f>VLOOKUP(C993,AW:AX,2,FALSE)</f>
        <v>#N/A</v>
      </c>
      <c r="BZ993" s="61"/>
      <c r="CD993" s="18" t="e">
        <f>VLOOKUP(C993,CE:CF,2,FALSE)</f>
        <v>#N/A</v>
      </c>
    </row>
    <row r="994" spans="1:82" ht="61.5" x14ac:dyDescent="0.85">
      <c r="B994" s="22" t="s">
        <v>868</v>
      </c>
      <c r="C994" s="22"/>
      <c r="D994" s="339">
        <f>SUM(D995:D996)</f>
        <v>5796065.7599999998</v>
      </c>
      <c r="E994" s="29">
        <f t="shared" ref="E994:AE994" si="189">SUM(E995:E996)</f>
        <v>0</v>
      </c>
      <c r="F994" s="29">
        <f t="shared" si="189"/>
        <v>0</v>
      </c>
      <c r="G994" s="29">
        <f t="shared" si="189"/>
        <v>0</v>
      </c>
      <c r="H994" s="29">
        <f t="shared" si="189"/>
        <v>0</v>
      </c>
      <c r="I994" s="29">
        <f t="shared" si="189"/>
        <v>0</v>
      </c>
      <c r="J994" s="29">
        <f t="shared" si="189"/>
        <v>0</v>
      </c>
      <c r="K994" s="31">
        <f t="shared" si="189"/>
        <v>0</v>
      </c>
      <c r="L994" s="29">
        <f t="shared" si="189"/>
        <v>0</v>
      </c>
      <c r="M994" s="29">
        <f t="shared" si="189"/>
        <v>1121.5999999999999</v>
      </c>
      <c r="N994" s="29">
        <f t="shared" si="189"/>
        <v>5444399.7699999996</v>
      </c>
      <c r="O994" s="29">
        <f t="shared" si="189"/>
        <v>0</v>
      </c>
      <c r="P994" s="29">
        <f t="shared" si="189"/>
        <v>0</v>
      </c>
      <c r="Q994" s="29">
        <f t="shared" si="189"/>
        <v>0</v>
      </c>
      <c r="R994" s="29">
        <f t="shared" si="189"/>
        <v>0</v>
      </c>
      <c r="S994" s="29">
        <f t="shared" si="189"/>
        <v>0</v>
      </c>
      <c r="T994" s="29">
        <f t="shared" si="189"/>
        <v>0</v>
      </c>
      <c r="U994" s="29">
        <f t="shared" si="189"/>
        <v>0</v>
      </c>
      <c r="V994" s="29">
        <f t="shared" si="189"/>
        <v>0</v>
      </c>
      <c r="W994" s="29">
        <f t="shared" si="189"/>
        <v>0</v>
      </c>
      <c r="X994" s="29">
        <f t="shared" si="189"/>
        <v>0</v>
      </c>
      <c r="Y994" s="29">
        <f t="shared" si="189"/>
        <v>0</v>
      </c>
      <c r="Z994" s="29">
        <f t="shared" si="189"/>
        <v>0</v>
      </c>
      <c r="AA994" s="29">
        <f t="shared" si="189"/>
        <v>0</v>
      </c>
      <c r="AB994" s="29">
        <f t="shared" si="189"/>
        <v>0</v>
      </c>
      <c r="AC994" s="29">
        <f t="shared" si="189"/>
        <v>81665.989999999991</v>
      </c>
      <c r="AD994" s="29">
        <f t="shared" si="189"/>
        <v>150000</v>
      </c>
      <c r="AE994" s="29">
        <f t="shared" si="189"/>
        <v>120000</v>
      </c>
      <c r="AF994" s="62" t="s">
        <v>743</v>
      </c>
      <c r="AG994" s="62" t="s">
        <v>743</v>
      </c>
      <c r="AH994" s="77" t="s">
        <v>743</v>
      </c>
      <c r="AT994" s="18" t="e">
        <f>VLOOKUP(C994,AW:AX,2,FALSE)</f>
        <v>#N/A</v>
      </c>
      <c r="BZ994" s="61">
        <v>3274450.4</v>
      </c>
      <c r="CD994" s="18" t="e">
        <f>VLOOKUP(C994,CE:CF,2,FALSE)</f>
        <v>#N/A</v>
      </c>
    </row>
    <row r="995" spans="1:82" ht="61.5" x14ac:dyDescent="0.85">
      <c r="A995" s="18">
        <v>1</v>
      </c>
      <c r="B995" s="57">
        <f>SUBTOTAL(103,$A$558:A995)</f>
        <v>397</v>
      </c>
      <c r="C995" s="22" t="s">
        <v>55</v>
      </c>
      <c r="D995" s="29">
        <f>E995+F995+G995+H995+I995+J995+L995+N995+P995+R995+T995+U995+V995+W995+X995+Y995+Z995+AA995+AB995+AC995+AD995+AE995</f>
        <v>3274450.4</v>
      </c>
      <c r="E995" s="29">
        <v>0</v>
      </c>
      <c r="F995" s="29">
        <v>0</v>
      </c>
      <c r="G995" s="29">
        <v>0</v>
      </c>
      <c r="H995" s="29">
        <v>0</v>
      </c>
      <c r="I995" s="29">
        <v>0</v>
      </c>
      <c r="J995" s="29">
        <v>0</v>
      </c>
      <c r="K995" s="31">
        <v>0</v>
      </c>
      <c r="L995" s="29">
        <v>0</v>
      </c>
      <c r="M995" s="29">
        <v>609.79999999999995</v>
      </c>
      <c r="N995" s="29">
        <v>3078276.26</v>
      </c>
      <c r="O995" s="29">
        <v>0</v>
      </c>
      <c r="P995" s="29">
        <v>0</v>
      </c>
      <c r="Q995" s="29">
        <v>0</v>
      </c>
      <c r="R995" s="29">
        <v>0</v>
      </c>
      <c r="S995" s="29">
        <v>0</v>
      </c>
      <c r="T995" s="29">
        <v>0</v>
      </c>
      <c r="U995" s="29">
        <v>0</v>
      </c>
      <c r="V995" s="29">
        <v>0</v>
      </c>
      <c r="W995" s="29">
        <v>0</v>
      </c>
      <c r="X995" s="29">
        <v>0</v>
      </c>
      <c r="Y995" s="29">
        <v>0</v>
      </c>
      <c r="Z995" s="29">
        <v>0</v>
      </c>
      <c r="AA995" s="29">
        <v>0</v>
      </c>
      <c r="AB995" s="29">
        <v>0</v>
      </c>
      <c r="AC995" s="29">
        <f>ROUND(N995*1.5%,2)</f>
        <v>46174.14</v>
      </c>
      <c r="AD995" s="29">
        <v>150000</v>
      </c>
      <c r="AE995" s="29">
        <v>0</v>
      </c>
      <c r="AF995" s="32">
        <v>2021</v>
      </c>
      <c r="AG995" s="32">
        <v>2021</v>
      </c>
      <c r="AH995" s="33">
        <v>2021</v>
      </c>
      <c r="AT995" s="18" t="e">
        <f>VLOOKUP(C995,AW:AX,2,FALSE)</f>
        <v>#N/A</v>
      </c>
      <c r="BZ995" s="61"/>
      <c r="CD995" s="18" t="e">
        <f>VLOOKUP(C995,CE:CF,2,FALSE)</f>
        <v>#N/A</v>
      </c>
    </row>
    <row r="996" spans="1:82" ht="61.5" x14ac:dyDescent="0.85">
      <c r="A996" s="18">
        <v>1</v>
      </c>
      <c r="B996" s="57">
        <f>SUBTOTAL(103,$A$558:A996)</f>
        <v>398</v>
      </c>
      <c r="C996" s="22" t="s">
        <v>1241</v>
      </c>
      <c r="D996" s="29">
        <f>E996+F996+G996+H996+I996+J996+L996+N996+P996+R996+T996+U996+V996+W996+X996+Y996+Z996+AA996+AB996+AC996+AD996+AE996</f>
        <v>2521615.3599999999</v>
      </c>
      <c r="E996" s="29">
        <v>0</v>
      </c>
      <c r="F996" s="29">
        <v>0</v>
      </c>
      <c r="G996" s="29">
        <v>0</v>
      </c>
      <c r="H996" s="29">
        <v>0</v>
      </c>
      <c r="I996" s="29">
        <v>0</v>
      </c>
      <c r="J996" s="29">
        <v>0</v>
      </c>
      <c r="K996" s="31">
        <v>0</v>
      </c>
      <c r="L996" s="29">
        <v>0</v>
      </c>
      <c r="M996" s="29">
        <v>511.8</v>
      </c>
      <c r="N996" s="29">
        <f>2095100.24+271023.27</f>
        <v>2366123.5099999998</v>
      </c>
      <c r="O996" s="29">
        <v>0</v>
      </c>
      <c r="P996" s="29">
        <v>0</v>
      </c>
      <c r="Q996" s="29">
        <v>0</v>
      </c>
      <c r="R996" s="29">
        <v>0</v>
      </c>
      <c r="S996" s="29">
        <v>0</v>
      </c>
      <c r="T996" s="29">
        <v>0</v>
      </c>
      <c r="U996" s="29">
        <v>0</v>
      </c>
      <c r="V996" s="29">
        <v>0</v>
      </c>
      <c r="W996" s="29">
        <v>0</v>
      </c>
      <c r="X996" s="29">
        <v>0</v>
      </c>
      <c r="Y996" s="29">
        <v>0</v>
      </c>
      <c r="Z996" s="29">
        <v>0</v>
      </c>
      <c r="AA996" s="29">
        <v>0</v>
      </c>
      <c r="AB996" s="29">
        <v>0</v>
      </c>
      <c r="AC996" s="29">
        <f>ROUND(N996*1.5%,2)</f>
        <v>35491.85</v>
      </c>
      <c r="AD996" s="29">
        <v>0</v>
      </c>
      <c r="AE996" s="29">
        <v>120000</v>
      </c>
      <c r="AF996" s="32" t="s">
        <v>268</v>
      </c>
      <c r="AG996" s="32">
        <v>2021</v>
      </c>
      <c r="AH996" s="32">
        <v>2021</v>
      </c>
      <c r="BZ996" s="61"/>
      <c r="CD996" s="18">
        <f>VLOOKUP(C996,CE:CF,2,FALSE)</f>
        <v>511.8</v>
      </c>
    </row>
    <row r="997" spans="1:82" ht="61.5" x14ac:dyDescent="0.85">
      <c r="B997" s="22" t="s">
        <v>835</v>
      </c>
      <c r="C997" s="22"/>
      <c r="D997" s="339">
        <f t="shared" ref="D997:AE997" si="190">SUM(D998:D1002)</f>
        <v>21179945.890000001</v>
      </c>
      <c r="E997" s="29">
        <f t="shared" si="190"/>
        <v>743426.02</v>
      </c>
      <c r="F997" s="29">
        <f t="shared" si="190"/>
        <v>1897766</v>
      </c>
      <c r="G997" s="29">
        <f t="shared" si="190"/>
        <v>4796250.51</v>
      </c>
      <c r="H997" s="29">
        <f t="shared" si="190"/>
        <v>1489786.15</v>
      </c>
      <c r="I997" s="29">
        <f t="shared" si="190"/>
        <v>2070220.51</v>
      </c>
      <c r="J997" s="29">
        <f t="shared" si="190"/>
        <v>0</v>
      </c>
      <c r="K997" s="31">
        <f t="shared" si="190"/>
        <v>0</v>
      </c>
      <c r="L997" s="29">
        <f t="shared" si="190"/>
        <v>0</v>
      </c>
      <c r="M997" s="29">
        <f t="shared" si="190"/>
        <v>1840.45</v>
      </c>
      <c r="N997" s="29">
        <f t="shared" si="190"/>
        <v>9575143.1900000013</v>
      </c>
      <c r="O997" s="29">
        <f t="shared" si="190"/>
        <v>0</v>
      </c>
      <c r="P997" s="29">
        <f t="shared" si="190"/>
        <v>0</v>
      </c>
      <c r="Q997" s="29">
        <f t="shared" si="190"/>
        <v>0</v>
      </c>
      <c r="R997" s="29">
        <f t="shared" si="190"/>
        <v>0</v>
      </c>
      <c r="S997" s="29">
        <f t="shared" si="190"/>
        <v>0</v>
      </c>
      <c r="T997" s="29">
        <f t="shared" si="190"/>
        <v>0</v>
      </c>
      <c r="U997" s="29">
        <f t="shared" si="190"/>
        <v>0</v>
      </c>
      <c r="V997" s="29">
        <f t="shared" si="190"/>
        <v>0</v>
      </c>
      <c r="W997" s="29">
        <f t="shared" si="190"/>
        <v>0</v>
      </c>
      <c r="X997" s="29">
        <f t="shared" si="190"/>
        <v>0</v>
      </c>
      <c r="Y997" s="29">
        <f t="shared" si="190"/>
        <v>0</v>
      </c>
      <c r="Z997" s="29">
        <f t="shared" si="190"/>
        <v>0</v>
      </c>
      <c r="AA997" s="29">
        <f t="shared" si="190"/>
        <v>0</v>
      </c>
      <c r="AB997" s="29">
        <f t="shared" si="190"/>
        <v>0</v>
      </c>
      <c r="AC997" s="29">
        <f t="shared" si="190"/>
        <v>238766.5</v>
      </c>
      <c r="AD997" s="29">
        <f t="shared" si="190"/>
        <v>368587.01</v>
      </c>
      <c r="AE997" s="29">
        <f t="shared" si="190"/>
        <v>0</v>
      </c>
      <c r="AF997" s="62" t="s">
        <v>743</v>
      </c>
      <c r="AG997" s="62" t="s">
        <v>743</v>
      </c>
      <c r="AH997" s="77" t="s">
        <v>743</v>
      </c>
      <c r="AT997" s="18" t="e">
        <f>VLOOKUP(C997,AW:AX,2,FALSE)</f>
        <v>#N/A</v>
      </c>
      <c r="BZ997" s="61">
        <v>12199052.439999999</v>
      </c>
      <c r="CD997" s="18" t="e">
        <f>VLOOKUP(C997,CE:CF,2,FALSE)</f>
        <v>#N/A</v>
      </c>
    </row>
    <row r="998" spans="1:82" ht="61.5" x14ac:dyDescent="0.85">
      <c r="A998" s="18">
        <v>1</v>
      </c>
      <c r="B998" s="57">
        <f>SUBTOTAL(103,$A$558:A998)</f>
        <v>399</v>
      </c>
      <c r="C998" s="22" t="s">
        <v>56</v>
      </c>
      <c r="D998" s="29">
        <f>E998+F998+G998+H998+I998+J998+L998+N998+P998+R998+T998+U998+V998+W998+X998+Y998+Z998+AA998+AB998+AC998+AD998+AE998</f>
        <v>4640326.08</v>
      </c>
      <c r="E998" s="29">
        <v>0</v>
      </c>
      <c r="F998" s="29">
        <v>0</v>
      </c>
      <c r="G998" s="29">
        <v>3177624.7</v>
      </c>
      <c r="H998" s="29">
        <v>1177032.5</v>
      </c>
      <c r="I998" s="29">
        <v>0</v>
      </c>
      <c r="J998" s="29">
        <v>0</v>
      </c>
      <c r="K998" s="31">
        <v>0</v>
      </c>
      <c r="L998" s="29">
        <v>0</v>
      </c>
      <c r="M998" s="29">
        <v>0</v>
      </c>
      <c r="N998" s="29">
        <v>0</v>
      </c>
      <c r="O998" s="29">
        <v>0</v>
      </c>
      <c r="P998" s="29">
        <v>0</v>
      </c>
      <c r="Q998" s="29">
        <v>0</v>
      </c>
      <c r="R998" s="29">
        <v>0</v>
      </c>
      <c r="S998" s="29">
        <v>0</v>
      </c>
      <c r="T998" s="29">
        <v>0</v>
      </c>
      <c r="U998" s="29">
        <v>0</v>
      </c>
      <c r="V998" s="29">
        <v>0</v>
      </c>
      <c r="W998" s="29">
        <v>0</v>
      </c>
      <c r="X998" s="29">
        <v>0</v>
      </c>
      <c r="Y998" s="29">
        <v>0</v>
      </c>
      <c r="Z998" s="29">
        <v>0</v>
      </c>
      <c r="AA998" s="29">
        <v>0</v>
      </c>
      <c r="AB998" s="29">
        <v>0</v>
      </c>
      <c r="AC998" s="29">
        <f>ROUND((E998+F998+G998+H998+I998+J998)*1.5%,2)</f>
        <v>65319.86</v>
      </c>
      <c r="AD998" s="29">
        <v>220349.02</v>
      </c>
      <c r="AE998" s="29">
        <v>0</v>
      </c>
      <c r="AF998" s="32">
        <v>2021</v>
      </c>
      <c r="AG998" s="32">
        <v>2021</v>
      </c>
      <c r="AH998" s="33">
        <v>2021</v>
      </c>
      <c r="AT998" s="18" t="e">
        <f>VLOOKUP(C998,AW:AX,2,FALSE)</f>
        <v>#N/A</v>
      </c>
      <c r="BZ998" s="61"/>
      <c r="CD998" s="18" t="e">
        <f>VLOOKUP(C998,CE:CF,2,FALSE)</f>
        <v>#N/A</v>
      </c>
    </row>
    <row r="999" spans="1:82" ht="61.5" x14ac:dyDescent="0.85">
      <c r="A999" s="18">
        <v>1</v>
      </c>
      <c r="B999" s="57">
        <f>SUBTOTAL(103,$A$558:A999)</f>
        <v>400</v>
      </c>
      <c r="C999" s="22" t="s">
        <v>46</v>
      </c>
      <c r="D999" s="29">
        <f>E999+F999+G999+H999+I999+J999+L999+N999+P999+R999+T999+U999+V999+W999+X999+Y999+Z999+AA999+AB999+AC999+AD999+AE999</f>
        <v>3192942.81</v>
      </c>
      <c r="E999" s="29">
        <v>0</v>
      </c>
      <c r="F999" s="29">
        <v>0</v>
      </c>
      <c r="G999" s="29">
        <v>0</v>
      </c>
      <c r="H999" s="29">
        <v>0</v>
      </c>
      <c r="I999" s="29">
        <v>0</v>
      </c>
      <c r="J999" s="29">
        <v>0</v>
      </c>
      <c r="K999" s="31">
        <v>0</v>
      </c>
      <c r="L999" s="29">
        <v>0</v>
      </c>
      <c r="M999" s="29">
        <v>645.04999999999995</v>
      </c>
      <c r="N999" s="29">
        <v>3069198</v>
      </c>
      <c r="O999" s="29">
        <v>0</v>
      </c>
      <c r="P999" s="29">
        <v>0</v>
      </c>
      <c r="Q999" s="29">
        <v>0</v>
      </c>
      <c r="R999" s="29">
        <v>0</v>
      </c>
      <c r="S999" s="29">
        <v>0</v>
      </c>
      <c r="T999" s="29">
        <v>0</v>
      </c>
      <c r="U999" s="29">
        <v>0</v>
      </c>
      <c r="V999" s="29">
        <v>0</v>
      </c>
      <c r="W999" s="29">
        <v>0</v>
      </c>
      <c r="X999" s="29">
        <v>0</v>
      </c>
      <c r="Y999" s="29">
        <v>0</v>
      </c>
      <c r="Z999" s="29">
        <v>0</v>
      </c>
      <c r="AA999" s="29">
        <v>0</v>
      </c>
      <c r="AB999" s="29">
        <v>0</v>
      </c>
      <c r="AC999" s="29">
        <f>ROUND(N999*1.5%,2)</f>
        <v>46037.97</v>
      </c>
      <c r="AD999" s="29">
        <v>77706.84</v>
      </c>
      <c r="AE999" s="29">
        <v>0</v>
      </c>
      <c r="AF999" s="32">
        <v>2021</v>
      </c>
      <c r="AG999" s="32">
        <v>2021</v>
      </c>
      <c r="AH999" s="33">
        <v>2021</v>
      </c>
      <c r="AT999" s="18" t="e">
        <f>VLOOKUP(C999,AW:AX,2,FALSE)</f>
        <v>#N/A</v>
      </c>
      <c r="BZ999" s="61"/>
      <c r="CD999" s="18" t="e">
        <f>VLOOKUP(C999,CE:CF,2,FALSE)</f>
        <v>#N/A</v>
      </c>
    </row>
    <row r="1000" spans="1:82" ht="61.5" x14ac:dyDescent="0.85">
      <c r="A1000" s="18">
        <v>1</v>
      </c>
      <c r="B1000" s="57">
        <f>SUBTOTAL(103,$A$558:A1000)</f>
        <v>401</v>
      </c>
      <c r="C1000" s="22" t="s">
        <v>1585</v>
      </c>
      <c r="D1000" s="29">
        <f>E1000+F1000+G1000+H1000+I1000+J1000+L1000+N1000+P1000+R1000+T1000+U1000+V1000+W1000+X1000+Y1000+Z1000+AA1000+AB1000+AC1000+AD1000+AE1000</f>
        <v>2642741.11</v>
      </c>
      <c r="E1000" s="29">
        <v>0</v>
      </c>
      <c r="F1000" s="29">
        <v>0</v>
      </c>
      <c r="G1000" s="29">
        <v>0</v>
      </c>
      <c r="H1000" s="29">
        <v>0</v>
      </c>
      <c r="I1000" s="29">
        <v>0</v>
      </c>
      <c r="J1000" s="29">
        <v>0</v>
      </c>
      <c r="K1000" s="31">
        <v>0</v>
      </c>
      <c r="L1000" s="29">
        <v>0</v>
      </c>
      <c r="M1000" s="29">
        <v>568.70000000000005</v>
      </c>
      <c r="N1000" s="29">
        <v>2534197</v>
      </c>
      <c r="O1000" s="29">
        <v>0</v>
      </c>
      <c r="P1000" s="29">
        <v>0</v>
      </c>
      <c r="Q1000" s="29">
        <v>0</v>
      </c>
      <c r="R1000" s="29">
        <v>0</v>
      </c>
      <c r="S1000" s="29">
        <v>0</v>
      </c>
      <c r="T1000" s="29">
        <v>0</v>
      </c>
      <c r="U1000" s="29">
        <v>0</v>
      </c>
      <c r="V1000" s="29">
        <v>0</v>
      </c>
      <c r="W1000" s="29">
        <v>0</v>
      </c>
      <c r="X1000" s="29">
        <v>0</v>
      </c>
      <c r="Y1000" s="29">
        <v>0</v>
      </c>
      <c r="Z1000" s="29">
        <v>0</v>
      </c>
      <c r="AA1000" s="29">
        <v>0</v>
      </c>
      <c r="AB1000" s="29">
        <v>0</v>
      </c>
      <c r="AC1000" s="29">
        <f>ROUND(N1000*1.5%,2)</f>
        <v>38012.959999999999</v>
      </c>
      <c r="AD1000" s="29">
        <v>70531.149999999994</v>
      </c>
      <c r="AE1000" s="29">
        <v>0</v>
      </c>
      <c r="AF1000" s="32">
        <v>2021</v>
      </c>
      <c r="AG1000" s="32">
        <v>2021</v>
      </c>
      <c r="AH1000" s="33">
        <v>2021</v>
      </c>
      <c r="BZ1000" s="61"/>
      <c r="CD1000" s="18" t="e">
        <f>VLOOKUP(C1000,CE:CF,2,FALSE)</f>
        <v>#N/A</v>
      </c>
    </row>
    <row r="1001" spans="1:82" ht="61.5" x14ac:dyDescent="0.85">
      <c r="A1001" s="18">
        <v>1</v>
      </c>
      <c r="B1001" s="57">
        <f>SUBTOTAL(103,$A$558:A1001)</f>
        <v>402</v>
      </c>
      <c r="C1001" s="22" t="s">
        <v>47</v>
      </c>
      <c r="D1001" s="29">
        <f>E1001+F1001+G1001+H1001+I1001+J1001+L1001+N1001+P1001+R1001+T1001+U1001+V1001+W1001+X1001+Y1001+Z1001+AA1001+AB1001+AC1001+AD1001+AE1001</f>
        <v>4031324.4100000006</v>
      </c>
      <c r="E1001" s="29">
        <v>0</v>
      </c>
      <c r="F1001" s="29">
        <v>0</v>
      </c>
      <c r="G1001" s="29">
        <v>0</v>
      </c>
      <c r="H1001" s="29">
        <v>0</v>
      </c>
      <c r="I1001" s="29">
        <v>0</v>
      </c>
      <c r="J1001" s="29">
        <v>0</v>
      </c>
      <c r="K1001" s="64">
        <v>0</v>
      </c>
      <c r="L1001" s="29">
        <v>0</v>
      </c>
      <c r="M1001" s="29">
        <v>626.70000000000005</v>
      </c>
      <c r="N1001" s="29">
        <f>3096061.14+875687.05</f>
        <v>3971748.1900000004</v>
      </c>
      <c r="O1001" s="29">
        <v>0</v>
      </c>
      <c r="P1001" s="29">
        <v>0</v>
      </c>
      <c r="Q1001" s="29">
        <v>0</v>
      </c>
      <c r="R1001" s="29">
        <v>0</v>
      </c>
      <c r="S1001" s="29">
        <v>0</v>
      </c>
      <c r="T1001" s="29">
        <v>0</v>
      </c>
      <c r="U1001" s="29">
        <v>0</v>
      </c>
      <c r="V1001" s="29">
        <v>0</v>
      </c>
      <c r="W1001" s="29">
        <v>0</v>
      </c>
      <c r="X1001" s="29">
        <v>0</v>
      </c>
      <c r="Y1001" s="29">
        <v>0</v>
      </c>
      <c r="Z1001" s="29">
        <v>0</v>
      </c>
      <c r="AA1001" s="29">
        <v>0</v>
      </c>
      <c r="AB1001" s="29">
        <v>0</v>
      </c>
      <c r="AC1001" s="29">
        <f>ROUND(N1001*1.5%,2)</f>
        <v>59576.22</v>
      </c>
      <c r="AD1001" s="29">
        <v>0</v>
      </c>
      <c r="AE1001" s="29">
        <v>0</v>
      </c>
      <c r="AF1001" s="32" t="s">
        <v>268</v>
      </c>
      <c r="AG1001" s="32">
        <v>2021</v>
      </c>
      <c r="AH1001" s="33">
        <v>2021</v>
      </c>
      <c r="AT1001" s="18" t="e">
        <f>VLOOKUP(C1001,AW:AX,2,FALSE)</f>
        <v>#N/A</v>
      </c>
      <c r="BZ1001" s="61"/>
      <c r="CD1001" s="18" t="e">
        <f>VLOOKUP(C1001,CE:CF,2,FALSE)</f>
        <v>#N/A</v>
      </c>
    </row>
    <row r="1002" spans="1:82" ht="61.5" x14ac:dyDescent="0.85">
      <c r="A1002" s="18">
        <v>1</v>
      </c>
      <c r="B1002" s="57">
        <f>SUBTOTAL(103,$A$558:A1002)</f>
        <v>403</v>
      </c>
      <c r="C1002" s="22" t="s">
        <v>1231</v>
      </c>
      <c r="D1002" s="29">
        <f>E1002+F1002+G1002+H1002+I1002+J1002+L1002+N1002+P1002+R1002+T1002+U1002+V1002+W1002+X1002+Y1002+Z1002+AA1002+AB1002+AC1002+AD1002+AE1002</f>
        <v>6672611.4800000004</v>
      </c>
      <c r="E1002" s="37">
        <v>743426.02</v>
      </c>
      <c r="F1002" s="37">
        <v>1897766</v>
      </c>
      <c r="G1002" s="37">
        <v>1618625.81</v>
      </c>
      <c r="H1002" s="37">
        <v>312753.65000000002</v>
      </c>
      <c r="I1002" s="37">
        <v>2070220.51</v>
      </c>
      <c r="J1002" s="29">
        <v>0</v>
      </c>
      <c r="K1002" s="64">
        <v>0</v>
      </c>
      <c r="L1002" s="29">
        <v>0</v>
      </c>
      <c r="M1002" s="29">
        <v>0</v>
      </c>
      <c r="N1002" s="29">
        <v>0</v>
      </c>
      <c r="O1002" s="29">
        <v>0</v>
      </c>
      <c r="P1002" s="29">
        <v>0</v>
      </c>
      <c r="Q1002" s="29">
        <v>0</v>
      </c>
      <c r="R1002" s="29">
        <v>0</v>
      </c>
      <c r="S1002" s="29">
        <v>0</v>
      </c>
      <c r="T1002" s="29">
        <v>0</v>
      </c>
      <c r="U1002" s="29">
        <v>0</v>
      </c>
      <c r="V1002" s="29">
        <v>0</v>
      </c>
      <c r="W1002" s="29">
        <v>0</v>
      </c>
      <c r="X1002" s="29">
        <v>0</v>
      </c>
      <c r="Y1002" s="29">
        <v>0</v>
      </c>
      <c r="Z1002" s="29">
        <v>0</v>
      </c>
      <c r="AA1002" s="29">
        <v>0</v>
      </c>
      <c r="AB1002" s="29">
        <v>0</v>
      </c>
      <c r="AC1002" s="29">
        <f>ROUND((E1002+F1002+G1002+H1002+I1002+J1002)*0.4489%,2)</f>
        <v>29819.49</v>
      </c>
      <c r="AD1002" s="29">
        <v>0</v>
      </c>
      <c r="AE1002" s="29">
        <v>0</v>
      </c>
      <c r="AF1002" s="32" t="s">
        <v>268</v>
      </c>
      <c r="AG1002" s="32">
        <v>2021</v>
      </c>
      <c r="AH1002" s="33">
        <v>2021</v>
      </c>
      <c r="BZ1002" s="61"/>
      <c r="CD1002" s="18" t="e">
        <f>VLOOKUP(C1002,CE:CF,2,FALSE)</f>
        <v>#N/A</v>
      </c>
    </row>
    <row r="1003" spans="1:82" ht="61.5" x14ac:dyDescent="0.85">
      <c r="B1003" s="22" t="s">
        <v>836</v>
      </c>
      <c r="C1003" s="22"/>
      <c r="D1003" s="339">
        <f t="shared" ref="D1003:AE1003" si="191">SUM(D1004:D1006)</f>
        <v>12690176.640000001</v>
      </c>
      <c r="E1003" s="29">
        <f t="shared" si="191"/>
        <v>0</v>
      </c>
      <c r="F1003" s="29">
        <f t="shared" si="191"/>
        <v>0</v>
      </c>
      <c r="G1003" s="29">
        <f t="shared" si="191"/>
        <v>0</v>
      </c>
      <c r="H1003" s="29">
        <f t="shared" si="191"/>
        <v>200000</v>
      </c>
      <c r="I1003" s="29">
        <f t="shared" si="191"/>
        <v>0</v>
      </c>
      <c r="J1003" s="29">
        <f t="shared" si="191"/>
        <v>0</v>
      </c>
      <c r="K1003" s="31">
        <f t="shared" si="191"/>
        <v>0</v>
      </c>
      <c r="L1003" s="29">
        <f t="shared" si="191"/>
        <v>0</v>
      </c>
      <c r="M1003" s="29">
        <f t="shared" si="191"/>
        <v>2246.4</v>
      </c>
      <c r="N1003" s="29">
        <f t="shared" si="191"/>
        <v>12076036.1</v>
      </c>
      <c r="O1003" s="29">
        <f t="shared" si="191"/>
        <v>0</v>
      </c>
      <c r="P1003" s="29">
        <f t="shared" si="191"/>
        <v>0</v>
      </c>
      <c r="Q1003" s="29">
        <f t="shared" si="191"/>
        <v>0</v>
      </c>
      <c r="R1003" s="29">
        <f t="shared" si="191"/>
        <v>0</v>
      </c>
      <c r="S1003" s="29">
        <f t="shared" si="191"/>
        <v>0</v>
      </c>
      <c r="T1003" s="29">
        <f t="shared" si="191"/>
        <v>0</v>
      </c>
      <c r="U1003" s="29">
        <f t="shared" si="191"/>
        <v>0</v>
      </c>
      <c r="V1003" s="29">
        <f t="shared" si="191"/>
        <v>0</v>
      </c>
      <c r="W1003" s="29">
        <f t="shared" si="191"/>
        <v>0</v>
      </c>
      <c r="X1003" s="29">
        <f t="shared" si="191"/>
        <v>0</v>
      </c>
      <c r="Y1003" s="29">
        <f t="shared" si="191"/>
        <v>0</v>
      </c>
      <c r="Z1003" s="29">
        <f t="shared" si="191"/>
        <v>0</v>
      </c>
      <c r="AA1003" s="29">
        <f t="shared" si="191"/>
        <v>0</v>
      </c>
      <c r="AB1003" s="29">
        <f t="shared" si="191"/>
        <v>0</v>
      </c>
      <c r="AC1003" s="29">
        <f t="shared" si="191"/>
        <v>184140.54</v>
      </c>
      <c r="AD1003" s="29">
        <f t="shared" si="191"/>
        <v>230000</v>
      </c>
      <c r="AE1003" s="29">
        <f t="shared" si="191"/>
        <v>0</v>
      </c>
      <c r="AF1003" s="62" t="s">
        <v>743</v>
      </c>
      <c r="AG1003" s="62" t="s">
        <v>743</v>
      </c>
      <c r="AH1003" s="77" t="s">
        <v>743</v>
      </c>
      <c r="AT1003" s="18" t="e">
        <f>VLOOKUP(C1003,AW:AX,2,FALSE)</f>
        <v>#N/A</v>
      </c>
      <c r="BZ1003" s="61">
        <v>7408727.5099999998</v>
      </c>
      <c r="CD1003" s="18" t="e">
        <f>VLOOKUP(C1003,CE:CF,2,FALSE)</f>
        <v>#N/A</v>
      </c>
    </row>
    <row r="1004" spans="1:82" ht="61.5" x14ac:dyDescent="0.85">
      <c r="A1004" s="18">
        <v>1</v>
      </c>
      <c r="B1004" s="57">
        <f>SUBTOTAL(103,$A$558:A1004)</f>
        <v>404</v>
      </c>
      <c r="C1004" s="22" t="s">
        <v>54</v>
      </c>
      <c r="D1004" s="29">
        <f>E1004+F1004+G1004+H1004+I1004+J1004+L1004+N1004+P1004+R1004+T1004+U1004+V1004+W1004+X1004+Y1004+Z1004+AA1004+AB1004+AC1004+AD1004+AE1004</f>
        <v>9262560.1899999995</v>
      </c>
      <c r="E1004" s="29">
        <v>0</v>
      </c>
      <c r="F1004" s="29">
        <v>0</v>
      </c>
      <c r="G1004" s="29">
        <v>0</v>
      </c>
      <c r="H1004" s="29">
        <v>0</v>
      </c>
      <c r="I1004" s="29">
        <v>0</v>
      </c>
      <c r="J1004" s="29">
        <v>0</v>
      </c>
      <c r="K1004" s="31">
        <v>0</v>
      </c>
      <c r="L1004" s="29">
        <v>0</v>
      </c>
      <c r="M1004" s="29">
        <v>1669.2</v>
      </c>
      <c r="N1004" s="29">
        <f>7521899.02+49261.09+1000000+426436.14</f>
        <v>8997596.25</v>
      </c>
      <c r="O1004" s="29">
        <v>0</v>
      </c>
      <c r="P1004" s="29">
        <v>0</v>
      </c>
      <c r="Q1004" s="29">
        <v>0</v>
      </c>
      <c r="R1004" s="29">
        <v>0</v>
      </c>
      <c r="S1004" s="29">
        <v>0</v>
      </c>
      <c r="T1004" s="29">
        <v>0</v>
      </c>
      <c r="U1004" s="29">
        <v>0</v>
      </c>
      <c r="V1004" s="29">
        <v>0</v>
      </c>
      <c r="W1004" s="29">
        <v>0</v>
      </c>
      <c r="X1004" s="29">
        <v>0</v>
      </c>
      <c r="Y1004" s="29">
        <v>0</v>
      </c>
      <c r="Z1004" s="29">
        <v>0</v>
      </c>
      <c r="AA1004" s="29">
        <v>0</v>
      </c>
      <c r="AB1004" s="29">
        <v>0</v>
      </c>
      <c r="AC1004" s="29">
        <f>ROUND(N1004*1.5%,2)</f>
        <v>134963.94</v>
      </c>
      <c r="AD1004" s="29">
        <v>130000</v>
      </c>
      <c r="AE1004" s="29">
        <v>0</v>
      </c>
      <c r="AF1004" s="32">
        <v>2021</v>
      </c>
      <c r="AG1004" s="32">
        <v>2021</v>
      </c>
      <c r="AH1004" s="33">
        <v>2021</v>
      </c>
      <c r="AT1004" s="18" t="e">
        <f>VLOOKUP(C1004,AW:AX,2,FALSE)</f>
        <v>#N/A</v>
      </c>
      <c r="BZ1004" s="61"/>
      <c r="CD1004" s="18" t="e">
        <f>VLOOKUP(C1004,CE:CF,2,FALSE)</f>
        <v>#N/A</v>
      </c>
    </row>
    <row r="1005" spans="1:82" ht="61.5" x14ac:dyDescent="0.85">
      <c r="A1005" s="18">
        <v>1</v>
      </c>
      <c r="B1005" s="57">
        <f>SUBTOTAL(103,$A$558:A1005)</f>
        <v>405</v>
      </c>
      <c r="C1005" s="22" t="s">
        <v>1671</v>
      </c>
      <c r="D1005" s="29">
        <f>E1005+F1005+G1005+H1005+I1005+J1005+L1005+N1005+P1005+R1005+T1005+U1005+V1005+W1005+X1005+Y1005+Z1005+AA1005+AB1005+AC1005+AD1005+AE1005</f>
        <v>3224616.45</v>
      </c>
      <c r="E1005" s="29">
        <v>0</v>
      </c>
      <c r="F1005" s="29">
        <v>0</v>
      </c>
      <c r="G1005" s="29">
        <v>0</v>
      </c>
      <c r="H1005" s="29">
        <v>0</v>
      </c>
      <c r="I1005" s="29">
        <v>0</v>
      </c>
      <c r="J1005" s="29">
        <v>0</v>
      </c>
      <c r="K1005" s="31">
        <v>0</v>
      </c>
      <c r="L1005" s="29">
        <v>0</v>
      </c>
      <c r="M1005" s="29">
        <v>577.20000000000005</v>
      </c>
      <c r="N1005" s="29">
        <f>2999622.12+78817.73</f>
        <v>3078439.85</v>
      </c>
      <c r="O1005" s="29">
        <v>0</v>
      </c>
      <c r="P1005" s="29">
        <v>0</v>
      </c>
      <c r="Q1005" s="29">
        <v>0</v>
      </c>
      <c r="R1005" s="29">
        <v>0</v>
      </c>
      <c r="S1005" s="29">
        <v>0</v>
      </c>
      <c r="T1005" s="29">
        <v>0</v>
      </c>
      <c r="U1005" s="29">
        <v>0</v>
      </c>
      <c r="V1005" s="29">
        <v>0</v>
      </c>
      <c r="W1005" s="29">
        <v>0</v>
      </c>
      <c r="X1005" s="29">
        <v>0</v>
      </c>
      <c r="Y1005" s="29">
        <v>0</v>
      </c>
      <c r="Z1005" s="29">
        <v>0</v>
      </c>
      <c r="AA1005" s="29">
        <v>0</v>
      </c>
      <c r="AB1005" s="29">
        <v>0</v>
      </c>
      <c r="AC1005" s="29">
        <f>ROUND(N1005*1.5%,2)</f>
        <v>46176.6</v>
      </c>
      <c r="AD1005" s="29">
        <v>100000</v>
      </c>
      <c r="AE1005" s="29">
        <v>0</v>
      </c>
      <c r="AF1005" s="32">
        <v>2021</v>
      </c>
      <c r="AG1005" s="32">
        <v>2021</v>
      </c>
      <c r="AH1005" s="33">
        <v>2021</v>
      </c>
      <c r="AT1005" s="18" t="e">
        <f>VLOOKUP(C1005,AW:AX,2,FALSE)</f>
        <v>#N/A</v>
      </c>
      <c r="BZ1005" s="61"/>
      <c r="CD1005" s="18" t="e">
        <f>VLOOKUP(C1005,CE:CF,2,FALSE)</f>
        <v>#N/A</v>
      </c>
    </row>
    <row r="1006" spans="1:82" ht="61.5" x14ac:dyDescent="0.85">
      <c r="A1006" s="18">
        <v>1</v>
      </c>
      <c r="B1006" s="57">
        <f>SUBTOTAL(103,$A$558:A1006)</f>
        <v>406</v>
      </c>
      <c r="C1006" s="22" t="s">
        <v>1238</v>
      </c>
      <c r="D1006" s="29">
        <f>E1006+F1006+G1006+H1006+I1006+J1006+L1006+N1006+P1006+R1006+T1006+U1006+V1006+W1006+X1006+Y1006+Z1006+AA1006+AB1006+AC1006+AD1006+AE1006</f>
        <v>203000</v>
      </c>
      <c r="E1006" s="29">
        <v>0</v>
      </c>
      <c r="F1006" s="29">
        <v>0</v>
      </c>
      <c r="G1006" s="37">
        <v>0</v>
      </c>
      <c r="H1006" s="29">
        <v>200000</v>
      </c>
      <c r="I1006" s="29">
        <v>0</v>
      </c>
      <c r="J1006" s="29">
        <v>0</v>
      </c>
      <c r="K1006" s="31">
        <v>0</v>
      </c>
      <c r="L1006" s="29">
        <v>0</v>
      </c>
      <c r="M1006" s="37">
        <v>0</v>
      </c>
      <c r="N1006" s="37">
        <v>0</v>
      </c>
      <c r="O1006" s="29">
        <v>0</v>
      </c>
      <c r="P1006" s="29">
        <v>0</v>
      </c>
      <c r="Q1006" s="29">
        <v>0</v>
      </c>
      <c r="R1006" s="29">
        <v>0</v>
      </c>
      <c r="S1006" s="29">
        <v>0</v>
      </c>
      <c r="T1006" s="29">
        <v>0</v>
      </c>
      <c r="U1006" s="29">
        <v>0</v>
      </c>
      <c r="V1006" s="29">
        <v>0</v>
      </c>
      <c r="W1006" s="29">
        <v>0</v>
      </c>
      <c r="X1006" s="29">
        <v>0</v>
      </c>
      <c r="Y1006" s="29">
        <v>0</v>
      </c>
      <c r="Z1006" s="29">
        <v>0</v>
      </c>
      <c r="AA1006" s="29">
        <v>0</v>
      </c>
      <c r="AB1006" s="29">
        <v>0</v>
      </c>
      <c r="AC1006" s="29">
        <f>ROUND((E1006+F1006+G1006+H1006+I1006+J1006)*1.5%,2)</f>
        <v>3000</v>
      </c>
      <c r="AD1006" s="29">
        <v>0</v>
      </c>
      <c r="AE1006" s="29">
        <v>0</v>
      </c>
      <c r="AF1006" s="32" t="s">
        <v>268</v>
      </c>
      <c r="AG1006" s="32">
        <v>2021</v>
      </c>
      <c r="AH1006" s="33">
        <v>2021</v>
      </c>
      <c r="BZ1006" s="61"/>
      <c r="CD1006" s="18" t="e">
        <f>VLOOKUP(C1006,CE:CF,2,FALSE)</f>
        <v>#N/A</v>
      </c>
    </row>
    <row r="1007" spans="1:82" ht="61.5" x14ac:dyDescent="0.85">
      <c r="B1007" s="22" t="s">
        <v>837</v>
      </c>
      <c r="C1007" s="22"/>
      <c r="D1007" s="339">
        <f t="shared" ref="D1007:AE1007" si="192">D1008</f>
        <v>2077656.16</v>
      </c>
      <c r="E1007" s="29">
        <f t="shared" si="192"/>
        <v>0</v>
      </c>
      <c r="F1007" s="29">
        <f t="shared" si="192"/>
        <v>0</v>
      </c>
      <c r="G1007" s="29">
        <f t="shared" si="192"/>
        <v>0</v>
      </c>
      <c r="H1007" s="29">
        <f t="shared" si="192"/>
        <v>0</v>
      </c>
      <c r="I1007" s="29">
        <f t="shared" si="192"/>
        <v>0</v>
      </c>
      <c r="J1007" s="29">
        <f t="shared" si="192"/>
        <v>0</v>
      </c>
      <c r="K1007" s="31">
        <f t="shared" si="192"/>
        <v>0</v>
      </c>
      <c r="L1007" s="29">
        <f t="shared" si="192"/>
        <v>0</v>
      </c>
      <c r="M1007" s="29">
        <f t="shared" si="192"/>
        <v>433.81</v>
      </c>
      <c r="N1007" s="29">
        <f t="shared" si="192"/>
        <v>1998394</v>
      </c>
      <c r="O1007" s="29">
        <f t="shared" si="192"/>
        <v>0</v>
      </c>
      <c r="P1007" s="29">
        <f t="shared" si="192"/>
        <v>0</v>
      </c>
      <c r="Q1007" s="29">
        <f t="shared" si="192"/>
        <v>0</v>
      </c>
      <c r="R1007" s="29">
        <f t="shared" si="192"/>
        <v>0</v>
      </c>
      <c r="S1007" s="29">
        <f t="shared" si="192"/>
        <v>0</v>
      </c>
      <c r="T1007" s="29">
        <f t="shared" si="192"/>
        <v>0</v>
      </c>
      <c r="U1007" s="29">
        <f t="shared" si="192"/>
        <v>0</v>
      </c>
      <c r="V1007" s="29">
        <f t="shared" si="192"/>
        <v>0</v>
      </c>
      <c r="W1007" s="29">
        <f t="shared" si="192"/>
        <v>0</v>
      </c>
      <c r="X1007" s="29">
        <f t="shared" si="192"/>
        <v>0</v>
      </c>
      <c r="Y1007" s="29">
        <f t="shared" si="192"/>
        <v>0</v>
      </c>
      <c r="Z1007" s="29">
        <f t="shared" si="192"/>
        <v>0</v>
      </c>
      <c r="AA1007" s="29">
        <f t="shared" si="192"/>
        <v>0</v>
      </c>
      <c r="AB1007" s="29">
        <f t="shared" si="192"/>
        <v>0</v>
      </c>
      <c r="AC1007" s="29">
        <f t="shared" si="192"/>
        <v>17835.669999999998</v>
      </c>
      <c r="AD1007" s="29">
        <f t="shared" si="192"/>
        <v>61426.49</v>
      </c>
      <c r="AE1007" s="29">
        <f t="shared" si="192"/>
        <v>0</v>
      </c>
      <c r="AF1007" s="62" t="s">
        <v>743</v>
      </c>
      <c r="AG1007" s="62" t="s">
        <v>743</v>
      </c>
      <c r="AH1007" s="77" t="s">
        <v>743</v>
      </c>
      <c r="AT1007" s="18" t="e">
        <f>VLOOKUP(C1007,AW:AX,2,FALSE)</f>
        <v>#N/A</v>
      </c>
      <c r="BZ1007" s="61">
        <v>2311215.4500000002</v>
      </c>
      <c r="CD1007" s="18" t="e">
        <f>VLOOKUP(C1007,CE:CF,2,FALSE)</f>
        <v>#N/A</v>
      </c>
    </row>
    <row r="1008" spans="1:82" ht="61.5" x14ac:dyDescent="0.85">
      <c r="A1008" s="18">
        <v>1</v>
      </c>
      <c r="B1008" s="57">
        <f>SUBTOTAL(103,$A$558:A1008)</f>
        <v>407</v>
      </c>
      <c r="C1008" s="22" t="s">
        <v>53</v>
      </c>
      <c r="D1008" s="29">
        <f>E1008+F1008+G1008+H1008+I1008+J1008+L1008+N1008+P1008+R1008+T1008+U1008+V1008+W1008+X1008+Y1008+Z1008+AA1008+AB1008+AC1008+AD1008+AE1008</f>
        <v>2077656.16</v>
      </c>
      <c r="E1008" s="29">
        <v>0</v>
      </c>
      <c r="F1008" s="29">
        <v>0</v>
      </c>
      <c r="G1008" s="29">
        <v>0</v>
      </c>
      <c r="H1008" s="29">
        <v>0</v>
      </c>
      <c r="I1008" s="29">
        <v>0</v>
      </c>
      <c r="J1008" s="29">
        <v>0</v>
      </c>
      <c r="K1008" s="31">
        <v>0</v>
      </c>
      <c r="L1008" s="29">
        <v>0</v>
      </c>
      <c r="M1008" s="29">
        <v>433.81</v>
      </c>
      <c r="N1008" s="29">
        <v>1998394</v>
      </c>
      <c r="O1008" s="29">
        <v>0</v>
      </c>
      <c r="P1008" s="29">
        <v>0</v>
      </c>
      <c r="Q1008" s="29">
        <v>0</v>
      </c>
      <c r="R1008" s="29">
        <v>0</v>
      </c>
      <c r="S1008" s="29">
        <v>0</v>
      </c>
      <c r="T1008" s="29">
        <v>0</v>
      </c>
      <c r="U1008" s="29">
        <v>0</v>
      </c>
      <c r="V1008" s="29">
        <v>0</v>
      </c>
      <c r="W1008" s="29">
        <v>0</v>
      </c>
      <c r="X1008" s="29">
        <v>0</v>
      </c>
      <c r="Y1008" s="29">
        <v>0</v>
      </c>
      <c r="Z1008" s="29">
        <v>0</v>
      </c>
      <c r="AA1008" s="29">
        <v>0</v>
      </c>
      <c r="AB1008" s="29">
        <v>0</v>
      </c>
      <c r="AC1008" s="29">
        <v>17835.669999999998</v>
      </c>
      <c r="AD1008" s="29">
        <v>61426.49</v>
      </c>
      <c r="AE1008" s="29">
        <v>0</v>
      </c>
      <c r="AF1008" s="32">
        <v>2021</v>
      </c>
      <c r="AG1008" s="32">
        <v>2021</v>
      </c>
      <c r="AH1008" s="33">
        <v>2021</v>
      </c>
      <c r="AT1008" s="18" t="e">
        <f>VLOOKUP(C1008,AW:AX,2,FALSE)</f>
        <v>#N/A</v>
      </c>
      <c r="BZ1008" s="61"/>
      <c r="CD1008" s="18" t="e">
        <f>VLOOKUP(C1008,CE:CF,2,FALSE)</f>
        <v>#N/A</v>
      </c>
    </row>
    <row r="1009" spans="1:82" ht="61.5" x14ac:dyDescent="0.85">
      <c r="B1009" s="22" t="s">
        <v>838</v>
      </c>
      <c r="C1009" s="22"/>
      <c r="D1009" s="339">
        <f t="shared" ref="D1009:AE1009" si="193">SUM(D1010:D1017)</f>
        <v>26983289.199999999</v>
      </c>
      <c r="E1009" s="29">
        <f t="shared" si="193"/>
        <v>0</v>
      </c>
      <c r="F1009" s="29">
        <f t="shared" si="193"/>
        <v>0</v>
      </c>
      <c r="G1009" s="29">
        <f t="shared" si="193"/>
        <v>0</v>
      </c>
      <c r="H1009" s="29">
        <f t="shared" si="193"/>
        <v>0</v>
      </c>
      <c r="I1009" s="29">
        <f t="shared" si="193"/>
        <v>0</v>
      </c>
      <c r="J1009" s="29">
        <f t="shared" si="193"/>
        <v>0</v>
      </c>
      <c r="K1009" s="31">
        <f t="shared" si="193"/>
        <v>0</v>
      </c>
      <c r="L1009" s="29">
        <f t="shared" si="193"/>
        <v>0</v>
      </c>
      <c r="M1009" s="29">
        <f t="shared" si="193"/>
        <v>4696.88</v>
      </c>
      <c r="N1009" s="29">
        <f t="shared" si="193"/>
        <v>22220010.469999999</v>
      </c>
      <c r="O1009" s="29">
        <f t="shared" si="193"/>
        <v>0</v>
      </c>
      <c r="P1009" s="29">
        <f t="shared" si="193"/>
        <v>0</v>
      </c>
      <c r="Q1009" s="29">
        <f t="shared" si="193"/>
        <v>2886.45</v>
      </c>
      <c r="R1009" s="29">
        <f t="shared" si="193"/>
        <v>4026652.81</v>
      </c>
      <c r="S1009" s="29">
        <f t="shared" si="193"/>
        <v>0</v>
      </c>
      <c r="T1009" s="29">
        <f t="shared" si="193"/>
        <v>0</v>
      </c>
      <c r="U1009" s="29">
        <f t="shared" si="193"/>
        <v>0</v>
      </c>
      <c r="V1009" s="29">
        <f t="shared" si="193"/>
        <v>0</v>
      </c>
      <c r="W1009" s="29">
        <f t="shared" si="193"/>
        <v>0</v>
      </c>
      <c r="X1009" s="29">
        <f t="shared" si="193"/>
        <v>0</v>
      </c>
      <c r="Y1009" s="29">
        <f t="shared" si="193"/>
        <v>0</v>
      </c>
      <c r="Z1009" s="29">
        <f t="shared" si="193"/>
        <v>0</v>
      </c>
      <c r="AA1009" s="29">
        <f t="shared" si="193"/>
        <v>0</v>
      </c>
      <c r="AB1009" s="29">
        <f t="shared" si="193"/>
        <v>0</v>
      </c>
      <c r="AC1009" s="29">
        <f t="shared" si="193"/>
        <v>372709.34</v>
      </c>
      <c r="AD1009" s="29">
        <f t="shared" si="193"/>
        <v>363916.58</v>
      </c>
      <c r="AE1009" s="29">
        <f t="shared" si="193"/>
        <v>0</v>
      </c>
      <c r="AF1009" s="62" t="s">
        <v>743</v>
      </c>
      <c r="AG1009" s="62" t="s">
        <v>743</v>
      </c>
      <c r="AH1009" s="77" t="s">
        <v>743</v>
      </c>
      <c r="AT1009" s="18" t="e">
        <f>VLOOKUP(C1009,AW:AX,2,FALSE)</f>
        <v>#N/A</v>
      </c>
      <c r="BZ1009" s="61">
        <v>16487311.32</v>
      </c>
      <c r="CD1009" s="18" t="e">
        <f>VLOOKUP(C1009,CE:CF,2,FALSE)</f>
        <v>#N/A</v>
      </c>
    </row>
    <row r="1010" spans="1:82" ht="61.5" x14ac:dyDescent="0.85">
      <c r="A1010" s="18">
        <v>1</v>
      </c>
      <c r="B1010" s="57">
        <f>SUBTOTAL(103,$A$558:A1010)</f>
        <v>408</v>
      </c>
      <c r="C1010" s="22" t="s">
        <v>60</v>
      </c>
      <c r="D1010" s="29">
        <f t="shared" ref="D1010:D1017" si="194">E1010+F1010+G1010+H1010+I1010+J1010+L1010+N1010+P1010+R1010+T1010+U1010+V1010+W1010+X1010+Y1010+Z1010+AA1010+AB1010+AC1010+AD1010+AE1010</f>
        <v>3431912.32</v>
      </c>
      <c r="E1010" s="29">
        <v>0</v>
      </c>
      <c r="F1010" s="29">
        <v>0</v>
      </c>
      <c r="G1010" s="29">
        <v>0</v>
      </c>
      <c r="H1010" s="29">
        <v>0</v>
      </c>
      <c r="I1010" s="29">
        <v>0</v>
      </c>
      <c r="J1010" s="29">
        <v>0</v>
      </c>
      <c r="K1010" s="31">
        <v>0</v>
      </c>
      <c r="L1010" s="29">
        <v>0</v>
      </c>
      <c r="M1010" s="29">
        <v>663</v>
      </c>
      <c r="N1010" s="29">
        <f>3263106.8</f>
        <v>3263106.8</v>
      </c>
      <c r="O1010" s="29">
        <v>0</v>
      </c>
      <c r="P1010" s="29">
        <v>0</v>
      </c>
      <c r="Q1010" s="29">
        <v>0</v>
      </c>
      <c r="R1010" s="29">
        <v>0</v>
      </c>
      <c r="S1010" s="29">
        <v>0</v>
      </c>
      <c r="T1010" s="29">
        <v>0</v>
      </c>
      <c r="U1010" s="29">
        <v>0</v>
      </c>
      <c r="V1010" s="29">
        <v>0</v>
      </c>
      <c r="W1010" s="29">
        <v>0</v>
      </c>
      <c r="X1010" s="29">
        <v>0</v>
      </c>
      <c r="Y1010" s="29">
        <v>0</v>
      </c>
      <c r="Z1010" s="29">
        <v>0</v>
      </c>
      <c r="AA1010" s="29">
        <v>0</v>
      </c>
      <c r="AB1010" s="29">
        <v>0</v>
      </c>
      <c r="AC1010" s="29">
        <f>ROUND(N1010*1.5%,2)</f>
        <v>48946.6</v>
      </c>
      <c r="AD1010" s="29">
        <v>119858.92</v>
      </c>
      <c r="AE1010" s="29">
        <v>0</v>
      </c>
      <c r="AF1010" s="32">
        <v>2021</v>
      </c>
      <c r="AG1010" s="32">
        <v>2021</v>
      </c>
      <c r="AH1010" s="33">
        <v>2021</v>
      </c>
      <c r="AT1010" s="18" t="e">
        <f>VLOOKUP(C1010,AW:AX,2,FALSE)</f>
        <v>#N/A</v>
      </c>
      <c r="BZ1010" s="61"/>
      <c r="CD1010" s="18" t="e">
        <f>VLOOKUP(C1010,CE:CF,2,FALSE)</f>
        <v>#N/A</v>
      </c>
    </row>
    <row r="1011" spans="1:82" ht="61.5" x14ac:dyDescent="0.85">
      <c r="A1011" s="18">
        <v>1</v>
      </c>
      <c r="B1011" s="57">
        <f>SUBTOTAL(103,$A$558:A1011)</f>
        <v>409</v>
      </c>
      <c r="C1011" s="22" t="s">
        <v>61</v>
      </c>
      <c r="D1011" s="29">
        <f t="shared" si="194"/>
        <v>3373798.59</v>
      </c>
      <c r="E1011" s="29">
        <v>0</v>
      </c>
      <c r="F1011" s="29">
        <v>0</v>
      </c>
      <c r="G1011" s="29">
        <v>0</v>
      </c>
      <c r="H1011" s="29">
        <v>0</v>
      </c>
      <c r="I1011" s="29">
        <v>0</v>
      </c>
      <c r="J1011" s="29">
        <v>0</v>
      </c>
      <c r="K1011" s="31">
        <v>0</v>
      </c>
      <c r="L1011" s="29">
        <v>0</v>
      </c>
      <c r="M1011" s="29">
        <v>660</v>
      </c>
      <c r="N1011" s="29">
        <f>3247672.91</f>
        <v>3247672.91</v>
      </c>
      <c r="O1011" s="29">
        <v>0</v>
      </c>
      <c r="P1011" s="29">
        <v>0</v>
      </c>
      <c r="Q1011" s="29">
        <v>0</v>
      </c>
      <c r="R1011" s="29">
        <v>0</v>
      </c>
      <c r="S1011" s="29">
        <v>0</v>
      </c>
      <c r="T1011" s="29">
        <v>0</v>
      </c>
      <c r="U1011" s="29">
        <v>0</v>
      </c>
      <c r="V1011" s="29">
        <v>0</v>
      </c>
      <c r="W1011" s="29">
        <v>0</v>
      </c>
      <c r="X1011" s="29">
        <v>0</v>
      </c>
      <c r="Y1011" s="29">
        <v>0</v>
      </c>
      <c r="Z1011" s="29">
        <v>0</v>
      </c>
      <c r="AA1011" s="29">
        <v>0</v>
      </c>
      <c r="AB1011" s="29">
        <v>0</v>
      </c>
      <c r="AC1011" s="29">
        <f>ROUND(N1011*1.5%,2)</f>
        <v>48715.09</v>
      </c>
      <c r="AD1011" s="29">
        <v>77410.59</v>
      </c>
      <c r="AE1011" s="29">
        <v>0</v>
      </c>
      <c r="AF1011" s="32">
        <v>2021</v>
      </c>
      <c r="AG1011" s="32">
        <v>2021</v>
      </c>
      <c r="AH1011" s="33">
        <v>2021</v>
      </c>
      <c r="AT1011" s="18" t="e">
        <f>VLOOKUP(C1011,AW:AX,2,FALSE)</f>
        <v>#N/A</v>
      </c>
      <c r="BZ1011" s="61"/>
      <c r="CD1011" s="18" t="e">
        <f>VLOOKUP(C1011,CE:CF,2,FALSE)</f>
        <v>#N/A</v>
      </c>
    </row>
    <row r="1012" spans="1:82" ht="61.5" x14ac:dyDescent="0.85">
      <c r="A1012" s="18">
        <v>1</v>
      </c>
      <c r="B1012" s="57">
        <f>SUBTOTAL(103,$A$558:A1012)</f>
        <v>410</v>
      </c>
      <c r="C1012" s="22" t="s">
        <v>59</v>
      </c>
      <c r="D1012" s="29">
        <f t="shared" si="194"/>
        <v>2799677.08</v>
      </c>
      <c r="E1012" s="29">
        <v>0</v>
      </c>
      <c r="F1012" s="29">
        <v>0</v>
      </c>
      <c r="G1012" s="29">
        <v>0</v>
      </c>
      <c r="H1012" s="29">
        <v>0</v>
      </c>
      <c r="I1012" s="29">
        <v>0</v>
      </c>
      <c r="J1012" s="29">
        <v>0</v>
      </c>
      <c r="K1012" s="31">
        <v>0</v>
      </c>
      <c r="L1012" s="29">
        <v>0</v>
      </c>
      <c r="M1012" s="29">
        <v>602.27</v>
      </c>
      <c r="N1012" s="29">
        <v>2774911</v>
      </c>
      <c r="O1012" s="29">
        <v>0</v>
      </c>
      <c r="P1012" s="29">
        <v>0</v>
      </c>
      <c r="Q1012" s="29">
        <v>0</v>
      </c>
      <c r="R1012" s="29">
        <v>0</v>
      </c>
      <c r="S1012" s="29">
        <v>0</v>
      </c>
      <c r="T1012" s="29">
        <v>0</v>
      </c>
      <c r="U1012" s="29">
        <v>0</v>
      </c>
      <c r="V1012" s="29">
        <v>0</v>
      </c>
      <c r="W1012" s="29">
        <v>0</v>
      </c>
      <c r="X1012" s="29">
        <v>0</v>
      </c>
      <c r="Y1012" s="29">
        <v>0</v>
      </c>
      <c r="Z1012" s="29">
        <v>0</v>
      </c>
      <c r="AA1012" s="29">
        <v>0</v>
      </c>
      <c r="AB1012" s="29">
        <v>0</v>
      </c>
      <c r="AC1012" s="29">
        <v>24766.080000000002</v>
      </c>
      <c r="AD1012" s="29">
        <v>0</v>
      </c>
      <c r="AE1012" s="29">
        <v>0</v>
      </c>
      <c r="AF1012" s="32" t="s">
        <v>268</v>
      </c>
      <c r="AG1012" s="32">
        <v>2021</v>
      </c>
      <c r="AH1012" s="33">
        <v>2021</v>
      </c>
      <c r="AT1012" s="18" t="e">
        <f>VLOOKUP(C1012,AW:AX,2,FALSE)</f>
        <v>#N/A</v>
      </c>
      <c r="BZ1012" s="61"/>
      <c r="CD1012" s="18" t="e">
        <f>VLOOKUP(C1012,CE:CF,2,FALSE)</f>
        <v>#N/A</v>
      </c>
    </row>
    <row r="1013" spans="1:82" ht="61.5" x14ac:dyDescent="0.85">
      <c r="A1013" s="18">
        <v>1</v>
      </c>
      <c r="B1013" s="57">
        <f>SUBTOTAL(103,$A$558:A1013)</f>
        <v>411</v>
      </c>
      <c r="C1013" s="22" t="s">
        <v>62</v>
      </c>
      <c r="D1013" s="29">
        <f t="shared" si="194"/>
        <v>2861229.32</v>
      </c>
      <c r="E1013" s="29">
        <v>0</v>
      </c>
      <c r="F1013" s="29">
        <v>0</v>
      </c>
      <c r="G1013" s="29">
        <v>0</v>
      </c>
      <c r="H1013" s="29">
        <v>0</v>
      </c>
      <c r="I1013" s="29">
        <v>0</v>
      </c>
      <c r="J1013" s="29">
        <v>0</v>
      </c>
      <c r="K1013" s="31">
        <v>0</v>
      </c>
      <c r="L1013" s="29">
        <v>0</v>
      </c>
      <c r="M1013" s="29">
        <v>552.78</v>
      </c>
      <c r="N1013" s="37">
        <v>2753283</v>
      </c>
      <c r="O1013" s="29">
        <v>0</v>
      </c>
      <c r="P1013" s="29">
        <v>0</v>
      </c>
      <c r="Q1013" s="29">
        <v>0</v>
      </c>
      <c r="R1013" s="29">
        <v>0</v>
      </c>
      <c r="S1013" s="29">
        <v>0</v>
      </c>
      <c r="T1013" s="29">
        <v>0</v>
      </c>
      <c r="U1013" s="29">
        <v>0</v>
      </c>
      <c r="V1013" s="29">
        <v>0</v>
      </c>
      <c r="W1013" s="29">
        <v>0</v>
      </c>
      <c r="X1013" s="29">
        <v>0</v>
      </c>
      <c r="Y1013" s="29">
        <v>0</v>
      </c>
      <c r="Z1013" s="29">
        <v>0</v>
      </c>
      <c r="AA1013" s="29">
        <v>0</v>
      </c>
      <c r="AB1013" s="29">
        <v>0</v>
      </c>
      <c r="AC1013" s="29">
        <f>ROUND(N1013*1.5%,2)</f>
        <v>41299.25</v>
      </c>
      <c r="AD1013" s="29">
        <v>66647.070000000007</v>
      </c>
      <c r="AE1013" s="29">
        <v>0</v>
      </c>
      <c r="AF1013" s="32">
        <v>2021</v>
      </c>
      <c r="AG1013" s="32">
        <v>2021</v>
      </c>
      <c r="AH1013" s="33">
        <v>2021</v>
      </c>
      <c r="AT1013" s="18" t="e">
        <f>VLOOKUP(C1013,AW:AX,2,FALSE)</f>
        <v>#N/A</v>
      </c>
      <c r="BZ1013" s="61"/>
      <c r="CD1013" s="18" t="e">
        <f>VLOOKUP(C1013,CE:CF,2,FALSE)</f>
        <v>#N/A</v>
      </c>
    </row>
    <row r="1014" spans="1:82" ht="61.5" x14ac:dyDescent="0.85">
      <c r="A1014" s="18">
        <v>1</v>
      </c>
      <c r="B1014" s="57">
        <f>SUBTOTAL(103,$A$558:A1014)</f>
        <v>412</v>
      </c>
      <c r="C1014" s="22" t="s">
        <v>58</v>
      </c>
      <c r="D1014" s="29">
        <f t="shared" si="194"/>
        <v>2725030.39</v>
      </c>
      <c r="E1014" s="29">
        <v>0</v>
      </c>
      <c r="F1014" s="29">
        <v>0</v>
      </c>
      <c r="G1014" s="29">
        <v>0</v>
      </c>
      <c r="H1014" s="29">
        <v>0</v>
      </c>
      <c r="I1014" s="29">
        <v>0</v>
      </c>
      <c r="J1014" s="29">
        <v>0</v>
      </c>
      <c r="K1014" s="31">
        <v>0</v>
      </c>
      <c r="L1014" s="29">
        <v>0</v>
      </c>
      <c r="M1014" s="29">
        <v>638</v>
      </c>
      <c r="N1014" s="29">
        <v>2684759</v>
      </c>
      <c r="O1014" s="29">
        <v>0</v>
      </c>
      <c r="P1014" s="29">
        <v>0</v>
      </c>
      <c r="Q1014" s="29">
        <v>0</v>
      </c>
      <c r="R1014" s="29">
        <v>0</v>
      </c>
      <c r="S1014" s="29">
        <v>0</v>
      </c>
      <c r="T1014" s="29">
        <v>0</v>
      </c>
      <c r="U1014" s="29">
        <v>0</v>
      </c>
      <c r="V1014" s="29">
        <v>0</v>
      </c>
      <c r="W1014" s="29">
        <v>0</v>
      </c>
      <c r="X1014" s="29">
        <v>0</v>
      </c>
      <c r="Y1014" s="29">
        <v>0</v>
      </c>
      <c r="Z1014" s="29">
        <v>0</v>
      </c>
      <c r="AA1014" s="29">
        <v>0</v>
      </c>
      <c r="AB1014" s="29">
        <v>0</v>
      </c>
      <c r="AC1014" s="29">
        <f>ROUND(N1014*1.5%,2)</f>
        <v>40271.39</v>
      </c>
      <c r="AD1014" s="29">
        <v>0</v>
      </c>
      <c r="AE1014" s="29">
        <v>0</v>
      </c>
      <c r="AF1014" s="32" t="s">
        <v>268</v>
      </c>
      <c r="AG1014" s="32">
        <v>2021</v>
      </c>
      <c r="AH1014" s="33">
        <v>2021</v>
      </c>
      <c r="AT1014" s="18" t="e">
        <f>VLOOKUP(C1014,AW:AX,2,FALSE)</f>
        <v>#N/A</v>
      </c>
      <c r="BZ1014" s="61"/>
      <c r="CD1014" s="18" t="e">
        <f>VLOOKUP(C1014,CE:CF,2,FALSE)</f>
        <v>#N/A</v>
      </c>
    </row>
    <row r="1015" spans="1:82" ht="61.5" x14ac:dyDescent="0.85">
      <c r="A1015" s="18">
        <v>1</v>
      </c>
      <c r="B1015" s="57">
        <f>SUBTOTAL(103,$A$558:A1015)</f>
        <v>413</v>
      </c>
      <c r="C1015" s="22" t="s">
        <v>1235</v>
      </c>
      <c r="D1015" s="29">
        <f t="shared" si="194"/>
        <v>4087052.6</v>
      </c>
      <c r="E1015" s="29">
        <v>0</v>
      </c>
      <c r="F1015" s="29">
        <v>0</v>
      </c>
      <c r="G1015" s="29">
        <v>0</v>
      </c>
      <c r="H1015" s="29">
        <v>0</v>
      </c>
      <c r="I1015" s="29">
        <v>0</v>
      </c>
      <c r="J1015" s="29">
        <v>0</v>
      </c>
      <c r="K1015" s="64">
        <v>0</v>
      </c>
      <c r="L1015" s="29">
        <v>0</v>
      </c>
      <c r="M1015" s="29">
        <v>0</v>
      </c>
      <c r="N1015" s="29">
        <v>0</v>
      </c>
      <c r="O1015" s="29">
        <v>0</v>
      </c>
      <c r="P1015" s="29">
        <v>0</v>
      </c>
      <c r="Q1015" s="29">
        <v>2886.45</v>
      </c>
      <c r="R1015" s="37">
        <v>4026652.81</v>
      </c>
      <c r="S1015" s="29">
        <v>0</v>
      </c>
      <c r="T1015" s="29">
        <v>0</v>
      </c>
      <c r="U1015" s="29">
        <v>0</v>
      </c>
      <c r="V1015" s="29">
        <v>0</v>
      </c>
      <c r="W1015" s="29">
        <v>0</v>
      </c>
      <c r="X1015" s="29">
        <v>0</v>
      </c>
      <c r="Y1015" s="29">
        <v>0</v>
      </c>
      <c r="Z1015" s="29">
        <v>0</v>
      </c>
      <c r="AA1015" s="29">
        <v>0</v>
      </c>
      <c r="AB1015" s="29">
        <v>0</v>
      </c>
      <c r="AC1015" s="29">
        <f>ROUND(R1015*1.5%,2)</f>
        <v>60399.79</v>
      </c>
      <c r="AD1015" s="29">
        <v>0</v>
      </c>
      <c r="AE1015" s="29">
        <v>0</v>
      </c>
      <c r="AF1015" s="32" t="s">
        <v>268</v>
      </c>
      <c r="AG1015" s="32">
        <v>2021</v>
      </c>
      <c r="AH1015" s="33">
        <v>2021</v>
      </c>
      <c r="BZ1015" s="61"/>
      <c r="CD1015" s="18" t="e">
        <f>VLOOKUP(C1015,CE:CF,2,FALSE)</f>
        <v>#N/A</v>
      </c>
    </row>
    <row r="1016" spans="1:82" ht="61.5" x14ac:dyDescent="0.85">
      <c r="A1016" s="18">
        <v>1</v>
      </c>
      <c r="B1016" s="57">
        <f>SUBTOTAL(103,$A$558:A1016)</f>
        <v>414</v>
      </c>
      <c r="C1016" s="22" t="s">
        <v>49</v>
      </c>
      <c r="D1016" s="29">
        <f>E1016+F1016+G1016+H1016+I1016+J1016+L1016+N1016+P1016+R1016+T1016+U1016+V1016+W1016+X1016+Y1016+Z1016+AA1016+AB1016+AC1016+AD1016+AE1016</f>
        <v>4298452.99</v>
      </c>
      <c r="E1016" s="29">
        <v>0</v>
      </c>
      <c r="F1016" s="29">
        <v>0</v>
      </c>
      <c r="G1016" s="29">
        <v>0</v>
      </c>
      <c r="H1016" s="29">
        <v>0</v>
      </c>
      <c r="I1016" s="29">
        <v>0</v>
      </c>
      <c r="J1016" s="29">
        <v>0</v>
      </c>
      <c r="K1016" s="64">
        <v>0</v>
      </c>
      <c r="L1016" s="29">
        <v>0</v>
      </c>
      <c r="M1016" s="37">
        <v>913.83</v>
      </c>
      <c r="N1016" s="37">
        <v>4239001</v>
      </c>
      <c r="O1016" s="29">
        <v>0</v>
      </c>
      <c r="P1016" s="29">
        <v>0</v>
      </c>
      <c r="Q1016" s="29">
        <v>0</v>
      </c>
      <c r="R1016" s="29">
        <v>0</v>
      </c>
      <c r="S1016" s="29">
        <v>0</v>
      </c>
      <c r="T1016" s="29">
        <v>0</v>
      </c>
      <c r="U1016" s="29">
        <v>0</v>
      </c>
      <c r="V1016" s="29">
        <v>0</v>
      </c>
      <c r="W1016" s="29">
        <v>0</v>
      </c>
      <c r="X1016" s="29">
        <v>0</v>
      </c>
      <c r="Y1016" s="29">
        <v>0</v>
      </c>
      <c r="Z1016" s="29">
        <v>0</v>
      </c>
      <c r="AA1016" s="29">
        <v>0</v>
      </c>
      <c r="AB1016" s="29">
        <v>0</v>
      </c>
      <c r="AC1016" s="37">
        <v>59451.99</v>
      </c>
      <c r="AD1016" s="29">
        <v>0</v>
      </c>
      <c r="AE1016" s="29">
        <v>0</v>
      </c>
      <c r="AF1016" s="32" t="s">
        <v>268</v>
      </c>
      <c r="AG1016" s="32">
        <v>2021</v>
      </c>
      <c r="AH1016" s="33">
        <v>2021</v>
      </c>
      <c r="AT1016" s="18">
        <v>1</v>
      </c>
      <c r="BZ1016" s="61"/>
      <c r="CD1016" s="18" t="e">
        <v>#N/A</v>
      </c>
    </row>
    <row r="1017" spans="1:82" ht="61.5" x14ac:dyDescent="0.85">
      <c r="A1017" s="18">
        <v>1</v>
      </c>
      <c r="B1017" s="57">
        <f>SUBTOTAL(103,$A$558:A1017)</f>
        <v>415</v>
      </c>
      <c r="C1017" s="22" t="s">
        <v>2288</v>
      </c>
      <c r="D1017" s="29">
        <f t="shared" si="194"/>
        <v>3406135.9099999997</v>
      </c>
      <c r="E1017" s="29">
        <v>0</v>
      </c>
      <c r="F1017" s="29">
        <v>0</v>
      </c>
      <c r="G1017" s="29">
        <v>0</v>
      </c>
      <c r="H1017" s="29">
        <v>0</v>
      </c>
      <c r="I1017" s="29">
        <v>0</v>
      </c>
      <c r="J1017" s="29">
        <v>0</v>
      </c>
      <c r="K1017" s="64">
        <v>0</v>
      </c>
      <c r="L1017" s="29">
        <v>0</v>
      </c>
      <c r="M1017" s="37">
        <v>667</v>
      </c>
      <c r="N1017" s="37">
        <f>3079694.84+177581.92</f>
        <v>3257276.76</v>
      </c>
      <c r="O1017" s="29">
        <v>0</v>
      </c>
      <c r="P1017" s="29">
        <v>0</v>
      </c>
      <c r="Q1017" s="29">
        <v>0</v>
      </c>
      <c r="R1017" s="29">
        <v>0</v>
      </c>
      <c r="S1017" s="29">
        <v>0</v>
      </c>
      <c r="T1017" s="29">
        <v>0</v>
      </c>
      <c r="U1017" s="29">
        <v>0</v>
      </c>
      <c r="V1017" s="29">
        <v>0</v>
      </c>
      <c r="W1017" s="29">
        <v>0</v>
      </c>
      <c r="X1017" s="29">
        <v>0</v>
      </c>
      <c r="Y1017" s="29">
        <v>0</v>
      </c>
      <c r="Z1017" s="29">
        <v>0</v>
      </c>
      <c r="AA1017" s="29">
        <v>0</v>
      </c>
      <c r="AB1017" s="29">
        <v>0</v>
      </c>
      <c r="AC1017" s="29">
        <f>ROUND(N1017*1.5%,2)</f>
        <v>48859.15</v>
      </c>
      <c r="AD1017" s="92">
        <v>100000</v>
      </c>
      <c r="AE1017" s="29">
        <v>0</v>
      </c>
      <c r="AF1017" s="32">
        <v>2021</v>
      </c>
      <c r="AG1017" s="32">
        <v>2021</v>
      </c>
      <c r="AH1017" s="33">
        <v>2021</v>
      </c>
      <c r="AT1017" s="18">
        <v>1</v>
      </c>
      <c r="BZ1017" s="61"/>
      <c r="CD1017" s="18" t="e">
        <v>#N/A</v>
      </c>
    </row>
    <row r="1018" spans="1:82" ht="61.5" x14ac:dyDescent="0.85">
      <c r="B1018" s="22" t="s">
        <v>839</v>
      </c>
      <c r="C1018" s="338"/>
      <c r="D1018" s="339">
        <f>SUM(D1019:D1021)</f>
        <v>8494956.25</v>
      </c>
      <c r="E1018" s="29">
        <f t="shared" ref="E1018:AE1018" si="195">SUM(E1019:E1021)</f>
        <v>0</v>
      </c>
      <c r="F1018" s="29">
        <f t="shared" si="195"/>
        <v>0</v>
      </c>
      <c r="G1018" s="29">
        <f t="shared" si="195"/>
        <v>0</v>
      </c>
      <c r="H1018" s="29">
        <f t="shared" si="195"/>
        <v>0</v>
      </c>
      <c r="I1018" s="29">
        <f t="shared" si="195"/>
        <v>0</v>
      </c>
      <c r="J1018" s="29">
        <f t="shared" si="195"/>
        <v>0</v>
      </c>
      <c r="K1018" s="31">
        <f t="shared" si="195"/>
        <v>0</v>
      </c>
      <c r="L1018" s="29">
        <f t="shared" si="195"/>
        <v>0</v>
      </c>
      <c r="M1018" s="29">
        <f t="shared" si="195"/>
        <v>1783</v>
      </c>
      <c r="N1018" s="29">
        <f t="shared" si="195"/>
        <v>8133574.7700000005</v>
      </c>
      <c r="O1018" s="29">
        <f t="shared" si="195"/>
        <v>0</v>
      </c>
      <c r="P1018" s="29">
        <f t="shared" si="195"/>
        <v>0</v>
      </c>
      <c r="Q1018" s="29">
        <f t="shared" si="195"/>
        <v>0</v>
      </c>
      <c r="R1018" s="29">
        <f t="shared" si="195"/>
        <v>0</v>
      </c>
      <c r="S1018" s="29">
        <f t="shared" si="195"/>
        <v>0</v>
      </c>
      <c r="T1018" s="29">
        <f t="shared" si="195"/>
        <v>0</v>
      </c>
      <c r="U1018" s="29">
        <f t="shared" si="195"/>
        <v>0</v>
      </c>
      <c r="V1018" s="29">
        <f t="shared" si="195"/>
        <v>0</v>
      </c>
      <c r="W1018" s="29">
        <f t="shared" si="195"/>
        <v>0</v>
      </c>
      <c r="X1018" s="29">
        <f t="shared" si="195"/>
        <v>0</v>
      </c>
      <c r="Y1018" s="29">
        <f t="shared" si="195"/>
        <v>0</v>
      </c>
      <c r="Z1018" s="29">
        <f t="shared" si="195"/>
        <v>0</v>
      </c>
      <c r="AA1018" s="29">
        <f t="shared" si="195"/>
        <v>0</v>
      </c>
      <c r="AB1018" s="29">
        <f t="shared" si="195"/>
        <v>0</v>
      </c>
      <c r="AC1018" s="29">
        <f t="shared" si="195"/>
        <v>122003.62</v>
      </c>
      <c r="AD1018" s="29">
        <f t="shared" si="195"/>
        <v>239377.86</v>
      </c>
      <c r="AE1018" s="29">
        <f t="shared" si="195"/>
        <v>0</v>
      </c>
      <c r="AF1018" s="62" t="s">
        <v>743</v>
      </c>
      <c r="AG1018" s="62" t="s">
        <v>743</v>
      </c>
      <c r="AH1018" s="77" t="s">
        <v>743</v>
      </c>
      <c r="AT1018" s="18" t="e">
        <f>VLOOKUP(C1018,AW:AX,2,FALSE)</f>
        <v>#N/A</v>
      </c>
      <c r="BZ1018" s="61">
        <v>6032850.6600000001</v>
      </c>
      <c r="CD1018" s="18" t="e">
        <f>VLOOKUP(C1018,CE:CF,2,FALSE)</f>
        <v>#N/A</v>
      </c>
    </row>
    <row r="1019" spans="1:82" ht="61.5" x14ac:dyDescent="0.85">
      <c r="A1019" s="18">
        <v>1</v>
      </c>
      <c r="B1019" s="57">
        <f>SUBTOTAL(103,$A$558:A1019)</f>
        <v>416</v>
      </c>
      <c r="C1019" s="22" t="s">
        <v>229</v>
      </c>
      <c r="D1019" s="29">
        <f>E1019+F1019+G1019+H1019+I1019+J1019+L1019+N1019+P1019+R1019+T1019+U1019+V1019+W1019+X1019+Y1019+Z1019+AA1019+AB1019+AC1019+AD1019+AE1019</f>
        <v>4629612.0299999993</v>
      </c>
      <c r="E1019" s="29">
        <v>0</v>
      </c>
      <c r="F1019" s="29">
        <v>0</v>
      </c>
      <c r="G1019" s="29">
        <v>0</v>
      </c>
      <c r="H1019" s="29">
        <v>0</v>
      </c>
      <c r="I1019" s="29">
        <v>0</v>
      </c>
      <c r="J1019" s="29">
        <v>0</v>
      </c>
      <c r="K1019" s="31">
        <v>0</v>
      </c>
      <c r="L1019" s="29">
        <v>0</v>
      </c>
      <c r="M1019" s="29">
        <v>858</v>
      </c>
      <c r="N1019" s="29">
        <f>4191747+265740.46</f>
        <v>4457487.46</v>
      </c>
      <c r="O1019" s="29">
        <v>0</v>
      </c>
      <c r="P1019" s="29">
        <v>0</v>
      </c>
      <c r="Q1019" s="29">
        <v>0</v>
      </c>
      <c r="R1019" s="29">
        <v>0</v>
      </c>
      <c r="S1019" s="29">
        <v>0</v>
      </c>
      <c r="T1019" s="29">
        <v>0</v>
      </c>
      <c r="U1019" s="29">
        <v>0</v>
      </c>
      <c r="V1019" s="29">
        <v>0</v>
      </c>
      <c r="W1019" s="29">
        <v>0</v>
      </c>
      <c r="X1019" s="29">
        <v>0</v>
      </c>
      <c r="Y1019" s="29">
        <v>0</v>
      </c>
      <c r="Z1019" s="29">
        <v>0</v>
      </c>
      <c r="AA1019" s="29">
        <v>0</v>
      </c>
      <c r="AB1019" s="29">
        <v>0</v>
      </c>
      <c r="AC1019" s="29">
        <f>ROUND(N1019*1.5%,2)</f>
        <v>66862.31</v>
      </c>
      <c r="AD1019" s="29">
        <v>105262.26</v>
      </c>
      <c r="AE1019" s="29">
        <v>0</v>
      </c>
      <c r="AF1019" s="32">
        <v>2021</v>
      </c>
      <c r="AG1019" s="32">
        <v>2021</v>
      </c>
      <c r="AH1019" s="33">
        <v>2021</v>
      </c>
      <c r="AT1019" s="18" t="e">
        <f>VLOOKUP(C1019,AW:AX,2,FALSE)</f>
        <v>#N/A</v>
      </c>
      <c r="BZ1019" s="61"/>
      <c r="CD1019" s="18" t="e">
        <f>VLOOKUP(C1019,CE:CF,2,FALSE)</f>
        <v>#N/A</v>
      </c>
    </row>
    <row r="1020" spans="1:82" ht="61.5" x14ac:dyDescent="0.85">
      <c r="A1020" s="18">
        <v>1</v>
      </c>
      <c r="B1020" s="57">
        <f>SUBTOTAL(103,$A$558:A1020)</f>
        <v>417</v>
      </c>
      <c r="C1020" s="22" t="s">
        <v>228</v>
      </c>
      <c r="D1020" s="29">
        <f>E1020+F1020+G1020+H1020+I1020+J1020+L1020+N1020+P1020+R1020+T1020+U1020+V1020+W1020+X1020+Y1020+Z1020+AA1020+AB1020+AC1020+AD1020+AE1020</f>
        <v>1801520.9999999998</v>
      </c>
      <c r="E1020" s="29">
        <v>0</v>
      </c>
      <c r="F1020" s="29">
        <v>0</v>
      </c>
      <c r="G1020" s="29">
        <v>0</v>
      </c>
      <c r="H1020" s="29">
        <v>0</v>
      </c>
      <c r="I1020" s="29">
        <v>0</v>
      </c>
      <c r="J1020" s="29">
        <v>0</v>
      </c>
      <c r="K1020" s="31">
        <v>0</v>
      </c>
      <c r="L1020" s="29">
        <v>0</v>
      </c>
      <c r="M1020" s="29">
        <v>345</v>
      </c>
      <c r="N1020" s="29">
        <f>1656670.94+66173.42</f>
        <v>1722844.3599999999</v>
      </c>
      <c r="O1020" s="29">
        <v>0</v>
      </c>
      <c r="P1020" s="29">
        <v>0</v>
      </c>
      <c r="Q1020" s="29">
        <v>0</v>
      </c>
      <c r="R1020" s="29">
        <v>0</v>
      </c>
      <c r="S1020" s="29">
        <v>0</v>
      </c>
      <c r="T1020" s="29">
        <v>0</v>
      </c>
      <c r="U1020" s="29">
        <v>0</v>
      </c>
      <c r="V1020" s="29">
        <v>0</v>
      </c>
      <c r="W1020" s="29">
        <v>0</v>
      </c>
      <c r="X1020" s="29">
        <v>0</v>
      </c>
      <c r="Y1020" s="29">
        <v>0</v>
      </c>
      <c r="Z1020" s="29">
        <v>0</v>
      </c>
      <c r="AA1020" s="29">
        <v>0</v>
      </c>
      <c r="AB1020" s="29">
        <v>0</v>
      </c>
      <c r="AC1020" s="29">
        <f>ROUND(N1020*1.5%,2)</f>
        <v>25842.67</v>
      </c>
      <c r="AD1020" s="29">
        <v>52833.97</v>
      </c>
      <c r="AE1020" s="29">
        <v>0</v>
      </c>
      <c r="AF1020" s="32">
        <v>2021</v>
      </c>
      <c r="AG1020" s="32">
        <v>2021</v>
      </c>
      <c r="AH1020" s="33">
        <v>2021</v>
      </c>
      <c r="AT1020" s="18" t="e">
        <f>VLOOKUP(C1020,AW:AX,2,FALSE)</f>
        <v>#N/A</v>
      </c>
      <c r="BZ1020" s="61"/>
      <c r="CD1020" s="18" t="e">
        <f>VLOOKUP(C1020,CE:CF,2,FALSE)</f>
        <v>#N/A</v>
      </c>
    </row>
    <row r="1021" spans="1:82" ht="61.5" x14ac:dyDescent="0.85">
      <c r="A1021" s="18">
        <v>1</v>
      </c>
      <c r="B1021" s="57">
        <f>SUBTOTAL(103,$A$558:A1021)</f>
        <v>418</v>
      </c>
      <c r="C1021" s="22" t="s">
        <v>1891</v>
      </c>
      <c r="D1021" s="29">
        <f>E1021+F1021+G1021+H1021+I1021+J1021+L1021+N1021+P1021+R1021+T1021+U1021+V1021+W1021+X1021+Y1021+Z1021+AA1021+AB1021+AC1021+AD1021+AE1021</f>
        <v>2063823.2199999997</v>
      </c>
      <c r="E1021" s="29">
        <v>0</v>
      </c>
      <c r="F1021" s="29">
        <v>0</v>
      </c>
      <c r="G1021" s="29">
        <v>0</v>
      </c>
      <c r="H1021" s="29">
        <v>0</v>
      </c>
      <c r="I1021" s="29">
        <v>0</v>
      </c>
      <c r="J1021" s="29">
        <v>0</v>
      </c>
      <c r="K1021" s="31">
        <v>0</v>
      </c>
      <c r="L1021" s="29">
        <v>0</v>
      </c>
      <c r="M1021" s="29">
        <v>580</v>
      </c>
      <c r="N1021" s="29">
        <v>1953242.95</v>
      </c>
      <c r="O1021" s="29">
        <v>0</v>
      </c>
      <c r="P1021" s="29">
        <v>0</v>
      </c>
      <c r="Q1021" s="29">
        <v>0</v>
      </c>
      <c r="R1021" s="29">
        <v>0</v>
      </c>
      <c r="S1021" s="29">
        <v>0</v>
      </c>
      <c r="T1021" s="29">
        <v>0</v>
      </c>
      <c r="U1021" s="29">
        <v>0</v>
      </c>
      <c r="V1021" s="29">
        <v>0</v>
      </c>
      <c r="W1021" s="29">
        <v>0</v>
      </c>
      <c r="X1021" s="29">
        <v>0</v>
      </c>
      <c r="Y1021" s="29">
        <v>0</v>
      </c>
      <c r="Z1021" s="29">
        <v>0</v>
      </c>
      <c r="AA1021" s="29">
        <v>0</v>
      </c>
      <c r="AB1021" s="29">
        <v>0</v>
      </c>
      <c r="AC1021" s="29">
        <f>ROUND(N1021*1.5%,2)</f>
        <v>29298.639999999999</v>
      </c>
      <c r="AD1021" s="29">
        <v>81281.63</v>
      </c>
      <c r="AE1021" s="29">
        <v>0</v>
      </c>
      <c r="AF1021" s="32">
        <v>2021</v>
      </c>
      <c r="AG1021" s="32">
        <v>2021</v>
      </c>
      <c r="AH1021" s="33">
        <v>2021</v>
      </c>
      <c r="AT1021" s="18" t="e">
        <f>VLOOKUP(C1021,AW:AX,2,FALSE)</f>
        <v>#N/A</v>
      </c>
      <c r="BZ1021" s="61"/>
      <c r="CD1021" s="18" t="e">
        <f>VLOOKUP(C1021,CE:CF,2,FALSE)</f>
        <v>#N/A</v>
      </c>
    </row>
    <row r="1022" spans="1:82" ht="61.5" x14ac:dyDescent="0.85">
      <c r="B1022" s="22" t="s">
        <v>1279</v>
      </c>
      <c r="C1022" s="338"/>
      <c r="D1022" s="339">
        <f t="shared" ref="D1022:AE1022" si="196">D1023</f>
        <v>3567998.53</v>
      </c>
      <c r="E1022" s="29">
        <f t="shared" si="196"/>
        <v>0</v>
      </c>
      <c r="F1022" s="29">
        <f t="shared" si="196"/>
        <v>0</v>
      </c>
      <c r="G1022" s="29">
        <f t="shared" si="196"/>
        <v>0</v>
      </c>
      <c r="H1022" s="29">
        <f t="shared" si="196"/>
        <v>0</v>
      </c>
      <c r="I1022" s="29">
        <f t="shared" si="196"/>
        <v>0</v>
      </c>
      <c r="J1022" s="29">
        <f t="shared" si="196"/>
        <v>0</v>
      </c>
      <c r="K1022" s="31">
        <f t="shared" si="196"/>
        <v>0</v>
      </c>
      <c r="L1022" s="29">
        <f t="shared" si="196"/>
        <v>0</v>
      </c>
      <c r="M1022" s="29">
        <f t="shared" si="196"/>
        <v>770</v>
      </c>
      <c r="N1022" s="29">
        <f t="shared" si="196"/>
        <v>3532234.65</v>
      </c>
      <c r="O1022" s="29">
        <f t="shared" si="196"/>
        <v>0</v>
      </c>
      <c r="P1022" s="29">
        <f t="shared" si="196"/>
        <v>0</v>
      </c>
      <c r="Q1022" s="29">
        <f t="shared" si="196"/>
        <v>0</v>
      </c>
      <c r="R1022" s="29">
        <f t="shared" si="196"/>
        <v>0</v>
      </c>
      <c r="S1022" s="29">
        <f t="shared" si="196"/>
        <v>0</v>
      </c>
      <c r="T1022" s="29">
        <f t="shared" si="196"/>
        <v>0</v>
      </c>
      <c r="U1022" s="29">
        <f t="shared" si="196"/>
        <v>0</v>
      </c>
      <c r="V1022" s="29">
        <f t="shared" si="196"/>
        <v>0</v>
      </c>
      <c r="W1022" s="29">
        <f t="shared" si="196"/>
        <v>0</v>
      </c>
      <c r="X1022" s="29">
        <f t="shared" si="196"/>
        <v>0</v>
      </c>
      <c r="Y1022" s="29">
        <f t="shared" si="196"/>
        <v>0</v>
      </c>
      <c r="Z1022" s="29">
        <f t="shared" si="196"/>
        <v>0</v>
      </c>
      <c r="AA1022" s="29">
        <f t="shared" si="196"/>
        <v>0</v>
      </c>
      <c r="AB1022" s="29">
        <f t="shared" si="196"/>
        <v>0</v>
      </c>
      <c r="AC1022" s="29">
        <f t="shared" si="196"/>
        <v>35763.879999999997</v>
      </c>
      <c r="AD1022" s="29">
        <f t="shared" si="196"/>
        <v>0</v>
      </c>
      <c r="AE1022" s="29">
        <f t="shared" si="196"/>
        <v>0</v>
      </c>
      <c r="AF1022" s="62" t="s">
        <v>743</v>
      </c>
      <c r="AG1022" s="62" t="s">
        <v>743</v>
      </c>
      <c r="AH1022" s="77" t="s">
        <v>743</v>
      </c>
      <c r="AT1022" s="18" t="e">
        <f>VLOOKUP(C1022,AW:AX,2,FALSE)</f>
        <v>#N/A</v>
      </c>
      <c r="BZ1022" s="61">
        <v>1799918.22</v>
      </c>
      <c r="CD1022" s="18" t="e">
        <f>VLOOKUP(C1022,CE:CF,2,FALSE)</f>
        <v>#N/A</v>
      </c>
    </row>
    <row r="1023" spans="1:82" ht="61.5" x14ac:dyDescent="0.85">
      <c r="A1023" s="18">
        <v>1</v>
      </c>
      <c r="B1023" s="57">
        <f>SUBTOTAL(103,$A$558:A1023)</f>
        <v>419</v>
      </c>
      <c r="C1023" s="22" t="s">
        <v>1280</v>
      </c>
      <c r="D1023" s="29">
        <f>E1023+F1023+G1023+H1023+I1023+J1023+L1023+N1023+P1023+R1023+T1023+U1023+V1023+W1023+X1023+Y1023+Z1023+AA1023+AB1023+AC1023+AD1023+AE1023</f>
        <v>3567998.53</v>
      </c>
      <c r="E1023" s="29">
        <v>0</v>
      </c>
      <c r="F1023" s="29">
        <v>0</v>
      </c>
      <c r="G1023" s="29">
        <v>0</v>
      </c>
      <c r="H1023" s="29">
        <v>0</v>
      </c>
      <c r="I1023" s="29">
        <v>0</v>
      </c>
      <c r="J1023" s="29">
        <v>0</v>
      </c>
      <c r="K1023" s="64">
        <v>0</v>
      </c>
      <c r="L1023" s="29">
        <v>0</v>
      </c>
      <c r="M1023" s="37">
        <v>770</v>
      </c>
      <c r="N1023" s="37">
        <v>3532234.65</v>
      </c>
      <c r="O1023" s="29">
        <v>0</v>
      </c>
      <c r="P1023" s="29">
        <v>0</v>
      </c>
      <c r="Q1023" s="29">
        <v>0</v>
      </c>
      <c r="R1023" s="29">
        <v>0</v>
      </c>
      <c r="S1023" s="29">
        <v>0</v>
      </c>
      <c r="T1023" s="29">
        <v>0</v>
      </c>
      <c r="U1023" s="29">
        <v>0</v>
      </c>
      <c r="V1023" s="29">
        <v>0</v>
      </c>
      <c r="W1023" s="29">
        <v>0</v>
      </c>
      <c r="X1023" s="29">
        <v>0</v>
      </c>
      <c r="Y1023" s="29">
        <v>0</v>
      </c>
      <c r="Z1023" s="29">
        <v>0</v>
      </c>
      <c r="AA1023" s="29">
        <v>0</v>
      </c>
      <c r="AB1023" s="29">
        <v>0</v>
      </c>
      <c r="AC1023" s="37">
        <v>35763.879999999997</v>
      </c>
      <c r="AD1023" s="29">
        <v>0</v>
      </c>
      <c r="AE1023" s="29">
        <v>0</v>
      </c>
      <c r="AF1023" s="32" t="s">
        <v>268</v>
      </c>
      <c r="AG1023" s="32">
        <v>2021</v>
      </c>
      <c r="AH1023" s="33">
        <v>2021</v>
      </c>
      <c r="BZ1023" s="61"/>
      <c r="CD1023" s="18">
        <f>VLOOKUP(C1023,CE:CF,2,FALSE)</f>
        <v>735</v>
      </c>
    </row>
    <row r="1024" spans="1:82" ht="61.5" x14ac:dyDescent="0.85">
      <c r="B1024" s="22" t="s">
        <v>841</v>
      </c>
      <c r="C1024" s="338"/>
      <c r="D1024" s="339">
        <f>SUM(D1025:D1026)</f>
        <v>7040608.0200000005</v>
      </c>
      <c r="E1024" s="29">
        <f t="shared" ref="E1024:AE1024" si="197">SUM(E1025:E1026)</f>
        <v>0</v>
      </c>
      <c r="F1024" s="29">
        <f t="shared" si="197"/>
        <v>0</v>
      </c>
      <c r="G1024" s="29">
        <f t="shared" si="197"/>
        <v>0</v>
      </c>
      <c r="H1024" s="29">
        <f t="shared" si="197"/>
        <v>0</v>
      </c>
      <c r="I1024" s="29">
        <f t="shared" si="197"/>
        <v>367412.22</v>
      </c>
      <c r="J1024" s="29">
        <f t="shared" si="197"/>
        <v>0</v>
      </c>
      <c r="K1024" s="31">
        <f t="shared" si="197"/>
        <v>0</v>
      </c>
      <c r="L1024" s="29">
        <f t="shared" si="197"/>
        <v>0</v>
      </c>
      <c r="M1024" s="29">
        <f t="shared" si="197"/>
        <v>1280</v>
      </c>
      <c r="N1024" s="29">
        <f t="shared" si="197"/>
        <v>6450920.7999999998</v>
      </c>
      <c r="O1024" s="29">
        <f t="shared" si="197"/>
        <v>0</v>
      </c>
      <c r="P1024" s="29">
        <f t="shared" si="197"/>
        <v>0</v>
      </c>
      <c r="Q1024" s="29">
        <f t="shared" si="197"/>
        <v>0</v>
      </c>
      <c r="R1024" s="29">
        <f t="shared" si="197"/>
        <v>0</v>
      </c>
      <c r="S1024" s="29">
        <f t="shared" si="197"/>
        <v>0</v>
      </c>
      <c r="T1024" s="29">
        <f t="shared" si="197"/>
        <v>0</v>
      </c>
      <c r="U1024" s="29">
        <f t="shared" si="197"/>
        <v>0</v>
      </c>
      <c r="V1024" s="29">
        <f t="shared" si="197"/>
        <v>0</v>
      </c>
      <c r="W1024" s="29">
        <f t="shared" si="197"/>
        <v>0</v>
      </c>
      <c r="X1024" s="29">
        <f t="shared" si="197"/>
        <v>0</v>
      </c>
      <c r="Y1024" s="29">
        <f t="shared" si="197"/>
        <v>0</v>
      </c>
      <c r="Z1024" s="29">
        <f t="shared" si="197"/>
        <v>0</v>
      </c>
      <c r="AA1024" s="29">
        <f t="shared" si="197"/>
        <v>0</v>
      </c>
      <c r="AB1024" s="29">
        <f t="shared" si="197"/>
        <v>0</v>
      </c>
      <c r="AC1024" s="29">
        <f t="shared" si="197"/>
        <v>102275</v>
      </c>
      <c r="AD1024" s="29">
        <f t="shared" si="197"/>
        <v>120000</v>
      </c>
      <c r="AE1024" s="29">
        <f t="shared" si="197"/>
        <v>0</v>
      </c>
      <c r="AF1024" s="62" t="s">
        <v>743</v>
      </c>
      <c r="AG1024" s="62" t="s">
        <v>743</v>
      </c>
      <c r="AH1024" s="77" t="s">
        <v>743</v>
      </c>
      <c r="AT1024" s="18" t="e">
        <f>VLOOKUP(C1024,AW:AX,2,FALSE)</f>
        <v>#N/A</v>
      </c>
      <c r="BZ1024" s="61">
        <v>1799918.22</v>
      </c>
      <c r="CD1024" s="18" t="e">
        <f>VLOOKUP(C1024,CE:CF,2,FALSE)</f>
        <v>#N/A</v>
      </c>
    </row>
    <row r="1025" spans="1:82" ht="61.5" x14ac:dyDescent="0.85">
      <c r="A1025" s="18">
        <v>1</v>
      </c>
      <c r="B1025" s="57">
        <f>SUBTOTAL(103,$A$558:A1025)</f>
        <v>420</v>
      </c>
      <c r="C1025" s="22" t="s">
        <v>149</v>
      </c>
      <c r="D1025" s="29">
        <f>E1025+F1025+G1025+H1025+I1025+J1025+L1025+N1025+P1025+R1025+T1025+U1025+V1025+W1025+X1025+Y1025+Z1025+AA1025+AB1025+AC1025+AD1025+AE1025</f>
        <v>1822040.62</v>
      </c>
      <c r="E1025" s="29">
        <v>0</v>
      </c>
      <c r="F1025" s="29">
        <v>0</v>
      </c>
      <c r="G1025" s="29">
        <v>0</v>
      </c>
      <c r="H1025" s="29">
        <v>0</v>
      </c>
      <c r="I1025" s="29">
        <v>367412.22</v>
      </c>
      <c r="J1025" s="29">
        <v>0</v>
      </c>
      <c r="K1025" s="31">
        <v>0</v>
      </c>
      <c r="L1025" s="29">
        <v>0</v>
      </c>
      <c r="M1025" s="29">
        <v>300</v>
      </c>
      <c r="N1025" s="29">
        <f>1287679.62+21795.47</f>
        <v>1309475.0900000001</v>
      </c>
      <c r="O1025" s="29">
        <v>0</v>
      </c>
      <c r="P1025" s="29">
        <v>0</v>
      </c>
      <c r="Q1025" s="29">
        <v>0</v>
      </c>
      <c r="R1025" s="29">
        <v>0</v>
      </c>
      <c r="S1025" s="29">
        <v>0</v>
      </c>
      <c r="T1025" s="29">
        <v>0</v>
      </c>
      <c r="U1025" s="29">
        <v>0</v>
      </c>
      <c r="V1025" s="29">
        <v>0</v>
      </c>
      <c r="W1025" s="29">
        <v>0</v>
      </c>
      <c r="X1025" s="29">
        <v>0</v>
      </c>
      <c r="Y1025" s="29">
        <v>0</v>
      </c>
      <c r="Z1025" s="29">
        <v>0</v>
      </c>
      <c r="AA1025" s="29">
        <v>0</v>
      </c>
      <c r="AB1025" s="29">
        <v>0</v>
      </c>
      <c r="AC1025" s="29">
        <f>ROUND((N1025+I1025)*1.5%,2)</f>
        <v>25153.31</v>
      </c>
      <c r="AD1025" s="29">
        <v>120000</v>
      </c>
      <c r="AE1025" s="29">
        <v>0</v>
      </c>
      <c r="AF1025" s="32">
        <v>2021</v>
      </c>
      <c r="AG1025" s="32">
        <v>2021</v>
      </c>
      <c r="AH1025" s="33">
        <v>2021</v>
      </c>
      <c r="AT1025" s="18" t="e">
        <f>VLOOKUP(C1025,AW:AX,2,FALSE)</f>
        <v>#N/A</v>
      </c>
      <c r="BZ1025" s="61"/>
      <c r="CD1025" s="18" t="e">
        <f>VLOOKUP(C1025,CE:CF,2,FALSE)</f>
        <v>#N/A</v>
      </c>
    </row>
    <row r="1026" spans="1:82" ht="61.5" x14ac:dyDescent="0.85">
      <c r="A1026" s="18">
        <v>1</v>
      </c>
      <c r="B1026" s="57">
        <f>SUBTOTAL(103,$A$558:A1026)</f>
        <v>421</v>
      </c>
      <c r="C1026" s="22" t="s">
        <v>139</v>
      </c>
      <c r="D1026" s="29">
        <f>E1026+F1026+G1026+H1026+I1026+J1026+L1026+N1026+P1026+R1026+T1026+U1026+V1026+W1026+X1026+Y1026+Z1026+AA1026+AB1026+AC1026+AD1026+AE1026</f>
        <v>5218567.4000000004</v>
      </c>
      <c r="E1026" s="29">
        <v>0</v>
      </c>
      <c r="F1026" s="29">
        <v>0</v>
      </c>
      <c r="G1026" s="29">
        <v>0</v>
      </c>
      <c r="H1026" s="29">
        <v>0</v>
      </c>
      <c r="I1026" s="29">
        <v>0</v>
      </c>
      <c r="J1026" s="29">
        <v>0</v>
      </c>
      <c r="K1026" s="64">
        <v>0</v>
      </c>
      <c r="L1026" s="29">
        <v>0</v>
      </c>
      <c r="M1026" s="29">
        <v>980</v>
      </c>
      <c r="N1026" s="29">
        <v>5141445.71</v>
      </c>
      <c r="O1026" s="29">
        <v>0</v>
      </c>
      <c r="P1026" s="29">
        <v>0</v>
      </c>
      <c r="Q1026" s="29">
        <v>0</v>
      </c>
      <c r="R1026" s="29">
        <v>0</v>
      </c>
      <c r="S1026" s="29">
        <v>0</v>
      </c>
      <c r="T1026" s="29">
        <v>0</v>
      </c>
      <c r="U1026" s="29">
        <v>0</v>
      </c>
      <c r="V1026" s="29">
        <v>0</v>
      </c>
      <c r="W1026" s="29">
        <v>0</v>
      </c>
      <c r="X1026" s="29">
        <v>0</v>
      </c>
      <c r="Y1026" s="29">
        <v>0</v>
      </c>
      <c r="Z1026" s="29">
        <v>0</v>
      </c>
      <c r="AA1026" s="29">
        <v>0</v>
      </c>
      <c r="AB1026" s="29">
        <v>0</v>
      </c>
      <c r="AC1026" s="29">
        <f>ROUND(N1026*1.5%,2)</f>
        <v>77121.69</v>
      </c>
      <c r="AD1026" s="29">
        <v>0</v>
      </c>
      <c r="AE1026" s="29">
        <v>0</v>
      </c>
      <c r="AF1026" s="32" t="s">
        <v>268</v>
      </c>
      <c r="AG1026" s="32">
        <v>2021</v>
      </c>
      <c r="AH1026" s="33">
        <v>2021</v>
      </c>
      <c r="AT1026" s="18" t="e">
        <v>#N/A</v>
      </c>
      <c r="BZ1026" s="61"/>
      <c r="CD1026" s="18" t="e">
        <v>#N/A</v>
      </c>
    </row>
    <row r="1027" spans="1:82" ht="61.5" x14ac:dyDescent="0.85">
      <c r="B1027" s="22" t="s">
        <v>869</v>
      </c>
      <c r="C1027" s="22"/>
      <c r="D1027" s="339">
        <f t="shared" ref="D1027:AE1027" si="198">D1028</f>
        <v>3974620.0799999996</v>
      </c>
      <c r="E1027" s="29">
        <f t="shared" si="198"/>
        <v>0</v>
      </c>
      <c r="F1027" s="29">
        <f t="shared" si="198"/>
        <v>0</v>
      </c>
      <c r="G1027" s="29">
        <f t="shared" si="198"/>
        <v>0</v>
      </c>
      <c r="H1027" s="29">
        <f t="shared" si="198"/>
        <v>0</v>
      </c>
      <c r="I1027" s="29">
        <f t="shared" si="198"/>
        <v>0</v>
      </c>
      <c r="J1027" s="29">
        <f t="shared" si="198"/>
        <v>0</v>
      </c>
      <c r="K1027" s="31">
        <f t="shared" si="198"/>
        <v>0</v>
      </c>
      <c r="L1027" s="29">
        <f t="shared" si="198"/>
        <v>0</v>
      </c>
      <c r="M1027" s="29">
        <f t="shared" si="198"/>
        <v>660</v>
      </c>
      <c r="N1027" s="29">
        <f t="shared" si="198"/>
        <v>3811664.28</v>
      </c>
      <c r="O1027" s="29">
        <f t="shared" si="198"/>
        <v>0</v>
      </c>
      <c r="P1027" s="29">
        <f t="shared" si="198"/>
        <v>0</v>
      </c>
      <c r="Q1027" s="29">
        <f t="shared" si="198"/>
        <v>0</v>
      </c>
      <c r="R1027" s="29">
        <f t="shared" si="198"/>
        <v>0</v>
      </c>
      <c r="S1027" s="29">
        <f t="shared" si="198"/>
        <v>0</v>
      </c>
      <c r="T1027" s="29">
        <f t="shared" si="198"/>
        <v>0</v>
      </c>
      <c r="U1027" s="29">
        <f t="shared" si="198"/>
        <v>0</v>
      </c>
      <c r="V1027" s="29">
        <f t="shared" si="198"/>
        <v>0</v>
      </c>
      <c r="W1027" s="29">
        <f t="shared" si="198"/>
        <v>0</v>
      </c>
      <c r="X1027" s="29">
        <f t="shared" si="198"/>
        <v>0</v>
      </c>
      <c r="Y1027" s="29">
        <f t="shared" si="198"/>
        <v>0</v>
      </c>
      <c r="Z1027" s="29">
        <f t="shared" si="198"/>
        <v>0</v>
      </c>
      <c r="AA1027" s="29">
        <f t="shared" si="198"/>
        <v>0</v>
      </c>
      <c r="AB1027" s="29">
        <f t="shared" si="198"/>
        <v>0</v>
      </c>
      <c r="AC1027" s="29">
        <f t="shared" si="198"/>
        <v>57174.96</v>
      </c>
      <c r="AD1027" s="29">
        <f t="shared" si="198"/>
        <v>105780.84</v>
      </c>
      <c r="AE1027" s="29">
        <f t="shared" si="198"/>
        <v>0</v>
      </c>
      <c r="AF1027" s="62" t="s">
        <v>743</v>
      </c>
      <c r="AG1027" s="62" t="s">
        <v>743</v>
      </c>
      <c r="AH1027" s="77" t="s">
        <v>743</v>
      </c>
      <c r="AT1027" s="18" t="e">
        <f>VLOOKUP(C1027,AW:AX,2,FALSE)</f>
        <v>#N/A</v>
      </c>
      <c r="BZ1027" s="61">
        <v>3974620.0799999996</v>
      </c>
      <c r="CD1027" s="18" t="e">
        <f>VLOOKUP(C1027,CE:CF,2,FALSE)</f>
        <v>#N/A</v>
      </c>
    </row>
    <row r="1028" spans="1:82" ht="61.5" x14ac:dyDescent="0.85">
      <c r="A1028" s="18">
        <v>1</v>
      </c>
      <c r="B1028" s="57">
        <f>SUBTOTAL(103,$A$558:A1028)</f>
        <v>422</v>
      </c>
      <c r="C1028" s="22" t="s">
        <v>150</v>
      </c>
      <c r="D1028" s="29">
        <f>E1028+F1028+G1028+H1028+I1028+J1028+L1028+N1028+P1028+R1028+T1028+U1028+V1028+W1028+X1028+Y1028+Z1028+AA1028+AB1028+AC1028+AD1028+AE1028</f>
        <v>3974620.0799999996</v>
      </c>
      <c r="E1028" s="29">
        <v>0</v>
      </c>
      <c r="F1028" s="29">
        <v>0</v>
      </c>
      <c r="G1028" s="29">
        <v>0</v>
      </c>
      <c r="H1028" s="29">
        <v>0</v>
      </c>
      <c r="I1028" s="29">
        <v>0</v>
      </c>
      <c r="J1028" s="29">
        <v>0</v>
      </c>
      <c r="K1028" s="31">
        <v>0</v>
      </c>
      <c r="L1028" s="29">
        <v>0</v>
      </c>
      <c r="M1028" s="29">
        <v>660</v>
      </c>
      <c r="N1028" s="29">
        <f>3247692.88+520405.72+43565.68</f>
        <v>3811664.28</v>
      </c>
      <c r="O1028" s="29">
        <v>0</v>
      </c>
      <c r="P1028" s="29">
        <v>0</v>
      </c>
      <c r="Q1028" s="29">
        <v>0</v>
      </c>
      <c r="R1028" s="29">
        <v>0</v>
      </c>
      <c r="S1028" s="29">
        <v>0</v>
      </c>
      <c r="T1028" s="29">
        <v>0</v>
      </c>
      <c r="U1028" s="29">
        <v>0</v>
      </c>
      <c r="V1028" s="29">
        <v>0</v>
      </c>
      <c r="W1028" s="29">
        <v>0</v>
      </c>
      <c r="X1028" s="29">
        <v>0</v>
      </c>
      <c r="Y1028" s="29">
        <v>0</v>
      </c>
      <c r="Z1028" s="29">
        <v>0</v>
      </c>
      <c r="AA1028" s="29">
        <v>0</v>
      </c>
      <c r="AB1028" s="29">
        <v>0</v>
      </c>
      <c r="AC1028" s="29">
        <f>ROUND(N1028*1.5%,2)</f>
        <v>57174.96</v>
      </c>
      <c r="AD1028" s="29">
        <v>105780.84</v>
      </c>
      <c r="AE1028" s="29">
        <v>0</v>
      </c>
      <c r="AF1028" s="32">
        <v>2021</v>
      </c>
      <c r="AG1028" s="32">
        <v>2021</v>
      </c>
      <c r="AH1028" s="33">
        <v>2021</v>
      </c>
      <c r="AT1028" s="18" t="e">
        <f>VLOOKUP(C1028,AW:AX,2,FALSE)</f>
        <v>#N/A</v>
      </c>
      <c r="BZ1028" s="61"/>
      <c r="CD1028" s="18" t="e">
        <f>VLOOKUP(C1028,CE:CF,2,FALSE)</f>
        <v>#N/A</v>
      </c>
    </row>
    <row r="1029" spans="1:82" ht="61.5" x14ac:dyDescent="0.85">
      <c r="B1029" s="22" t="s">
        <v>870</v>
      </c>
      <c r="C1029" s="22"/>
      <c r="D1029" s="339">
        <f t="shared" ref="D1029:AE1031" si="199">D1030</f>
        <v>3001841.1700000004</v>
      </c>
      <c r="E1029" s="29">
        <f t="shared" si="199"/>
        <v>0</v>
      </c>
      <c r="F1029" s="29">
        <f t="shared" si="199"/>
        <v>0</v>
      </c>
      <c r="G1029" s="29">
        <f t="shared" si="199"/>
        <v>0</v>
      </c>
      <c r="H1029" s="29">
        <f t="shared" si="199"/>
        <v>0</v>
      </c>
      <c r="I1029" s="29">
        <f t="shared" si="199"/>
        <v>0</v>
      </c>
      <c r="J1029" s="29">
        <f t="shared" si="199"/>
        <v>0</v>
      </c>
      <c r="K1029" s="31">
        <f t="shared" si="199"/>
        <v>0</v>
      </c>
      <c r="L1029" s="29">
        <f t="shared" si="199"/>
        <v>0</v>
      </c>
      <c r="M1029" s="29">
        <f t="shared" si="199"/>
        <v>600</v>
      </c>
      <c r="N1029" s="29">
        <f t="shared" si="199"/>
        <v>2885703.89</v>
      </c>
      <c r="O1029" s="29">
        <f t="shared" si="199"/>
        <v>0</v>
      </c>
      <c r="P1029" s="29">
        <f t="shared" si="199"/>
        <v>0</v>
      </c>
      <c r="Q1029" s="29">
        <f t="shared" si="199"/>
        <v>0</v>
      </c>
      <c r="R1029" s="29">
        <f t="shared" si="199"/>
        <v>0</v>
      </c>
      <c r="S1029" s="29">
        <f t="shared" si="199"/>
        <v>0</v>
      </c>
      <c r="T1029" s="29">
        <f t="shared" si="199"/>
        <v>0</v>
      </c>
      <c r="U1029" s="29">
        <f t="shared" si="199"/>
        <v>0</v>
      </c>
      <c r="V1029" s="29">
        <f t="shared" si="199"/>
        <v>0</v>
      </c>
      <c r="W1029" s="29">
        <f t="shared" si="199"/>
        <v>0</v>
      </c>
      <c r="X1029" s="29">
        <f t="shared" si="199"/>
        <v>0</v>
      </c>
      <c r="Y1029" s="29">
        <f t="shared" si="199"/>
        <v>0</v>
      </c>
      <c r="Z1029" s="29">
        <f t="shared" si="199"/>
        <v>0</v>
      </c>
      <c r="AA1029" s="29">
        <f t="shared" si="199"/>
        <v>0</v>
      </c>
      <c r="AB1029" s="29">
        <f t="shared" si="199"/>
        <v>0</v>
      </c>
      <c r="AC1029" s="29">
        <f t="shared" si="199"/>
        <v>43285.56</v>
      </c>
      <c r="AD1029" s="29">
        <f t="shared" si="199"/>
        <v>72851.72</v>
      </c>
      <c r="AE1029" s="29">
        <f t="shared" si="199"/>
        <v>0</v>
      </c>
      <c r="AF1029" s="62" t="s">
        <v>743</v>
      </c>
      <c r="AG1029" s="62" t="s">
        <v>743</v>
      </c>
      <c r="AH1029" s="77" t="s">
        <v>743</v>
      </c>
      <c r="AT1029" s="18" t="e">
        <f>VLOOKUP(C1029,AW:AX,2,FALSE)</f>
        <v>#N/A</v>
      </c>
      <c r="BZ1029" s="61">
        <v>2957808</v>
      </c>
      <c r="CD1029" s="18" t="e">
        <f>VLOOKUP(C1029,CE:CF,2,FALSE)</f>
        <v>#N/A</v>
      </c>
    </row>
    <row r="1030" spans="1:82" ht="61.5" x14ac:dyDescent="0.85">
      <c r="A1030" s="18">
        <v>1</v>
      </c>
      <c r="B1030" s="57">
        <f>SUBTOTAL(103,$A$558:A1030)</f>
        <v>423</v>
      </c>
      <c r="C1030" s="22" t="s">
        <v>155</v>
      </c>
      <c r="D1030" s="29">
        <f>E1030+F1030+G1030+H1030+I1030+J1030+L1030+N1030+P1030+R1030+T1030+U1030+V1030+W1030+X1030+Y1030+Z1030+AA1030+AB1030+AC1030+AD1030+AE1030</f>
        <v>3001841.1700000004</v>
      </c>
      <c r="E1030" s="29">
        <v>0</v>
      </c>
      <c r="F1030" s="29">
        <v>0</v>
      </c>
      <c r="G1030" s="29">
        <v>0</v>
      </c>
      <c r="H1030" s="29">
        <v>0</v>
      </c>
      <c r="I1030" s="29">
        <v>0</v>
      </c>
      <c r="J1030" s="29">
        <v>0</v>
      </c>
      <c r="K1030" s="31">
        <v>0</v>
      </c>
      <c r="L1030" s="29">
        <v>0</v>
      </c>
      <c r="M1030" s="29">
        <v>600</v>
      </c>
      <c r="N1030" s="29">
        <f>2766313.3+43382.43+76008.16</f>
        <v>2885703.89</v>
      </c>
      <c r="O1030" s="29">
        <v>0</v>
      </c>
      <c r="P1030" s="29">
        <v>0</v>
      </c>
      <c r="Q1030" s="29">
        <v>0</v>
      </c>
      <c r="R1030" s="29">
        <v>0</v>
      </c>
      <c r="S1030" s="29">
        <v>0</v>
      </c>
      <c r="T1030" s="29">
        <v>0</v>
      </c>
      <c r="U1030" s="29">
        <v>0</v>
      </c>
      <c r="V1030" s="29">
        <v>0</v>
      </c>
      <c r="W1030" s="29">
        <v>0</v>
      </c>
      <c r="X1030" s="29">
        <v>0</v>
      </c>
      <c r="Y1030" s="29">
        <v>0</v>
      </c>
      <c r="Z1030" s="29">
        <v>0</v>
      </c>
      <c r="AA1030" s="29">
        <v>0</v>
      </c>
      <c r="AB1030" s="29">
        <v>0</v>
      </c>
      <c r="AC1030" s="29">
        <f>ROUND(N1030*1.5%,2)</f>
        <v>43285.56</v>
      </c>
      <c r="AD1030" s="29">
        <v>72851.72</v>
      </c>
      <c r="AE1030" s="29">
        <v>0</v>
      </c>
      <c r="AF1030" s="32">
        <v>2021</v>
      </c>
      <c r="AG1030" s="32">
        <v>2021</v>
      </c>
      <c r="AH1030" s="33">
        <v>2021</v>
      </c>
      <c r="AT1030" s="18" t="e">
        <f>VLOOKUP(C1030,AW:AX,2,FALSE)</f>
        <v>#N/A</v>
      </c>
      <c r="BZ1030" s="61"/>
      <c r="CD1030" s="18" t="e">
        <f>VLOOKUP(C1030,CE:CF,2,FALSE)</f>
        <v>#N/A</v>
      </c>
    </row>
    <row r="1031" spans="1:82" ht="61.5" x14ac:dyDescent="0.85">
      <c r="B1031" s="22" t="s">
        <v>842</v>
      </c>
      <c r="C1031" s="22"/>
      <c r="D1031" s="339">
        <f t="shared" si="199"/>
        <v>2594808.33</v>
      </c>
      <c r="E1031" s="29">
        <f t="shared" si="199"/>
        <v>0</v>
      </c>
      <c r="F1031" s="29">
        <f t="shared" si="199"/>
        <v>0</v>
      </c>
      <c r="G1031" s="29">
        <f t="shared" si="199"/>
        <v>0</v>
      </c>
      <c r="H1031" s="29">
        <f t="shared" si="199"/>
        <v>0</v>
      </c>
      <c r="I1031" s="29">
        <f t="shared" si="199"/>
        <v>0</v>
      </c>
      <c r="J1031" s="29">
        <f t="shared" si="199"/>
        <v>0</v>
      </c>
      <c r="K1031" s="31">
        <f t="shared" si="199"/>
        <v>0</v>
      </c>
      <c r="L1031" s="29">
        <f t="shared" si="199"/>
        <v>0</v>
      </c>
      <c r="M1031" s="29">
        <f t="shared" si="199"/>
        <v>629.1</v>
      </c>
      <c r="N1031" s="29">
        <f t="shared" si="199"/>
        <v>2556461.41</v>
      </c>
      <c r="O1031" s="29">
        <f t="shared" si="199"/>
        <v>0</v>
      </c>
      <c r="P1031" s="29">
        <f t="shared" si="199"/>
        <v>0</v>
      </c>
      <c r="Q1031" s="29">
        <f t="shared" si="199"/>
        <v>0</v>
      </c>
      <c r="R1031" s="29">
        <f t="shared" si="199"/>
        <v>0</v>
      </c>
      <c r="S1031" s="29">
        <f t="shared" si="199"/>
        <v>0</v>
      </c>
      <c r="T1031" s="29">
        <f t="shared" si="199"/>
        <v>0</v>
      </c>
      <c r="U1031" s="29">
        <f t="shared" si="199"/>
        <v>0</v>
      </c>
      <c r="V1031" s="29">
        <f t="shared" si="199"/>
        <v>0</v>
      </c>
      <c r="W1031" s="29">
        <f t="shared" si="199"/>
        <v>0</v>
      </c>
      <c r="X1031" s="29">
        <f t="shared" si="199"/>
        <v>0</v>
      </c>
      <c r="Y1031" s="29">
        <f t="shared" si="199"/>
        <v>0</v>
      </c>
      <c r="Z1031" s="29">
        <f t="shared" si="199"/>
        <v>0</v>
      </c>
      <c r="AA1031" s="29">
        <f t="shared" si="199"/>
        <v>0</v>
      </c>
      <c r="AB1031" s="29">
        <f t="shared" si="199"/>
        <v>0</v>
      </c>
      <c r="AC1031" s="29">
        <f t="shared" si="199"/>
        <v>38346.92</v>
      </c>
      <c r="AD1031" s="29">
        <f t="shared" si="199"/>
        <v>0</v>
      </c>
      <c r="AE1031" s="29">
        <f t="shared" si="199"/>
        <v>0</v>
      </c>
      <c r="AF1031" s="62" t="s">
        <v>743</v>
      </c>
      <c r="AG1031" s="62" t="s">
        <v>743</v>
      </c>
      <c r="AH1031" s="77" t="s">
        <v>743</v>
      </c>
      <c r="AT1031" s="18" t="e">
        <f>VLOOKUP(C1031,AW:AX,2,FALSE)</f>
        <v>#N/A</v>
      </c>
      <c r="BZ1031" s="61">
        <v>2957808</v>
      </c>
      <c r="CD1031" s="18" t="e">
        <f>VLOOKUP(C1031,CE:CF,2,FALSE)</f>
        <v>#N/A</v>
      </c>
    </row>
    <row r="1032" spans="1:82" ht="61.5" x14ac:dyDescent="0.85">
      <c r="A1032" s="18">
        <v>1</v>
      </c>
      <c r="B1032" s="57">
        <f>SUBTOTAL(103,$A$558:A1032)</f>
        <v>424</v>
      </c>
      <c r="C1032" s="22" t="s">
        <v>144</v>
      </c>
      <c r="D1032" s="29">
        <f>E1032+F1032+G1032+H1032+I1032+J1032+L1032+N1032+P1032+R1032+T1032+U1032+V1032+W1032+X1032+Y1032+Z1032+AA1032+AB1032+AC1032+AD1032+AE1032</f>
        <v>2594808.33</v>
      </c>
      <c r="E1032" s="29">
        <v>0</v>
      </c>
      <c r="F1032" s="29">
        <v>0</v>
      </c>
      <c r="G1032" s="29">
        <v>0</v>
      </c>
      <c r="H1032" s="29">
        <v>0</v>
      </c>
      <c r="I1032" s="29">
        <v>0</v>
      </c>
      <c r="J1032" s="29">
        <v>0</v>
      </c>
      <c r="K1032" s="64">
        <v>0</v>
      </c>
      <c r="L1032" s="29">
        <v>0</v>
      </c>
      <c r="M1032" s="29">
        <v>629.1</v>
      </c>
      <c r="N1032" s="29">
        <f>2494957.68+61503.73</f>
        <v>2556461.41</v>
      </c>
      <c r="O1032" s="29">
        <v>0</v>
      </c>
      <c r="P1032" s="29">
        <v>0</v>
      </c>
      <c r="Q1032" s="29">
        <v>0</v>
      </c>
      <c r="R1032" s="29">
        <v>0</v>
      </c>
      <c r="S1032" s="29">
        <v>0</v>
      </c>
      <c r="T1032" s="29">
        <v>0</v>
      </c>
      <c r="U1032" s="29">
        <v>0</v>
      </c>
      <c r="V1032" s="29">
        <v>0</v>
      </c>
      <c r="W1032" s="29">
        <v>0</v>
      </c>
      <c r="X1032" s="29">
        <v>0</v>
      </c>
      <c r="Y1032" s="29">
        <v>0</v>
      </c>
      <c r="Z1032" s="29">
        <v>0</v>
      </c>
      <c r="AA1032" s="29">
        <v>0</v>
      </c>
      <c r="AB1032" s="29">
        <v>0</v>
      </c>
      <c r="AC1032" s="29">
        <f>ROUND(N1032*1.5%,2)</f>
        <v>38346.92</v>
      </c>
      <c r="AD1032" s="29">
        <v>0</v>
      </c>
      <c r="AE1032" s="29">
        <v>0</v>
      </c>
      <c r="AF1032" s="32" t="s">
        <v>268</v>
      </c>
      <c r="AG1032" s="32">
        <v>2021</v>
      </c>
      <c r="AH1032" s="33">
        <v>2021</v>
      </c>
      <c r="AT1032" s="18" t="e">
        <v>#N/A</v>
      </c>
      <c r="BZ1032" s="61"/>
      <c r="CD1032" s="18" t="e">
        <v>#N/A</v>
      </c>
    </row>
    <row r="1033" spans="1:82" ht="61.5" x14ac:dyDescent="0.85">
      <c r="B1033" s="22" t="s">
        <v>843</v>
      </c>
      <c r="C1033" s="22"/>
      <c r="D1033" s="339">
        <f>SUM(D1034:D1036)</f>
        <v>12428636.060000001</v>
      </c>
      <c r="E1033" s="29">
        <f t="shared" ref="E1033:AE1033" si="200">SUM(E1034:E1036)</f>
        <v>0</v>
      </c>
      <c r="F1033" s="29">
        <f t="shared" si="200"/>
        <v>0</v>
      </c>
      <c r="G1033" s="29">
        <f t="shared" si="200"/>
        <v>0</v>
      </c>
      <c r="H1033" s="29">
        <f t="shared" si="200"/>
        <v>0</v>
      </c>
      <c r="I1033" s="29">
        <f t="shared" si="200"/>
        <v>0</v>
      </c>
      <c r="J1033" s="29">
        <f t="shared" si="200"/>
        <v>0</v>
      </c>
      <c r="K1033" s="31">
        <f t="shared" si="200"/>
        <v>0</v>
      </c>
      <c r="L1033" s="29">
        <f t="shared" si="200"/>
        <v>0</v>
      </c>
      <c r="M1033" s="29">
        <f t="shared" si="200"/>
        <v>1381.8</v>
      </c>
      <c r="N1033" s="29">
        <f t="shared" si="200"/>
        <v>7383806.4299999997</v>
      </c>
      <c r="O1033" s="29">
        <f t="shared" si="200"/>
        <v>0</v>
      </c>
      <c r="P1033" s="29">
        <f t="shared" si="200"/>
        <v>0</v>
      </c>
      <c r="Q1033" s="29">
        <f t="shared" si="200"/>
        <v>0</v>
      </c>
      <c r="R1033" s="29">
        <f t="shared" si="200"/>
        <v>0</v>
      </c>
      <c r="S1033" s="29">
        <f t="shared" si="200"/>
        <v>0</v>
      </c>
      <c r="T1033" s="29">
        <f t="shared" si="200"/>
        <v>0</v>
      </c>
      <c r="U1033" s="29">
        <f t="shared" si="200"/>
        <v>4756801.37</v>
      </c>
      <c r="V1033" s="29">
        <f t="shared" si="200"/>
        <v>0</v>
      </c>
      <c r="W1033" s="29">
        <f t="shared" si="200"/>
        <v>0</v>
      </c>
      <c r="X1033" s="29">
        <f t="shared" si="200"/>
        <v>0</v>
      </c>
      <c r="Y1033" s="29">
        <f t="shared" si="200"/>
        <v>0</v>
      </c>
      <c r="Z1033" s="29">
        <f t="shared" si="200"/>
        <v>0</v>
      </c>
      <c r="AA1033" s="29">
        <f t="shared" si="200"/>
        <v>0</v>
      </c>
      <c r="AB1033" s="29">
        <f t="shared" si="200"/>
        <v>0</v>
      </c>
      <c r="AC1033" s="29">
        <f t="shared" si="200"/>
        <v>182109.11</v>
      </c>
      <c r="AD1033" s="29">
        <f t="shared" si="200"/>
        <v>105919.15</v>
      </c>
      <c r="AE1033" s="29">
        <f t="shared" si="200"/>
        <v>0</v>
      </c>
      <c r="AF1033" s="62" t="s">
        <v>743</v>
      </c>
      <c r="AG1033" s="62" t="s">
        <v>743</v>
      </c>
      <c r="AH1033" s="77" t="s">
        <v>743</v>
      </c>
      <c r="AT1033" s="18" t="e">
        <f>VLOOKUP(C1033,AW:AX,2,FALSE)</f>
        <v>#N/A</v>
      </c>
      <c r="BZ1033" s="61">
        <v>4651054.3499999996</v>
      </c>
      <c r="CD1033" s="18" t="e">
        <f>VLOOKUP(C1033,CE:CF,2,FALSE)</f>
        <v>#N/A</v>
      </c>
    </row>
    <row r="1034" spans="1:82" ht="61.5" x14ac:dyDescent="0.85">
      <c r="A1034" s="18">
        <v>1</v>
      </c>
      <c r="B1034" s="57">
        <f>SUBTOTAL(103,$A$558:A1034)</f>
        <v>425</v>
      </c>
      <c r="C1034" s="22" t="s">
        <v>154</v>
      </c>
      <c r="D1034" s="29">
        <f>E1034+F1034+G1034+H1034+I1034+J1034+L1034+N1034+P1034+R1034+T1034+U1034+V1034+W1034+X1034+Y1034+Z1034+AA1034+AB1034+AC1034+AD1034+AE1034</f>
        <v>4621140.7</v>
      </c>
      <c r="E1034" s="29">
        <v>0</v>
      </c>
      <c r="F1034" s="29">
        <v>0</v>
      </c>
      <c r="G1034" s="29">
        <v>0</v>
      </c>
      <c r="H1034" s="29">
        <v>0</v>
      </c>
      <c r="I1034" s="29">
        <v>0</v>
      </c>
      <c r="J1034" s="29">
        <v>0</v>
      </c>
      <c r="K1034" s="31">
        <v>0</v>
      </c>
      <c r="L1034" s="29">
        <v>0</v>
      </c>
      <c r="M1034" s="29">
        <v>785</v>
      </c>
      <c r="N1034" s="29">
        <f>4434536.31+13957.83</f>
        <v>4448494.1399999997</v>
      </c>
      <c r="O1034" s="29">
        <v>0</v>
      </c>
      <c r="P1034" s="29">
        <v>0</v>
      </c>
      <c r="Q1034" s="29">
        <v>0</v>
      </c>
      <c r="R1034" s="29">
        <v>0</v>
      </c>
      <c r="S1034" s="29">
        <v>0</v>
      </c>
      <c r="T1034" s="29">
        <v>0</v>
      </c>
      <c r="U1034" s="29">
        <v>0</v>
      </c>
      <c r="V1034" s="29">
        <v>0</v>
      </c>
      <c r="W1034" s="29">
        <v>0</v>
      </c>
      <c r="X1034" s="29">
        <v>0</v>
      </c>
      <c r="Y1034" s="29">
        <v>0</v>
      </c>
      <c r="Z1034" s="29">
        <v>0</v>
      </c>
      <c r="AA1034" s="29">
        <v>0</v>
      </c>
      <c r="AB1034" s="29">
        <v>0</v>
      </c>
      <c r="AC1034" s="29">
        <f>ROUND(N1034*1.5%,2)</f>
        <v>66727.41</v>
      </c>
      <c r="AD1034" s="29">
        <v>105919.15</v>
      </c>
      <c r="AE1034" s="29">
        <v>0</v>
      </c>
      <c r="AF1034" s="32">
        <v>2021</v>
      </c>
      <c r="AG1034" s="32">
        <v>2021</v>
      </c>
      <c r="AH1034" s="33">
        <v>2021</v>
      </c>
      <c r="AT1034" s="18" t="e">
        <f>VLOOKUP(C1034,AW:AX,2,FALSE)</f>
        <v>#N/A</v>
      </c>
      <c r="BZ1034" s="61"/>
      <c r="CD1034" s="18" t="e">
        <f>VLOOKUP(C1034,CE:CF,2,FALSE)</f>
        <v>#N/A</v>
      </c>
    </row>
    <row r="1035" spans="1:82" ht="61.5" x14ac:dyDescent="0.85">
      <c r="A1035" s="18">
        <v>1</v>
      </c>
      <c r="B1035" s="57">
        <f>SUBTOTAL(103,$A$558:A1035)</f>
        <v>426</v>
      </c>
      <c r="C1035" s="22" t="s">
        <v>142</v>
      </c>
      <c r="D1035" s="29">
        <f>E1035+F1035+G1035+H1035+I1035+J1035+L1035+N1035+P1035+R1035+T1035+U1035+V1035+W1035+X1035+Y1035+Z1035+AA1035+AB1035+AC1035+AD1035+AE1035</f>
        <v>4828153.3899999997</v>
      </c>
      <c r="E1035" s="29">
        <v>0</v>
      </c>
      <c r="F1035" s="29">
        <v>0</v>
      </c>
      <c r="G1035" s="29">
        <v>0</v>
      </c>
      <c r="H1035" s="29">
        <v>0</v>
      </c>
      <c r="I1035" s="29">
        <v>0</v>
      </c>
      <c r="J1035" s="29">
        <v>0</v>
      </c>
      <c r="K1035" s="64">
        <v>0</v>
      </c>
      <c r="L1035" s="29">
        <v>0</v>
      </c>
      <c r="M1035" s="29">
        <v>0</v>
      </c>
      <c r="N1035" s="29">
        <v>0</v>
      </c>
      <c r="O1035" s="29">
        <v>0</v>
      </c>
      <c r="P1035" s="29">
        <v>0</v>
      </c>
      <c r="Q1035" s="29">
        <v>0</v>
      </c>
      <c r="R1035" s="29">
        <v>0</v>
      </c>
      <c r="S1035" s="29">
        <v>0</v>
      </c>
      <c r="T1035" s="29">
        <v>0</v>
      </c>
      <c r="U1035" s="29">
        <f>4750000-23149.57+29950.94</f>
        <v>4756801.37</v>
      </c>
      <c r="V1035" s="29">
        <v>0</v>
      </c>
      <c r="W1035" s="29">
        <v>0</v>
      </c>
      <c r="X1035" s="29">
        <v>0</v>
      </c>
      <c r="Y1035" s="29">
        <v>0</v>
      </c>
      <c r="Z1035" s="29">
        <v>0</v>
      </c>
      <c r="AA1035" s="29">
        <v>0</v>
      </c>
      <c r="AB1035" s="29">
        <v>0</v>
      </c>
      <c r="AC1035" s="29">
        <f>ROUND(U1035*1.5%,2)</f>
        <v>71352.02</v>
      </c>
      <c r="AD1035" s="29">
        <v>0</v>
      </c>
      <c r="AE1035" s="29">
        <v>0</v>
      </c>
      <c r="AF1035" s="32" t="s">
        <v>268</v>
      </c>
      <c r="AG1035" s="32">
        <v>2021</v>
      </c>
      <c r="AH1035" s="33">
        <v>2021</v>
      </c>
      <c r="AT1035" s="18" t="e">
        <v>#N/A</v>
      </c>
      <c r="BZ1035" s="61"/>
      <c r="CD1035" s="18" t="e">
        <v>#N/A</v>
      </c>
    </row>
    <row r="1036" spans="1:82" ht="61.5" x14ac:dyDescent="0.85">
      <c r="A1036" s="18">
        <v>1</v>
      </c>
      <c r="B1036" s="57">
        <f>SUBTOTAL(103,$A$558:A1036)</f>
        <v>427</v>
      </c>
      <c r="C1036" s="22" t="s">
        <v>1286</v>
      </c>
      <c r="D1036" s="29">
        <f>E1036+F1036+G1036+H1036+I1036+J1036+L1036+N1036+P1036+R1036+T1036+U1036+V1036+W1036+X1036+Y1036+Z1036+AA1036+AB1036+AC1036+AD1036+AE1036</f>
        <v>2979341.97</v>
      </c>
      <c r="E1036" s="29">
        <v>0</v>
      </c>
      <c r="F1036" s="29">
        <v>0</v>
      </c>
      <c r="G1036" s="29">
        <v>0</v>
      </c>
      <c r="H1036" s="29">
        <v>0</v>
      </c>
      <c r="I1036" s="29">
        <v>0</v>
      </c>
      <c r="J1036" s="29">
        <v>0</v>
      </c>
      <c r="K1036" s="64">
        <v>0</v>
      </c>
      <c r="L1036" s="29">
        <v>0</v>
      </c>
      <c r="M1036" s="29">
        <v>596.79999999999995</v>
      </c>
      <c r="N1036" s="29">
        <f>2367388.18+29318.77+538605.34</f>
        <v>2935312.29</v>
      </c>
      <c r="O1036" s="29">
        <v>0</v>
      </c>
      <c r="P1036" s="29">
        <v>0</v>
      </c>
      <c r="Q1036" s="29">
        <v>0</v>
      </c>
      <c r="R1036" s="29">
        <v>0</v>
      </c>
      <c r="S1036" s="29">
        <v>0</v>
      </c>
      <c r="T1036" s="29">
        <v>0</v>
      </c>
      <c r="U1036" s="29">
        <v>0</v>
      </c>
      <c r="V1036" s="29">
        <v>0</v>
      </c>
      <c r="W1036" s="29">
        <v>0</v>
      </c>
      <c r="X1036" s="29">
        <v>0</v>
      </c>
      <c r="Y1036" s="29">
        <v>0</v>
      </c>
      <c r="Z1036" s="29">
        <v>0</v>
      </c>
      <c r="AA1036" s="29">
        <v>0</v>
      </c>
      <c r="AB1036" s="29">
        <v>0</v>
      </c>
      <c r="AC1036" s="29">
        <f>ROUND(N1036*1.5%,2)</f>
        <v>44029.68</v>
      </c>
      <c r="AD1036" s="29">
        <v>0</v>
      </c>
      <c r="AE1036" s="29">
        <v>0</v>
      </c>
      <c r="AF1036" s="32" t="s">
        <v>268</v>
      </c>
      <c r="AG1036" s="32">
        <v>2021</v>
      </c>
      <c r="AH1036" s="33">
        <v>2021</v>
      </c>
      <c r="BZ1036" s="61"/>
      <c r="CD1036" s="18" t="e">
        <f>VLOOKUP(C1036,CE:CF,2,FALSE)</f>
        <v>#N/A</v>
      </c>
    </row>
    <row r="1037" spans="1:82" ht="61.5" x14ac:dyDescent="0.85">
      <c r="B1037" s="22" t="s">
        <v>844</v>
      </c>
      <c r="C1037" s="22"/>
      <c r="D1037" s="339">
        <f t="shared" ref="D1037:AE1037" si="201">SUM(D1038:D1042)</f>
        <v>18337846.370000001</v>
      </c>
      <c r="E1037" s="29">
        <f t="shared" si="201"/>
        <v>0</v>
      </c>
      <c r="F1037" s="29">
        <f t="shared" si="201"/>
        <v>0</v>
      </c>
      <c r="G1037" s="29">
        <f t="shared" si="201"/>
        <v>0</v>
      </c>
      <c r="H1037" s="29">
        <f t="shared" si="201"/>
        <v>0</v>
      </c>
      <c r="I1037" s="29">
        <f t="shared" si="201"/>
        <v>0</v>
      </c>
      <c r="J1037" s="29">
        <f t="shared" si="201"/>
        <v>0</v>
      </c>
      <c r="K1037" s="31">
        <f t="shared" si="201"/>
        <v>0</v>
      </c>
      <c r="L1037" s="29">
        <f t="shared" si="201"/>
        <v>0</v>
      </c>
      <c r="M1037" s="29">
        <f t="shared" si="201"/>
        <v>3179.1099999999997</v>
      </c>
      <c r="N1037" s="29">
        <f t="shared" si="201"/>
        <v>17244218.830000002</v>
      </c>
      <c r="O1037" s="29">
        <f t="shared" si="201"/>
        <v>0</v>
      </c>
      <c r="P1037" s="29">
        <f t="shared" si="201"/>
        <v>0</v>
      </c>
      <c r="Q1037" s="29">
        <f t="shared" si="201"/>
        <v>0</v>
      </c>
      <c r="R1037" s="29">
        <f t="shared" si="201"/>
        <v>0</v>
      </c>
      <c r="S1037" s="29">
        <f t="shared" si="201"/>
        <v>0</v>
      </c>
      <c r="T1037" s="29">
        <f t="shared" si="201"/>
        <v>0</v>
      </c>
      <c r="U1037" s="29">
        <f t="shared" si="201"/>
        <v>0</v>
      </c>
      <c r="V1037" s="29">
        <f t="shared" si="201"/>
        <v>0</v>
      </c>
      <c r="W1037" s="29">
        <f t="shared" si="201"/>
        <v>0</v>
      </c>
      <c r="X1037" s="29">
        <f t="shared" si="201"/>
        <v>0</v>
      </c>
      <c r="Y1037" s="29">
        <f t="shared" si="201"/>
        <v>0</v>
      </c>
      <c r="Z1037" s="29">
        <f t="shared" si="201"/>
        <v>0</v>
      </c>
      <c r="AA1037" s="29">
        <f t="shared" si="201"/>
        <v>400000</v>
      </c>
      <c r="AB1037" s="29">
        <f t="shared" si="201"/>
        <v>0</v>
      </c>
      <c r="AC1037" s="29">
        <f t="shared" si="201"/>
        <v>264663.27</v>
      </c>
      <c r="AD1037" s="29">
        <f t="shared" si="201"/>
        <v>428964.27</v>
      </c>
      <c r="AE1037" s="29">
        <f t="shared" si="201"/>
        <v>0</v>
      </c>
      <c r="AF1037" s="62" t="s">
        <v>743</v>
      </c>
      <c r="AG1037" s="62" t="s">
        <v>743</v>
      </c>
      <c r="AH1037" s="77" t="s">
        <v>743</v>
      </c>
      <c r="AT1037" s="18" t="e">
        <f>VLOOKUP(C1037,AW:AX,2,FALSE)</f>
        <v>#N/A</v>
      </c>
      <c r="BZ1037" s="29">
        <v>3145116.58</v>
      </c>
      <c r="CA1037" s="29"/>
      <c r="CB1037" s="29">
        <f>BZ1037-D1037</f>
        <v>-15192729.790000001</v>
      </c>
      <c r="CD1037" s="18" t="e">
        <f>VLOOKUP(C1037,CE:CF,2,FALSE)</f>
        <v>#N/A</v>
      </c>
    </row>
    <row r="1038" spans="1:82" ht="61.5" x14ac:dyDescent="0.85">
      <c r="A1038" s="18">
        <v>1</v>
      </c>
      <c r="B1038" s="57">
        <f>SUBTOTAL(103,$A$558:A1038)</f>
        <v>428</v>
      </c>
      <c r="C1038" s="22" t="s">
        <v>153</v>
      </c>
      <c r="D1038" s="29">
        <f>E1038+F1038+G1038+H1038+I1038+J1038+L1038+N1038+P1038+R1038+T1038+U1038+V1038+W1038+X1038+Y1038+Z1038+AA1038+AB1038+AC1038+AD1038+AE1038</f>
        <v>4318665.72</v>
      </c>
      <c r="E1038" s="29">
        <v>0</v>
      </c>
      <c r="F1038" s="29">
        <v>0</v>
      </c>
      <c r="G1038" s="29">
        <v>0</v>
      </c>
      <c r="H1038" s="29">
        <v>0</v>
      </c>
      <c r="I1038" s="29">
        <v>0</v>
      </c>
      <c r="J1038" s="29">
        <v>0</v>
      </c>
      <c r="K1038" s="31">
        <v>0</v>
      </c>
      <c r="L1038" s="29">
        <v>0</v>
      </c>
      <c r="M1038" s="29">
        <v>602.30999999999995</v>
      </c>
      <c r="N1038" s="29">
        <f>2950853.77+1157226.48</f>
        <v>4108080.25</v>
      </c>
      <c r="O1038" s="29">
        <v>0</v>
      </c>
      <c r="P1038" s="29">
        <v>0</v>
      </c>
      <c r="Q1038" s="29">
        <v>0</v>
      </c>
      <c r="R1038" s="29">
        <v>0</v>
      </c>
      <c r="S1038" s="29">
        <v>0</v>
      </c>
      <c r="T1038" s="29">
        <v>0</v>
      </c>
      <c r="U1038" s="29">
        <v>0</v>
      </c>
      <c r="V1038" s="29">
        <v>0</v>
      </c>
      <c r="W1038" s="29">
        <v>0</v>
      </c>
      <c r="X1038" s="29">
        <v>0</v>
      </c>
      <c r="Y1038" s="29">
        <v>0</v>
      </c>
      <c r="Z1038" s="29">
        <v>0</v>
      </c>
      <c r="AA1038" s="29">
        <v>0</v>
      </c>
      <c r="AB1038" s="29">
        <v>0</v>
      </c>
      <c r="AC1038" s="29">
        <f>ROUND(N1038*1.5%,2)</f>
        <v>61621.2</v>
      </c>
      <c r="AD1038" s="29">
        <f>150000-1035.73</f>
        <v>148964.26999999999</v>
      </c>
      <c r="AE1038" s="29">
        <v>0</v>
      </c>
      <c r="AF1038" s="32">
        <v>2021</v>
      </c>
      <c r="AG1038" s="32">
        <v>2021</v>
      </c>
      <c r="AH1038" s="33">
        <v>2021</v>
      </c>
      <c r="AT1038" s="18" t="e">
        <f>VLOOKUP(C1038,AW:AX,2,FALSE)</f>
        <v>#N/A</v>
      </c>
      <c r="BZ1038" s="61"/>
      <c r="CD1038" s="18" t="e">
        <f>VLOOKUP(C1038,CE:CF,2,FALSE)</f>
        <v>#N/A</v>
      </c>
    </row>
    <row r="1039" spans="1:82" ht="61.5" x14ac:dyDescent="0.85">
      <c r="A1039" s="18">
        <v>1</v>
      </c>
      <c r="B1039" s="57">
        <f>SUBTOTAL(103,$A$558:A1039)</f>
        <v>429</v>
      </c>
      <c r="C1039" s="22" t="s">
        <v>1244</v>
      </c>
      <c r="D1039" s="29">
        <f>E1039+F1039+G1039+H1039+I1039+J1039+L1039+N1039+P1039+R1039+T1039+U1039+V1039+W1039+X1039+Y1039+Z1039+AA1039+AB1039+AC1039+AD1039+AE1039</f>
        <v>506000</v>
      </c>
      <c r="E1039" s="29">
        <v>0</v>
      </c>
      <c r="F1039" s="29">
        <v>0</v>
      </c>
      <c r="G1039" s="29">
        <v>0</v>
      </c>
      <c r="H1039" s="29">
        <v>0</v>
      </c>
      <c r="I1039" s="29">
        <v>0</v>
      </c>
      <c r="J1039" s="29">
        <v>0</v>
      </c>
      <c r="K1039" s="31">
        <v>0</v>
      </c>
      <c r="L1039" s="29">
        <v>0</v>
      </c>
      <c r="M1039" s="29">
        <v>0</v>
      </c>
      <c r="N1039" s="29">
        <v>0</v>
      </c>
      <c r="O1039" s="29">
        <v>0</v>
      </c>
      <c r="P1039" s="29">
        <v>0</v>
      </c>
      <c r="Q1039" s="29">
        <v>0</v>
      </c>
      <c r="R1039" s="29">
        <v>0</v>
      </c>
      <c r="S1039" s="29">
        <v>0</v>
      </c>
      <c r="T1039" s="29">
        <v>0</v>
      </c>
      <c r="U1039" s="29">
        <v>0</v>
      </c>
      <c r="V1039" s="29">
        <v>0</v>
      </c>
      <c r="W1039" s="29">
        <v>0</v>
      </c>
      <c r="X1039" s="29">
        <v>0</v>
      </c>
      <c r="Y1039" s="29">
        <v>0</v>
      </c>
      <c r="Z1039" s="29">
        <v>0</v>
      </c>
      <c r="AA1039" s="29">
        <v>400000</v>
      </c>
      <c r="AB1039" s="29">
        <v>0</v>
      </c>
      <c r="AC1039" s="29">
        <f>ROUND(AA1039*1.5%,2)</f>
        <v>6000</v>
      </c>
      <c r="AD1039" s="29">
        <v>100000</v>
      </c>
      <c r="AE1039" s="29">
        <v>0</v>
      </c>
      <c r="AF1039" s="32">
        <v>2021</v>
      </c>
      <c r="AG1039" s="32">
        <v>2021</v>
      </c>
      <c r="AH1039" s="33">
        <v>2021</v>
      </c>
      <c r="BZ1039" s="61"/>
      <c r="CD1039" s="18" t="e">
        <f>VLOOKUP(C1039,CE:CF,2,FALSE)</f>
        <v>#N/A</v>
      </c>
    </row>
    <row r="1040" spans="1:82" ht="61.5" x14ac:dyDescent="0.85">
      <c r="A1040" s="18">
        <v>1</v>
      </c>
      <c r="B1040" s="57">
        <f>SUBTOTAL(103,$A$558:A1040)</f>
        <v>430</v>
      </c>
      <c r="C1040" s="22" t="s">
        <v>1272</v>
      </c>
      <c r="D1040" s="29">
        <f>E1040+F1040+G1040+H1040+I1040+J1040+L1040+N1040+P1040+R1040+T1040+U1040+V1040+W1040+X1040+Y1040+Z1040+AA1040+AB1040+AC1040+AD1040+AE1040</f>
        <v>3777135.1</v>
      </c>
      <c r="E1040" s="29">
        <v>0</v>
      </c>
      <c r="F1040" s="29">
        <v>0</v>
      </c>
      <c r="G1040" s="29">
        <v>0</v>
      </c>
      <c r="H1040" s="29">
        <v>0</v>
      </c>
      <c r="I1040" s="29">
        <v>0</v>
      </c>
      <c r="J1040" s="29">
        <v>0</v>
      </c>
      <c r="K1040" s="64">
        <v>0</v>
      </c>
      <c r="L1040" s="29">
        <v>0</v>
      </c>
      <c r="M1040" s="29">
        <v>500</v>
      </c>
      <c r="N1040" s="29">
        <v>3721315.37</v>
      </c>
      <c r="O1040" s="29">
        <v>0</v>
      </c>
      <c r="P1040" s="29">
        <v>0</v>
      </c>
      <c r="Q1040" s="29">
        <v>0</v>
      </c>
      <c r="R1040" s="29">
        <v>0</v>
      </c>
      <c r="S1040" s="29">
        <v>0</v>
      </c>
      <c r="T1040" s="29">
        <v>0</v>
      </c>
      <c r="U1040" s="29">
        <v>0</v>
      </c>
      <c r="V1040" s="29">
        <v>0</v>
      </c>
      <c r="W1040" s="29">
        <v>0</v>
      </c>
      <c r="X1040" s="29">
        <v>0</v>
      </c>
      <c r="Y1040" s="29">
        <v>0</v>
      </c>
      <c r="Z1040" s="29">
        <v>0</v>
      </c>
      <c r="AA1040" s="29">
        <v>0</v>
      </c>
      <c r="AB1040" s="29">
        <v>0</v>
      </c>
      <c r="AC1040" s="29">
        <f>ROUND(N1040*1.5%,2)</f>
        <v>55819.73</v>
      </c>
      <c r="AD1040" s="29">
        <v>0</v>
      </c>
      <c r="AE1040" s="29">
        <v>0</v>
      </c>
      <c r="AF1040" s="32" t="s">
        <v>268</v>
      </c>
      <c r="AG1040" s="32">
        <v>2021</v>
      </c>
      <c r="AH1040" s="33">
        <v>2021</v>
      </c>
      <c r="BZ1040" s="61"/>
      <c r="CD1040" s="18">
        <f>VLOOKUP(C1040,CE:CF,2,FALSE)</f>
        <v>500</v>
      </c>
    </row>
    <row r="1041" spans="1:82" ht="61.5" x14ac:dyDescent="0.85">
      <c r="A1041" s="18">
        <v>1</v>
      </c>
      <c r="B1041" s="57">
        <f>SUBTOTAL(103,$A$558:A1041)</f>
        <v>431</v>
      </c>
      <c r="C1041" s="22" t="s">
        <v>1273</v>
      </c>
      <c r="D1041" s="29">
        <f>E1041+F1041+G1041+H1041+I1041+J1041+L1041+N1041+P1041+R1041+T1041+U1041+V1041+W1041+X1041+Y1041+Z1041+AA1041+AB1041+AC1041+AD1041+AE1041</f>
        <v>4895345</v>
      </c>
      <c r="E1041" s="29">
        <v>0</v>
      </c>
      <c r="F1041" s="29">
        <v>0</v>
      </c>
      <c r="G1041" s="29">
        <v>0</v>
      </c>
      <c r="H1041" s="29">
        <v>0</v>
      </c>
      <c r="I1041" s="29">
        <v>0</v>
      </c>
      <c r="J1041" s="29">
        <v>0</v>
      </c>
      <c r="K1041" s="64">
        <v>0</v>
      </c>
      <c r="L1041" s="29">
        <v>0</v>
      </c>
      <c r="M1041" s="29">
        <v>958</v>
      </c>
      <c r="N1041" s="29">
        <v>4823000</v>
      </c>
      <c r="O1041" s="29">
        <v>0</v>
      </c>
      <c r="P1041" s="29">
        <v>0</v>
      </c>
      <c r="Q1041" s="29">
        <v>0</v>
      </c>
      <c r="R1041" s="29">
        <v>0</v>
      </c>
      <c r="S1041" s="29">
        <v>0</v>
      </c>
      <c r="T1041" s="29">
        <v>0</v>
      </c>
      <c r="U1041" s="29">
        <v>0</v>
      </c>
      <c r="V1041" s="29">
        <v>0</v>
      </c>
      <c r="W1041" s="29">
        <v>0</v>
      </c>
      <c r="X1041" s="29">
        <v>0</v>
      </c>
      <c r="Y1041" s="29">
        <v>0</v>
      </c>
      <c r="Z1041" s="29">
        <v>0</v>
      </c>
      <c r="AA1041" s="29">
        <v>0</v>
      </c>
      <c r="AB1041" s="29">
        <v>0</v>
      </c>
      <c r="AC1041" s="29">
        <f>ROUND(N1041*1.5%,2)</f>
        <v>72345</v>
      </c>
      <c r="AD1041" s="29">
        <v>0</v>
      </c>
      <c r="AE1041" s="29">
        <v>0</v>
      </c>
      <c r="AF1041" s="32" t="s">
        <v>268</v>
      </c>
      <c r="AG1041" s="32">
        <v>2021</v>
      </c>
      <c r="AH1041" s="33">
        <v>2021</v>
      </c>
      <c r="BZ1041" s="61"/>
      <c r="CD1041" s="18">
        <f>VLOOKUP(C1041,CE:CF,2,FALSE)</f>
        <v>958</v>
      </c>
    </row>
    <row r="1042" spans="1:82" ht="61.5" x14ac:dyDescent="0.85">
      <c r="A1042" s="18">
        <v>1</v>
      </c>
      <c r="B1042" s="57">
        <f>SUBTOTAL(103,$A$558:A1042)</f>
        <v>432</v>
      </c>
      <c r="C1042" s="22" t="s">
        <v>1930</v>
      </c>
      <c r="D1042" s="29">
        <f>E1042+F1042+G1042+H1042+I1042+J1042+L1042+N1042+P1042+R1042+T1042+U1042+V1042+W1042+X1042+Y1042+Z1042+AA1042+AB1042+AC1042+AD1042+AE1042</f>
        <v>4840700.55</v>
      </c>
      <c r="E1042" s="29">
        <v>0</v>
      </c>
      <c r="F1042" s="29">
        <v>0</v>
      </c>
      <c r="G1042" s="29">
        <v>0</v>
      </c>
      <c r="H1042" s="29">
        <v>0</v>
      </c>
      <c r="I1042" s="29">
        <v>0</v>
      </c>
      <c r="J1042" s="29">
        <v>0</v>
      </c>
      <c r="K1042" s="31">
        <v>0</v>
      </c>
      <c r="L1042" s="29">
        <v>0</v>
      </c>
      <c r="M1042" s="29">
        <v>1118.8</v>
      </c>
      <c r="N1042" s="29">
        <f>4264392.52+327430.69</f>
        <v>4591823.21</v>
      </c>
      <c r="O1042" s="29">
        <v>0</v>
      </c>
      <c r="P1042" s="29">
        <v>0</v>
      </c>
      <c r="Q1042" s="29">
        <v>0</v>
      </c>
      <c r="R1042" s="29">
        <v>0</v>
      </c>
      <c r="S1042" s="29">
        <v>0</v>
      </c>
      <c r="T1042" s="29">
        <v>0</v>
      </c>
      <c r="U1042" s="29">
        <v>0</v>
      </c>
      <c r="V1042" s="29">
        <v>0</v>
      </c>
      <c r="W1042" s="29">
        <v>0</v>
      </c>
      <c r="X1042" s="29">
        <v>0</v>
      </c>
      <c r="Y1042" s="29">
        <v>0</v>
      </c>
      <c r="Z1042" s="29">
        <v>0</v>
      </c>
      <c r="AA1042" s="29">
        <v>0</v>
      </c>
      <c r="AB1042" s="29">
        <v>0</v>
      </c>
      <c r="AC1042" s="29">
        <f>ROUND(N1042*1.5%,2)-0.01</f>
        <v>68877.340000000011</v>
      </c>
      <c r="AD1042" s="29">
        <v>180000</v>
      </c>
      <c r="AE1042" s="29">
        <v>0</v>
      </c>
      <c r="AF1042" s="32">
        <v>2021</v>
      </c>
      <c r="AG1042" s="32">
        <v>2021</v>
      </c>
      <c r="AH1042" s="33">
        <v>2021</v>
      </c>
      <c r="AT1042" s="18" t="e">
        <f>VLOOKUP(C1042,AW:AX,2,FALSE)</f>
        <v>#N/A</v>
      </c>
      <c r="BZ1042" s="61"/>
      <c r="CD1042" s="18" t="e">
        <f>VLOOKUP(C1042,CE:CF,2,FALSE)</f>
        <v>#N/A</v>
      </c>
    </row>
    <row r="1043" spans="1:82" ht="61.5" x14ac:dyDescent="0.85">
      <c r="B1043" s="22" t="s">
        <v>845</v>
      </c>
      <c r="C1043" s="22"/>
      <c r="D1043" s="339">
        <f t="shared" ref="D1043:AE1043" si="202">SUM(D1044:D1049)</f>
        <v>32249890.369999997</v>
      </c>
      <c r="E1043" s="29">
        <f t="shared" si="202"/>
        <v>0</v>
      </c>
      <c r="F1043" s="29">
        <f t="shared" si="202"/>
        <v>0</v>
      </c>
      <c r="G1043" s="29">
        <f t="shared" si="202"/>
        <v>0</v>
      </c>
      <c r="H1043" s="29">
        <f t="shared" si="202"/>
        <v>0</v>
      </c>
      <c r="I1043" s="29">
        <f t="shared" si="202"/>
        <v>0</v>
      </c>
      <c r="J1043" s="29">
        <f t="shared" si="202"/>
        <v>0</v>
      </c>
      <c r="K1043" s="66">
        <f t="shared" si="202"/>
        <v>0</v>
      </c>
      <c r="L1043" s="29">
        <f t="shared" si="202"/>
        <v>0</v>
      </c>
      <c r="M1043" s="29">
        <f t="shared" si="202"/>
        <v>6523.66</v>
      </c>
      <c r="N1043" s="29">
        <f t="shared" si="202"/>
        <v>31119456.020000003</v>
      </c>
      <c r="O1043" s="29">
        <f t="shared" si="202"/>
        <v>0</v>
      </c>
      <c r="P1043" s="29">
        <f t="shared" si="202"/>
        <v>0</v>
      </c>
      <c r="Q1043" s="29">
        <f t="shared" si="202"/>
        <v>0</v>
      </c>
      <c r="R1043" s="29">
        <f t="shared" si="202"/>
        <v>0</v>
      </c>
      <c r="S1043" s="29">
        <f t="shared" si="202"/>
        <v>0</v>
      </c>
      <c r="T1043" s="29">
        <f t="shared" si="202"/>
        <v>0</v>
      </c>
      <c r="U1043" s="29">
        <f t="shared" si="202"/>
        <v>0</v>
      </c>
      <c r="V1043" s="29">
        <f t="shared" si="202"/>
        <v>0</v>
      </c>
      <c r="W1043" s="29">
        <f t="shared" si="202"/>
        <v>0</v>
      </c>
      <c r="X1043" s="29">
        <f t="shared" si="202"/>
        <v>0</v>
      </c>
      <c r="Y1043" s="29">
        <f t="shared" si="202"/>
        <v>0</v>
      </c>
      <c r="Z1043" s="29">
        <f t="shared" si="202"/>
        <v>0</v>
      </c>
      <c r="AA1043" s="29">
        <f t="shared" si="202"/>
        <v>0</v>
      </c>
      <c r="AB1043" s="29">
        <f t="shared" si="202"/>
        <v>0</v>
      </c>
      <c r="AC1043" s="29">
        <f t="shared" si="202"/>
        <v>466791.83</v>
      </c>
      <c r="AD1043" s="29">
        <f t="shared" si="202"/>
        <v>543642.52</v>
      </c>
      <c r="AE1043" s="29">
        <f t="shared" si="202"/>
        <v>120000</v>
      </c>
      <c r="AF1043" s="62" t="s">
        <v>743</v>
      </c>
      <c r="AG1043" s="62" t="s">
        <v>743</v>
      </c>
      <c r="AH1043" s="77" t="s">
        <v>743</v>
      </c>
      <c r="AT1043" s="18" t="e">
        <f>VLOOKUP(C1043,AW:AX,2,FALSE)</f>
        <v>#N/A</v>
      </c>
      <c r="BZ1043" s="61">
        <v>13767321.040000001</v>
      </c>
      <c r="CD1043" s="18" t="e">
        <f>VLOOKUP(C1043,CE:CF,2,FALSE)</f>
        <v>#N/A</v>
      </c>
    </row>
    <row r="1044" spans="1:82" ht="61.5" x14ac:dyDescent="0.85">
      <c r="A1044" s="18">
        <v>1</v>
      </c>
      <c r="B1044" s="57">
        <f>SUBTOTAL(103,$A$558:A1044)</f>
        <v>433</v>
      </c>
      <c r="C1044" s="22" t="s">
        <v>146</v>
      </c>
      <c r="D1044" s="29">
        <f t="shared" ref="D1044:D1049" si="203">E1044+F1044+G1044+H1044+I1044+J1044+L1044+N1044+P1044+R1044+T1044+U1044+V1044+W1044+X1044+Y1044+Z1044+AA1044+AB1044+AC1044+AD1044+AE1044</f>
        <v>5635592.7800000003</v>
      </c>
      <c r="E1044" s="29">
        <v>0</v>
      </c>
      <c r="F1044" s="29">
        <v>0</v>
      </c>
      <c r="G1044" s="29">
        <v>0</v>
      </c>
      <c r="H1044" s="29">
        <v>0</v>
      </c>
      <c r="I1044" s="29">
        <v>0</v>
      </c>
      <c r="J1044" s="29">
        <v>0</v>
      </c>
      <c r="K1044" s="31">
        <v>0</v>
      </c>
      <c r="L1044" s="29">
        <v>0</v>
      </c>
      <c r="M1044" s="29">
        <v>1101.8</v>
      </c>
      <c r="N1044" s="29">
        <f>6119495.94-671621.21</f>
        <v>5447874.7300000004</v>
      </c>
      <c r="O1044" s="29">
        <v>0</v>
      </c>
      <c r="P1044" s="29">
        <v>0</v>
      </c>
      <c r="Q1044" s="29">
        <v>0</v>
      </c>
      <c r="R1044" s="29">
        <v>0</v>
      </c>
      <c r="S1044" s="29">
        <v>0</v>
      </c>
      <c r="T1044" s="29">
        <v>0</v>
      </c>
      <c r="U1044" s="29">
        <v>0</v>
      </c>
      <c r="V1044" s="29">
        <v>0</v>
      </c>
      <c r="W1044" s="29">
        <v>0</v>
      </c>
      <c r="X1044" s="29">
        <v>0</v>
      </c>
      <c r="Y1044" s="29">
        <v>0</v>
      </c>
      <c r="Z1044" s="29">
        <v>0</v>
      </c>
      <c r="AA1044" s="29">
        <v>0</v>
      </c>
      <c r="AB1044" s="29">
        <v>0</v>
      </c>
      <c r="AC1044" s="29">
        <f t="shared" ref="AC1044:AC1049" si="204">ROUND(N1044*1.5%,2)</f>
        <v>81718.12</v>
      </c>
      <c r="AD1044" s="29">
        <v>105999.93</v>
      </c>
      <c r="AE1044" s="29">
        <v>0</v>
      </c>
      <c r="AF1044" s="32">
        <v>2021</v>
      </c>
      <c r="AG1044" s="32">
        <v>2021</v>
      </c>
      <c r="AH1044" s="33">
        <v>2021</v>
      </c>
      <c r="AT1044" s="18" t="e">
        <f>VLOOKUP(C1044,AW:AX,2,FALSE)</f>
        <v>#N/A</v>
      </c>
      <c r="BZ1044" s="61"/>
      <c r="CD1044" s="18" t="e">
        <f>VLOOKUP(C1044,CE:CF,2,FALSE)</f>
        <v>#N/A</v>
      </c>
    </row>
    <row r="1045" spans="1:82" ht="61.5" x14ac:dyDescent="0.85">
      <c r="A1045" s="18">
        <v>1</v>
      </c>
      <c r="B1045" s="57">
        <f>SUBTOTAL(103,$A$558:A1045)</f>
        <v>434</v>
      </c>
      <c r="C1045" s="22" t="s">
        <v>157</v>
      </c>
      <c r="D1045" s="29">
        <f t="shared" si="203"/>
        <v>6774880.0600000005</v>
      </c>
      <c r="E1045" s="29">
        <v>0</v>
      </c>
      <c r="F1045" s="29">
        <v>0</v>
      </c>
      <c r="G1045" s="29">
        <v>0</v>
      </c>
      <c r="H1045" s="29">
        <v>0</v>
      </c>
      <c r="I1045" s="29">
        <v>0</v>
      </c>
      <c r="J1045" s="29">
        <v>0</v>
      </c>
      <c r="K1045" s="31">
        <v>0</v>
      </c>
      <c r="L1045" s="29">
        <v>0</v>
      </c>
      <c r="M1045" s="29">
        <v>1541.85</v>
      </c>
      <c r="N1045" s="29">
        <v>6556429.21</v>
      </c>
      <c r="O1045" s="29">
        <v>0</v>
      </c>
      <c r="P1045" s="29">
        <v>0</v>
      </c>
      <c r="Q1045" s="29">
        <v>0</v>
      </c>
      <c r="R1045" s="29">
        <v>0</v>
      </c>
      <c r="S1045" s="29">
        <v>0</v>
      </c>
      <c r="T1045" s="29">
        <v>0</v>
      </c>
      <c r="U1045" s="29">
        <v>0</v>
      </c>
      <c r="V1045" s="29">
        <v>0</v>
      </c>
      <c r="W1045" s="29">
        <v>0</v>
      </c>
      <c r="X1045" s="29">
        <v>0</v>
      </c>
      <c r="Y1045" s="29">
        <v>0</v>
      </c>
      <c r="Z1045" s="29">
        <v>0</v>
      </c>
      <c r="AA1045" s="29">
        <v>0</v>
      </c>
      <c r="AB1045" s="29">
        <v>0</v>
      </c>
      <c r="AC1045" s="29">
        <f t="shared" si="204"/>
        <v>98346.44</v>
      </c>
      <c r="AD1045" s="29">
        <v>120104.41</v>
      </c>
      <c r="AE1045" s="29">
        <v>0</v>
      </c>
      <c r="AF1045" s="32">
        <v>2021</v>
      </c>
      <c r="AG1045" s="32">
        <v>2021</v>
      </c>
      <c r="AH1045" s="33">
        <v>2021</v>
      </c>
      <c r="AT1045" s="18" t="e">
        <f>VLOOKUP(C1045,AW$1045:AX$1045,2,FALSE)</f>
        <v>#N/A</v>
      </c>
      <c r="BZ1045" s="61"/>
      <c r="CD1045" s="18" t="e">
        <f>VLOOKUP(C1045,CE:CF,2,FALSE)</f>
        <v>#N/A</v>
      </c>
    </row>
    <row r="1046" spans="1:82" ht="61.5" x14ac:dyDescent="0.85">
      <c r="A1046" s="18">
        <v>1</v>
      </c>
      <c r="B1046" s="57">
        <f>SUBTOTAL(103,$A$558:A1046)</f>
        <v>435</v>
      </c>
      <c r="C1046" s="91" t="s">
        <v>158</v>
      </c>
      <c r="D1046" s="29">
        <f t="shared" si="203"/>
        <v>3810781.02</v>
      </c>
      <c r="E1046" s="29">
        <v>0</v>
      </c>
      <c r="F1046" s="29">
        <v>0</v>
      </c>
      <c r="G1046" s="29">
        <v>0</v>
      </c>
      <c r="H1046" s="29">
        <v>0</v>
      </c>
      <c r="I1046" s="29">
        <v>0</v>
      </c>
      <c r="J1046" s="29">
        <v>0</v>
      </c>
      <c r="K1046" s="31">
        <v>0</v>
      </c>
      <c r="L1046" s="29">
        <v>0</v>
      </c>
      <c r="M1046" s="29">
        <v>741.79</v>
      </c>
      <c r="N1046" s="29">
        <f>3668452.24</f>
        <v>3668452.24</v>
      </c>
      <c r="O1046" s="29">
        <v>0</v>
      </c>
      <c r="P1046" s="29">
        <v>0</v>
      </c>
      <c r="Q1046" s="29">
        <v>0</v>
      </c>
      <c r="R1046" s="29">
        <v>0</v>
      </c>
      <c r="S1046" s="29">
        <v>0</v>
      </c>
      <c r="T1046" s="29">
        <v>0</v>
      </c>
      <c r="U1046" s="29">
        <v>0</v>
      </c>
      <c r="V1046" s="29">
        <v>0</v>
      </c>
      <c r="W1046" s="29">
        <v>0</v>
      </c>
      <c r="X1046" s="29">
        <v>0</v>
      </c>
      <c r="Y1046" s="29">
        <v>0</v>
      </c>
      <c r="Z1046" s="29">
        <v>0</v>
      </c>
      <c r="AA1046" s="29">
        <v>0</v>
      </c>
      <c r="AB1046" s="29">
        <v>0</v>
      </c>
      <c r="AC1046" s="29">
        <f t="shared" si="204"/>
        <v>55026.78</v>
      </c>
      <c r="AD1046" s="29">
        <v>87302</v>
      </c>
      <c r="AE1046" s="29">
        <v>0</v>
      </c>
      <c r="AF1046" s="32">
        <v>2021</v>
      </c>
      <c r="AG1046" s="32">
        <v>2021</v>
      </c>
      <c r="AH1046" s="33">
        <v>2021</v>
      </c>
      <c r="AT1046" s="18" t="e">
        <f>VLOOKUP(C1046,AW:AX,2,FALSE)</f>
        <v>#N/A</v>
      </c>
      <c r="BZ1046" s="61"/>
    </row>
    <row r="1047" spans="1:82" ht="61.5" x14ac:dyDescent="0.85">
      <c r="A1047" s="18">
        <v>1</v>
      </c>
      <c r="B1047" s="57">
        <f>SUBTOTAL(103,$A$558:A1047)</f>
        <v>436</v>
      </c>
      <c r="C1047" s="22" t="s">
        <v>1247</v>
      </c>
      <c r="D1047" s="29">
        <f t="shared" si="203"/>
        <v>4749951.8099999996</v>
      </c>
      <c r="E1047" s="29">
        <v>0</v>
      </c>
      <c r="F1047" s="29">
        <v>0</v>
      </c>
      <c r="G1047" s="29">
        <v>0</v>
      </c>
      <c r="H1047" s="29">
        <v>0</v>
      </c>
      <c r="I1047" s="29">
        <v>0</v>
      </c>
      <c r="J1047" s="29">
        <v>0</v>
      </c>
      <c r="K1047" s="64">
        <v>0</v>
      </c>
      <c r="L1047" s="29">
        <v>0</v>
      </c>
      <c r="M1047" s="29">
        <v>1105</v>
      </c>
      <c r="N1047" s="29">
        <f>4517697.52+533230.86-489399.5</f>
        <v>4561528.88</v>
      </c>
      <c r="O1047" s="29">
        <v>0</v>
      </c>
      <c r="P1047" s="29">
        <v>0</v>
      </c>
      <c r="Q1047" s="29">
        <v>0</v>
      </c>
      <c r="R1047" s="29">
        <v>0</v>
      </c>
      <c r="S1047" s="29">
        <v>0</v>
      </c>
      <c r="T1047" s="29">
        <v>0</v>
      </c>
      <c r="U1047" s="29">
        <v>0</v>
      </c>
      <c r="V1047" s="29">
        <v>0</v>
      </c>
      <c r="W1047" s="29">
        <v>0</v>
      </c>
      <c r="X1047" s="29">
        <v>0</v>
      </c>
      <c r="Y1047" s="29">
        <v>0</v>
      </c>
      <c r="Z1047" s="29">
        <v>0</v>
      </c>
      <c r="AA1047" s="29">
        <v>0</v>
      </c>
      <c r="AB1047" s="29">
        <v>0</v>
      </c>
      <c r="AC1047" s="29">
        <f t="shared" si="204"/>
        <v>68422.929999999993</v>
      </c>
      <c r="AD1047" s="37">
        <v>0</v>
      </c>
      <c r="AE1047" s="29">
        <v>120000</v>
      </c>
      <c r="AF1047" s="32" t="s">
        <v>268</v>
      </c>
      <c r="AG1047" s="32">
        <v>2021</v>
      </c>
      <c r="AH1047" s="33">
        <v>2021</v>
      </c>
      <c r="BZ1047" s="61"/>
      <c r="CD1047" s="18">
        <f>VLOOKUP(C1047,CE:CF,2,FALSE)</f>
        <v>1105</v>
      </c>
    </row>
    <row r="1048" spans="1:82" ht="61.5" x14ac:dyDescent="0.85">
      <c r="A1048" s="18">
        <v>1</v>
      </c>
      <c r="B1048" s="57">
        <f>SUBTOTAL(103,$A$558:A1048)</f>
        <v>437</v>
      </c>
      <c r="C1048" s="91" t="s">
        <v>1940</v>
      </c>
      <c r="D1048" s="29">
        <f t="shared" si="203"/>
        <v>6346289.7000000002</v>
      </c>
      <c r="E1048" s="29">
        <v>0</v>
      </c>
      <c r="F1048" s="29">
        <v>0</v>
      </c>
      <c r="G1048" s="29">
        <v>0</v>
      </c>
      <c r="H1048" s="29">
        <v>0</v>
      </c>
      <c r="I1048" s="29">
        <v>0</v>
      </c>
      <c r="J1048" s="29">
        <v>0</v>
      </c>
      <c r="K1048" s="31">
        <v>0</v>
      </c>
      <c r="L1048" s="29">
        <v>0</v>
      </c>
      <c r="M1048" s="29">
        <v>1233.22</v>
      </c>
      <c r="N1048" s="29">
        <v>6104746.96</v>
      </c>
      <c r="O1048" s="29">
        <v>0</v>
      </c>
      <c r="P1048" s="29">
        <v>0</v>
      </c>
      <c r="Q1048" s="29">
        <v>0</v>
      </c>
      <c r="R1048" s="29">
        <v>0</v>
      </c>
      <c r="S1048" s="29">
        <v>0</v>
      </c>
      <c r="T1048" s="29">
        <v>0</v>
      </c>
      <c r="U1048" s="29">
        <v>0</v>
      </c>
      <c r="V1048" s="29">
        <v>0</v>
      </c>
      <c r="W1048" s="29">
        <v>0</v>
      </c>
      <c r="X1048" s="29">
        <v>0</v>
      </c>
      <c r="Y1048" s="29">
        <v>0</v>
      </c>
      <c r="Z1048" s="29">
        <v>0</v>
      </c>
      <c r="AA1048" s="29">
        <v>0</v>
      </c>
      <c r="AB1048" s="29">
        <v>0</v>
      </c>
      <c r="AC1048" s="29">
        <f t="shared" si="204"/>
        <v>91571.199999999997</v>
      </c>
      <c r="AD1048" s="92">
        <v>149971.54</v>
      </c>
      <c r="AE1048" s="29">
        <v>0</v>
      </c>
      <c r="AF1048" s="32">
        <v>2021</v>
      </c>
      <c r="AG1048" s="32">
        <v>2021</v>
      </c>
      <c r="AH1048" s="33">
        <v>2021</v>
      </c>
      <c r="AT1048" s="18" t="e">
        <f>VLOOKUP(C1048,AW:AX,2,FALSE)</f>
        <v>#N/A</v>
      </c>
      <c r="BZ1048" s="61"/>
      <c r="CD1048" s="18" t="e">
        <f>VLOOKUP(C1048,CE:CF,2,FALSE)</f>
        <v>#N/A</v>
      </c>
    </row>
    <row r="1049" spans="1:82" ht="61.5" x14ac:dyDescent="0.85">
      <c r="A1049" s="18">
        <v>1</v>
      </c>
      <c r="B1049" s="57">
        <f>SUBTOTAL(103,$A$558:A1049)</f>
        <v>438</v>
      </c>
      <c r="C1049" s="22" t="s">
        <v>2295</v>
      </c>
      <c r="D1049" s="29">
        <f t="shared" si="203"/>
        <v>4932395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1">
        <v>0</v>
      </c>
      <c r="L1049" s="29">
        <v>0</v>
      </c>
      <c r="M1049" s="29">
        <v>800</v>
      </c>
      <c r="N1049" s="29">
        <v>4780424</v>
      </c>
      <c r="O1049" s="29">
        <v>0</v>
      </c>
      <c r="P1049" s="29">
        <v>0</v>
      </c>
      <c r="Q1049" s="29">
        <v>0</v>
      </c>
      <c r="R1049" s="29">
        <v>0</v>
      </c>
      <c r="S1049" s="29">
        <v>0</v>
      </c>
      <c r="T1049" s="29">
        <v>0</v>
      </c>
      <c r="U1049" s="29">
        <v>0</v>
      </c>
      <c r="V1049" s="29">
        <v>0</v>
      </c>
      <c r="W1049" s="29">
        <v>0</v>
      </c>
      <c r="X1049" s="29">
        <v>0</v>
      </c>
      <c r="Y1049" s="29">
        <v>0</v>
      </c>
      <c r="Z1049" s="29">
        <v>0</v>
      </c>
      <c r="AA1049" s="29">
        <v>0</v>
      </c>
      <c r="AB1049" s="29">
        <v>0</v>
      </c>
      <c r="AC1049" s="29">
        <f t="shared" si="204"/>
        <v>71706.36</v>
      </c>
      <c r="AD1049" s="37">
        <v>80264.639999999999</v>
      </c>
      <c r="AE1049" s="29">
        <v>0</v>
      </c>
      <c r="AF1049" s="32">
        <v>2021</v>
      </c>
      <c r="AG1049" s="32">
        <v>2021</v>
      </c>
      <c r="AH1049" s="33">
        <v>2021</v>
      </c>
      <c r="AT1049" s="18" t="e">
        <f>VLOOKUP(C1049,AW:AX,2,FALSE)</f>
        <v>#N/A</v>
      </c>
      <c r="BZ1049" s="61"/>
      <c r="CD1049" s="18" t="e">
        <f>VLOOKUP(C1049,CE:CF,2,FALSE)</f>
        <v>#N/A</v>
      </c>
    </row>
    <row r="1050" spans="1:82" ht="61.5" x14ac:dyDescent="0.85">
      <c r="B1050" s="22" t="s">
        <v>846</v>
      </c>
      <c r="C1050" s="338"/>
      <c r="D1050" s="339">
        <f>SUM(D1051:D1053)</f>
        <v>14837581.219999999</v>
      </c>
      <c r="E1050" s="29">
        <f t="shared" ref="E1050:AE1050" si="205">SUM(E1051:E1053)</f>
        <v>0</v>
      </c>
      <c r="F1050" s="29">
        <f t="shared" si="205"/>
        <v>0</v>
      </c>
      <c r="G1050" s="29">
        <f t="shared" si="205"/>
        <v>0</v>
      </c>
      <c r="H1050" s="29">
        <f t="shared" si="205"/>
        <v>0</v>
      </c>
      <c r="I1050" s="29">
        <f t="shared" si="205"/>
        <v>0</v>
      </c>
      <c r="J1050" s="29">
        <f t="shared" si="205"/>
        <v>0</v>
      </c>
      <c r="K1050" s="31">
        <f t="shared" si="205"/>
        <v>0</v>
      </c>
      <c r="L1050" s="29">
        <f t="shared" si="205"/>
        <v>0</v>
      </c>
      <c r="M1050" s="29">
        <f t="shared" si="205"/>
        <v>2086.42</v>
      </c>
      <c r="N1050" s="29">
        <f t="shared" si="205"/>
        <v>11583008.75</v>
      </c>
      <c r="O1050" s="29">
        <f t="shared" si="205"/>
        <v>0</v>
      </c>
      <c r="P1050" s="29">
        <f t="shared" si="205"/>
        <v>0</v>
      </c>
      <c r="Q1050" s="29">
        <f t="shared" si="205"/>
        <v>729.1</v>
      </c>
      <c r="R1050" s="29">
        <f t="shared" si="205"/>
        <v>2503278.17</v>
      </c>
      <c r="S1050" s="29">
        <f t="shared" si="205"/>
        <v>0</v>
      </c>
      <c r="T1050" s="29">
        <f t="shared" si="205"/>
        <v>0</v>
      </c>
      <c r="U1050" s="29">
        <f t="shared" si="205"/>
        <v>0</v>
      </c>
      <c r="V1050" s="29">
        <f t="shared" si="205"/>
        <v>0</v>
      </c>
      <c r="W1050" s="29">
        <f t="shared" si="205"/>
        <v>0</v>
      </c>
      <c r="X1050" s="29">
        <f t="shared" si="205"/>
        <v>0</v>
      </c>
      <c r="Y1050" s="29">
        <f t="shared" si="205"/>
        <v>0</v>
      </c>
      <c r="Z1050" s="29">
        <f t="shared" si="205"/>
        <v>0</v>
      </c>
      <c r="AA1050" s="29">
        <f t="shared" si="205"/>
        <v>0</v>
      </c>
      <c r="AB1050" s="29">
        <f t="shared" si="205"/>
        <v>0</v>
      </c>
      <c r="AC1050" s="29">
        <f t="shared" si="205"/>
        <v>211294.30000000002</v>
      </c>
      <c r="AD1050" s="29">
        <f t="shared" si="205"/>
        <v>300000</v>
      </c>
      <c r="AE1050" s="29">
        <f t="shared" si="205"/>
        <v>240000</v>
      </c>
      <c r="AF1050" s="62" t="s">
        <v>743</v>
      </c>
      <c r="AG1050" s="62" t="s">
        <v>743</v>
      </c>
      <c r="AH1050" s="77" t="s">
        <v>743</v>
      </c>
      <c r="AT1050" s="18" t="e">
        <f>VLOOKUP(C1050,AW:AX,2,FALSE)</f>
        <v>#N/A</v>
      </c>
      <c r="BZ1050" s="61">
        <v>9023270.3999999985</v>
      </c>
      <c r="CD1050" s="18" t="e">
        <f>VLOOKUP(C1050,CE:CF,2,FALSE)</f>
        <v>#N/A</v>
      </c>
    </row>
    <row r="1051" spans="1:82" ht="61.5" x14ac:dyDescent="0.85">
      <c r="A1051" s="18">
        <v>1</v>
      </c>
      <c r="B1051" s="57">
        <f>SUBTOTAL(103,$A$558:A1051)</f>
        <v>439</v>
      </c>
      <c r="C1051" s="22" t="s">
        <v>96</v>
      </c>
      <c r="D1051" s="29">
        <f>E1051+F1051+G1051+H1051+I1051+J1051+L1051+N1051+P1051+R1051+T1051+U1051+V1051+W1051+X1051+Y1051+Z1051+AA1051+AB1051+AC1051+AD1051+AE1051</f>
        <v>4020786</v>
      </c>
      <c r="E1051" s="29">
        <v>0</v>
      </c>
      <c r="F1051" s="29">
        <v>0</v>
      </c>
      <c r="G1051" s="29">
        <v>0</v>
      </c>
      <c r="H1051" s="29">
        <v>0</v>
      </c>
      <c r="I1051" s="29">
        <v>0</v>
      </c>
      <c r="J1051" s="29">
        <v>0</v>
      </c>
      <c r="K1051" s="31">
        <v>0</v>
      </c>
      <c r="L1051" s="29">
        <v>0</v>
      </c>
      <c r="M1051" s="29">
        <v>770</v>
      </c>
      <c r="N1051" s="29">
        <v>3813582.27</v>
      </c>
      <c r="O1051" s="29">
        <v>0</v>
      </c>
      <c r="P1051" s="29">
        <v>0</v>
      </c>
      <c r="Q1051" s="29">
        <v>0</v>
      </c>
      <c r="R1051" s="29">
        <v>0</v>
      </c>
      <c r="S1051" s="29">
        <v>0</v>
      </c>
      <c r="T1051" s="29">
        <v>0</v>
      </c>
      <c r="U1051" s="29">
        <v>0</v>
      </c>
      <c r="V1051" s="29">
        <v>0</v>
      </c>
      <c r="W1051" s="29">
        <v>0</v>
      </c>
      <c r="X1051" s="29">
        <v>0</v>
      </c>
      <c r="Y1051" s="29">
        <v>0</v>
      </c>
      <c r="Z1051" s="29">
        <v>0</v>
      </c>
      <c r="AA1051" s="29">
        <v>0</v>
      </c>
      <c r="AB1051" s="29">
        <v>0</v>
      </c>
      <c r="AC1051" s="29">
        <f>ROUND(N1051*1.5%,2)</f>
        <v>57203.73</v>
      </c>
      <c r="AD1051" s="29">
        <v>150000</v>
      </c>
      <c r="AE1051" s="29">
        <v>0</v>
      </c>
      <c r="AF1051" s="32">
        <v>2021</v>
      </c>
      <c r="AG1051" s="32">
        <v>2021</v>
      </c>
      <c r="AH1051" s="33">
        <v>2021</v>
      </c>
      <c r="AT1051" s="18" t="e">
        <f>VLOOKUP(C1051,AW:AX,2,FALSE)</f>
        <v>#N/A</v>
      </c>
      <c r="BZ1051" s="61"/>
      <c r="CD1051" s="18" t="e">
        <f>VLOOKUP(C1051,CE:CF,2,FALSE)</f>
        <v>#N/A</v>
      </c>
    </row>
    <row r="1052" spans="1:82" ht="61.5" x14ac:dyDescent="0.85">
      <c r="A1052" s="18">
        <v>1</v>
      </c>
      <c r="B1052" s="57">
        <f>SUBTOTAL(103,$A$558:A1052)</f>
        <v>440</v>
      </c>
      <c r="C1052" s="22" t="s">
        <v>95</v>
      </c>
      <c r="D1052" s="29">
        <f>E1052+F1052+G1052+H1052+I1052+J1052+L1052+N1052+P1052+R1052+T1052+U1052+V1052+W1052+X1052+Y1052+Z1052+AA1052+AB1052+AC1052+AD1052+AE1052</f>
        <v>5034262.3099999996</v>
      </c>
      <c r="E1052" s="29">
        <v>0</v>
      </c>
      <c r="F1052" s="29">
        <v>0</v>
      </c>
      <c r="G1052" s="29">
        <v>0</v>
      </c>
      <c r="H1052" s="29">
        <v>0</v>
      </c>
      <c r="I1052" s="29">
        <v>0</v>
      </c>
      <c r="J1052" s="29">
        <v>0</v>
      </c>
      <c r="K1052" s="31">
        <v>0</v>
      </c>
      <c r="L1052" s="29">
        <v>0</v>
      </c>
      <c r="M1052" s="29">
        <v>958</v>
      </c>
      <c r="N1052" s="29">
        <f>4780772.81+31308.28</f>
        <v>4812081.09</v>
      </c>
      <c r="O1052" s="29">
        <v>0</v>
      </c>
      <c r="P1052" s="29">
        <v>0</v>
      </c>
      <c r="Q1052" s="29">
        <v>0</v>
      </c>
      <c r="R1052" s="29">
        <v>0</v>
      </c>
      <c r="S1052" s="29">
        <v>0</v>
      </c>
      <c r="T1052" s="29">
        <v>0</v>
      </c>
      <c r="U1052" s="29">
        <v>0</v>
      </c>
      <c r="V1052" s="29">
        <v>0</v>
      </c>
      <c r="W1052" s="29">
        <v>0</v>
      </c>
      <c r="X1052" s="29">
        <v>0</v>
      </c>
      <c r="Y1052" s="29">
        <v>0</v>
      </c>
      <c r="Z1052" s="29">
        <v>0</v>
      </c>
      <c r="AA1052" s="29">
        <v>0</v>
      </c>
      <c r="AB1052" s="29">
        <v>0</v>
      </c>
      <c r="AC1052" s="29">
        <f>ROUND(N1052*1.5%,2)</f>
        <v>72181.22</v>
      </c>
      <c r="AD1052" s="29">
        <v>150000</v>
      </c>
      <c r="AE1052" s="29">
        <v>0</v>
      </c>
      <c r="AF1052" s="32">
        <v>2021</v>
      </c>
      <c r="AG1052" s="32">
        <v>2021</v>
      </c>
      <c r="AH1052" s="33">
        <v>2021</v>
      </c>
      <c r="AT1052" s="18" t="e">
        <f>VLOOKUP(C1052,AW:AX,2,FALSE)</f>
        <v>#N/A</v>
      </c>
      <c r="BZ1052" s="61"/>
      <c r="CD1052" s="18" t="e">
        <f>VLOOKUP(C1052,CE:CF,2,FALSE)</f>
        <v>#N/A</v>
      </c>
    </row>
    <row r="1053" spans="1:82" ht="61.5" x14ac:dyDescent="0.85">
      <c r="A1053" s="18">
        <v>1</v>
      </c>
      <c r="B1053" s="57">
        <f>SUBTOTAL(103,$A$558:A1053)</f>
        <v>441</v>
      </c>
      <c r="C1053" s="22" t="s">
        <v>1253</v>
      </c>
      <c r="D1053" s="29">
        <f>E1053+F1053+G1053+H1053+I1053+J1053+L1053+N1053+P1053+R1053+T1053+U1053+V1053+W1053+X1053+Y1053+Z1053+AA1053+AB1053+AC1053+AD1053+AE1053</f>
        <v>5782532.9099999992</v>
      </c>
      <c r="E1053" s="29">
        <v>0</v>
      </c>
      <c r="F1053" s="29">
        <v>0</v>
      </c>
      <c r="G1053" s="29">
        <v>0</v>
      </c>
      <c r="H1053" s="29">
        <v>0</v>
      </c>
      <c r="I1053" s="29">
        <v>0</v>
      </c>
      <c r="J1053" s="29">
        <v>0</v>
      </c>
      <c r="K1053" s="31">
        <v>0</v>
      </c>
      <c r="L1053" s="29">
        <v>0</v>
      </c>
      <c r="M1053" s="29">
        <v>358.42</v>
      </c>
      <c r="N1053" s="29">
        <f>1852079.29+1040558.72+64707.38</f>
        <v>2957345.3899999997</v>
      </c>
      <c r="O1053" s="29">
        <v>0</v>
      </c>
      <c r="P1053" s="29">
        <v>0</v>
      </c>
      <c r="Q1053" s="29">
        <v>729.1</v>
      </c>
      <c r="R1053" s="29">
        <f>1721236.56+ROUND(1721236.56*0.15,2)+523856.13</f>
        <v>2503278.17</v>
      </c>
      <c r="S1053" s="29">
        <v>0</v>
      </c>
      <c r="T1053" s="29">
        <v>0</v>
      </c>
      <c r="U1053" s="29">
        <v>0</v>
      </c>
      <c r="V1053" s="29">
        <v>0</v>
      </c>
      <c r="W1053" s="29">
        <v>0</v>
      </c>
      <c r="X1053" s="29">
        <v>0</v>
      </c>
      <c r="Y1053" s="29">
        <v>0</v>
      </c>
      <c r="Z1053" s="29">
        <v>0</v>
      </c>
      <c r="AA1053" s="29">
        <v>0</v>
      </c>
      <c r="AB1053" s="29">
        <v>0</v>
      </c>
      <c r="AC1053" s="29">
        <f>ROUND((N1053+R1053)*1.5%,2)</f>
        <v>81909.350000000006</v>
      </c>
      <c r="AD1053" s="29">
        <v>0</v>
      </c>
      <c r="AE1053" s="29">
        <v>240000</v>
      </c>
      <c r="AF1053" s="32" t="s">
        <v>268</v>
      </c>
      <c r="AG1053" s="32">
        <v>2021</v>
      </c>
      <c r="AH1053" s="33">
        <v>2021</v>
      </c>
      <c r="BZ1053" s="61"/>
      <c r="CD1053" s="18" t="e">
        <f>VLOOKUP(C1053,CE:CF,2,FALSE)</f>
        <v>#N/A</v>
      </c>
    </row>
    <row r="1054" spans="1:82" ht="61.5" x14ac:dyDescent="0.85">
      <c r="B1054" s="22" t="s">
        <v>847</v>
      </c>
      <c r="C1054" s="22"/>
      <c r="D1054" s="339">
        <f>D1055</f>
        <v>3029954.81</v>
      </c>
      <c r="E1054" s="29">
        <f t="shared" ref="E1054:AE1054" si="206">E1055</f>
        <v>0</v>
      </c>
      <c r="F1054" s="29">
        <f t="shared" si="206"/>
        <v>0</v>
      </c>
      <c r="G1054" s="29">
        <f t="shared" si="206"/>
        <v>0</v>
      </c>
      <c r="H1054" s="29">
        <f t="shared" si="206"/>
        <v>0</v>
      </c>
      <c r="I1054" s="29">
        <f t="shared" si="206"/>
        <v>0</v>
      </c>
      <c r="J1054" s="29">
        <f t="shared" si="206"/>
        <v>0</v>
      </c>
      <c r="K1054" s="31">
        <f t="shared" si="206"/>
        <v>0</v>
      </c>
      <c r="L1054" s="29">
        <f t="shared" si="206"/>
        <v>0</v>
      </c>
      <c r="M1054" s="29">
        <f t="shared" si="206"/>
        <v>590</v>
      </c>
      <c r="N1054" s="29">
        <f t="shared" si="206"/>
        <v>2985177.15</v>
      </c>
      <c r="O1054" s="29">
        <f t="shared" si="206"/>
        <v>0</v>
      </c>
      <c r="P1054" s="29">
        <f t="shared" si="206"/>
        <v>0</v>
      </c>
      <c r="Q1054" s="29">
        <f t="shared" si="206"/>
        <v>0</v>
      </c>
      <c r="R1054" s="29">
        <f t="shared" si="206"/>
        <v>0</v>
      </c>
      <c r="S1054" s="29">
        <f t="shared" si="206"/>
        <v>0</v>
      </c>
      <c r="T1054" s="29">
        <f t="shared" si="206"/>
        <v>0</v>
      </c>
      <c r="U1054" s="29">
        <f t="shared" si="206"/>
        <v>0</v>
      </c>
      <c r="V1054" s="29">
        <f t="shared" si="206"/>
        <v>0</v>
      </c>
      <c r="W1054" s="29">
        <f t="shared" si="206"/>
        <v>0</v>
      </c>
      <c r="X1054" s="29">
        <f t="shared" si="206"/>
        <v>0</v>
      </c>
      <c r="Y1054" s="29">
        <f t="shared" si="206"/>
        <v>0</v>
      </c>
      <c r="Z1054" s="29">
        <f t="shared" si="206"/>
        <v>0</v>
      </c>
      <c r="AA1054" s="29">
        <f t="shared" si="206"/>
        <v>0</v>
      </c>
      <c r="AB1054" s="29">
        <f t="shared" si="206"/>
        <v>0</v>
      </c>
      <c r="AC1054" s="29">
        <f t="shared" si="206"/>
        <v>44777.66</v>
      </c>
      <c r="AD1054" s="29">
        <f t="shared" si="206"/>
        <v>0</v>
      </c>
      <c r="AE1054" s="29">
        <f t="shared" si="206"/>
        <v>0</v>
      </c>
      <c r="AF1054" s="62" t="s">
        <v>743</v>
      </c>
      <c r="AG1054" s="62" t="s">
        <v>743</v>
      </c>
      <c r="AH1054" s="77" t="s">
        <v>743</v>
      </c>
      <c r="AT1054" s="18" t="e">
        <f>VLOOKUP(C1054,AW:AX,2,FALSE)</f>
        <v>#N/A</v>
      </c>
      <c r="BZ1054" s="61">
        <v>3080862</v>
      </c>
      <c r="CD1054" s="18" t="e">
        <f>VLOOKUP(C1054,CE:CF,2,FALSE)</f>
        <v>#N/A</v>
      </c>
    </row>
    <row r="1055" spans="1:82" ht="61.5" x14ac:dyDescent="0.85">
      <c r="A1055" s="18">
        <v>1</v>
      </c>
      <c r="B1055" s="57">
        <f>SUBTOTAL(103,$A$558:A1055)</f>
        <v>442</v>
      </c>
      <c r="C1055" s="22" t="s">
        <v>97</v>
      </c>
      <c r="D1055" s="29">
        <f>E1055+F1055+G1055+H1055+I1055+J1055+L1055+N1055+P1055+R1055+T1055+U1055+V1055+W1055+X1055+Y1055+Z1055+AA1055+AB1055+AC1055+AD1055+AE1055</f>
        <v>3029954.81</v>
      </c>
      <c r="E1055" s="29">
        <v>0</v>
      </c>
      <c r="F1055" s="29">
        <v>0</v>
      </c>
      <c r="G1055" s="29">
        <v>0</v>
      </c>
      <c r="H1055" s="29">
        <v>0</v>
      </c>
      <c r="I1055" s="29">
        <v>0</v>
      </c>
      <c r="J1055" s="29">
        <v>0</v>
      </c>
      <c r="K1055" s="31">
        <v>0</v>
      </c>
      <c r="L1055" s="29">
        <v>0</v>
      </c>
      <c r="M1055" s="29">
        <v>590</v>
      </c>
      <c r="N1055" s="29">
        <f>2887548.77+22124.08+1669+62272.69+1669+9893.61</f>
        <v>2985177.15</v>
      </c>
      <c r="O1055" s="29">
        <v>0</v>
      </c>
      <c r="P1055" s="29">
        <v>0</v>
      </c>
      <c r="Q1055" s="29">
        <v>0</v>
      </c>
      <c r="R1055" s="29">
        <v>0</v>
      </c>
      <c r="S1055" s="29">
        <v>0</v>
      </c>
      <c r="T1055" s="29">
        <v>0</v>
      </c>
      <c r="U1055" s="29">
        <v>0</v>
      </c>
      <c r="V1055" s="29">
        <v>0</v>
      </c>
      <c r="W1055" s="29">
        <v>0</v>
      </c>
      <c r="X1055" s="29">
        <v>0</v>
      </c>
      <c r="Y1055" s="29">
        <v>0</v>
      </c>
      <c r="Z1055" s="29">
        <v>0</v>
      </c>
      <c r="AA1055" s="29">
        <v>0</v>
      </c>
      <c r="AB1055" s="29">
        <v>0</v>
      </c>
      <c r="AC1055" s="29">
        <f>ROUND(N1055*1.5%,2)</f>
        <v>44777.66</v>
      </c>
      <c r="AD1055" s="29">
        <v>0</v>
      </c>
      <c r="AE1055" s="29">
        <v>0</v>
      </c>
      <c r="AF1055" s="32" t="s">
        <v>268</v>
      </c>
      <c r="AG1055" s="32">
        <v>2021</v>
      </c>
      <c r="AH1055" s="33">
        <v>2021</v>
      </c>
      <c r="AT1055" s="18" t="e">
        <f>VLOOKUP(C1055,AW:AX,2,FALSE)</f>
        <v>#N/A</v>
      </c>
      <c r="BZ1055" s="61"/>
      <c r="CD1055" s="18" t="e">
        <f>VLOOKUP(C1055,CE:CF,2,FALSE)</f>
        <v>#N/A</v>
      </c>
    </row>
    <row r="1056" spans="1:82" ht="61.5" x14ac:dyDescent="0.85">
      <c r="B1056" s="22" t="s">
        <v>871</v>
      </c>
      <c r="C1056" s="22"/>
      <c r="D1056" s="339">
        <f>D1057</f>
        <v>4784142.67</v>
      </c>
      <c r="E1056" s="29">
        <f t="shared" ref="E1056:AA1056" si="207">E1057</f>
        <v>0</v>
      </c>
      <c r="F1056" s="29">
        <f t="shared" si="207"/>
        <v>0</v>
      </c>
      <c r="G1056" s="29">
        <f t="shared" si="207"/>
        <v>0</v>
      </c>
      <c r="H1056" s="29">
        <f t="shared" si="207"/>
        <v>0</v>
      </c>
      <c r="I1056" s="29">
        <f t="shared" si="207"/>
        <v>0</v>
      </c>
      <c r="J1056" s="29">
        <f t="shared" si="207"/>
        <v>0</v>
      </c>
      <c r="K1056" s="31">
        <f t="shared" si="207"/>
        <v>0</v>
      </c>
      <c r="L1056" s="29">
        <f t="shared" si="207"/>
        <v>0</v>
      </c>
      <c r="M1056" s="29">
        <f t="shared" si="207"/>
        <v>700</v>
      </c>
      <c r="N1056" s="29">
        <f t="shared" si="207"/>
        <v>4713441.05</v>
      </c>
      <c r="O1056" s="29">
        <f t="shared" si="207"/>
        <v>0</v>
      </c>
      <c r="P1056" s="29">
        <f t="shared" si="207"/>
        <v>0</v>
      </c>
      <c r="Q1056" s="29">
        <f t="shared" si="207"/>
        <v>0</v>
      </c>
      <c r="R1056" s="29">
        <f t="shared" si="207"/>
        <v>0</v>
      </c>
      <c r="S1056" s="29">
        <f t="shared" si="207"/>
        <v>0</v>
      </c>
      <c r="T1056" s="29">
        <f t="shared" si="207"/>
        <v>0</v>
      </c>
      <c r="U1056" s="29">
        <f t="shared" si="207"/>
        <v>0</v>
      </c>
      <c r="V1056" s="29">
        <f t="shared" si="207"/>
        <v>0</v>
      </c>
      <c r="W1056" s="29">
        <f t="shared" si="207"/>
        <v>0</v>
      </c>
      <c r="X1056" s="29">
        <f t="shared" si="207"/>
        <v>0</v>
      </c>
      <c r="Y1056" s="29">
        <f t="shared" si="207"/>
        <v>0</v>
      </c>
      <c r="Z1056" s="29">
        <f t="shared" si="207"/>
        <v>0</v>
      </c>
      <c r="AA1056" s="29">
        <f t="shared" si="207"/>
        <v>0</v>
      </c>
      <c r="AB1056" s="29">
        <f>AB1057</f>
        <v>0</v>
      </c>
      <c r="AC1056" s="29">
        <f>AC1057</f>
        <v>70701.62</v>
      </c>
      <c r="AD1056" s="29">
        <f>AD1057</f>
        <v>0</v>
      </c>
      <c r="AE1056" s="29">
        <f>AE1057</f>
        <v>0</v>
      </c>
      <c r="AF1056" s="62" t="s">
        <v>743</v>
      </c>
      <c r="AG1056" s="62" t="s">
        <v>743</v>
      </c>
      <c r="AH1056" s="77" t="s">
        <v>743</v>
      </c>
      <c r="AT1056" s="18" t="e">
        <f>VLOOKUP(C1056,AW:AX,2,FALSE)</f>
        <v>#N/A</v>
      </c>
      <c r="BZ1056" s="61">
        <v>3655260</v>
      </c>
      <c r="CD1056" s="18" t="e">
        <f>VLOOKUP(C1056,CE:CF,2,FALSE)</f>
        <v>#N/A</v>
      </c>
    </row>
    <row r="1057" spans="1:82" ht="61.5" x14ac:dyDescent="0.85">
      <c r="A1057" s="18">
        <v>1</v>
      </c>
      <c r="B1057" s="57">
        <f>SUBTOTAL(103,$A$558:A1057)</f>
        <v>443</v>
      </c>
      <c r="C1057" s="22" t="s">
        <v>98</v>
      </c>
      <c r="D1057" s="29">
        <f>E1057+F1057+G1057+H1057+I1057+J1057+L1057+N1057+P1057+R1057+T1057+U1057+V1057+W1057+X1057+Y1057+Z1057+AA1057+AB1057+AC1057+AD1057+AE1057</f>
        <v>4784142.67</v>
      </c>
      <c r="E1057" s="29">
        <v>0</v>
      </c>
      <c r="F1057" s="29">
        <v>0</v>
      </c>
      <c r="G1057" s="29">
        <v>0</v>
      </c>
      <c r="H1057" s="29">
        <v>0</v>
      </c>
      <c r="I1057" s="29">
        <v>0</v>
      </c>
      <c r="J1057" s="29">
        <v>0</v>
      </c>
      <c r="K1057" s="31">
        <v>0</v>
      </c>
      <c r="L1057" s="29">
        <v>0</v>
      </c>
      <c r="M1057" s="29">
        <v>700</v>
      </c>
      <c r="N1057" s="29">
        <f>3453458.13+61790.32+1198192.6</f>
        <v>4713441.05</v>
      </c>
      <c r="O1057" s="29">
        <v>0</v>
      </c>
      <c r="P1057" s="29">
        <v>0</v>
      </c>
      <c r="Q1057" s="29">
        <v>0</v>
      </c>
      <c r="R1057" s="29">
        <v>0</v>
      </c>
      <c r="S1057" s="29">
        <v>0</v>
      </c>
      <c r="T1057" s="29">
        <v>0</v>
      </c>
      <c r="U1057" s="29">
        <v>0</v>
      </c>
      <c r="V1057" s="29">
        <v>0</v>
      </c>
      <c r="W1057" s="29">
        <v>0</v>
      </c>
      <c r="X1057" s="29">
        <v>0</v>
      </c>
      <c r="Y1057" s="29">
        <v>0</v>
      </c>
      <c r="Z1057" s="29">
        <v>0</v>
      </c>
      <c r="AA1057" s="29">
        <v>0</v>
      </c>
      <c r="AB1057" s="29">
        <v>0</v>
      </c>
      <c r="AC1057" s="29">
        <f>ROUND(N1057*1.5%,2)</f>
        <v>70701.62</v>
      </c>
      <c r="AD1057" s="29">
        <v>0</v>
      </c>
      <c r="AE1057" s="29">
        <v>0</v>
      </c>
      <c r="AF1057" s="32" t="s">
        <v>268</v>
      </c>
      <c r="AG1057" s="32">
        <v>2021</v>
      </c>
      <c r="AH1057" s="33">
        <v>2021</v>
      </c>
      <c r="AT1057" s="18" t="e">
        <f>VLOOKUP(C1057,AW:AX,2,FALSE)</f>
        <v>#N/A</v>
      </c>
      <c r="BZ1057" s="61"/>
      <c r="CD1057" s="18" t="e">
        <f>VLOOKUP(C1057,CE:CF,2,FALSE)</f>
        <v>#N/A</v>
      </c>
    </row>
    <row r="1058" spans="1:82" ht="61.5" x14ac:dyDescent="0.85">
      <c r="B1058" s="22" t="s">
        <v>848</v>
      </c>
      <c r="C1058" s="22"/>
      <c r="D1058" s="339">
        <f>D1059</f>
        <v>877727.45000000007</v>
      </c>
      <c r="E1058" s="29">
        <f t="shared" ref="E1058:AE1060" si="208">E1059</f>
        <v>0</v>
      </c>
      <c r="F1058" s="29">
        <f t="shared" si="208"/>
        <v>0</v>
      </c>
      <c r="G1058" s="29">
        <f t="shared" si="208"/>
        <v>0</v>
      </c>
      <c r="H1058" s="29">
        <f t="shared" si="208"/>
        <v>864756.1100000001</v>
      </c>
      <c r="I1058" s="29">
        <f t="shared" si="208"/>
        <v>0</v>
      </c>
      <c r="J1058" s="29">
        <f t="shared" si="208"/>
        <v>0</v>
      </c>
      <c r="K1058" s="31">
        <f t="shared" si="208"/>
        <v>0</v>
      </c>
      <c r="L1058" s="29">
        <f t="shared" si="208"/>
        <v>0</v>
      </c>
      <c r="M1058" s="29">
        <f t="shared" si="208"/>
        <v>0</v>
      </c>
      <c r="N1058" s="29">
        <f t="shared" si="208"/>
        <v>0</v>
      </c>
      <c r="O1058" s="29">
        <f t="shared" si="208"/>
        <v>0</v>
      </c>
      <c r="P1058" s="29">
        <f t="shared" si="208"/>
        <v>0</v>
      </c>
      <c r="Q1058" s="29">
        <f t="shared" si="208"/>
        <v>0</v>
      </c>
      <c r="R1058" s="29">
        <f t="shared" si="208"/>
        <v>0</v>
      </c>
      <c r="S1058" s="29">
        <f t="shared" si="208"/>
        <v>0</v>
      </c>
      <c r="T1058" s="29">
        <f t="shared" si="208"/>
        <v>0</v>
      </c>
      <c r="U1058" s="29">
        <f t="shared" si="208"/>
        <v>0</v>
      </c>
      <c r="V1058" s="29">
        <f t="shared" si="208"/>
        <v>0</v>
      </c>
      <c r="W1058" s="29">
        <f t="shared" si="208"/>
        <v>0</v>
      </c>
      <c r="X1058" s="29">
        <f t="shared" si="208"/>
        <v>0</v>
      </c>
      <c r="Y1058" s="29">
        <f t="shared" si="208"/>
        <v>0</v>
      </c>
      <c r="Z1058" s="29">
        <f t="shared" si="208"/>
        <v>0</v>
      </c>
      <c r="AA1058" s="29">
        <f t="shared" si="208"/>
        <v>0</v>
      </c>
      <c r="AB1058" s="29">
        <f t="shared" si="208"/>
        <v>0</v>
      </c>
      <c r="AC1058" s="29">
        <f t="shared" si="208"/>
        <v>12971.34</v>
      </c>
      <c r="AD1058" s="29">
        <f t="shared" si="208"/>
        <v>0</v>
      </c>
      <c r="AE1058" s="29">
        <f t="shared" si="208"/>
        <v>0</v>
      </c>
      <c r="AF1058" s="62" t="s">
        <v>743</v>
      </c>
      <c r="AG1058" s="62" t="s">
        <v>743</v>
      </c>
      <c r="AH1058" s="77" t="s">
        <v>743</v>
      </c>
      <c r="AT1058" s="18" t="e">
        <f>VLOOKUP(C1058,AW:AX,2,FALSE)</f>
        <v>#N/A</v>
      </c>
      <c r="BZ1058" s="61">
        <v>3080862</v>
      </c>
      <c r="CD1058" s="18" t="e">
        <f>VLOOKUP(C1058,CE:CF,2,FALSE)</f>
        <v>#N/A</v>
      </c>
    </row>
    <row r="1059" spans="1:82" ht="61.5" x14ac:dyDescent="0.85">
      <c r="A1059" s="18">
        <v>1</v>
      </c>
      <c r="B1059" s="57">
        <f>SUBTOTAL(103,$A$558:A1059)</f>
        <v>444</v>
      </c>
      <c r="C1059" s="22" t="s">
        <v>1597</v>
      </c>
      <c r="D1059" s="29">
        <f>E1059+F1059+G1059+H1059+I1059+J1059+L1059+N1059+P1059+R1059+T1059+U1059+V1059+W1059+X1059+Y1059+Z1059+AA1059+AB1059+AC1059+AD1059+AE1059</f>
        <v>877727.45000000007</v>
      </c>
      <c r="E1059" s="29">
        <v>0</v>
      </c>
      <c r="F1059" s="29">
        <v>0</v>
      </c>
      <c r="G1059" s="29">
        <v>0</v>
      </c>
      <c r="H1059" s="29">
        <f>818295.28+39111.04+7349.79</f>
        <v>864756.1100000001</v>
      </c>
      <c r="I1059" s="29">
        <v>0</v>
      </c>
      <c r="J1059" s="29">
        <v>0</v>
      </c>
      <c r="K1059" s="64">
        <v>0</v>
      </c>
      <c r="L1059" s="29">
        <v>0</v>
      </c>
      <c r="M1059" s="29">
        <v>0</v>
      </c>
      <c r="N1059" s="29">
        <v>0</v>
      </c>
      <c r="O1059" s="29">
        <v>0</v>
      </c>
      <c r="P1059" s="29">
        <v>0</v>
      </c>
      <c r="Q1059" s="29">
        <v>0</v>
      </c>
      <c r="R1059" s="29">
        <v>0</v>
      </c>
      <c r="S1059" s="29">
        <v>0</v>
      </c>
      <c r="T1059" s="29">
        <v>0</v>
      </c>
      <c r="U1059" s="29">
        <v>0</v>
      </c>
      <c r="V1059" s="29">
        <v>0</v>
      </c>
      <c r="W1059" s="29">
        <v>0</v>
      </c>
      <c r="X1059" s="29">
        <v>0</v>
      </c>
      <c r="Y1059" s="29">
        <v>0</v>
      </c>
      <c r="Z1059" s="29">
        <v>0</v>
      </c>
      <c r="AA1059" s="29">
        <v>0</v>
      </c>
      <c r="AB1059" s="29">
        <v>0</v>
      </c>
      <c r="AC1059" s="29">
        <f>ROUND(H1059*1.5%,2)</f>
        <v>12971.34</v>
      </c>
      <c r="AD1059" s="29">
        <v>0</v>
      </c>
      <c r="AE1059" s="29">
        <v>0</v>
      </c>
      <c r="AF1059" s="32" t="s">
        <v>268</v>
      </c>
      <c r="AG1059" s="32">
        <v>2021</v>
      </c>
      <c r="AH1059" s="33">
        <v>2021</v>
      </c>
      <c r="BZ1059" s="61"/>
      <c r="CD1059" s="18" t="e">
        <f>VLOOKUP(C1059,CE:CF,2,FALSE)</f>
        <v>#N/A</v>
      </c>
    </row>
    <row r="1060" spans="1:82" ht="61.5" x14ac:dyDescent="0.85">
      <c r="B1060" s="22" t="s">
        <v>849</v>
      </c>
      <c r="C1060" s="22"/>
      <c r="D1060" s="339">
        <f>D1061</f>
        <v>3108475.73</v>
      </c>
      <c r="E1060" s="29">
        <f t="shared" si="208"/>
        <v>0</v>
      </c>
      <c r="F1060" s="29">
        <f t="shared" si="208"/>
        <v>0</v>
      </c>
      <c r="G1060" s="29">
        <f t="shared" si="208"/>
        <v>0</v>
      </c>
      <c r="H1060" s="29">
        <f t="shared" si="208"/>
        <v>0</v>
      </c>
      <c r="I1060" s="29">
        <f t="shared" si="208"/>
        <v>0</v>
      </c>
      <c r="J1060" s="29">
        <f t="shared" si="208"/>
        <v>0</v>
      </c>
      <c r="K1060" s="31">
        <f t="shared" si="208"/>
        <v>0</v>
      </c>
      <c r="L1060" s="29">
        <f t="shared" si="208"/>
        <v>0</v>
      </c>
      <c r="M1060" s="29">
        <f t="shared" si="208"/>
        <v>590</v>
      </c>
      <c r="N1060" s="29">
        <f t="shared" si="208"/>
        <v>2914754.41</v>
      </c>
      <c r="O1060" s="29">
        <f t="shared" si="208"/>
        <v>0</v>
      </c>
      <c r="P1060" s="29">
        <f t="shared" si="208"/>
        <v>0</v>
      </c>
      <c r="Q1060" s="29">
        <f t="shared" si="208"/>
        <v>0</v>
      </c>
      <c r="R1060" s="29">
        <f t="shared" si="208"/>
        <v>0</v>
      </c>
      <c r="S1060" s="29">
        <f t="shared" si="208"/>
        <v>0</v>
      </c>
      <c r="T1060" s="29">
        <f t="shared" si="208"/>
        <v>0</v>
      </c>
      <c r="U1060" s="29">
        <f t="shared" si="208"/>
        <v>0</v>
      </c>
      <c r="V1060" s="29">
        <f t="shared" si="208"/>
        <v>0</v>
      </c>
      <c r="W1060" s="29">
        <f t="shared" si="208"/>
        <v>0</v>
      </c>
      <c r="X1060" s="29">
        <f t="shared" si="208"/>
        <v>0</v>
      </c>
      <c r="Y1060" s="29">
        <f t="shared" si="208"/>
        <v>0</v>
      </c>
      <c r="Z1060" s="29">
        <f t="shared" si="208"/>
        <v>0</v>
      </c>
      <c r="AA1060" s="29">
        <f t="shared" si="208"/>
        <v>0</v>
      </c>
      <c r="AB1060" s="29">
        <f t="shared" si="208"/>
        <v>0</v>
      </c>
      <c r="AC1060" s="29">
        <f t="shared" si="208"/>
        <v>43721.32</v>
      </c>
      <c r="AD1060" s="29">
        <f t="shared" si="208"/>
        <v>150000</v>
      </c>
      <c r="AE1060" s="29">
        <f t="shared" si="208"/>
        <v>0</v>
      </c>
      <c r="AF1060" s="62" t="s">
        <v>743</v>
      </c>
      <c r="AG1060" s="62" t="s">
        <v>743</v>
      </c>
      <c r="AH1060" s="77" t="s">
        <v>743</v>
      </c>
      <c r="AT1060" s="18" t="e">
        <f>VLOOKUP(C1060,AW:AX,2,FALSE)</f>
        <v>#N/A</v>
      </c>
      <c r="BZ1060" s="61">
        <v>3080862</v>
      </c>
      <c r="CD1060" s="18" t="e">
        <f>VLOOKUP(C1060,CE:CF,2,FALSE)</f>
        <v>#N/A</v>
      </c>
    </row>
    <row r="1061" spans="1:82" ht="61.5" x14ac:dyDescent="0.85">
      <c r="A1061" s="18">
        <v>1</v>
      </c>
      <c r="B1061" s="57">
        <f>SUBTOTAL(103,$A$558:A1061)</f>
        <v>445</v>
      </c>
      <c r="C1061" s="22" t="s">
        <v>99</v>
      </c>
      <c r="D1061" s="29">
        <f>E1061+F1061+G1061+H1061+I1061+J1061+L1061+N1061+P1061+R1061+T1061+U1061+V1061+W1061+X1061+Y1061+Z1061+AA1061+AB1061+AC1061+AD1061+AE1061</f>
        <v>3108475.73</v>
      </c>
      <c r="E1061" s="29">
        <v>0</v>
      </c>
      <c r="F1061" s="29">
        <v>0</v>
      </c>
      <c r="G1061" s="29">
        <v>0</v>
      </c>
      <c r="H1061" s="29">
        <v>0</v>
      </c>
      <c r="I1061" s="29">
        <v>0</v>
      </c>
      <c r="J1061" s="29">
        <v>0</v>
      </c>
      <c r="K1061" s="31">
        <v>0</v>
      </c>
      <c r="L1061" s="29">
        <v>0</v>
      </c>
      <c r="M1061" s="29">
        <v>590</v>
      </c>
      <c r="N1061" s="29">
        <f>2887548.77+27205.64</f>
        <v>2914754.41</v>
      </c>
      <c r="O1061" s="29">
        <v>0</v>
      </c>
      <c r="P1061" s="29">
        <v>0</v>
      </c>
      <c r="Q1061" s="29">
        <v>0</v>
      </c>
      <c r="R1061" s="29">
        <v>0</v>
      </c>
      <c r="S1061" s="29">
        <v>0</v>
      </c>
      <c r="T1061" s="29">
        <v>0</v>
      </c>
      <c r="U1061" s="29">
        <v>0</v>
      </c>
      <c r="V1061" s="29">
        <v>0</v>
      </c>
      <c r="W1061" s="29">
        <v>0</v>
      </c>
      <c r="X1061" s="29">
        <v>0</v>
      </c>
      <c r="Y1061" s="29">
        <v>0</v>
      </c>
      <c r="Z1061" s="29">
        <v>0</v>
      </c>
      <c r="AA1061" s="29">
        <v>0</v>
      </c>
      <c r="AB1061" s="29">
        <v>0</v>
      </c>
      <c r="AC1061" s="29">
        <f>ROUND(N1061*1.5%,2)</f>
        <v>43721.32</v>
      </c>
      <c r="AD1061" s="29">
        <v>150000</v>
      </c>
      <c r="AE1061" s="29">
        <v>0</v>
      </c>
      <c r="AF1061" s="32">
        <v>2021</v>
      </c>
      <c r="AG1061" s="32">
        <v>2021</v>
      </c>
      <c r="AH1061" s="33">
        <v>2021</v>
      </c>
      <c r="AT1061" s="18" t="e">
        <f>VLOOKUP(C1061,AW:AX,2,FALSE)</f>
        <v>#N/A</v>
      </c>
      <c r="BZ1061" s="61"/>
      <c r="CD1061" s="18" t="e">
        <f>VLOOKUP(C1061,CE:CF,2,FALSE)</f>
        <v>#N/A</v>
      </c>
    </row>
    <row r="1062" spans="1:82" ht="61.5" x14ac:dyDescent="0.85">
      <c r="B1062" s="22" t="s">
        <v>850</v>
      </c>
      <c r="C1062" s="338"/>
      <c r="D1062" s="339">
        <f>SUM(D1063:D1067)</f>
        <v>10682268.789999999</v>
      </c>
      <c r="E1062" s="29">
        <f t="shared" ref="E1062:AE1062" si="209">SUM(E1063:E1067)</f>
        <v>0</v>
      </c>
      <c r="F1062" s="29">
        <f t="shared" si="209"/>
        <v>0</v>
      </c>
      <c r="G1062" s="29">
        <f t="shared" si="209"/>
        <v>0</v>
      </c>
      <c r="H1062" s="29">
        <f t="shared" si="209"/>
        <v>0</v>
      </c>
      <c r="I1062" s="29">
        <f t="shared" si="209"/>
        <v>632620</v>
      </c>
      <c r="J1062" s="29">
        <f t="shared" si="209"/>
        <v>0</v>
      </c>
      <c r="K1062" s="31">
        <f t="shared" si="209"/>
        <v>0</v>
      </c>
      <c r="L1062" s="29">
        <f t="shared" si="209"/>
        <v>0</v>
      </c>
      <c r="M1062" s="29">
        <f t="shared" si="209"/>
        <v>1508</v>
      </c>
      <c r="N1062" s="29">
        <f t="shared" si="209"/>
        <v>7784541.1400000006</v>
      </c>
      <c r="O1062" s="29">
        <f t="shared" si="209"/>
        <v>0</v>
      </c>
      <c r="P1062" s="29">
        <f t="shared" si="209"/>
        <v>0</v>
      </c>
      <c r="Q1062" s="29">
        <f t="shared" si="209"/>
        <v>531</v>
      </c>
      <c r="R1062" s="29">
        <f t="shared" si="209"/>
        <v>1562889.66</v>
      </c>
      <c r="S1062" s="29">
        <f t="shared" si="209"/>
        <v>0</v>
      </c>
      <c r="T1062" s="29">
        <f t="shared" si="209"/>
        <v>0</v>
      </c>
      <c r="U1062" s="29">
        <f t="shared" si="209"/>
        <v>0</v>
      </c>
      <c r="V1062" s="29">
        <f t="shared" si="209"/>
        <v>0</v>
      </c>
      <c r="W1062" s="29">
        <f t="shared" si="209"/>
        <v>0</v>
      </c>
      <c r="X1062" s="29">
        <f t="shared" si="209"/>
        <v>0</v>
      </c>
      <c r="Y1062" s="29">
        <f t="shared" si="209"/>
        <v>0</v>
      </c>
      <c r="Z1062" s="29">
        <f t="shared" si="209"/>
        <v>0</v>
      </c>
      <c r="AA1062" s="29">
        <f t="shared" si="209"/>
        <v>0</v>
      </c>
      <c r="AB1062" s="29">
        <f t="shared" si="209"/>
        <v>0</v>
      </c>
      <c r="AC1062" s="29">
        <f t="shared" si="209"/>
        <v>146474.40000000002</v>
      </c>
      <c r="AD1062" s="29">
        <f t="shared" si="209"/>
        <v>315743.58999999997</v>
      </c>
      <c r="AE1062" s="29">
        <f t="shared" si="209"/>
        <v>240000</v>
      </c>
      <c r="AF1062" s="62" t="s">
        <v>743</v>
      </c>
      <c r="AG1062" s="62" t="s">
        <v>743</v>
      </c>
      <c r="AH1062" s="77" t="s">
        <v>743</v>
      </c>
      <c r="AT1062" s="18" t="e">
        <f>VLOOKUP(C1062,AW:AX,2,FALSE)</f>
        <v>#N/A</v>
      </c>
      <c r="BZ1062" s="61">
        <v>7774419.2400000002</v>
      </c>
      <c r="CD1062" s="18" t="e">
        <f>VLOOKUP(C1062,CE:CF,2,FALSE)</f>
        <v>#N/A</v>
      </c>
    </row>
    <row r="1063" spans="1:82" ht="61.5" x14ac:dyDescent="0.85">
      <c r="A1063" s="18">
        <v>1</v>
      </c>
      <c r="B1063" s="57">
        <f>SUBTOTAL(103,$A$558:A1063)</f>
        <v>446</v>
      </c>
      <c r="C1063" s="22" t="s">
        <v>188</v>
      </c>
      <c r="D1063" s="29">
        <f>E1063+F1063+G1063+H1063+I1063+J1063+L1063+N1063+P1063+R1063+T1063+U1063+V1063+W1063+X1063+Y1063+Z1063+AA1063+AB1063+AC1063+AD1063+AE1063</f>
        <v>3536853.77</v>
      </c>
      <c r="E1063" s="29">
        <v>0</v>
      </c>
      <c r="F1063" s="29">
        <v>0</v>
      </c>
      <c r="G1063" s="29">
        <v>0</v>
      </c>
      <c r="H1063" s="29">
        <v>0</v>
      </c>
      <c r="I1063" s="29">
        <v>0</v>
      </c>
      <c r="J1063" s="29">
        <v>0</v>
      </c>
      <c r="K1063" s="31">
        <v>0</v>
      </c>
      <c r="L1063" s="29">
        <v>0</v>
      </c>
      <c r="M1063" s="29">
        <v>696</v>
      </c>
      <c r="N1063" s="37">
        <f>3349359.61+77140.25</f>
        <v>3426499.86</v>
      </c>
      <c r="O1063" s="29">
        <v>0</v>
      </c>
      <c r="P1063" s="29">
        <v>0</v>
      </c>
      <c r="Q1063" s="29">
        <v>0</v>
      </c>
      <c r="R1063" s="29">
        <v>0</v>
      </c>
      <c r="S1063" s="29">
        <v>0</v>
      </c>
      <c r="T1063" s="29">
        <v>0</v>
      </c>
      <c r="U1063" s="29">
        <v>0</v>
      </c>
      <c r="V1063" s="29">
        <v>0</v>
      </c>
      <c r="W1063" s="29">
        <v>0</v>
      </c>
      <c r="X1063" s="29">
        <v>0</v>
      </c>
      <c r="Y1063" s="29">
        <v>0</v>
      </c>
      <c r="Z1063" s="29">
        <v>0</v>
      </c>
      <c r="AA1063" s="29">
        <v>0</v>
      </c>
      <c r="AB1063" s="29">
        <v>0</v>
      </c>
      <c r="AC1063" s="29">
        <f>ROUND(N1063*1.5%,2)</f>
        <v>51397.5</v>
      </c>
      <c r="AD1063" s="37">
        <v>58956.41</v>
      </c>
      <c r="AE1063" s="29">
        <v>0</v>
      </c>
      <c r="AF1063" s="32">
        <v>2021</v>
      </c>
      <c r="AG1063" s="32">
        <v>2021</v>
      </c>
      <c r="AH1063" s="33">
        <v>2021</v>
      </c>
      <c r="AT1063" s="18" t="e">
        <f>VLOOKUP(C1063,AW:AX,2,FALSE)</f>
        <v>#N/A</v>
      </c>
      <c r="BZ1063" s="61"/>
      <c r="CD1063" s="18" t="e">
        <f>VLOOKUP(C1063,CE:CF,2,FALSE)</f>
        <v>#N/A</v>
      </c>
    </row>
    <row r="1064" spans="1:82" ht="61.5" x14ac:dyDescent="0.85">
      <c r="A1064" s="18">
        <v>1</v>
      </c>
      <c r="B1064" s="57">
        <f>SUBTOTAL(103,$A$558:A1064)</f>
        <v>447</v>
      </c>
      <c r="C1064" s="22" t="s">
        <v>189</v>
      </c>
      <c r="D1064" s="29">
        <f>E1064+F1064+G1064+H1064+I1064+J1064+L1064+N1064+P1064+R1064+T1064+U1064+V1064+W1064+X1064+Y1064+Z1064+AA1064+AB1064+AC1064+AD1064+AE1064</f>
        <v>3208802.39</v>
      </c>
      <c r="E1064" s="29">
        <v>0</v>
      </c>
      <c r="F1064" s="29">
        <v>0</v>
      </c>
      <c r="G1064" s="29">
        <v>0</v>
      </c>
      <c r="H1064" s="29">
        <v>0</v>
      </c>
      <c r="I1064" s="29">
        <v>0</v>
      </c>
      <c r="J1064" s="29">
        <v>0</v>
      </c>
      <c r="K1064" s="31">
        <v>0</v>
      </c>
      <c r="L1064" s="29">
        <v>0</v>
      </c>
      <c r="M1064" s="29">
        <v>510</v>
      </c>
      <c r="N1064" s="29">
        <f>2414778.33-118226.61+564337.33-4926.1</f>
        <v>2855962.95</v>
      </c>
      <c r="O1064" s="29">
        <v>0</v>
      </c>
      <c r="P1064" s="29">
        <v>0</v>
      </c>
      <c r="Q1064" s="29">
        <v>0</v>
      </c>
      <c r="R1064" s="29">
        <v>0</v>
      </c>
      <c r="S1064" s="29">
        <v>0</v>
      </c>
      <c r="T1064" s="29">
        <v>0</v>
      </c>
      <c r="U1064" s="29">
        <v>0</v>
      </c>
      <c r="V1064" s="29">
        <v>0</v>
      </c>
      <c r="W1064" s="29">
        <v>0</v>
      </c>
      <c r="X1064" s="29">
        <v>0</v>
      </c>
      <c r="Y1064" s="29">
        <v>0</v>
      </c>
      <c r="Z1064" s="29">
        <v>0</v>
      </c>
      <c r="AA1064" s="29">
        <v>0</v>
      </c>
      <c r="AB1064" s="29">
        <v>0</v>
      </c>
      <c r="AC1064" s="29">
        <f>ROUND(N1064*1.5%,2)</f>
        <v>42839.44</v>
      </c>
      <c r="AD1064" s="29">
        <v>190000</v>
      </c>
      <c r="AE1064" s="29">
        <v>120000</v>
      </c>
      <c r="AF1064" s="32">
        <v>2021</v>
      </c>
      <c r="AG1064" s="32">
        <v>2021</v>
      </c>
      <c r="AH1064" s="33">
        <v>2021</v>
      </c>
      <c r="AT1064" s="18" t="e">
        <f>VLOOKUP(C1064,AW:AX,2,FALSE)</f>
        <v>#N/A</v>
      </c>
      <c r="BZ1064" s="61"/>
      <c r="CD1064" s="18" t="e">
        <f>VLOOKUP(C1064,CE:CF,2,FALSE)</f>
        <v>#N/A</v>
      </c>
    </row>
    <row r="1065" spans="1:82" ht="61.5" x14ac:dyDescent="0.85">
      <c r="A1065" s="18">
        <v>1</v>
      </c>
      <c r="B1065" s="57">
        <f>SUBTOTAL(103,$A$558:A1065)</f>
        <v>448</v>
      </c>
      <c r="C1065" s="22" t="s">
        <v>190</v>
      </c>
      <c r="D1065" s="29">
        <f>E1065+F1065+G1065+H1065+I1065+J1065+L1065+N1065+P1065+R1065+T1065+U1065+V1065+W1065+X1065+Y1065+Z1065+AA1065+AB1065+AC1065+AD1065+AE1065</f>
        <v>1653120.19</v>
      </c>
      <c r="E1065" s="29">
        <v>0</v>
      </c>
      <c r="F1065" s="29">
        <v>0</v>
      </c>
      <c r="G1065" s="29">
        <v>0</v>
      </c>
      <c r="H1065" s="29">
        <v>0</v>
      </c>
      <c r="I1065" s="29">
        <v>0</v>
      </c>
      <c r="J1065" s="29">
        <v>0</v>
      </c>
      <c r="K1065" s="31">
        <v>0</v>
      </c>
      <c r="L1065" s="29">
        <v>0</v>
      </c>
      <c r="M1065" s="29">
        <v>0</v>
      </c>
      <c r="N1065" s="29">
        <v>0</v>
      </c>
      <c r="O1065" s="29">
        <v>0</v>
      </c>
      <c r="P1065" s="29">
        <v>0</v>
      </c>
      <c r="Q1065" s="29">
        <v>531</v>
      </c>
      <c r="R1065" s="29">
        <f>1594193.74-31304.08</f>
        <v>1562889.66</v>
      </c>
      <c r="S1065" s="29">
        <v>0</v>
      </c>
      <c r="T1065" s="29">
        <v>0</v>
      </c>
      <c r="U1065" s="29">
        <v>0</v>
      </c>
      <c r="V1065" s="29">
        <v>0</v>
      </c>
      <c r="W1065" s="29">
        <v>0</v>
      </c>
      <c r="X1065" s="29">
        <v>0</v>
      </c>
      <c r="Y1065" s="29">
        <v>0</v>
      </c>
      <c r="Z1065" s="29">
        <v>0</v>
      </c>
      <c r="AA1065" s="29">
        <v>0</v>
      </c>
      <c r="AB1065" s="29">
        <v>0</v>
      </c>
      <c r="AC1065" s="29">
        <f>ROUND(R1065*1.5%,2)+0.01</f>
        <v>23443.35</v>
      </c>
      <c r="AD1065" s="37">
        <v>66787.179999999993</v>
      </c>
      <c r="AE1065" s="29">
        <v>0</v>
      </c>
      <c r="AF1065" s="32">
        <v>2021</v>
      </c>
      <c r="AG1065" s="32">
        <v>2021</v>
      </c>
      <c r="AH1065" s="33">
        <v>2021</v>
      </c>
      <c r="AT1065" s="18" t="e">
        <f>VLOOKUP(C1065,AW:AX,2,FALSE)</f>
        <v>#N/A</v>
      </c>
      <c r="BZ1065" s="61"/>
      <c r="CD1065" s="18" t="e">
        <f>VLOOKUP(C1065,CE:CF,2,FALSE)</f>
        <v>#N/A</v>
      </c>
    </row>
    <row r="1066" spans="1:82" ht="61.5" x14ac:dyDescent="0.85">
      <c r="A1066" s="18">
        <v>1</v>
      </c>
      <c r="B1066" s="57">
        <f>SUBTOTAL(103,$A$558:A1066)</f>
        <v>449</v>
      </c>
      <c r="C1066" s="22" t="s">
        <v>183</v>
      </c>
      <c r="D1066" s="29">
        <f>E1066+F1066+G1066+H1066+I1066+J1066+L1066+N1066+P1066+R1066+T1066+U1066+V1066+W1066+X1066+Y1066+Z1066+AA1066+AB1066+AC1066+AD1066+AE1066</f>
        <v>1644609.5</v>
      </c>
      <c r="E1066" s="29">
        <v>0</v>
      </c>
      <c r="F1066" s="29">
        <v>0</v>
      </c>
      <c r="G1066" s="29">
        <v>0</v>
      </c>
      <c r="H1066" s="29">
        <v>0</v>
      </c>
      <c r="I1066" s="29">
        <v>0</v>
      </c>
      <c r="J1066" s="29">
        <v>0</v>
      </c>
      <c r="K1066" s="31">
        <v>0</v>
      </c>
      <c r="L1066" s="29">
        <v>0</v>
      </c>
      <c r="M1066" s="29">
        <v>302</v>
      </c>
      <c r="N1066" s="29">
        <f>1502078.33</f>
        <v>1502078.33</v>
      </c>
      <c r="O1066" s="29">
        <v>0</v>
      </c>
      <c r="P1066" s="29">
        <v>0</v>
      </c>
      <c r="Q1066" s="29">
        <v>0</v>
      </c>
      <c r="R1066" s="29">
        <v>0</v>
      </c>
      <c r="S1066" s="29">
        <v>0</v>
      </c>
      <c r="T1066" s="29">
        <v>0</v>
      </c>
      <c r="U1066" s="29">
        <v>0</v>
      </c>
      <c r="V1066" s="29">
        <v>0</v>
      </c>
      <c r="W1066" s="29">
        <v>0</v>
      </c>
      <c r="X1066" s="29">
        <v>0</v>
      </c>
      <c r="Y1066" s="29">
        <v>0</v>
      </c>
      <c r="Z1066" s="29">
        <v>0</v>
      </c>
      <c r="AA1066" s="29">
        <v>0</v>
      </c>
      <c r="AB1066" s="29">
        <v>0</v>
      </c>
      <c r="AC1066" s="29">
        <f>ROUND(N1066*1.5%,2)</f>
        <v>22531.17</v>
      </c>
      <c r="AD1066" s="37">
        <v>0</v>
      </c>
      <c r="AE1066" s="29">
        <v>120000</v>
      </c>
      <c r="AF1066" s="32" t="s">
        <v>268</v>
      </c>
      <c r="AG1066" s="32">
        <v>2021</v>
      </c>
      <c r="AH1066" s="32">
        <v>2021</v>
      </c>
      <c r="AT1066" s="18" t="e">
        <f>VLOOKUP(C1066,AW:AX,2,FALSE)</f>
        <v>#N/A</v>
      </c>
      <c r="BZ1066" s="61"/>
      <c r="CD1066" s="18" t="e">
        <f>VLOOKUP(C1066,CE:CF,2,FALSE)</f>
        <v>#N/A</v>
      </c>
    </row>
    <row r="1067" spans="1:82" ht="61.5" x14ac:dyDescent="0.85">
      <c r="A1067" s="18">
        <v>1</v>
      </c>
      <c r="B1067" s="57">
        <f>SUBTOTAL(103,$A$558:A1067)</f>
        <v>450</v>
      </c>
      <c r="C1067" s="22" t="s">
        <v>1260</v>
      </c>
      <c r="D1067" s="29">
        <f>E1067+F1067+G1067+H1067+I1067+J1067+L1067+N1067+P1067+R1067+T1067+U1067+V1067+W1067+X1067+Y1067+Z1067+AA1067+AB1067+AC1067+AD1067+AE1067</f>
        <v>638882.93999999994</v>
      </c>
      <c r="E1067" s="29">
        <v>0</v>
      </c>
      <c r="F1067" s="29">
        <v>0</v>
      </c>
      <c r="G1067" s="29">
        <v>0</v>
      </c>
      <c r="H1067" s="29">
        <v>0</v>
      </c>
      <c r="I1067" s="335">
        <v>632620</v>
      </c>
      <c r="J1067" s="29">
        <v>0</v>
      </c>
      <c r="K1067" s="64">
        <v>0</v>
      </c>
      <c r="L1067" s="29">
        <v>0</v>
      </c>
      <c r="M1067" s="29">
        <v>0</v>
      </c>
      <c r="N1067" s="29">
        <v>0</v>
      </c>
      <c r="O1067" s="29">
        <v>0</v>
      </c>
      <c r="P1067" s="29">
        <v>0</v>
      </c>
      <c r="Q1067" s="29">
        <v>0</v>
      </c>
      <c r="R1067" s="29">
        <v>0</v>
      </c>
      <c r="S1067" s="29">
        <v>0</v>
      </c>
      <c r="T1067" s="29">
        <v>0</v>
      </c>
      <c r="U1067" s="29">
        <v>0</v>
      </c>
      <c r="V1067" s="29">
        <v>0</v>
      </c>
      <c r="W1067" s="29">
        <v>0</v>
      </c>
      <c r="X1067" s="29">
        <v>0</v>
      </c>
      <c r="Y1067" s="29">
        <v>0</v>
      </c>
      <c r="Z1067" s="29">
        <v>0</v>
      </c>
      <c r="AA1067" s="29">
        <v>0</v>
      </c>
      <c r="AB1067" s="29">
        <v>0</v>
      </c>
      <c r="AC1067" s="335">
        <v>6262.94</v>
      </c>
      <c r="AD1067" s="29">
        <v>0</v>
      </c>
      <c r="AE1067" s="29">
        <v>0</v>
      </c>
      <c r="AF1067" s="32" t="s">
        <v>268</v>
      </c>
      <c r="AG1067" s="32">
        <v>2021</v>
      </c>
      <c r="AH1067" s="33">
        <v>2021</v>
      </c>
      <c r="BZ1067" s="61"/>
      <c r="CD1067" s="18" t="e">
        <f>VLOOKUP(C1067,CE:CF,2,FALSE)</f>
        <v>#N/A</v>
      </c>
    </row>
    <row r="1068" spans="1:82" ht="61.5" x14ac:dyDescent="0.85">
      <c r="B1068" s="22" t="s">
        <v>851</v>
      </c>
      <c r="C1068" s="22"/>
      <c r="D1068" s="339">
        <f>D1069</f>
        <v>2165953.36</v>
      </c>
      <c r="E1068" s="29">
        <f t="shared" ref="E1068:AE1072" si="210">E1069</f>
        <v>0</v>
      </c>
      <c r="F1068" s="29">
        <f t="shared" si="210"/>
        <v>0</v>
      </c>
      <c r="G1068" s="29">
        <f t="shared" si="210"/>
        <v>0</v>
      </c>
      <c r="H1068" s="29">
        <f t="shared" si="210"/>
        <v>0</v>
      </c>
      <c r="I1068" s="29">
        <f t="shared" si="210"/>
        <v>0</v>
      </c>
      <c r="J1068" s="29">
        <f t="shared" si="210"/>
        <v>0</v>
      </c>
      <c r="K1068" s="31">
        <f t="shared" si="210"/>
        <v>0</v>
      </c>
      <c r="L1068" s="29">
        <f t="shared" si="210"/>
        <v>0</v>
      </c>
      <c r="M1068" s="29">
        <f t="shared" si="210"/>
        <v>600</v>
      </c>
      <c r="N1068" s="29">
        <f t="shared" si="210"/>
        <v>2000000</v>
      </c>
      <c r="O1068" s="29">
        <f t="shared" si="210"/>
        <v>0</v>
      </c>
      <c r="P1068" s="29">
        <f t="shared" si="210"/>
        <v>0</v>
      </c>
      <c r="Q1068" s="29">
        <f t="shared" si="210"/>
        <v>0</v>
      </c>
      <c r="R1068" s="29">
        <f t="shared" si="210"/>
        <v>0</v>
      </c>
      <c r="S1068" s="29">
        <f t="shared" si="210"/>
        <v>0</v>
      </c>
      <c r="T1068" s="29">
        <f t="shared" si="210"/>
        <v>0</v>
      </c>
      <c r="U1068" s="29">
        <f t="shared" si="210"/>
        <v>0</v>
      </c>
      <c r="V1068" s="29">
        <f t="shared" si="210"/>
        <v>0</v>
      </c>
      <c r="W1068" s="29">
        <f t="shared" si="210"/>
        <v>0</v>
      </c>
      <c r="X1068" s="29">
        <f t="shared" si="210"/>
        <v>0</v>
      </c>
      <c r="Y1068" s="29">
        <f t="shared" si="210"/>
        <v>0</v>
      </c>
      <c r="Z1068" s="29">
        <f t="shared" si="210"/>
        <v>0</v>
      </c>
      <c r="AA1068" s="29">
        <f t="shared" si="210"/>
        <v>0</v>
      </c>
      <c r="AB1068" s="29">
        <f t="shared" si="210"/>
        <v>0</v>
      </c>
      <c r="AC1068" s="29">
        <f t="shared" si="210"/>
        <v>30000</v>
      </c>
      <c r="AD1068" s="29">
        <f t="shared" si="210"/>
        <v>135953.35999999999</v>
      </c>
      <c r="AE1068" s="29">
        <f t="shared" si="210"/>
        <v>0</v>
      </c>
      <c r="AF1068" s="62" t="s">
        <v>743</v>
      </c>
      <c r="AG1068" s="62" t="s">
        <v>743</v>
      </c>
      <c r="AH1068" s="77" t="s">
        <v>743</v>
      </c>
      <c r="AT1068" s="18" t="e">
        <f>VLOOKUP(C1068,AW:AX,2,FALSE)</f>
        <v>#N/A</v>
      </c>
      <c r="BZ1068" s="61">
        <v>4275483</v>
      </c>
      <c r="CD1068" s="18" t="e">
        <f>VLOOKUP(C1068,CE:CF,2,FALSE)</f>
        <v>#N/A</v>
      </c>
    </row>
    <row r="1069" spans="1:82" ht="61.5" x14ac:dyDescent="0.85">
      <c r="A1069" s="18">
        <v>1</v>
      </c>
      <c r="B1069" s="57">
        <f>SUBTOTAL(103,$A$558:A1069)</f>
        <v>451</v>
      </c>
      <c r="C1069" s="22" t="s">
        <v>2284</v>
      </c>
      <c r="D1069" s="29">
        <f>E1069+F1069+G1069+H1069+I1069+J1069+L1069+N1069+P1069+R1069+T1069+U1069+V1069+W1069+X1069+Y1069+Z1069+AA1069+AB1069+AC1069+AD1069+AE1069</f>
        <v>2165953.36</v>
      </c>
      <c r="E1069" s="29">
        <v>0</v>
      </c>
      <c r="F1069" s="29">
        <v>0</v>
      </c>
      <c r="G1069" s="29">
        <v>0</v>
      </c>
      <c r="H1069" s="29">
        <v>0</v>
      </c>
      <c r="I1069" s="29">
        <v>0</v>
      </c>
      <c r="J1069" s="29">
        <v>0</v>
      </c>
      <c r="K1069" s="31">
        <v>0</v>
      </c>
      <c r="L1069" s="29">
        <v>0</v>
      </c>
      <c r="M1069" s="29">
        <v>600</v>
      </c>
      <c r="N1069" s="29">
        <v>2000000</v>
      </c>
      <c r="O1069" s="29">
        <v>0</v>
      </c>
      <c r="P1069" s="29">
        <v>0</v>
      </c>
      <c r="Q1069" s="29">
        <v>0</v>
      </c>
      <c r="R1069" s="29">
        <v>0</v>
      </c>
      <c r="S1069" s="29">
        <v>0</v>
      </c>
      <c r="T1069" s="29">
        <v>0</v>
      </c>
      <c r="U1069" s="29">
        <v>0</v>
      </c>
      <c r="V1069" s="29">
        <v>0</v>
      </c>
      <c r="W1069" s="29">
        <v>0</v>
      </c>
      <c r="X1069" s="29">
        <v>0</v>
      </c>
      <c r="Y1069" s="29">
        <v>0</v>
      </c>
      <c r="Z1069" s="29">
        <v>0</v>
      </c>
      <c r="AA1069" s="29">
        <v>0</v>
      </c>
      <c r="AB1069" s="29">
        <v>0</v>
      </c>
      <c r="AC1069" s="29">
        <f>ROUND(N1069*1.5%,2)</f>
        <v>30000</v>
      </c>
      <c r="AD1069" s="37">
        <v>135953.35999999999</v>
      </c>
      <c r="AE1069" s="29">
        <v>0</v>
      </c>
      <c r="AF1069" s="32">
        <v>2021</v>
      </c>
      <c r="AG1069" s="32">
        <v>2021</v>
      </c>
      <c r="AH1069" s="33">
        <v>2021</v>
      </c>
      <c r="AT1069" s="18" t="e">
        <f>VLOOKUP(C1069,AW:AX,2,FALSE)</f>
        <v>#N/A</v>
      </c>
      <c r="BZ1069" s="61"/>
      <c r="CD1069" s="18" t="e">
        <f>VLOOKUP(C1069,CE:CF,2,FALSE)</f>
        <v>#N/A</v>
      </c>
    </row>
    <row r="1070" spans="1:82" ht="61.5" x14ac:dyDescent="0.85">
      <c r="B1070" s="22" t="s">
        <v>852</v>
      </c>
      <c r="C1070" s="22"/>
      <c r="D1070" s="339">
        <f>D1071</f>
        <v>4822502.0600000005</v>
      </c>
      <c r="E1070" s="29">
        <f t="shared" si="210"/>
        <v>0</v>
      </c>
      <c r="F1070" s="29">
        <f t="shared" si="210"/>
        <v>0</v>
      </c>
      <c r="G1070" s="29">
        <f t="shared" si="210"/>
        <v>0</v>
      </c>
      <c r="H1070" s="29">
        <f t="shared" si="210"/>
        <v>0</v>
      </c>
      <c r="I1070" s="29">
        <f t="shared" si="210"/>
        <v>0</v>
      </c>
      <c r="J1070" s="29">
        <f t="shared" si="210"/>
        <v>0</v>
      </c>
      <c r="K1070" s="31">
        <f t="shared" si="210"/>
        <v>0</v>
      </c>
      <c r="L1070" s="29">
        <f t="shared" si="210"/>
        <v>0</v>
      </c>
      <c r="M1070" s="29">
        <f t="shared" si="210"/>
        <v>838.33</v>
      </c>
      <c r="N1070" s="29">
        <f t="shared" si="210"/>
        <v>4676458.57</v>
      </c>
      <c r="O1070" s="29">
        <f t="shared" si="210"/>
        <v>0</v>
      </c>
      <c r="P1070" s="29">
        <f t="shared" si="210"/>
        <v>0</v>
      </c>
      <c r="Q1070" s="29">
        <f t="shared" si="210"/>
        <v>0</v>
      </c>
      <c r="R1070" s="29">
        <f t="shared" si="210"/>
        <v>0</v>
      </c>
      <c r="S1070" s="29">
        <f t="shared" si="210"/>
        <v>0</v>
      </c>
      <c r="T1070" s="29">
        <f t="shared" si="210"/>
        <v>0</v>
      </c>
      <c r="U1070" s="29">
        <f t="shared" si="210"/>
        <v>0</v>
      </c>
      <c r="V1070" s="29">
        <f t="shared" si="210"/>
        <v>0</v>
      </c>
      <c r="W1070" s="29">
        <f t="shared" si="210"/>
        <v>0</v>
      </c>
      <c r="X1070" s="29">
        <f t="shared" si="210"/>
        <v>0</v>
      </c>
      <c r="Y1070" s="29">
        <f t="shared" si="210"/>
        <v>0</v>
      </c>
      <c r="Z1070" s="29">
        <f t="shared" si="210"/>
        <v>0</v>
      </c>
      <c r="AA1070" s="29">
        <f t="shared" si="210"/>
        <v>0</v>
      </c>
      <c r="AB1070" s="29">
        <f t="shared" si="210"/>
        <v>0</v>
      </c>
      <c r="AC1070" s="29">
        <f t="shared" si="210"/>
        <v>70146.880000000005</v>
      </c>
      <c r="AD1070" s="29">
        <f t="shared" si="210"/>
        <v>75896.61</v>
      </c>
      <c r="AE1070" s="29">
        <f t="shared" si="210"/>
        <v>0</v>
      </c>
      <c r="AF1070" s="62" t="s">
        <v>743</v>
      </c>
      <c r="AG1070" s="62" t="s">
        <v>743</v>
      </c>
      <c r="AH1070" s="77" t="s">
        <v>743</v>
      </c>
      <c r="AT1070" s="18" t="e">
        <f>VLOOKUP(C1070,AW:AX,2,FALSE)</f>
        <v>#N/A</v>
      </c>
      <c r="BZ1070" s="61">
        <v>4275483</v>
      </c>
      <c r="CD1070" s="18" t="e">
        <f>VLOOKUP(C1070,CE:CF,2,FALSE)</f>
        <v>#N/A</v>
      </c>
    </row>
    <row r="1071" spans="1:82" ht="61.5" x14ac:dyDescent="0.85">
      <c r="A1071" s="18">
        <v>1</v>
      </c>
      <c r="B1071" s="57">
        <f>SUBTOTAL(103,$A$558:A1071)</f>
        <v>452</v>
      </c>
      <c r="C1071" s="22" t="s">
        <v>192</v>
      </c>
      <c r="D1071" s="29">
        <f>E1071+F1071+G1071+H1071+I1071+J1071+L1071+N1071+P1071+R1071+T1071+U1071+V1071+W1071+X1071+Y1071+Z1071+AA1071+AB1071+AC1071+AD1071+AE1071</f>
        <v>4822502.0600000005</v>
      </c>
      <c r="E1071" s="29">
        <v>0</v>
      </c>
      <c r="F1071" s="29">
        <v>0</v>
      </c>
      <c r="G1071" s="29">
        <v>0</v>
      </c>
      <c r="H1071" s="29">
        <v>0</v>
      </c>
      <c r="I1071" s="29">
        <v>0</v>
      </c>
      <c r="J1071" s="29">
        <v>0</v>
      </c>
      <c r="K1071" s="31">
        <v>0</v>
      </c>
      <c r="L1071" s="29">
        <v>0</v>
      </c>
      <c r="M1071" s="29">
        <v>838.33</v>
      </c>
      <c r="N1071" s="29">
        <f>4064515.27+475443.22+136500.08</f>
        <v>4676458.57</v>
      </c>
      <c r="O1071" s="29">
        <v>0</v>
      </c>
      <c r="P1071" s="29">
        <v>0</v>
      </c>
      <c r="Q1071" s="29">
        <v>0</v>
      </c>
      <c r="R1071" s="29">
        <v>0</v>
      </c>
      <c r="S1071" s="29">
        <v>0</v>
      </c>
      <c r="T1071" s="29">
        <v>0</v>
      </c>
      <c r="U1071" s="29">
        <v>0</v>
      </c>
      <c r="V1071" s="29">
        <v>0</v>
      </c>
      <c r="W1071" s="29">
        <v>0</v>
      </c>
      <c r="X1071" s="29">
        <v>0</v>
      </c>
      <c r="Y1071" s="29">
        <v>0</v>
      </c>
      <c r="Z1071" s="29">
        <v>0</v>
      </c>
      <c r="AA1071" s="29">
        <v>0</v>
      </c>
      <c r="AB1071" s="29">
        <v>0</v>
      </c>
      <c r="AC1071" s="29">
        <f>ROUND(N1071*1.5%,2)</f>
        <v>70146.880000000005</v>
      </c>
      <c r="AD1071" s="37">
        <v>75896.61</v>
      </c>
      <c r="AE1071" s="29">
        <v>0</v>
      </c>
      <c r="AF1071" s="32">
        <v>2021</v>
      </c>
      <c r="AG1071" s="32">
        <v>2021</v>
      </c>
      <c r="AH1071" s="33">
        <v>2021</v>
      </c>
      <c r="AT1071" s="18" t="e">
        <f>VLOOKUP(C1071,AW:AX,2,FALSE)</f>
        <v>#N/A</v>
      </c>
      <c r="BZ1071" s="61"/>
      <c r="CD1071" s="18" t="e">
        <f>VLOOKUP(C1071,CE:CF,2,FALSE)</f>
        <v>#N/A</v>
      </c>
    </row>
    <row r="1072" spans="1:82" ht="61.5" x14ac:dyDescent="0.85">
      <c r="B1072" s="22" t="s">
        <v>853</v>
      </c>
      <c r="C1072" s="22"/>
      <c r="D1072" s="339">
        <f>D1073</f>
        <v>1387689.7000000002</v>
      </c>
      <c r="E1072" s="29">
        <f t="shared" si="210"/>
        <v>0</v>
      </c>
      <c r="F1072" s="29">
        <f t="shared" si="210"/>
        <v>0</v>
      </c>
      <c r="G1072" s="29">
        <f t="shared" si="210"/>
        <v>0</v>
      </c>
      <c r="H1072" s="29">
        <f t="shared" si="210"/>
        <v>0</v>
      </c>
      <c r="I1072" s="29">
        <f t="shared" si="210"/>
        <v>0</v>
      </c>
      <c r="J1072" s="29">
        <f t="shared" si="210"/>
        <v>0</v>
      </c>
      <c r="K1072" s="31">
        <f t="shared" si="210"/>
        <v>0</v>
      </c>
      <c r="L1072" s="29">
        <f t="shared" si="210"/>
        <v>0</v>
      </c>
      <c r="M1072" s="29">
        <f t="shared" si="210"/>
        <v>333.73</v>
      </c>
      <c r="N1072" s="29">
        <f t="shared" si="210"/>
        <v>1235116.32</v>
      </c>
      <c r="O1072" s="29">
        <f t="shared" si="210"/>
        <v>0</v>
      </c>
      <c r="P1072" s="29">
        <f t="shared" si="210"/>
        <v>0</v>
      </c>
      <c r="Q1072" s="29">
        <f t="shared" si="210"/>
        <v>0</v>
      </c>
      <c r="R1072" s="29">
        <f t="shared" si="210"/>
        <v>0</v>
      </c>
      <c r="S1072" s="29">
        <f t="shared" si="210"/>
        <v>0</v>
      </c>
      <c r="T1072" s="29">
        <f t="shared" si="210"/>
        <v>0</v>
      </c>
      <c r="U1072" s="29">
        <f t="shared" si="210"/>
        <v>0</v>
      </c>
      <c r="V1072" s="29">
        <f t="shared" si="210"/>
        <v>0</v>
      </c>
      <c r="W1072" s="29">
        <f t="shared" si="210"/>
        <v>0</v>
      </c>
      <c r="X1072" s="29">
        <f t="shared" si="210"/>
        <v>0</v>
      </c>
      <c r="Y1072" s="29">
        <f t="shared" si="210"/>
        <v>0</v>
      </c>
      <c r="Z1072" s="29">
        <f t="shared" si="210"/>
        <v>0</v>
      </c>
      <c r="AA1072" s="29">
        <f t="shared" si="210"/>
        <v>0</v>
      </c>
      <c r="AB1072" s="29">
        <f t="shared" si="210"/>
        <v>0</v>
      </c>
      <c r="AC1072" s="29">
        <f t="shared" si="210"/>
        <v>18526.740000000002</v>
      </c>
      <c r="AD1072" s="29">
        <f t="shared" si="210"/>
        <v>134046.64000000001</v>
      </c>
      <c r="AE1072" s="29">
        <f t="shared" si="210"/>
        <v>0</v>
      </c>
      <c r="AF1072" s="62" t="s">
        <v>743</v>
      </c>
      <c r="AG1072" s="62" t="s">
        <v>743</v>
      </c>
      <c r="AH1072" s="77" t="s">
        <v>743</v>
      </c>
      <c r="AT1072" s="18" t="e">
        <f>VLOOKUP(C1072,AW:AX,2,FALSE)</f>
        <v>#N/A</v>
      </c>
      <c r="BZ1072" s="61">
        <v>4275483</v>
      </c>
      <c r="CD1072" s="18" t="e">
        <f>VLOOKUP(C1072,CE:CF,2,FALSE)</f>
        <v>#N/A</v>
      </c>
    </row>
    <row r="1073" spans="1:82" ht="61.5" x14ac:dyDescent="0.85">
      <c r="A1073" s="18">
        <v>1</v>
      </c>
      <c r="B1073" s="57">
        <f>SUBTOTAL(103,$A$558:A1073)</f>
        <v>453</v>
      </c>
      <c r="C1073" s="22" t="s">
        <v>786</v>
      </c>
      <c r="D1073" s="29">
        <f>E1073+F1073+G1073+H1073+I1073+J1073+L1073+N1073+P1073+R1073+T1073+U1073+V1073+W1073+X1073+Y1073+Z1073+AA1073+AB1073+AC1073+AD1073+AE1073</f>
        <v>1387689.7000000002</v>
      </c>
      <c r="E1073" s="29">
        <v>0</v>
      </c>
      <c r="F1073" s="29">
        <v>0</v>
      </c>
      <c r="G1073" s="29">
        <v>0</v>
      </c>
      <c r="H1073" s="29">
        <v>0</v>
      </c>
      <c r="I1073" s="29">
        <v>0</v>
      </c>
      <c r="J1073" s="29">
        <v>0</v>
      </c>
      <c r="K1073" s="31">
        <v>0</v>
      </c>
      <c r="L1073" s="29">
        <v>0</v>
      </c>
      <c r="M1073" s="29">
        <v>333.73</v>
      </c>
      <c r="N1073" s="29">
        <v>1235116.32</v>
      </c>
      <c r="O1073" s="29">
        <v>0</v>
      </c>
      <c r="P1073" s="29">
        <v>0</v>
      </c>
      <c r="Q1073" s="29">
        <v>0</v>
      </c>
      <c r="R1073" s="29">
        <v>0</v>
      </c>
      <c r="S1073" s="29">
        <v>0</v>
      </c>
      <c r="T1073" s="29">
        <v>0</v>
      </c>
      <c r="U1073" s="29">
        <v>0</v>
      </c>
      <c r="V1073" s="29">
        <v>0</v>
      </c>
      <c r="W1073" s="29">
        <v>0</v>
      </c>
      <c r="X1073" s="29">
        <v>0</v>
      </c>
      <c r="Y1073" s="29">
        <v>0</v>
      </c>
      <c r="Z1073" s="29">
        <v>0</v>
      </c>
      <c r="AA1073" s="29">
        <v>0</v>
      </c>
      <c r="AB1073" s="29">
        <v>0</v>
      </c>
      <c r="AC1073" s="29">
        <f>ROUND(N1073*1.5%,2)</f>
        <v>18526.740000000002</v>
      </c>
      <c r="AD1073" s="29">
        <f>150000-15953.36</f>
        <v>134046.64000000001</v>
      </c>
      <c r="AE1073" s="29">
        <v>0</v>
      </c>
      <c r="AF1073" s="32">
        <v>2021</v>
      </c>
      <c r="AG1073" s="32">
        <v>2021</v>
      </c>
      <c r="AH1073" s="33">
        <v>2021</v>
      </c>
      <c r="AT1073" s="18" t="e">
        <f>VLOOKUP(C1073,AW:AX,2,FALSE)</f>
        <v>#N/A</v>
      </c>
      <c r="BZ1073" s="61"/>
      <c r="CD1073" s="18" t="e">
        <f>VLOOKUP(C1073,CE:CF,2,FALSE)</f>
        <v>#N/A</v>
      </c>
    </row>
    <row r="1074" spans="1:82" ht="61.5" x14ac:dyDescent="0.85">
      <c r="B1074" s="22" t="s">
        <v>854</v>
      </c>
      <c r="C1074" s="338"/>
      <c r="D1074" s="339">
        <f t="shared" ref="D1074:AE1074" si="211">SUM(D1075:D1081)</f>
        <v>18400776.5</v>
      </c>
      <c r="E1074" s="29">
        <f t="shared" si="211"/>
        <v>0</v>
      </c>
      <c r="F1074" s="29">
        <f t="shared" si="211"/>
        <v>0</v>
      </c>
      <c r="G1074" s="29">
        <f t="shared" si="211"/>
        <v>4040895.01</v>
      </c>
      <c r="H1074" s="29">
        <f t="shared" si="211"/>
        <v>0</v>
      </c>
      <c r="I1074" s="29">
        <f t="shared" si="211"/>
        <v>0</v>
      </c>
      <c r="J1074" s="29">
        <f t="shared" si="211"/>
        <v>0</v>
      </c>
      <c r="K1074" s="31">
        <f t="shared" si="211"/>
        <v>0</v>
      </c>
      <c r="L1074" s="29">
        <f t="shared" si="211"/>
        <v>0</v>
      </c>
      <c r="M1074" s="29">
        <f t="shared" si="211"/>
        <v>2705</v>
      </c>
      <c r="N1074" s="29">
        <f t="shared" si="211"/>
        <v>13940165.57</v>
      </c>
      <c r="O1074" s="29">
        <f t="shared" si="211"/>
        <v>0</v>
      </c>
      <c r="P1074" s="29">
        <f t="shared" si="211"/>
        <v>0</v>
      </c>
      <c r="Q1074" s="29">
        <f t="shared" si="211"/>
        <v>0</v>
      </c>
      <c r="R1074" s="29">
        <f t="shared" si="211"/>
        <v>0</v>
      </c>
      <c r="S1074" s="29">
        <f t="shared" si="211"/>
        <v>0</v>
      </c>
      <c r="T1074" s="29">
        <f t="shared" si="211"/>
        <v>0</v>
      </c>
      <c r="U1074" s="29">
        <f t="shared" si="211"/>
        <v>0</v>
      </c>
      <c r="V1074" s="29">
        <f t="shared" si="211"/>
        <v>0</v>
      </c>
      <c r="W1074" s="29">
        <f t="shared" si="211"/>
        <v>0</v>
      </c>
      <c r="X1074" s="29">
        <f t="shared" si="211"/>
        <v>0</v>
      </c>
      <c r="Y1074" s="29">
        <f t="shared" si="211"/>
        <v>0</v>
      </c>
      <c r="Z1074" s="29">
        <f t="shared" si="211"/>
        <v>0</v>
      </c>
      <c r="AA1074" s="29">
        <f t="shared" si="211"/>
        <v>0</v>
      </c>
      <c r="AB1074" s="29">
        <f t="shared" si="211"/>
        <v>0</v>
      </c>
      <c r="AC1074" s="29">
        <f t="shared" si="211"/>
        <v>269715.92000000004</v>
      </c>
      <c r="AD1074" s="29">
        <f t="shared" si="211"/>
        <v>150000</v>
      </c>
      <c r="AE1074" s="29">
        <f t="shared" si="211"/>
        <v>0</v>
      </c>
      <c r="AF1074" s="62" t="s">
        <v>743</v>
      </c>
      <c r="AG1074" s="62" t="s">
        <v>743</v>
      </c>
      <c r="AH1074" s="77" t="s">
        <v>743</v>
      </c>
      <c r="AT1074" s="18" t="e">
        <f>VLOOKUP(C1074,AW:AX,2,FALSE)</f>
        <v>#N/A</v>
      </c>
      <c r="BZ1074" s="61">
        <v>9113700</v>
      </c>
      <c r="CD1074" s="18" t="e">
        <f>VLOOKUP(C1074,CE:CF,2,FALSE)</f>
        <v>#N/A</v>
      </c>
    </row>
    <row r="1075" spans="1:82" ht="61.5" x14ac:dyDescent="0.85">
      <c r="A1075" s="18">
        <v>1</v>
      </c>
      <c r="B1075" s="57">
        <f>SUBTOTAL(103,$A$558:A1075)</f>
        <v>454</v>
      </c>
      <c r="C1075" s="22" t="s">
        <v>211</v>
      </c>
      <c r="D1075" s="29">
        <f>E1075+F1075+G1075+H1075+I1075+J1075+L1075+N1075+P1075+R1075+T1075+U1075+V1075+W1075+X1075+Y1075+Z1075+AA1075+AB1075+AC1075+AD1075+AE1075</f>
        <v>6058289.959999999</v>
      </c>
      <c r="E1075" s="29">
        <v>0</v>
      </c>
      <c r="F1075" s="29">
        <v>0</v>
      </c>
      <c r="G1075" s="29">
        <v>0</v>
      </c>
      <c r="H1075" s="29">
        <v>0</v>
      </c>
      <c r="I1075" s="29">
        <v>0</v>
      </c>
      <c r="J1075" s="29">
        <v>0</v>
      </c>
      <c r="K1075" s="31">
        <v>0</v>
      </c>
      <c r="L1075" s="29">
        <v>0</v>
      </c>
      <c r="M1075" s="29">
        <v>1203</v>
      </c>
      <c r="N1075" s="29">
        <f>5867290.64+30001.55+71466.39</f>
        <v>5968758.5799999991</v>
      </c>
      <c r="O1075" s="29">
        <v>0</v>
      </c>
      <c r="P1075" s="29">
        <v>0</v>
      </c>
      <c r="Q1075" s="29">
        <v>0</v>
      </c>
      <c r="R1075" s="29">
        <v>0</v>
      </c>
      <c r="S1075" s="29">
        <v>0</v>
      </c>
      <c r="T1075" s="29">
        <v>0</v>
      </c>
      <c r="U1075" s="29">
        <v>0</v>
      </c>
      <c r="V1075" s="29">
        <v>0</v>
      </c>
      <c r="W1075" s="29">
        <v>0</v>
      </c>
      <c r="X1075" s="29">
        <v>0</v>
      </c>
      <c r="Y1075" s="29">
        <v>0</v>
      </c>
      <c r="Z1075" s="29">
        <v>0</v>
      </c>
      <c r="AA1075" s="29">
        <v>0</v>
      </c>
      <c r="AB1075" s="29">
        <v>0</v>
      </c>
      <c r="AC1075" s="29">
        <f>ROUND(N1075*1.5%,2)</f>
        <v>89531.38</v>
      </c>
      <c r="AD1075" s="29">
        <v>0</v>
      </c>
      <c r="AE1075" s="29">
        <v>0</v>
      </c>
      <c r="AF1075" s="32" t="s">
        <v>268</v>
      </c>
      <c r="AG1075" s="32">
        <v>2021</v>
      </c>
      <c r="AH1075" s="33">
        <v>2021</v>
      </c>
      <c r="AT1075" s="18" t="e">
        <f>VLOOKUP(C1075,AW:AX,2,FALSE)</f>
        <v>#N/A</v>
      </c>
      <c r="BZ1075" s="61"/>
      <c r="CD1075" s="18" t="e">
        <f>VLOOKUP(C1075,CE:CF,2,FALSE)</f>
        <v>#N/A</v>
      </c>
    </row>
    <row r="1076" spans="1:82" ht="61.5" x14ac:dyDescent="0.85">
      <c r="A1076" s="18">
        <v>1</v>
      </c>
      <c r="B1076" s="57">
        <f>SUBTOTAL(103,$A$558:A1076)</f>
        <v>455</v>
      </c>
      <c r="C1076" s="22" t="s">
        <v>212</v>
      </c>
      <c r="D1076" s="29">
        <f>E1076+F1076+G1076+H1076+I1076+J1076+L1076+N1076+P1076+R1076+T1076+U1076+V1076+W1076+X1076+Y1076+Z1076+AA1076+AB1076+AC1076+AD1076+AE1076</f>
        <v>2944222.6500000004</v>
      </c>
      <c r="E1076" s="29">
        <v>0</v>
      </c>
      <c r="F1076" s="29">
        <v>0</v>
      </c>
      <c r="G1076" s="29">
        <v>0</v>
      </c>
      <c r="H1076" s="29">
        <v>0</v>
      </c>
      <c r="I1076" s="29">
        <v>0</v>
      </c>
      <c r="J1076" s="29">
        <v>0</v>
      </c>
      <c r="K1076" s="31">
        <v>0</v>
      </c>
      <c r="L1076" s="29">
        <v>0</v>
      </c>
      <c r="M1076" s="29">
        <v>584</v>
      </c>
      <c r="N1076" s="29">
        <f>2786600.99+82393.91+31717.07</f>
        <v>2900711.97</v>
      </c>
      <c r="O1076" s="29">
        <v>0</v>
      </c>
      <c r="P1076" s="29">
        <v>0</v>
      </c>
      <c r="Q1076" s="29">
        <v>0</v>
      </c>
      <c r="R1076" s="29">
        <v>0</v>
      </c>
      <c r="S1076" s="29">
        <v>0</v>
      </c>
      <c r="T1076" s="29">
        <v>0</v>
      </c>
      <c r="U1076" s="29">
        <v>0</v>
      </c>
      <c r="V1076" s="29">
        <v>0</v>
      </c>
      <c r="W1076" s="29">
        <v>0</v>
      </c>
      <c r="X1076" s="29">
        <v>0</v>
      </c>
      <c r="Y1076" s="29">
        <v>0</v>
      </c>
      <c r="Z1076" s="29">
        <v>0</v>
      </c>
      <c r="AA1076" s="29">
        <v>0</v>
      </c>
      <c r="AB1076" s="29">
        <v>0</v>
      </c>
      <c r="AC1076" s="29">
        <f>ROUND(N1076*1.5%,2)</f>
        <v>43510.68</v>
      </c>
      <c r="AD1076" s="29">
        <v>0</v>
      </c>
      <c r="AE1076" s="29">
        <v>0</v>
      </c>
      <c r="AF1076" s="32" t="s">
        <v>268</v>
      </c>
      <c r="AG1076" s="32">
        <v>2021</v>
      </c>
      <c r="AH1076" s="33">
        <v>2021</v>
      </c>
      <c r="AT1076" s="18" t="e">
        <f>VLOOKUP(C1076,AW:AX,2,FALSE)</f>
        <v>#N/A</v>
      </c>
      <c r="BZ1076" s="61"/>
      <c r="CD1076" s="18" t="e">
        <f>VLOOKUP(C1076,CE:CF,2,FALSE)</f>
        <v>#N/A</v>
      </c>
    </row>
    <row r="1077" spans="1:82" ht="61.5" x14ac:dyDescent="0.85">
      <c r="A1077" s="18">
        <v>1</v>
      </c>
      <c r="B1077" s="57">
        <f>SUBTOTAL(103,$A$558:A1077)</f>
        <v>456</v>
      </c>
      <c r="C1077" s="22" t="s">
        <v>217</v>
      </c>
      <c r="D1077" s="29">
        <f>E1077+F1077+G1077+H1077+I1077+J1077+L1077+N1077+P1077+R1077+T1077+U1077+V1077+W1077+X1077+Y1077+Z1077+AA1077+AB1077+AC1077+AD1077+AE1077</f>
        <v>653859.32000000007</v>
      </c>
      <c r="E1077" s="29">
        <v>0</v>
      </c>
      <c r="F1077" s="29">
        <v>0</v>
      </c>
      <c r="G1077" s="29">
        <f>378568.09+265628.28</f>
        <v>644196.37000000011</v>
      </c>
      <c r="H1077" s="29">
        <v>0</v>
      </c>
      <c r="I1077" s="29">
        <v>0</v>
      </c>
      <c r="J1077" s="29">
        <v>0</v>
      </c>
      <c r="K1077" s="31">
        <v>0</v>
      </c>
      <c r="L1077" s="29">
        <v>0</v>
      </c>
      <c r="M1077" s="29">
        <v>0</v>
      </c>
      <c r="N1077" s="29">
        <v>0</v>
      </c>
      <c r="O1077" s="29">
        <v>0</v>
      </c>
      <c r="P1077" s="29">
        <v>0</v>
      </c>
      <c r="Q1077" s="29">
        <v>0</v>
      </c>
      <c r="R1077" s="29">
        <v>0</v>
      </c>
      <c r="S1077" s="29">
        <v>0</v>
      </c>
      <c r="T1077" s="29">
        <v>0</v>
      </c>
      <c r="U1077" s="29">
        <v>0</v>
      </c>
      <c r="V1077" s="29">
        <v>0</v>
      </c>
      <c r="W1077" s="29">
        <v>0</v>
      </c>
      <c r="X1077" s="29">
        <v>0</v>
      </c>
      <c r="Y1077" s="29">
        <v>0</v>
      </c>
      <c r="Z1077" s="29">
        <v>0</v>
      </c>
      <c r="AA1077" s="29">
        <v>0</v>
      </c>
      <c r="AB1077" s="29">
        <v>0</v>
      </c>
      <c r="AC1077" s="29">
        <f>ROUND((E1077+F1077+G1077+H1077+I1077+J1077)*1.5%,2)</f>
        <v>9662.9500000000007</v>
      </c>
      <c r="AD1077" s="29">
        <v>0</v>
      </c>
      <c r="AE1077" s="29">
        <v>0</v>
      </c>
      <c r="AF1077" s="32" t="s">
        <v>268</v>
      </c>
      <c r="AG1077" s="32">
        <v>2021</v>
      </c>
      <c r="AH1077" s="32">
        <v>2021</v>
      </c>
      <c r="AT1077" s="18" t="e">
        <f>VLOOKUP(C1077,AW:AX,2,FALSE)</f>
        <v>#N/A</v>
      </c>
      <c r="BZ1077" s="61"/>
      <c r="CD1077" s="18" t="e">
        <f>VLOOKUP(C1077,CE:CF,2,FALSE)</f>
        <v>#N/A</v>
      </c>
    </row>
    <row r="1078" spans="1:82" ht="61.5" x14ac:dyDescent="0.85">
      <c r="A1078" s="18">
        <v>1</v>
      </c>
      <c r="B1078" s="57">
        <f>SUBTOTAL(103,$A$558:A1078)</f>
        <v>457</v>
      </c>
      <c r="C1078" s="22" t="s">
        <v>1547</v>
      </c>
      <c r="D1078" s="29">
        <f>E1078+F1078+G1078+H1078+I1078+J1078+L1078+N1078+P1078+R1078+T1078+U1078+V1078+W1078+X1078+Y1078+Z1078+AA1078+AB1078+AC1078+AD1078+AE1078</f>
        <v>1015000</v>
      </c>
      <c r="E1078" s="29">
        <v>0</v>
      </c>
      <c r="F1078" s="29">
        <v>0</v>
      </c>
      <c r="G1078" s="29">
        <v>1000000</v>
      </c>
      <c r="H1078" s="29">
        <v>0</v>
      </c>
      <c r="I1078" s="29">
        <v>0</v>
      </c>
      <c r="J1078" s="29">
        <v>0</v>
      </c>
      <c r="K1078" s="31">
        <v>0</v>
      </c>
      <c r="L1078" s="29">
        <v>0</v>
      </c>
      <c r="M1078" s="29">
        <v>0</v>
      </c>
      <c r="N1078" s="29">
        <v>0</v>
      </c>
      <c r="O1078" s="29">
        <v>0</v>
      </c>
      <c r="P1078" s="29">
        <v>0</v>
      </c>
      <c r="Q1078" s="29">
        <v>0</v>
      </c>
      <c r="R1078" s="29">
        <v>0</v>
      </c>
      <c r="S1078" s="29">
        <v>0</v>
      </c>
      <c r="T1078" s="29">
        <v>0</v>
      </c>
      <c r="U1078" s="29">
        <v>0</v>
      </c>
      <c r="V1078" s="29">
        <v>0</v>
      </c>
      <c r="W1078" s="29">
        <v>0</v>
      </c>
      <c r="X1078" s="29">
        <v>0</v>
      </c>
      <c r="Y1078" s="29">
        <v>0</v>
      </c>
      <c r="Z1078" s="29">
        <v>0</v>
      </c>
      <c r="AA1078" s="29">
        <v>0</v>
      </c>
      <c r="AB1078" s="29">
        <v>0</v>
      </c>
      <c r="AC1078" s="29">
        <f>ROUND((E1078+F1078+G1078+H1078+I1078+J1078)*1.5%,2)</f>
        <v>15000</v>
      </c>
      <c r="AD1078" s="29">
        <v>0</v>
      </c>
      <c r="AE1078" s="29">
        <v>0</v>
      </c>
      <c r="AF1078" s="32" t="s">
        <v>268</v>
      </c>
      <c r="AG1078" s="32">
        <v>2021</v>
      </c>
      <c r="AH1078" s="32">
        <v>2021</v>
      </c>
      <c r="BZ1078" s="61"/>
      <c r="CD1078" s="18" t="e">
        <f>VLOOKUP(C1078,CE:CF,2,FALSE)</f>
        <v>#N/A</v>
      </c>
    </row>
    <row r="1079" spans="1:82" ht="61.5" x14ac:dyDescent="0.85">
      <c r="A1079" s="18">
        <v>1</v>
      </c>
      <c r="B1079" s="57">
        <f>SUBTOTAL(103,$A$558:A1079)</f>
        <v>458</v>
      </c>
      <c r="C1079" s="22" t="s">
        <v>1548</v>
      </c>
      <c r="D1079" s="29">
        <f t="shared" ref="D1079:D1086" si="212">E1079+F1079+G1079+H1079+I1079+J1079+L1079+N1079+P1079+R1079+T1079+U1079+V1079+W1079+X1079+Y1079+Z1079+AA1079+AB1079+AC1079+AD1079+AE1079</f>
        <v>964250</v>
      </c>
      <c r="E1079" s="29">
        <v>0</v>
      </c>
      <c r="F1079" s="29">
        <v>0</v>
      </c>
      <c r="G1079" s="29">
        <v>950000</v>
      </c>
      <c r="H1079" s="29">
        <v>0</v>
      </c>
      <c r="I1079" s="29">
        <v>0</v>
      </c>
      <c r="J1079" s="29">
        <v>0</v>
      </c>
      <c r="K1079" s="31">
        <v>0</v>
      </c>
      <c r="L1079" s="29">
        <v>0</v>
      </c>
      <c r="M1079" s="29">
        <v>0</v>
      </c>
      <c r="N1079" s="29">
        <v>0</v>
      </c>
      <c r="O1079" s="29">
        <v>0</v>
      </c>
      <c r="P1079" s="29">
        <v>0</v>
      </c>
      <c r="Q1079" s="29">
        <v>0</v>
      </c>
      <c r="R1079" s="29">
        <v>0</v>
      </c>
      <c r="S1079" s="29">
        <v>0</v>
      </c>
      <c r="T1079" s="29">
        <v>0</v>
      </c>
      <c r="U1079" s="29">
        <v>0</v>
      </c>
      <c r="V1079" s="29">
        <v>0</v>
      </c>
      <c r="W1079" s="29">
        <v>0</v>
      </c>
      <c r="X1079" s="29">
        <v>0</v>
      </c>
      <c r="Y1079" s="29">
        <v>0</v>
      </c>
      <c r="Z1079" s="29">
        <v>0</v>
      </c>
      <c r="AA1079" s="29">
        <v>0</v>
      </c>
      <c r="AB1079" s="29">
        <v>0</v>
      </c>
      <c r="AC1079" s="29">
        <f>ROUND((E1079+F1079+G1079+H1079+I1079+J1079)*1.5%,2)</f>
        <v>14250</v>
      </c>
      <c r="AD1079" s="29">
        <v>0</v>
      </c>
      <c r="AE1079" s="29">
        <v>0</v>
      </c>
      <c r="AF1079" s="32" t="s">
        <v>268</v>
      </c>
      <c r="AG1079" s="32">
        <v>2021</v>
      </c>
      <c r="AH1079" s="32">
        <v>2021</v>
      </c>
      <c r="BZ1079" s="61"/>
      <c r="CD1079" s="18" t="e">
        <f>VLOOKUP(C1079,CE:CF,2,FALSE)</f>
        <v>#N/A</v>
      </c>
    </row>
    <row r="1080" spans="1:82" ht="61.5" x14ac:dyDescent="0.85">
      <c r="A1080" s="18">
        <v>1</v>
      </c>
      <c r="B1080" s="57">
        <f>SUBTOTAL(103,$A$558:A1080)</f>
        <v>459</v>
      </c>
      <c r="C1080" s="22" t="s">
        <v>1264</v>
      </c>
      <c r="D1080" s="29">
        <f>E1080+F1080+G1080+H1080+I1080+J1080+L1080+N1080+P1080+R1080+T1080+U1080+V1080+W1080+X1080+Y1080+Z1080+AA1080+AB1080+AC1080+AD1080+AE1080</f>
        <v>1468399.1199999999</v>
      </c>
      <c r="E1080" s="29">
        <v>0</v>
      </c>
      <c r="F1080" s="29">
        <v>0</v>
      </c>
      <c r="G1080" s="335">
        <v>1446698.64</v>
      </c>
      <c r="H1080" s="29">
        <v>0</v>
      </c>
      <c r="I1080" s="29">
        <v>0</v>
      </c>
      <c r="J1080" s="29">
        <v>0</v>
      </c>
      <c r="K1080" s="64">
        <v>0</v>
      </c>
      <c r="L1080" s="29">
        <v>0</v>
      </c>
      <c r="M1080" s="29">
        <v>0</v>
      </c>
      <c r="N1080" s="29">
        <v>0</v>
      </c>
      <c r="O1080" s="29">
        <v>0</v>
      </c>
      <c r="P1080" s="29">
        <v>0</v>
      </c>
      <c r="Q1080" s="29">
        <v>0</v>
      </c>
      <c r="R1080" s="29">
        <v>0</v>
      </c>
      <c r="S1080" s="29">
        <v>0</v>
      </c>
      <c r="T1080" s="29">
        <v>0</v>
      </c>
      <c r="U1080" s="29">
        <v>0</v>
      </c>
      <c r="V1080" s="29">
        <v>0</v>
      </c>
      <c r="W1080" s="29">
        <v>0</v>
      </c>
      <c r="X1080" s="29">
        <v>0</v>
      </c>
      <c r="Y1080" s="29">
        <v>0</v>
      </c>
      <c r="Z1080" s="29">
        <v>0</v>
      </c>
      <c r="AA1080" s="29">
        <v>0</v>
      </c>
      <c r="AB1080" s="29">
        <v>0</v>
      </c>
      <c r="AC1080" s="29">
        <f>ROUND((E1080+F1080+G1080+H1080+I1080+J1080)*1.5%,2)</f>
        <v>21700.48</v>
      </c>
      <c r="AD1080" s="29">
        <v>0</v>
      </c>
      <c r="AE1080" s="29">
        <v>0</v>
      </c>
      <c r="AF1080" s="32" t="s">
        <v>268</v>
      </c>
      <c r="AG1080" s="32">
        <v>2021</v>
      </c>
      <c r="AH1080" s="32">
        <v>2021</v>
      </c>
      <c r="BZ1080" s="61"/>
      <c r="CD1080" s="18" t="e">
        <f>VLOOKUP(C1080,CE:CF,2,FALSE)</f>
        <v>#N/A</v>
      </c>
    </row>
    <row r="1081" spans="1:82" ht="61.5" x14ac:dyDescent="0.85">
      <c r="A1081" s="18">
        <v>1</v>
      </c>
      <c r="B1081" s="57">
        <f>SUBTOTAL(103,$A$558:A1081)</f>
        <v>460</v>
      </c>
      <c r="C1081" s="22" t="s">
        <v>2433</v>
      </c>
      <c r="D1081" s="29">
        <f>E1081+F1081+G1081+H1081+I1081+J1081+L1081+N1081+P1081+R1081+T1081+U1081+V1081+W1081+X1081+Y1081+Z1081+AA1081+AB1081+AC1081+AD1081+AE1081</f>
        <v>5296755.45</v>
      </c>
      <c r="E1081" s="34">
        <v>0</v>
      </c>
      <c r="F1081" s="34">
        <v>0</v>
      </c>
      <c r="G1081" s="34">
        <v>0</v>
      </c>
      <c r="H1081" s="34">
        <v>0</v>
      </c>
      <c r="I1081" s="34">
        <v>0</v>
      </c>
      <c r="J1081" s="34">
        <v>0</v>
      </c>
      <c r="K1081" s="31">
        <v>0</v>
      </c>
      <c r="L1081" s="29">
        <v>0</v>
      </c>
      <c r="M1081" s="29">
        <v>918</v>
      </c>
      <c r="N1081" s="29">
        <f>4964753.2+105941.82</f>
        <v>5070695.0200000005</v>
      </c>
      <c r="O1081" s="29">
        <v>0</v>
      </c>
      <c r="P1081" s="29">
        <v>0</v>
      </c>
      <c r="Q1081" s="29">
        <v>0</v>
      </c>
      <c r="R1081" s="29">
        <v>0</v>
      </c>
      <c r="S1081" s="29">
        <v>0</v>
      </c>
      <c r="T1081" s="29">
        <v>0</v>
      </c>
      <c r="U1081" s="29">
        <v>0</v>
      </c>
      <c r="V1081" s="29">
        <v>0</v>
      </c>
      <c r="W1081" s="29">
        <v>0</v>
      </c>
      <c r="X1081" s="29">
        <v>0</v>
      </c>
      <c r="Y1081" s="29">
        <v>0</v>
      </c>
      <c r="Z1081" s="29">
        <v>0</v>
      </c>
      <c r="AA1081" s="29">
        <v>0</v>
      </c>
      <c r="AB1081" s="29">
        <v>0</v>
      </c>
      <c r="AC1081" s="29">
        <f>ROUND(N1081*1.5%,2)</f>
        <v>76060.429999999993</v>
      </c>
      <c r="AD1081" s="29">
        <v>150000</v>
      </c>
      <c r="AE1081" s="29">
        <v>0</v>
      </c>
      <c r="AF1081" s="32">
        <v>2021</v>
      </c>
      <c r="AG1081" s="32">
        <v>2021</v>
      </c>
      <c r="AH1081" s="33">
        <v>2021</v>
      </c>
      <c r="AT1081" s="18" t="e">
        <f>VLOOKUP(C1081,AW:AX,2,FALSE)</f>
        <v>#N/A</v>
      </c>
      <c r="BZ1081" s="61"/>
      <c r="CD1081" s="18" t="e">
        <f>VLOOKUP(C1081,CE:CF,2,FALSE)</f>
        <v>#N/A</v>
      </c>
    </row>
    <row r="1082" spans="1:82" ht="61.5" x14ac:dyDescent="0.85">
      <c r="B1082" s="22" t="s">
        <v>855</v>
      </c>
      <c r="C1082" s="22"/>
      <c r="D1082" s="339">
        <f t="shared" ref="D1082:AE1082" si="213">SUM(D1083:D1086)</f>
        <v>8045705.7599999988</v>
      </c>
      <c r="E1082" s="29">
        <f t="shared" si="213"/>
        <v>0</v>
      </c>
      <c r="F1082" s="29">
        <f t="shared" si="213"/>
        <v>0</v>
      </c>
      <c r="G1082" s="29">
        <f t="shared" si="213"/>
        <v>0</v>
      </c>
      <c r="H1082" s="29">
        <f t="shared" si="213"/>
        <v>1068632.7</v>
      </c>
      <c r="I1082" s="29">
        <f t="shared" si="213"/>
        <v>0</v>
      </c>
      <c r="J1082" s="29">
        <f t="shared" si="213"/>
        <v>0</v>
      </c>
      <c r="K1082" s="31">
        <f t="shared" si="213"/>
        <v>0</v>
      </c>
      <c r="L1082" s="29">
        <f t="shared" si="213"/>
        <v>0</v>
      </c>
      <c r="M1082" s="29">
        <f t="shared" si="213"/>
        <v>686</v>
      </c>
      <c r="N1082" s="29">
        <f t="shared" si="213"/>
        <v>3522194.38</v>
      </c>
      <c r="O1082" s="29">
        <f t="shared" si="213"/>
        <v>0</v>
      </c>
      <c r="P1082" s="29">
        <f t="shared" si="213"/>
        <v>0</v>
      </c>
      <c r="Q1082" s="29">
        <f t="shared" si="213"/>
        <v>0</v>
      </c>
      <c r="R1082" s="29">
        <f t="shared" si="213"/>
        <v>0</v>
      </c>
      <c r="S1082" s="29">
        <f t="shared" si="213"/>
        <v>0</v>
      </c>
      <c r="T1082" s="29">
        <f t="shared" si="213"/>
        <v>0</v>
      </c>
      <c r="U1082" s="29">
        <f t="shared" si="213"/>
        <v>3336026.4299999997</v>
      </c>
      <c r="V1082" s="29">
        <f t="shared" si="213"/>
        <v>0</v>
      </c>
      <c r="W1082" s="29">
        <f t="shared" si="213"/>
        <v>0</v>
      </c>
      <c r="X1082" s="29">
        <f t="shared" si="213"/>
        <v>0</v>
      </c>
      <c r="Y1082" s="29">
        <f t="shared" si="213"/>
        <v>0</v>
      </c>
      <c r="Z1082" s="29">
        <f t="shared" si="213"/>
        <v>0</v>
      </c>
      <c r="AA1082" s="29">
        <f t="shared" si="213"/>
        <v>0</v>
      </c>
      <c r="AB1082" s="29">
        <f t="shared" si="213"/>
        <v>0</v>
      </c>
      <c r="AC1082" s="29">
        <f t="shared" si="213"/>
        <v>118852.25</v>
      </c>
      <c r="AD1082" s="29">
        <f t="shared" si="213"/>
        <v>0</v>
      </c>
      <c r="AE1082" s="29">
        <f t="shared" si="213"/>
        <v>0</v>
      </c>
      <c r="AF1082" s="62" t="s">
        <v>743</v>
      </c>
      <c r="AG1082" s="62" t="s">
        <v>743</v>
      </c>
      <c r="AH1082" s="77" t="s">
        <v>743</v>
      </c>
      <c r="AT1082" s="18" t="e">
        <f>VLOOKUP(C1082,AW:AX,2,FALSE)</f>
        <v>#N/A</v>
      </c>
      <c r="BZ1082" s="61">
        <v>3498600</v>
      </c>
      <c r="CD1082" s="18" t="e">
        <f>VLOOKUP(C1082,CE:CF,2,FALSE)</f>
        <v>#N/A</v>
      </c>
    </row>
    <row r="1083" spans="1:82" ht="61.5" x14ac:dyDescent="0.85">
      <c r="A1083" s="18">
        <v>1</v>
      </c>
      <c r="B1083" s="57">
        <f>SUBTOTAL(103,$A$558:A1083)</f>
        <v>461</v>
      </c>
      <c r="C1083" s="22" t="s">
        <v>224</v>
      </c>
      <c r="D1083" s="29">
        <f t="shared" si="212"/>
        <v>3575027.3</v>
      </c>
      <c r="E1083" s="29">
        <v>0</v>
      </c>
      <c r="F1083" s="29">
        <v>0</v>
      </c>
      <c r="G1083" s="29">
        <v>0</v>
      </c>
      <c r="H1083" s="29">
        <v>0</v>
      </c>
      <c r="I1083" s="29">
        <v>0</v>
      </c>
      <c r="J1083" s="29">
        <v>0</v>
      </c>
      <c r="K1083" s="31">
        <v>0</v>
      </c>
      <c r="L1083" s="29">
        <v>0</v>
      </c>
      <c r="M1083" s="29">
        <v>686</v>
      </c>
      <c r="N1083" s="29">
        <f>3299113.3+78032.85+33832.39+111215.84</f>
        <v>3522194.38</v>
      </c>
      <c r="O1083" s="29">
        <v>0</v>
      </c>
      <c r="P1083" s="29">
        <v>0</v>
      </c>
      <c r="Q1083" s="29">
        <v>0</v>
      </c>
      <c r="R1083" s="29">
        <v>0</v>
      </c>
      <c r="S1083" s="29">
        <v>0</v>
      </c>
      <c r="T1083" s="29">
        <v>0</v>
      </c>
      <c r="U1083" s="29">
        <v>0</v>
      </c>
      <c r="V1083" s="29">
        <v>0</v>
      </c>
      <c r="W1083" s="29">
        <v>0</v>
      </c>
      <c r="X1083" s="29">
        <v>0</v>
      </c>
      <c r="Y1083" s="29">
        <v>0</v>
      </c>
      <c r="Z1083" s="29">
        <v>0</v>
      </c>
      <c r="AA1083" s="29">
        <v>0</v>
      </c>
      <c r="AB1083" s="29">
        <v>0</v>
      </c>
      <c r="AC1083" s="29">
        <f>ROUND(N1083*1.5%,2)</f>
        <v>52832.92</v>
      </c>
      <c r="AD1083" s="29">
        <v>0</v>
      </c>
      <c r="AE1083" s="29">
        <v>0</v>
      </c>
      <c r="AF1083" s="32" t="s">
        <v>268</v>
      </c>
      <c r="AG1083" s="32">
        <v>2021</v>
      </c>
      <c r="AH1083" s="33">
        <v>2021</v>
      </c>
      <c r="AT1083" s="18" t="e">
        <f>VLOOKUP(C1083,AW:AX,2,FALSE)</f>
        <v>#N/A</v>
      </c>
      <c r="BZ1083" s="61"/>
      <c r="CD1083" s="18" t="e">
        <f>VLOOKUP(C1083,CE:CF,2,FALSE)</f>
        <v>#N/A</v>
      </c>
    </row>
    <row r="1084" spans="1:82" ht="61.5" x14ac:dyDescent="0.85">
      <c r="A1084" s="18">
        <v>1</v>
      </c>
      <c r="B1084" s="57">
        <f>SUBTOTAL(103,$A$558:A1084)</f>
        <v>462</v>
      </c>
      <c r="C1084" s="22" t="s">
        <v>219</v>
      </c>
      <c r="D1084" s="29">
        <f t="shared" si="212"/>
        <v>400289.33999999997</v>
      </c>
      <c r="E1084" s="29">
        <v>0</v>
      </c>
      <c r="F1084" s="29">
        <v>0</v>
      </c>
      <c r="G1084" s="29">
        <v>0</v>
      </c>
      <c r="H1084" s="29">
        <v>394373.73</v>
      </c>
      <c r="I1084" s="29">
        <v>0</v>
      </c>
      <c r="J1084" s="29">
        <v>0</v>
      </c>
      <c r="K1084" s="64">
        <v>0</v>
      </c>
      <c r="L1084" s="29">
        <v>0</v>
      </c>
      <c r="M1084" s="29">
        <v>0</v>
      </c>
      <c r="N1084" s="29">
        <v>0</v>
      </c>
      <c r="O1084" s="29">
        <v>0</v>
      </c>
      <c r="P1084" s="29">
        <v>0</v>
      </c>
      <c r="Q1084" s="29">
        <v>0</v>
      </c>
      <c r="R1084" s="29">
        <v>0</v>
      </c>
      <c r="S1084" s="29">
        <v>0</v>
      </c>
      <c r="T1084" s="29">
        <v>0</v>
      </c>
      <c r="U1084" s="29">
        <v>0</v>
      </c>
      <c r="V1084" s="29">
        <v>0</v>
      </c>
      <c r="W1084" s="29">
        <v>0</v>
      </c>
      <c r="X1084" s="29">
        <v>0</v>
      </c>
      <c r="Y1084" s="29">
        <v>0</v>
      </c>
      <c r="Z1084" s="29">
        <v>0</v>
      </c>
      <c r="AA1084" s="29">
        <v>0</v>
      </c>
      <c r="AB1084" s="29">
        <v>0</v>
      </c>
      <c r="AC1084" s="29">
        <v>5915.61</v>
      </c>
      <c r="AD1084" s="29">
        <v>0</v>
      </c>
      <c r="AE1084" s="29">
        <v>0</v>
      </c>
      <c r="AF1084" s="32" t="s">
        <v>268</v>
      </c>
      <c r="AG1084" s="32">
        <v>2021</v>
      </c>
      <c r="AH1084" s="33">
        <v>2021</v>
      </c>
      <c r="AT1084" s="18" t="e">
        <v>#N/A</v>
      </c>
      <c r="BZ1084" s="61"/>
      <c r="CD1084" s="18" t="e">
        <v>#N/A</v>
      </c>
    </row>
    <row r="1085" spans="1:82" ht="61.5" x14ac:dyDescent="0.85">
      <c r="A1085" s="18">
        <v>1</v>
      </c>
      <c r="B1085" s="57">
        <f>SUBTOTAL(103,$A$558:A1085)</f>
        <v>463</v>
      </c>
      <c r="C1085" s="22" t="s">
        <v>225</v>
      </c>
      <c r="D1085" s="29">
        <f t="shared" si="212"/>
        <v>3386066.8299999996</v>
      </c>
      <c r="E1085" s="29">
        <v>0</v>
      </c>
      <c r="F1085" s="29">
        <v>0</v>
      </c>
      <c r="G1085" s="29">
        <v>0</v>
      </c>
      <c r="H1085" s="29">
        <v>0</v>
      </c>
      <c r="I1085" s="29">
        <v>0</v>
      </c>
      <c r="J1085" s="29">
        <v>0</v>
      </c>
      <c r="K1085" s="64">
        <v>0</v>
      </c>
      <c r="L1085" s="29">
        <v>0</v>
      </c>
      <c r="M1085" s="29">
        <v>0</v>
      </c>
      <c r="N1085" s="29">
        <v>0</v>
      </c>
      <c r="O1085" s="29">
        <v>0</v>
      </c>
      <c r="P1085" s="29">
        <v>0</v>
      </c>
      <c r="Q1085" s="29">
        <v>0</v>
      </c>
      <c r="R1085" s="29">
        <v>0</v>
      </c>
      <c r="S1085" s="29">
        <v>0</v>
      </c>
      <c r="T1085" s="29">
        <v>0</v>
      </c>
      <c r="U1085" s="29">
        <v>3336026.4299999997</v>
      </c>
      <c r="V1085" s="29">
        <v>0</v>
      </c>
      <c r="W1085" s="29">
        <v>0</v>
      </c>
      <c r="X1085" s="29">
        <v>0</v>
      </c>
      <c r="Y1085" s="29">
        <v>0</v>
      </c>
      <c r="Z1085" s="29">
        <v>0</v>
      </c>
      <c r="AA1085" s="29">
        <v>0</v>
      </c>
      <c r="AB1085" s="29">
        <v>0</v>
      </c>
      <c r="AC1085" s="29">
        <v>50040.4</v>
      </c>
      <c r="AD1085" s="29">
        <v>0</v>
      </c>
      <c r="AE1085" s="29">
        <v>0</v>
      </c>
      <c r="AF1085" s="32" t="s">
        <v>268</v>
      </c>
      <c r="AG1085" s="32">
        <v>2021</v>
      </c>
      <c r="AH1085" s="33">
        <v>2021</v>
      </c>
      <c r="AT1085" s="18" t="e">
        <v>#N/A</v>
      </c>
      <c r="BZ1085" s="61"/>
      <c r="CD1085" s="18" t="e">
        <v>#N/A</v>
      </c>
    </row>
    <row r="1086" spans="1:82" ht="61.5" x14ac:dyDescent="0.85">
      <c r="A1086" s="18">
        <v>1</v>
      </c>
      <c r="B1086" s="57">
        <f>SUBTOTAL(103,$A$558:A1086)</f>
        <v>464</v>
      </c>
      <c r="C1086" s="22" t="s">
        <v>1265</v>
      </c>
      <c r="D1086" s="29">
        <f t="shared" si="212"/>
        <v>684322.28999999992</v>
      </c>
      <c r="E1086" s="29">
        <v>0</v>
      </c>
      <c r="F1086" s="29">
        <v>0</v>
      </c>
      <c r="G1086" s="29">
        <v>0</v>
      </c>
      <c r="H1086" s="29">
        <v>674258.97</v>
      </c>
      <c r="I1086" s="29">
        <v>0</v>
      </c>
      <c r="J1086" s="29">
        <v>0</v>
      </c>
      <c r="K1086" s="64">
        <v>0</v>
      </c>
      <c r="L1086" s="29">
        <v>0</v>
      </c>
      <c r="M1086" s="29">
        <v>0</v>
      </c>
      <c r="N1086" s="29">
        <v>0</v>
      </c>
      <c r="O1086" s="29">
        <v>0</v>
      </c>
      <c r="P1086" s="29">
        <v>0</v>
      </c>
      <c r="Q1086" s="29">
        <v>0</v>
      </c>
      <c r="R1086" s="29">
        <v>0</v>
      </c>
      <c r="S1086" s="29">
        <v>0</v>
      </c>
      <c r="T1086" s="29">
        <v>0</v>
      </c>
      <c r="U1086" s="29">
        <v>0</v>
      </c>
      <c r="V1086" s="29">
        <v>0</v>
      </c>
      <c r="W1086" s="29">
        <v>0</v>
      </c>
      <c r="X1086" s="29">
        <v>0</v>
      </c>
      <c r="Y1086" s="29">
        <v>0</v>
      </c>
      <c r="Z1086" s="29">
        <v>0</v>
      </c>
      <c r="AA1086" s="29">
        <v>0</v>
      </c>
      <c r="AB1086" s="29">
        <v>0</v>
      </c>
      <c r="AC1086" s="29">
        <v>10063.32</v>
      </c>
      <c r="AD1086" s="29">
        <v>0</v>
      </c>
      <c r="AE1086" s="29">
        <v>0</v>
      </c>
      <c r="AF1086" s="32" t="s">
        <v>268</v>
      </c>
      <c r="AG1086" s="32">
        <v>2021</v>
      </c>
      <c r="AH1086" s="33">
        <v>2021</v>
      </c>
      <c r="BZ1086" s="61"/>
      <c r="CD1086" s="18" t="e">
        <v>#N/A</v>
      </c>
    </row>
    <row r="1087" spans="1:82" ht="61.5" x14ac:dyDescent="0.85">
      <c r="B1087" s="22" t="s">
        <v>857</v>
      </c>
      <c r="C1087" s="22"/>
      <c r="D1087" s="339">
        <f>D1088</f>
        <v>3417127.3200000003</v>
      </c>
      <c r="E1087" s="29">
        <f t="shared" ref="E1087:AE1089" si="214">E1088</f>
        <v>0</v>
      </c>
      <c r="F1087" s="29">
        <f t="shared" si="214"/>
        <v>0</v>
      </c>
      <c r="G1087" s="29">
        <f t="shared" si="214"/>
        <v>0</v>
      </c>
      <c r="H1087" s="29">
        <f t="shared" si="214"/>
        <v>0</v>
      </c>
      <c r="I1087" s="29">
        <f t="shared" si="214"/>
        <v>0</v>
      </c>
      <c r="J1087" s="29">
        <f t="shared" si="214"/>
        <v>0</v>
      </c>
      <c r="K1087" s="31">
        <f t="shared" si="214"/>
        <v>0</v>
      </c>
      <c r="L1087" s="29">
        <f t="shared" si="214"/>
        <v>0</v>
      </c>
      <c r="M1087" s="29">
        <f t="shared" si="214"/>
        <v>633.4</v>
      </c>
      <c r="N1087" s="29">
        <f t="shared" si="214"/>
        <v>3366627.9000000004</v>
      </c>
      <c r="O1087" s="29">
        <f t="shared" si="214"/>
        <v>0</v>
      </c>
      <c r="P1087" s="29">
        <f t="shared" si="214"/>
        <v>0</v>
      </c>
      <c r="Q1087" s="29">
        <f t="shared" si="214"/>
        <v>0</v>
      </c>
      <c r="R1087" s="29">
        <f t="shared" si="214"/>
        <v>0</v>
      </c>
      <c r="S1087" s="29">
        <f t="shared" si="214"/>
        <v>0</v>
      </c>
      <c r="T1087" s="29">
        <f t="shared" si="214"/>
        <v>0</v>
      </c>
      <c r="U1087" s="29">
        <f t="shared" si="214"/>
        <v>0</v>
      </c>
      <c r="V1087" s="29">
        <f t="shared" si="214"/>
        <v>0</v>
      </c>
      <c r="W1087" s="29">
        <f t="shared" si="214"/>
        <v>0</v>
      </c>
      <c r="X1087" s="29">
        <f t="shared" si="214"/>
        <v>0</v>
      </c>
      <c r="Y1087" s="29">
        <f t="shared" si="214"/>
        <v>0</v>
      </c>
      <c r="Z1087" s="29">
        <f t="shared" si="214"/>
        <v>0</v>
      </c>
      <c r="AA1087" s="29">
        <f t="shared" si="214"/>
        <v>0</v>
      </c>
      <c r="AB1087" s="29">
        <f t="shared" si="214"/>
        <v>0</v>
      </c>
      <c r="AC1087" s="29">
        <f t="shared" si="214"/>
        <v>50499.42</v>
      </c>
      <c r="AD1087" s="29">
        <f t="shared" si="214"/>
        <v>0</v>
      </c>
      <c r="AE1087" s="29">
        <f t="shared" si="214"/>
        <v>0</v>
      </c>
      <c r="AF1087" s="62" t="s">
        <v>743</v>
      </c>
      <c r="AG1087" s="62" t="s">
        <v>743</v>
      </c>
      <c r="AH1087" s="77" t="s">
        <v>743</v>
      </c>
      <c r="AT1087" s="18" t="e">
        <f>VLOOKUP(C1087,AW:AX,2,FALSE)</f>
        <v>#N/A</v>
      </c>
      <c r="BZ1087" s="61">
        <v>3230340</v>
      </c>
      <c r="CD1087" s="18" t="e">
        <f>VLOOKUP(C1087,CE:CF,2,FALSE)</f>
        <v>#N/A</v>
      </c>
    </row>
    <row r="1088" spans="1:82" ht="61.5" x14ac:dyDescent="0.85">
      <c r="A1088" s="18">
        <v>1</v>
      </c>
      <c r="B1088" s="57">
        <f>SUBTOTAL(103,$A$558:A1088)</f>
        <v>465</v>
      </c>
      <c r="C1088" s="22" t="s">
        <v>218</v>
      </c>
      <c r="D1088" s="29">
        <f>E1088+F1088+G1088+H1088+I1088+J1088+L1088+N1088+P1088+R1088+T1088+U1088+V1088+W1088+X1088+Y1088+Z1088+AA1088+AB1088+AC1088+AD1088+AE1088</f>
        <v>3417127.3200000003</v>
      </c>
      <c r="E1088" s="29">
        <v>0</v>
      </c>
      <c r="F1088" s="29">
        <v>0</v>
      </c>
      <c r="G1088" s="29">
        <v>0</v>
      </c>
      <c r="H1088" s="29">
        <v>0</v>
      </c>
      <c r="I1088" s="29">
        <v>0</v>
      </c>
      <c r="J1088" s="29">
        <v>0</v>
      </c>
      <c r="K1088" s="31">
        <v>0</v>
      </c>
      <c r="L1088" s="29">
        <v>0</v>
      </c>
      <c r="M1088" s="29">
        <v>633.4</v>
      </c>
      <c r="N1088" s="29">
        <f>3034817.73+218085.27+79447+33146.47+1131.43</f>
        <v>3366627.9000000004</v>
      </c>
      <c r="O1088" s="29">
        <v>0</v>
      </c>
      <c r="P1088" s="29">
        <v>0</v>
      </c>
      <c r="Q1088" s="29">
        <v>0</v>
      </c>
      <c r="R1088" s="29">
        <v>0</v>
      </c>
      <c r="S1088" s="29">
        <v>0</v>
      </c>
      <c r="T1088" s="29">
        <v>0</v>
      </c>
      <c r="U1088" s="29">
        <v>0</v>
      </c>
      <c r="V1088" s="29">
        <v>0</v>
      </c>
      <c r="W1088" s="29">
        <v>0</v>
      </c>
      <c r="X1088" s="29">
        <v>0</v>
      </c>
      <c r="Y1088" s="29">
        <v>0</v>
      </c>
      <c r="Z1088" s="29">
        <v>0</v>
      </c>
      <c r="AA1088" s="29">
        <v>0</v>
      </c>
      <c r="AB1088" s="29">
        <v>0</v>
      </c>
      <c r="AC1088" s="29">
        <f>ROUND(N1088*1.5%,2)</f>
        <v>50499.42</v>
      </c>
      <c r="AD1088" s="29">
        <v>0</v>
      </c>
      <c r="AE1088" s="29">
        <v>0</v>
      </c>
      <c r="AF1088" s="32" t="s">
        <v>268</v>
      </c>
      <c r="AG1088" s="32">
        <v>2021</v>
      </c>
      <c r="AH1088" s="33">
        <v>2021</v>
      </c>
      <c r="AT1088" s="18" t="e">
        <f>VLOOKUP(C1088,AW:AX,2,FALSE)</f>
        <v>#N/A</v>
      </c>
      <c r="BZ1088" s="61"/>
      <c r="CD1088" s="18" t="e">
        <f>VLOOKUP(C1088,CE:CF,2,FALSE)</f>
        <v>#N/A</v>
      </c>
    </row>
    <row r="1089" spans="1:82" ht="61.5" x14ac:dyDescent="0.85">
      <c r="B1089" s="22" t="s">
        <v>856</v>
      </c>
      <c r="C1089" s="22"/>
      <c r="D1089" s="339">
        <f>D1090</f>
        <v>236741.66999999998</v>
      </c>
      <c r="E1089" s="29">
        <f t="shared" si="214"/>
        <v>0</v>
      </c>
      <c r="F1089" s="29">
        <f t="shared" si="214"/>
        <v>0</v>
      </c>
      <c r="G1089" s="29">
        <f t="shared" si="214"/>
        <v>0</v>
      </c>
      <c r="H1089" s="29">
        <f t="shared" si="214"/>
        <v>179055.83</v>
      </c>
      <c r="I1089" s="29">
        <f t="shared" si="214"/>
        <v>0</v>
      </c>
      <c r="J1089" s="29">
        <f t="shared" si="214"/>
        <v>0</v>
      </c>
      <c r="K1089" s="31">
        <f t="shared" si="214"/>
        <v>0</v>
      </c>
      <c r="L1089" s="29">
        <f t="shared" si="214"/>
        <v>0</v>
      </c>
      <c r="M1089" s="29">
        <f t="shared" si="214"/>
        <v>0</v>
      </c>
      <c r="N1089" s="29">
        <f t="shared" si="214"/>
        <v>0</v>
      </c>
      <c r="O1089" s="29">
        <f t="shared" si="214"/>
        <v>0</v>
      </c>
      <c r="P1089" s="29">
        <f t="shared" si="214"/>
        <v>0</v>
      </c>
      <c r="Q1089" s="29">
        <f t="shared" si="214"/>
        <v>0</v>
      </c>
      <c r="R1089" s="29">
        <f t="shared" si="214"/>
        <v>0</v>
      </c>
      <c r="S1089" s="29">
        <f t="shared" si="214"/>
        <v>0</v>
      </c>
      <c r="T1089" s="29">
        <f t="shared" si="214"/>
        <v>0</v>
      </c>
      <c r="U1089" s="29">
        <f t="shared" si="214"/>
        <v>0</v>
      </c>
      <c r="V1089" s="29">
        <f t="shared" si="214"/>
        <v>0</v>
      </c>
      <c r="W1089" s="29">
        <f t="shared" si="214"/>
        <v>0</v>
      </c>
      <c r="X1089" s="29">
        <f t="shared" si="214"/>
        <v>0</v>
      </c>
      <c r="Y1089" s="29">
        <f t="shared" si="214"/>
        <v>0</v>
      </c>
      <c r="Z1089" s="29">
        <f t="shared" si="214"/>
        <v>0</v>
      </c>
      <c r="AA1089" s="29">
        <f t="shared" si="214"/>
        <v>0</v>
      </c>
      <c r="AB1089" s="29">
        <f t="shared" si="214"/>
        <v>0</v>
      </c>
      <c r="AC1089" s="29">
        <f t="shared" si="214"/>
        <v>2685.84</v>
      </c>
      <c r="AD1089" s="29">
        <f t="shared" si="214"/>
        <v>55000</v>
      </c>
      <c r="AE1089" s="29">
        <f t="shared" si="214"/>
        <v>0</v>
      </c>
      <c r="AF1089" s="62" t="s">
        <v>743</v>
      </c>
      <c r="AG1089" s="62" t="s">
        <v>743</v>
      </c>
      <c r="AH1089" s="77" t="s">
        <v>743</v>
      </c>
      <c r="AT1089" s="18" t="e">
        <f>VLOOKUP(C1089,AW:AX,2,FALSE)</f>
        <v>#N/A</v>
      </c>
      <c r="BZ1089" s="61">
        <v>3230340</v>
      </c>
      <c r="CD1089" s="18" t="e">
        <f>VLOOKUP(C1089,CE:CF,2,FALSE)</f>
        <v>#N/A</v>
      </c>
    </row>
    <row r="1090" spans="1:82" ht="61.5" x14ac:dyDescent="0.85">
      <c r="A1090" s="18">
        <v>1</v>
      </c>
      <c r="B1090" s="57">
        <f>SUBTOTAL(103,$A$558:A1090)</f>
        <v>466</v>
      </c>
      <c r="C1090" s="22" t="s">
        <v>223</v>
      </c>
      <c r="D1090" s="29">
        <f>E1090+F1090+G1090+H1090+I1090+J1090+L1090+N1090+P1090+R1090+T1090+U1090+V1090+W1090+X1090+Y1090+Z1090+AA1090+AB1090+AC1090+AD1090+AE1090</f>
        <v>236741.66999999998</v>
      </c>
      <c r="E1090" s="29">
        <v>0</v>
      </c>
      <c r="F1090" s="29">
        <v>0</v>
      </c>
      <c r="G1090" s="29">
        <v>0</v>
      </c>
      <c r="H1090" s="29">
        <f>178359.08+696.75</f>
        <v>179055.83</v>
      </c>
      <c r="I1090" s="29">
        <v>0</v>
      </c>
      <c r="J1090" s="29">
        <v>0</v>
      </c>
      <c r="K1090" s="64">
        <v>0</v>
      </c>
      <c r="L1090" s="29">
        <v>0</v>
      </c>
      <c r="M1090" s="29">
        <v>0</v>
      </c>
      <c r="N1090" s="29">
        <v>0</v>
      </c>
      <c r="O1090" s="29">
        <v>0</v>
      </c>
      <c r="P1090" s="29">
        <v>0</v>
      </c>
      <c r="Q1090" s="29">
        <v>0</v>
      </c>
      <c r="R1090" s="29">
        <v>0</v>
      </c>
      <c r="S1090" s="29">
        <v>0</v>
      </c>
      <c r="T1090" s="29">
        <v>0</v>
      </c>
      <c r="U1090" s="29">
        <v>0</v>
      </c>
      <c r="V1090" s="29">
        <v>0</v>
      </c>
      <c r="W1090" s="29">
        <v>0</v>
      </c>
      <c r="X1090" s="29">
        <v>0</v>
      </c>
      <c r="Y1090" s="29">
        <v>0</v>
      </c>
      <c r="Z1090" s="29">
        <v>0</v>
      </c>
      <c r="AA1090" s="29">
        <v>0</v>
      </c>
      <c r="AB1090" s="29">
        <v>0</v>
      </c>
      <c r="AC1090" s="29">
        <f>ROUND((E1090+F1090+G1090+H1090+I1090+J1090)*1.5%,2)</f>
        <v>2685.84</v>
      </c>
      <c r="AD1090" s="29">
        <v>55000</v>
      </c>
      <c r="AE1090" s="29">
        <v>0</v>
      </c>
      <c r="AF1090" s="32">
        <v>2021</v>
      </c>
      <c r="AG1090" s="32">
        <v>2021</v>
      </c>
      <c r="AH1090" s="33">
        <v>2021</v>
      </c>
      <c r="AT1090" s="18" t="e">
        <f>VLOOKUP(C1090,AW:AX,2,FALSE)</f>
        <v>#N/A</v>
      </c>
      <c r="BZ1090" s="61"/>
      <c r="CD1090" s="18" t="e">
        <f>VLOOKUP(C1090,CE:CF,2,FALSE)</f>
        <v>#N/A</v>
      </c>
    </row>
    <row r="1091" spans="1:82" ht="61.5" x14ac:dyDescent="0.85">
      <c r="B1091" s="22" t="s">
        <v>747</v>
      </c>
      <c r="C1091" s="328"/>
      <c r="D1091" s="339">
        <f t="shared" ref="D1091:AE1091" si="215">D1092+D1163+D1178+D1203+D1214+D1217+D1226+D1229+D1233+D1236+D1238+D1240+D1243+D1245+D1247+D1254+D1258+D1260+D1262+D1264+D1267+D1270+D1272+D1274+D1276+D1283+D1286+D1290+D1293+D1295+D1299+D1301+D1303+D1305+D1307+D1309+D1311+D1316+D1318+D1320+D1322+D1326+D1328+D1330+D1332+D1335+D1339+D1343+D1347+D1350+D1352+D1354+D1357+D1361+D1363+D1365+D1367+D1371</f>
        <v>811229658.27999985</v>
      </c>
      <c r="E1091" s="29">
        <f t="shared" si="215"/>
        <v>1117931.6700000002</v>
      </c>
      <c r="F1091" s="29">
        <f t="shared" si="215"/>
        <v>2755384.36</v>
      </c>
      <c r="G1091" s="29">
        <f t="shared" si="215"/>
        <v>10264339.09</v>
      </c>
      <c r="H1091" s="29">
        <f t="shared" si="215"/>
        <v>3335122.38</v>
      </c>
      <c r="I1091" s="29">
        <f t="shared" si="215"/>
        <v>6095500.2699999996</v>
      </c>
      <c r="J1091" s="29">
        <f t="shared" si="215"/>
        <v>0</v>
      </c>
      <c r="K1091" s="31">
        <f t="shared" si="215"/>
        <v>3</v>
      </c>
      <c r="L1091" s="29">
        <f t="shared" si="215"/>
        <v>6300000</v>
      </c>
      <c r="M1091" s="29">
        <f t="shared" si="215"/>
        <v>134300.76</v>
      </c>
      <c r="N1091" s="29">
        <f t="shared" si="215"/>
        <v>631865004.75999999</v>
      </c>
      <c r="O1091" s="29">
        <f t="shared" si="215"/>
        <v>424</v>
      </c>
      <c r="P1091" s="29">
        <f t="shared" si="215"/>
        <v>1684318.2200000002</v>
      </c>
      <c r="Q1091" s="29">
        <f t="shared" si="215"/>
        <v>28961.4</v>
      </c>
      <c r="R1091" s="29">
        <f t="shared" si="215"/>
        <v>89200458.030000016</v>
      </c>
      <c r="S1091" s="29">
        <f t="shared" si="215"/>
        <v>428.07</v>
      </c>
      <c r="T1091" s="29">
        <f t="shared" si="215"/>
        <v>10047794.520000001</v>
      </c>
      <c r="U1091" s="29">
        <f t="shared" si="215"/>
        <v>7702861.6199999992</v>
      </c>
      <c r="V1091" s="29">
        <f t="shared" si="215"/>
        <v>0</v>
      </c>
      <c r="W1091" s="29">
        <f t="shared" si="215"/>
        <v>0</v>
      </c>
      <c r="X1091" s="29">
        <f t="shared" si="215"/>
        <v>0</v>
      </c>
      <c r="Y1091" s="29">
        <f t="shared" si="215"/>
        <v>0</v>
      </c>
      <c r="Z1091" s="29">
        <f t="shared" si="215"/>
        <v>0</v>
      </c>
      <c r="AA1091" s="29">
        <f t="shared" si="215"/>
        <v>0</v>
      </c>
      <c r="AB1091" s="29">
        <f t="shared" si="215"/>
        <v>0</v>
      </c>
      <c r="AC1091" s="29">
        <f t="shared" si="215"/>
        <v>11462577.679999998</v>
      </c>
      <c r="AD1091" s="29">
        <f t="shared" si="215"/>
        <v>29038365.68</v>
      </c>
      <c r="AE1091" s="29">
        <f t="shared" si="215"/>
        <v>360000</v>
      </c>
      <c r="AF1091" s="62" t="s">
        <v>743</v>
      </c>
      <c r="AG1091" s="62" t="s">
        <v>743</v>
      </c>
      <c r="AH1091" s="77" t="s">
        <v>743</v>
      </c>
      <c r="AT1091" s="18" t="e">
        <f>VLOOKUP(C1091,AW:AX,2,FALSE)</f>
        <v>#N/A</v>
      </c>
      <c r="BZ1091" s="61">
        <v>791169161.6500001</v>
      </c>
    </row>
    <row r="1092" spans="1:82" ht="61.5" x14ac:dyDescent="0.85">
      <c r="B1092" s="22" t="s">
        <v>1078</v>
      </c>
      <c r="C1092" s="338"/>
      <c r="D1092" s="339">
        <f t="shared" ref="D1092:AE1092" si="216">SUM(D1093:D1162)</f>
        <v>266927665.74999997</v>
      </c>
      <c r="E1092" s="29">
        <f t="shared" si="216"/>
        <v>102509.44</v>
      </c>
      <c r="F1092" s="29">
        <f t="shared" si="216"/>
        <v>0</v>
      </c>
      <c r="G1092" s="29">
        <f t="shared" si="216"/>
        <v>0</v>
      </c>
      <c r="H1092" s="29">
        <f t="shared" si="216"/>
        <v>115886.17</v>
      </c>
      <c r="I1092" s="29">
        <f t="shared" si="216"/>
        <v>0</v>
      </c>
      <c r="J1092" s="29">
        <f t="shared" si="216"/>
        <v>0</v>
      </c>
      <c r="K1092" s="31">
        <f t="shared" si="216"/>
        <v>3</v>
      </c>
      <c r="L1092" s="29">
        <f t="shared" si="216"/>
        <v>6300000</v>
      </c>
      <c r="M1092" s="29">
        <f t="shared" si="216"/>
        <v>43637.54</v>
      </c>
      <c r="N1092" s="29">
        <f t="shared" si="216"/>
        <v>198480340.47000003</v>
      </c>
      <c r="O1092" s="29">
        <f t="shared" si="216"/>
        <v>278</v>
      </c>
      <c r="P1092" s="29">
        <f t="shared" si="216"/>
        <v>1318378.6100000001</v>
      </c>
      <c r="Q1092" s="29">
        <f t="shared" si="216"/>
        <v>15317.64</v>
      </c>
      <c r="R1092" s="29">
        <f t="shared" si="216"/>
        <v>49987435.630000003</v>
      </c>
      <c r="S1092" s="29">
        <f t="shared" si="216"/>
        <v>0</v>
      </c>
      <c r="T1092" s="29">
        <f t="shared" si="216"/>
        <v>0</v>
      </c>
      <c r="U1092" s="29">
        <f t="shared" si="216"/>
        <v>0</v>
      </c>
      <c r="V1092" s="29">
        <f t="shared" si="216"/>
        <v>0</v>
      </c>
      <c r="W1092" s="29">
        <f t="shared" si="216"/>
        <v>0</v>
      </c>
      <c r="X1092" s="29">
        <f t="shared" si="216"/>
        <v>0</v>
      </c>
      <c r="Y1092" s="29">
        <f t="shared" si="216"/>
        <v>0</v>
      </c>
      <c r="Z1092" s="29">
        <f t="shared" si="216"/>
        <v>0</v>
      </c>
      <c r="AA1092" s="29">
        <f t="shared" si="216"/>
        <v>0</v>
      </c>
      <c r="AB1092" s="29">
        <f t="shared" si="216"/>
        <v>0</v>
      </c>
      <c r="AC1092" s="29">
        <f t="shared" si="216"/>
        <v>3751615.18</v>
      </c>
      <c r="AD1092" s="29">
        <f t="shared" si="216"/>
        <v>6871500.25</v>
      </c>
      <c r="AE1092" s="29">
        <f t="shared" si="216"/>
        <v>0</v>
      </c>
      <c r="AF1092" s="62" t="s">
        <v>743</v>
      </c>
      <c r="AG1092" s="62" t="s">
        <v>743</v>
      </c>
      <c r="AH1092" s="77" t="s">
        <v>743</v>
      </c>
      <c r="AT1092" s="18" t="e">
        <f>VLOOKUP(C1092,AW:AX,2,FALSE)</f>
        <v>#N/A</v>
      </c>
      <c r="BZ1092" s="61">
        <v>216853215.33000001</v>
      </c>
    </row>
    <row r="1093" spans="1:82" ht="61.5" x14ac:dyDescent="0.85">
      <c r="A1093" s="18">
        <v>1</v>
      </c>
      <c r="B1093" s="57">
        <f>SUBTOTAL(103,$A$1093:A1093)</f>
        <v>1</v>
      </c>
      <c r="C1093" s="22" t="s">
        <v>1056</v>
      </c>
      <c r="D1093" s="29">
        <f t="shared" ref="D1093:D1164" si="217">E1093+F1093+G1093+H1093+I1093+J1093+L1093+N1093+P1093+R1093+T1093+U1093+V1093+W1093+X1093+Y1093+Z1093+AA1093+AB1093+AC1093+AD1093+AE1093</f>
        <v>2200000</v>
      </c>
      <c r="E1093" s="29">
        <v>0</v>
      </c>
      <c r="F1093" s="29">
        <v>0</v>
      </c>
      <c r="G1093" s="29">
        <v>0</v>
      </c>
      <c r="H1093" s="29">
        <v>0</v>
      </c>
      <c r="I1093" s="29">
        <v>0</v>
      </c>
      <c r="J1093" s="29">
        <v>0</v>
      </c>
      <c r="K1093" s="31">
        <v>0</v>
      </c>
      <c r="L1093" s="29">
        <v>0</v>
      </c>
      <c r="M1093" s="29">
        <v>412</v>
      </c>
      <c r="N1093" s="29">
        <v>2068965.52</v>
      </c>
      <c r="O1093" s="29">
        <v>0</v>
      </c>
      <c r="P1093" s="29">
        <v>0</v>
      </c>
      <c r="Q1093" s="29">
        <v>0</v>
      </c>
      <c r="R1093" s="29">
        <v>0</v>
      </c>
      <c r="S1093" s="29">
        <v>0</v>
      </c>
      <c r="T1093" s="29">
        <v>0</v>
      </c>
      <c r="U1093" s="29">
        <v>0</v>
      </c>
      <c r="V1093" s="29">
        <v>0</v>
      </c>
      <c r="W1093" s="29">
        <v>0</v>
      </c>
      <c r="X1093" s="29">
        <v>0</v>
      </c>
      <c r="Y1093" s="29">
        <v>0</v>
      </c>
      <c r="Z1093" s="29">
        <v>0</v>
      </c>
      <c r="AA1093" s="29">
        <v>0</v>
      </c>
      <c r="AB1093" s="29">
        <v>0</v>
      </c>
      <c r="AC1093" s="29">
        <v>31034.48</v>
      </c>
      <c r="AD1093" s="29">
        <v>100000</v>
      </c>
      <c r="AE1093" s="29">
        <v>0</v>
      </c>
      <c r="AF1093" s="32">
        <v>2022</v>
      </c>
      <c r="AG1093" s="32">
        <v>2022</v>
      </c>
      <c r="AH1093" s="33">
        <v>2022</v>
      </c>
      <c r="AT1093" s="18" t="e">
        <f>VLOOKUP(C1093,AW:AX,2,FALSE)</f>
        <v>#N/A</v>
      </c>
      <c r="BZ1093" s="61"/>
    </row>
    <row r="1094" spans="1:82" ht="61.5" x14ac:dyDescent="0.85">
      <c r="A1094" s="18">
        <v>1</v>
      </c>
      <c r="B1094" s="57">
        <f>SUBTOTAL(103,$A$1093:A1094)</f>
        <v>2</v>
      </c>
      <c r="C1094" s="22" t="s">
        <v>567</v>
      </c>
      <c r="D1094" s="29">
        <f t="shared" si="217"/>
        <v>3283875.94</v>
      </c>
      <c r="E1094" s="29">
        <v>0</v>
      </c>
      <c r="F1094" s="29">
        <v>0</v>
      </c>
      <c r="G1094" s="29">
        <v>0</v>
      </c>
      <c r="H1094" s="29">
        <v>0</v>
      </c>
      <c r="I1094" s="29">
        <v>0</v>
      </c>
      <c r="J1094" s="29">
        <v>0</v>
      </c>
      <c r="K1094" s="31">
        <v>0</v>
      </c>
      <c r="L1094" s="29">
        <v>0</v>
      </c>
      <c r="M1094" s="29">
        <v>722</v>
      </c>
      <c r="N1094" s="29">
        <v>3136823.59</v>
      </c>
      <c r="O1094" s="29">
        <v>0</v>
      </c>
      <c r="P1094" s="29">
        <v>0</v>
      </c>
      <c r="Q1094" s="29">
        <v>0</v>
      </c>
      <c r="R1094" s="29">
        <v>0</v>
      </c>
      <c r="S1094" s="29">
        <v>0</v>
      </c>
      <c r="T1094" s="29">
        <v>0</v>
      </c>
      <c r="U1094" s="29">
        <v>0</v>
      </c>
      <c r="V1094" s="29">
        <v>0</v>
      </c>
      <c r="W1094" s="29">
        <v>0</v>
      </c>
      <c r="X1094" s="29">
        <v>0</v>
      </c>
      <c r="Y1094" s="29">
        <v>0</v>
      </c>
      <c r="Z1094" s="29">
        <v>0</v>
      </c>
      <c r="AA1094" s="29">
        <v>0</v>
      </c>
      <c r="AB1094" s="29">
        <v>0</v>
      </c>
      <c r="AC1094" s="29">
        <v>47052.35</v>
      </c>
      <c r="AD1094" s="29">
        <v>100000</v>
      </c>
      <c r="AE1094" s="29">
        <v>0</v>
      </c>
      <c r="AF1094" s="32">
        <v>2022</v>
      </c>
      <c r="AG1094" s="32">
        <v>2022</v>
      </c>
      <c r="AH1094" s="33">
        <v>2022</v>
      </c>
      <c r="AT1094" s="18" t="e">
        <f>VLOOKUP(C1094,AW:AX,2,FALSE)</f>
        <v>#N/A</v>
      </c>
      <c r="BZ1094" s="61"/>
    </row>
    <row r="1095" spans="1:82" ht="61.5" x14ac:dyDescent="0.85">
      <c r="A1095" s="18">
        <v>1</v>
      </c>
      <c r="B1095" s="57">
        <f>SUBTOTAL(103,$A$1093:A1095)</f>
        <v>3</v>
      </c>
      <c r="C1095" s="22" t="s">
        <v>568</v>
      </c>
      <c r="D1095" s="29">
        <f t="shared" si="217"/>
        <v>5491207.6599999992</v>
      </c>
      <c r="E1095" s="29">
        <v>0</v>
      </c>
      <c r="F1095" s="29">
        <v>0</v>
      </c>
      <c r="G1095" s="29">
        <v>0</v>
      </c>
      <c r="H1095" s="29">
        <v>0</v>
      </c>
      <c r="I1095" s="29">
        <v>0</v>
      </c>
      <c r="J1095" s="29">
        <v>0</v>
      </c>
      <c r="K1095" s="31">
        <v>0</v>
      </c>
      <c r="L1095" s="29">
        <v>0</v>
      </c>
      <c r="M1095" s="29">
        <v>1200</v>
      </c>
      <c r="N1095" s="29">
        <v>5311534.6399999997</v>
      </c>
      <c r="O1095" s="29">
        <v>0</v>
      </c>
      <c r="P1095" s="29">
        <v>0</v>
      </c>
      <c r="Q1095" s="29">
        <v>0</v>
      </c>
      <c r="R1095" s="29">
        <v>0</v>
      </c>
      <c r="S1095" s="29">
        <v>0</v>
      </c>
      <c r="T1095" s="29">
        <v>0</v>
      </c>
      <c r="U1095" s="29">
        <v>0</v>
      </c>
      <c r="V1095" s="29">
        <v>0</v>
      </c>
      <c r="W1095" s="29">
        <v>0</v>
      </c>
      <c r="X1095" s="29">
        <v>0</v>
      </c>
      <c r="Y1095" s="29">
        <v>0</v>
      </c>
      <c r="Z1095" s="29">
        <v>0</v>
      </c>
      <c r="AA1095" s="29">
        <v>0</v>
      </c>
      <c r="AB1095" s="29">
        <v>0</v>
      </c>
      <c r="AC1095" s="29">
        <v>79673.02</v>
      </c>
      <c r="AD1095" s="29">
        <v>100000</v>
      </c>
      <c r="AE1095" s="29">
        <v>0</v>
      </c>
      <c r="AF1095" s="32">
        <v>2022</v>
      </c>
      <c r="AG1095" s="32">
        <v>2022</v>
      </c>
      <c r="AH1095" s="33">
        <v>2022</v>
      </c>
      <c r="AT1095" s="18" t="e">
        <f>VLOOKUP(C1095,AW:AX,2,FALSE)</f>
        <v>#N/A</v>
      </c>
      <c r="BZ1095" s="61"/>
    </row>
    <row r="1096" spans="1:82" ht="61.5" x14ac:dyDescent="0.85">
      <c r="A1096" s="18">
        <v>1</v>
      </c>
      <c r="B1096" s="57">
        <f>SUBTOTAL(103,$A$1093:A1096)</f>
        <v>4</v>
      </c>
      <c r="C1096" s="22" t="s">
        <v>569</v>
      </c>
      <c r="D1096" s="29">
        <f t="shared" si="217"/>
        <v>2818609.5</v>
      </c>
      <c r="E1096" s="29">
        <v>0</v>
      </c>
      <c r="F1096" s="29">
        <v>0</v>
      </c>
      <c r="G1096" s="29">
        <v>0</v>
      </c>
      <c r="H1096" s="29">
        <v>0</v>
      </c>
      <c r="I1096" s="29">
        <v>0</v>
      </c>
      <c r="J1096" s="29">
        <v>0</v>
      </c>
      <c r="K1096" s="31">
        <v>0</v>
      </c>
      <c r="L1096" s="29">
        <v>0</v>
      </c>
      <c r="M1096" s="29">
        <v>593</v>
      </c>
      <c r="N1096" s="29">
        <v>2678433</v>
      </c>
      <c r="O1096" s="29">
        <v>0</v>
      </c>
      <c r="P1096" s="29">
        <v>0</v>
      </c>
      <c r="Q1096" s="29">
        <v>0</v>
      </c>
      <c r="R1096" s="29">
        <v>0</v>
      </c>
      <c r="S1096" s="29">
        <v>0</v>
      </c>
      <c r="T1096" s="29">
        <v>0</v>
      </c>
      <c r="U1096" s="29">
        <v>0</v>
      </c>
      <c r="V1096" s="29">
        <v>0</v>
      </c>
      <c r="W1096" s="29">
        <v>0</v>
      </c>
      <c r="X1096" s="29">
        <v>0</v>
      </c>
      <c r="Y1096" s="29">
        <v>0</v>
      </c>
      <c r="Z1096" s="29">
        <v>0</v>
      </c>
      <c r="AA1096" s="29">
        <v>0</v>
      </c>
      <c r="AB1096" s="29">
        <v>0</v>
      </c>
      <c r="AC1096" s="29">
        <v>40176.5</v>
      </c>
      <c r="AD1096" s="29">
        <v>100000</v>
      </c>
      <c r="AE1096" s="29">
        <v>0</v>
      </c>
      <c r="AF1096" s="32">
        <v>2022</v>
      </c>
      <c r="AG1096" s="32">
        <v>2022</v>
      </c>
      <c r="AH1096" s="33">
        <v>2022</v>
      </c>
      <c r="AT1096" s="18" t="e">
        <f>VLOOKUP(C1096,AW:AX,2,FALSE)</f>
        <v>#N/A</v>
      </c>
      <c r="BZ1096" s="61"/>
    </row>
    <row r="1097" spans="1:82" ht="61.5" x14ac:dyDescent="0.85">
      <c r="A1097" s="18">
        <v>1</v>
      </c>
      <c r="B1097" s="57">
        <f>SUBTOTAL(103,$A$1093:A1097)</f>
        <v>5</v>
      </c>
      <c r="C1097" s="22" t="s">
        <v>1617</v>
      </c>
      <c r="D1097" s="29">
        <f t="shared" si="217"/>
        <v>2536000</v>
      </c>
      <c r="E1097" s="29">
        <v>0</v>
      </c>
      <c r="F1097" s="29">
        <v>0</v>
      </c>
      <c r="G1097" s="29">
        <v>0</v>
      </c>
      <c r="H1097" s="29">
        <v>0</v>
      </c>
      <c r="I1097" s="29">
        <v>0</v>
      </c>
      <c r="J1097" s="29">
        <v>0</v>
      </c>
      <c r="K1097" s="31">
        <v>0</v>
      </c>
      <c r="L1097" s="29">
        <v>0</v>
      </c>
      <c r="M1097" s="29">
        <v>559</v>
      </c>
      <c r="N1097" s="29">
        <v>2400000</v>
      </c>
      <c r="O1097" s="29">
        <v>0</v>
      </c>
      <c r="P1097" s="29">
        <v>0</v>
      </c>
      <c r="Q1097" s="29">
        <v>0</v>
      </c>
      <c r="R1097" s="29">
        <v>0</v>
      </c>
      <c r="S1097" s="29">
        <v>0</v>
      </c>
      <c r="T1097" s="29">
        <v>0</v>
      </c>
      <c r="U1097" s="29">
        <v>0</v>
      </c>
      <c r="V1097" s="29">
        <v>0</v>
      </c>
      <c r="W1097" s="29">
        <v>0</v>
      </c>
      <c r="X1097" s="29">
        <v>0</v>
      </c>
      <c r="Y1097" s="29">
        <v>0</v>
      </c>
      <c r="Z1097" s="29">
        <v>0</v>
      </c>
      <c r="AA1097" s="29">
        <v>0</v>
      </c>
      <c r="AB1097" s="29">
        <v>0</v>
      </c>
      <c r="AC1097" s="29">
        <v>36000</v>
      </c>
      <c r="AD1097" s="29">
        <v>100000</v>
      </c>
      <c r="AE1097" s="29">
        <v>0</v>
      </c>
      <c r="AF1097" s="32">
        <v>2022</v>
      </c>
      <c r="AG1097" s="32">
        <v>2022</v>
      </c>
      <c r="AH1097" s="33">
        <v>2022</v>
      </c>
      <c r="BZ1097" s="61"/>
    </row>
    <row r="1098" spans="1:82" ht="61.5" x14ac:dyDescent="0.85">
      <c r="A1098" s="18">
        <v>1</v>
      </c>
      <c r="B1098" s="57">
        <f>SUBTOTAL(103,$A$1093:A1098)</f>
        <v>6</v>
      </c>
      <c r="C1098" s="22" t="s">
        <v>570</v>
      </c>
      <c r="D1098" s="29">
        <f t="shared" si="217"/>
        <v>3753990.26</v>
      </c>
      <c r="E1098" s="29">
        <v>0</v>
      </c>
      <c r="F1098" s="29">
        <v>0</v>
      </c>
      <c r="G1098" s="29">
        <v>0</v>
      </c>
      <c r="H1098" s="29">
        <v>0</v>
      </c>
      <c r="I1098" s="29">
        <v>0</v>
      </c>
      <c r="J1098" s="29">
        <v>0</v>
      </c>
      <c r="K1098" s="31">
        <v>0</v>
      </c>
      <c r="L1098" s="29">
        <v>0</v>
      </c>
      <c r="M1098" s="29">
        <v>794</v>
      </c>
      <c r="N1098" s="29">
        <v>3599990.4</v>
      </c>
      <c r="O1098" s="29">
        <v>0</v>
      </c>
      <c r="P1098" s="29">
        <v>0</v>
      </c>
      <c r="Q1098" s="29">
        <v>0</v>
      </c>
      <c r="R1098" s="29">
        <v>0</v>
      </c>
      <c r="S1098" s="29">
        <v>0</v>
      </c>
      <c r="T1098" s="29">
        <v>0</v>
      </c>
      <c r="U1098" s="29">
        <v>0</v>
      </c>
      <c r="V1098" s="29">
        <v>0</v>
      </c>
      <c r="W1098" s="29">
        <v>0</v>
      </c>
      <c r="X1098" s="29">
        <v>0</v>
      </c>
      <c r="Y1098" s="29">
        <v>0</v>
      </c>
      <c r="Z1098" s="29">
        <v>0</v>
      </c>
      <c r="AA1098" s="29">
        <v>0</v>
      </c>
      <c r="AB1098" s="29">
        <v>0</v>
      </c>
      <c r="AC1098" s="29">
        <v>53999.86</v>
      </c>
      <c r="AD1098" s="29">
        <v>100000</v>
      </c>
      <c r="AE1098" s="29">
        <v>0</v>
      </c>
      <c r="AF1098" s="32">
        <v>2022</v>
      </c>
      <c r="AG1098" s="32">
        <v>2022</v>
      </c>
      <c r="AH1098" s="33">
        <v>2022</v>
      </c>
      <c r="AT1098" s="18" t="e">
        <f>VLOOKUP(C1098,AW:AX,2,FALSE)</f>
        <v>#N/A</v>
      </c>
      <c r="BZ1098" s="61"/>
    </row>
    <row r="1099" spans="1:82" ht="61.5" x14ac:dyDescent="0.85">
      <c r="A1099" s="18">
        <v>1</v>
      </c>
      <c r="B1099" s="57">
        <f>SUBTOTAL(103,$A$1093:A1099)</f>
        <v>7</v>
      </c>
      <c r="C1099" s="22" t="s">
        <v>1618</v>
      </c>
      <c r="D1099" s="29">
        <f t="shared" si="217"/>
        <v>5682500</v>
      </c>
      <c r="E1099" s="29">
        <v>0</v>
      </c>
      <c r="F1099" s="29">
        <v>0</v>
      </c>
      <c r="G1099" s="29">
        <v>0</v>
      </c>
      <c r="H1099" s="29">
        <v>0</v>
      </c>
      <c r="I1099" s="29">
        <v>0</v>
      </c>
      <c r="J1099" s="29">
        <v>0</v>
      </c>
      <c r="K1099" s="31">
        <v>0</v>
      </c>
      <c r="L1099" s="29">
        <v>0</v>
      </c>
      <c r="M1099" s="29">
        <v>1338</v>
      </c>
      <c r="N1099" s="29">
        <v>5500000</v>
      </c>
      <c r="O1099" s="29">
        <v>0</v>
      </c>
      <c r="P1099" s="29">
        <v>0</v>
      </c>
      <c r="Q1099" s="29">
        <v>0</v>
      </c>
      <c r="R1099" s="29">
        <v>0</v>
      </c>
      <c r="S1099" s="29">
        <v>0</v>
      </c>
      <c r="T1099" s="29">
        <v>0</v>
      </c>
      <c r="U1099" s="29">
        <v>0</v>
      </c>
      <c r="V1099" s="29">
        <v>0</v>
      </c>
      <c r="W1099" s="29">
        <v>0</v>
      </c>
      <c r="X1099" s="29">
        <v>0</v>
      </c>
      <c r="Y1099" s="29">
        <v>0</v>
      </c>
      <c r="Z1099" s="29">
        <v>0</v>
      </c>
      <c r="AA1099" s="29">
        <v>0</v>
      </c>
      <c r="AB1099" s="29">
        <v>0</v>
      </c>
      <c r="AC1099" s="29">
        <v>82500</v>
      </c>
      <c r="AD1099" s="29">
        <v>100000</v>
      </c>
      <c r="AE1099" s="29">
        <v>0</v>
      </c>
      <c r="AF1099" s="32">
        <v>2022</v>
      </c>
      <c r="AG1099" s="32">
        <v>2022</v>
      </c>
      <c r="AH1099" s="33">
        <v>2022</v>
      </c>
      <c r="BZ1099" s="61"/>
    </row>
    <row r="1100" spans="1:82" ht="61.5" x14ac:dyDescent="0.85">
      <c r="A1100" s="18">
        <v>1</v>
      </c>
      <c r="B1100" s="57">
        <f>SUBTOTAL(103,$A$1093:A1100)</f>
        <v>8</v>
      </c>
      <c r="C1100" s="22" t="s">
        <v>572</v>
      </c>
      <c r="D1100" s="29">
        <f t="shared" si="217"/>
        <v>5851539.1200000001</v>
      </c>
      <c r="E1100" s="29">
        <v>0</v>
      </c>
      <c r="F1100" s="29">
        <v>0</v>
      </c>
      <c r="G1100" s="29">
        <v>0</v>
      </c>
      <c r="H1100" s="29">
        <v>0</v>
      </c>
      <c r="I1100" s="29">
        <v>0</v>
      </c>
      <c r="J1100" s="29">
        <v>0</v>
      </c>
      <c r="K1100" s="31">
        <v>0</v>
      </c>
      <c r="L1100" s="29">
        <v>0</v>
      </c>
      <c r="M1100" s="29">
        <v>1260.4000000000001</v>
      </c>
      <c r="N1100" s="29">
        <v>5666541</v>
      </c>
      <c r="O1100" s="29">
        <v>0</v>
      </c>
      <c r="P1100" s="29">
        <v>0</v>
      </c>
      <c r="Q1100" s="29">
        <v>0</v>
      </c>
      <c r="R1100" s="29">
        <v>0</v>
      </c>
      <c r="S1100" s="29">
        <v>0</v>
      </c>
      <c r="T1100" s="29">
        <v>0</v>
      </c>
      <c r="U1100" s="29">
        <v>0</v>
      </c>
      <c r="V1100" s="29">
        <v>0</v>
      </c>
      <c r="W1100" s="29">
        <v>0</v>
      </c>
      <c r="X1100" s="29">
        <v>0</v>
      </c>
      <c r="Y1100" s="29">
        <v>0</v>
      </c>
      <c r="Z1100" s="29">
        <v>0</v>
      </c>
      <c r="AA1100" s="29">
        <v>0</v>
      </c>
      <c r="AB1100" s="29">
        <v>0</v>
      </c>
      <c r="AC1100" s="29">
        <v>84998.12</v>
      </c>
      <c r="AD1100" s="29">
        <v>100000</v>
      </c>
      <c r="AE1100" s="29">
        <v>0</v>
      </c>
      <c r="AF1100" s="32">
        <v>2022</v>
      </c>
      <c r="AG1100" s="32">
        <v>2022</v>
      </c>
      <c r="AH1100" s="33">
        <v>2022</v>
      </c>
      <c r="AT1100" s="18" t="e">
        <f>VLOOKUP(C1100,AW:AX,2,FALSE)</f>
        <v>#N/A</v>
      </c>
      <c r="BZ1100" s="61"/>
    </row>
    <row r="1101" spans="1:82" ht="61.5" x14ac:dyDescent="0.85">
      <c r="A1101" s="18">
        <v>1</v>
      </c>
      <c r="B1101" s="57">
        <f>SUBTOTAL(103,$A$1093:A1101)</f>
        <v>9</v>
      </c>
      <c r="C1101" s="22" t="s">
        <v>573</v>
      </c>
      <c r="D1101" s="29">
        <f t="shared" si="217"/>
        <v>5450859.3200000003</v>
      </c>
      <c r="E1101" s="29">
        <v>0</v>
      </c>
      <c r="F1101" s="29">
        <v>0</v>
      </c>
      <c r="G1101" s="29">
        <v>0</v>
      </c>
      <c r="H1101" s="29">
        <v>0</v>
      </c>
      <c r="I1101" s="29">
        <v>0</v>
      </c>
      <c r="J1101" s="29">
        <v>0</v>
      </c>
      <c r="K1101" s="31">
        <v>0</v>
      </c>
      <c r="L1101" s="29">
        <v>0</v>
      </c>
      <c r="M1101" s="29">
        <v>1151</v>
      </c>
      <c r="N1101" s="29">
        <v>5271782.58</v>
      </c>
      <c r="O1101" s="29">
        <v>0</v>
      </c>
      <c r="P1101" s="29">
        <v>0</v>
      </c>
      <c r="Q1101" s="29">
        <v>0</v>
      </c>
      <c r="R1101" s="29">
        <v>0</v>
      </c>
      <c r="S1101" s="29">
        <v>0</v>
      </c>
      <c r="T1101" s="29">
        <v>0</v>
      </c>
      <c r="U1101" s="29">
        <v>0</v>
      </c>
      <c r="V1101" s="29">
        <v>0</v>
      </c>
      <c r="W1101" s="29">
        <v>0</v>
      </c>
      <c r="X1101" s="29">
        <v>0</v>
      </c>
      <c r="Y1101" s="29">
        <v>0</v>
      </c>
      <c r="Z1101" s="29">
        <v>0</v>
      </c>
      <c r="AA1101" s="29">
        <v>0</v>
      </c>
      <c r="AB1101" s="29">
        <v>0</v>
      </c>
      <c r="AC1101" s="29">
        <v>79076.740000000005</v>
      </c>
      <c r="AD1101" s="29">
        <v>100000</v>
      </c>
      <c r="AE1101" s="29">
        <v>0</v>
      </c>
      <c r="AF1101" s="32">
        <v>2022</v>
      </c>
      <c r="AG1101" s="32">
        <v>2022</v>
      </c>
      <c r="AH1101" s="33">
        <v>2022</v>
      </c>
      <c r="AT1101" s="18" t="e">
        <f>VLOOKUP(C1101,AW:AX,2,FALSE)</f>
        <v>#N/A</v>
      </c>
      <c r="BZ1101" s="61"/>
    </row>
    <row r="1102" spans="1:82" ht="61.5" x14ac:dyDescent="0.85">
      <c r="A1102" s="18">
        <v>1</v>
      </c>
      <c r="B1102" s="57">
        <f>SUBTOTAL(103,$A$1093:A1102)</f>
        <v>10</v>
      </c>
      <c r="C1102" s="22" t="s">
        <v>574</v>
      </c>
      <c r="D1102" s="29">
        <f t="shared" si="217"/>
        <v>2859341.54</v>
      </c>
      <c r="E1102" s="29">
        <v>0</v>
      </c>
      <c r="F1102" s="29">
        <v>0</v>
      </c>
      <c r="G1102" s="29">
        <v>0</v>
      </c>
      <c r="H1102" s="29">
        <v>0</v>
      </c>
      <c r="I1102" s="29">
        <v>0</v>
      </c>
      <c r="J1102" s="29">
        <v>0</v>
      </c>
      <c r="K1102" s="31">
        <v>0</v>
      </c>
      <c r="L1102" s="29">
        <v>0</v>
      </c>
      <c r="M1102" s="29">
        <v>464.68</v>
      </c>
      <c r="N1102" s="29">
        <v>2718415.31</v>
      </c>
      <c r="O1102" s="29">
        <v>0</v>
      </c>
      <c r="P1102" s="29">
        <v>0</v>
      </c>
      <c r="Q1102" s="29">
        <v>0</v>
      </c>
      <c r="R1102" s="29">
        <v>0</v>
      </c>
      <c r="S1102" s="29">
        <v>0</v>
      </c>
      <c r="T1102" s="29">
        <v>0</v>
      </c>
      <c r="U1102" s="29">
        <v>0</v>
      </c>
      <c r="V1102" s="29">
        <v>0</v>
      </c>
      <c r="W1102" s="29">
        <v>0</v>
      </c>
      <c r="X1102" s="29">
        <v>0</v>
      </c>
      <c r="Y1102" s="29">
        <v>0</v>
      </c>
      <c r="Z1102" s="29">
        <v>0</v>
      </c>
      <c r="AA1102" s="29">
        <v>0</v>
      </c>
      <c r="AB1102" s="29">
        <v>0</v>
      </c>
      <c r="AC1102" s="29">
        <v>40926.230000000003</v>
      </c>
      <c r="AD1102" s="29">
        <v>100000</v>
      </c>
      <c r="AE1102" s="29">
        <v>0</v>
      </c>
      <c r="AF1102" s="32">
        <v>2022</v>
      </c>
      <c r="AG1102" s="32">
        <v>2022</v>
      </c>
      <c r="AH1102" s="33">
        <v>2022</v>
      </c>
      <c r="AT1102" s="18" t="e">
        <f>VLOOKUP(C1102,AW:AX,2,FALSE)</f>
        <v>#N/A</v>
      </c>
      <c r="BZ1102" s="61"/>
    </row>
    <row r="1103" spans="1:82" ht="61.5" x14ac:dyDescent="0.85">
      <c r="A1103" s="18">
        <v>1</v>
      </c>
      <c r="B1103" s="57">
        <f>SUBTOTAL(103,$A$1093:A1103)</f>
        <v>11</v>
      </c>
      <c r="C1103" s="22" t="s">
        <v>576</v>
      </c>
      <c r="D1103" s="29">
        <f t="shared" si="217"/>
        <v>3614995.2</v>
      </c>
      <c r="E1103" s="29">
        <v>0</v>
      </c>
      <c r="F1103" s="29">
        <v>0</v>
      </c>
      <c r="G1103" s="29">
        <v>0</v>
      </c>
      <c r="H1103" s="29">
        <v>0</v>
      </c>
      <c r="I1103" s="29">
        <v>0</v>
      </c>
      <c r="J1103" s="29">
        <v>0</v>
      </c>
      <c r="K1103" s="31">
        <v>0</v>
      </c>
      <c r="L1103" s="29">
        <v>0</v>
      </c>
      <c r="M1103" s="29">
        <v>775</v>
      </c>
      <c r="N1103" s="29">
        <v>3463049.46</v>
      </c>
      <c r="O1103" s="29">
        <v>0</v>
      </c>
      <c r="P1103" s="29">
        <v>0</v>
      </c>
      <c r="Q1103" s="29">
        <v>0</v>
      </c>
      <c r="R1103" s="29">
        <v>0</v>
      </c>
      <c r="S1103" s="29">
        <v>0</v>
      </c>
      <c r="T1103" s="29">
        <v>0</v>
      </c>
      <c r="U1103" s="29">
        <v>0</v>
      </c>
      <c r="V1103" s="29">
        <v>0</v>
      </c>
      <c r="W1103" s="29">
        <v>0</v>
      </c>
      <c r="X1103" s="29">
        <v>0</v>
      </c>
      <c r="Y1103" s="29">
        <v>0</v>
      </c>
      <c r="Z1103" s="29">
        <v>0</v>
      </c>
      <c r="AA1103" s="29">
        <v>0</v>
      </c>
      <c r="AB1103" s="29">
        <v>0</v>
      </c>
      <c r="AC1103" s="29">
        <v>51945.74</v>
      </c>
      <c r="AD1103" s="29">
        <v>100000</v>
      </c>
      <c r="AE1103" s="29">
        <v>0</v>
      </c>
      <c r="AF1103" s="32">
        <v>2022</v>
      </c>
      <c r="AG1103" s="32">
        <v>2022</v>
      </c>
      <c r="AH1103" s="33">
        <v>2022</v>
      </c>
      <c r="AT1103" s="18" t="e">
        <f>VLOOKUP(C1103,AW:AX,2,FALSE)</f>
        <v>#N/A</v>
      </c>
      <c r="BZ1103" s="61"/>
    </row>
    <row r="1104" spans="1:82" ht="61.5" x14ac:dyDescent="0.85">
      <c r="A1104" s="18">
        <v>1</v>
      </c>
      <c r="B1104" s="57">
        <f>SUBTOTAL(103,$A$1093:A1104)</f>
        <v>12</v>
      </c>
      <c r="C1104" s="22" t="s">
        <v>578</v>
      </c>
      <c r="D1104" s="29">
        <f t="shared" si="217"/>
        <v>1074208.6600000001</v>
      </c>
      <c r="E1104" s="29">
        <v>0</v>
      </c>
      <c r="F1104" s="29">
        <v>0</v>
      </c>
      <c r="G1104" s="29">
        <v>0</v>
      </c>
      <c r="H1104" s="29">
        <v>0</v>
      </c>
      <c r="I1104" s="29">
        <v>0</v>
      </c>
      <c r="J1104" s="29">
        <v>0</v>
      </c>
      <c r="K1104" s="31">
        <v>0</v>
      </c>
      <c r="L1104" s="29">
        <v>0</v>
      </c>
      <c r="M1104" s="29">
        <v>226</v>
      </c>
      <c r="N1104" s="29">
        <v>959811.49</v>
      </c>
      <c r="O1104" s="29">
        <v>0</v>
      </c>
      <c r="P1104" s="29">
        <v>0</v>
      </c>
      <c r="Q1104" s="29">
        <v>0</v>
      </c>
      <c r="R1104" s="29">
        <v>0</v>
      </c>
      <c r="S1104" s="29">
        <v>0</v>
      </c>
      <c r="T1104" s="29">
        <v>0</v>
      </c>
      <c r="U1104" s="29">
        <v>0</v>
      </c>
      <c r="V1104" s="29">
        <v>0</v>
      </c>
      <c r="W1104" s="29">
        <v>0</v>
      </c>
      <c r="X1104" s="29">
        <v>0</v>
      </c>
      <c r="Y1104" s="29">
        <v>0</v>
      </c>
      <c r="Z1104" s="29">
        <v>0</v>
      </c>
      <c r="AA1104" s="29">
        <v>0</v>
      </c>
      <c r="AB1104" s="29">
        <v>0</v>
      </c>
      <c r="AC1104" s="29">
        <v>14397.17</v>
      </c>
      <c r="AD1104" s="29">
        <v>100000</v>
      </c>
      <c r="AE1104" s="29">
        <v>0</v>
      </c>
      <c r="AF1104" s="32">
        <v>2022</v>
      </c>
      <c r="AG1104" s="32">
        <v>2022</v>
      </c>
      <c r="AH1104" s="33">
        <v>2022</v>
      </c>
      <c r="AT1104" s="18" t="e">
        <f>VLOOKUP(C1104,AW:AX,2,FALSE)</f>
        <v>#N/A</v>
      </c>
      <c r="BZ1104" s="61"/>
    </row>
    <row r="1105" spans="1:78" ht="61.5" x14ac:dyDescent="0.85">
      <c r="A1105" s="18">
        <v>1</v>
      </c>
      <c r="B1105" s="57">
        <f>SUBTOTAL(103,$A$1093:A1105)</f>
        <v>13</v>
      </c>
      <c r="C1105" s="22" t="s">
        <v>579</v>
      </c>
      <c r="D1105" s="29">
        <f t="shared" si="217"/>
        <v>2983983.08</v>
      </c>
      <c r="E1105" s="29">
        <v>0</v>
      </c>
      <c r="F1105" s="29">
        <v>0</v>
      </c>
      <c r="G1105" s="29">
        <v>0</v>
      </c>
      <c r="H1105" s="29">
        <v>0</v>
      </c>
      <c r="I1105" s="29">
        <v>0</v>
      </c>
      <c r="J1105" s="29">
        <v>0</v>
      </c>
      <c r="K1105" s="31">
        <v>0</v>
      </c>
      <c r="L1105" s="29">
        <v>0</v>
      </c>
      <c r="M1105" s="29">
        <v>632</v>
      </c>
      <c r="N1105" s="29">
        <v>2841362.64</v>
      </c>
      <c r="O1105" s="29">
        <v>0</v>
      </c>
      <c r="P1105" s="29">
        <v>0</v>
      </c>
      <c r="Q1105" s="29">
        <v>0</v>
      </c>
      <c r="R1105" s="29">
        <v>0</v>
      </c>
      <c r="S1105" s="29">
        <v>0</v>
      </c>
      <c r="T1105" s="29">
        <v>0</v>
      </c>
      <c r="U1105" s="29">
        <v>0</v>
      </c>
      <c r="V1105" s="29">
        <v>0</v>
      </c>
      <c r="W1105" s="29">
        <v>0</v>
      </c>
      <c r="X1105" s="29">
        <v>0</v>
      </c>
      <c r="Y1105" s="29">
        <v>0</v>
      </c>
      <c r="Z1105" s="29">
        <v>0</v>
      </c>
      <c r="AA1105" s="29">
        <v>0</v>
      </c>
      <c r="AB1105" s="29">
        <v>0</v>
      </c>
      <c r="AC1105" s="29">
        <v>42620.44</v>
      </c>
      <c r="AD1105" s="29">
        <v>100000</v>
      </c>
      <c r="AE1105" s="29">
        <v>0</v>
      </c>
      <c r="AF1105" s="32">
        <v>2022</v>
      </c>
      <c r="AG1105" s="32">
        <v>2022</v>
      </c>
      <c r="AH1105" s="33">
        <v>2022</v>
      </c>
      <c r="AT1105" s="18" t="e">
        <f>VLOOKUP(C1105,AW:AX,2,FALSE)</f>
        <v>#N/A</v>
      </c>
      <c r="BZ1105" s="61"/>
    </row>
    <row r="1106" spans="1:78" ht="61.5" x14ac:dyDescent="0.85">
      <c r="A1106" s="18">
        <v>1</v>
      </c>
      <c r="B1106" s="57">
        <f>SUBTOTAL(103,$A$1093:A1106)</f>
        <v>14</v>
      </c>
      <c r="C1106" s="22" t="s">
        <v>580</v>
      </c>
      <c r="D1106" s="29">
        <f t="shared" si="217"/>
        <v>2983983.08</v>
      </c>
      <c r="E1106" s="29">
        <v>0</v>
      </c>
      <c r="F1106" s="29">
        <v>0</v>
      </c>
      <c r="G1106" s="29">
        <v>0</v>
      </c>
      <c r="H1106" s="29">
        <v>0</v>
      </c>
      <c r="I1106" s="29">
        <v>0</v>
      </c>
      <c r="J1106" s="29">
        <v>0</v>
      </c>
      <c r="K1106" s="31">
        <v>0</v>
      </c>
      <c r="L1106" s="29">
        <v>0</v>
      </c>
      <c r="M1106" s="29">
        <v>632</v>
      </c>
      <c r="N1106" s="29">
        <v>2841362.64</v>
      </c>
      <c r="O1106" s="29">
        <v>0</v>
      </c>
      <c r="P1106" s="29">
        <v>0</v>
      </c>
      <c r="Q1106" s="29">
        <v>0</v>
      </c>
      <c r="R1106" s="29">
        <v>0</v>
      </c>
      <c r="S1106" s="29">
        <v>0</v>
      </c>
      <c r="T1106" s="29">
        <v>0</v>
      </c>
      <c r="U1106" s="29">
        <v>0</v>
      </c>
      <c r="V1106" s="29">
        <v>0</v>
      </c>
      <c r="W1106" s="29">
        <v>0</v>
      </c>
      <c r="X1106" s="29">
        <v>0</v>
      </c>
      <c r="Y1106" s="29">
        <v>0</v>
      </c>
      <c r="Z1106" s="29">
        <v>0</v>
      </c>
      <c r="AA1106" s="29">
        <v>0</v>
      </c>
      <c r="AB1106" s="29">
        <v>0</v>
      </c>
      <c r="AC1106" s="29">
        <v>42620.44</v>
      </c>
      <c r="AD1106" s="29">
        <v>100000</v>
      </c>
      <c r="AE1106" s="29">
        <v>0</v>
      </c>
      <c r="AF1106" s="32">
        <v>2022</v>
      </c>
      <c r="AG1106" s="32">
        <v>2022</v>
      </c>
      <c r="AH1106" s="33">
        <v>2022</v>
      </c>
      <c r="AT1106" s="18" t="e">
        <f>VLOOKUP(C1106,AW:AX,2,FALSE)</f>
        <v>#N/A</v>
      </c>
      <c r="BZ1106" s="61"/>
    </row>
    <row r="1107" spans="1:78" ht="61.5" x14ac:dyDescent="0.85">
      <c r="A1107" s="18">
        <v>1</v>
      </c>
      <c r="B1107" s="57">
        <f>SUBTOTAL(103,$A$1093:A1107)</f>
        <v>15</v>
      </c>
      <c r="C1107" s="22" t="s">
        <v>581</v>
      </c>
      <c r="D1107" s="29">
        <f t="shared" si="217"/>
        <v>4423303.57</v>
      </c>
      <c r="E1107" s="29">
        <v>0</v>
      </c>
      <c r="F1107" s="29">
        <v>0</v>
      </c>
      <c r="G1107" s="29">
        <v>0</v>
      </c>
      <c r="H1107" s="29">
        <v>0</v>
      </c>
      <c r="I1107" s="29">
        <v>0</v>
      </c>
      <c r="J1107" s="29">
        <v>0</v>
      </c>
      <c r="K1107" s="31">
        <v>0</v>
      </c>
      <c r="L1107" s="29">
        <v>0</v>
      </c>
      <c r="M1107" s="29">
        <v>971</v>
      </c>
      <c r="N1107" s="29">
        <v>4259412.38</v>
      </c>
      <c r="O1107" s="29">
        <v>0</v>
      </c>
      <c r="P1107" s="29">
        <v>0</v>
      </c>
      <c r="Q1107" s="29">
        <v>0</v>
      </c>
      <c r="R1107" s="29">
        <v>0</v>
      </c>
      <c r="S1107" s="29">
        <v>0</v>
      </c>
      <c r="T1107" s="29">
        <v>0</v>
      </c>
      <c r="U1107" s="29">
        <v>0</v>
      </c>
      <c r="V1107" s="29">
        <v>0</v>
      </c>
      <c r="W1107" s="29">
        <v>0</v>
      </c>
      <c r="X1107" s="29">
        <v>0</v>
      </c>
      <c r="Y1107" s="29">
        <v>0</v>
      </c>
      <c r="Z1107" s="29">
        <v>0</v>
      </c>
      <c r="AA1107" s="29">
        <v>0</v>
      </c>
      <c r="AB1107" s="29">
        <v>0</v>
      </c>
      <c r="AC1107" s="29">
        <v>63891.19</v>
      </c>
      <c r="AD1107" s="29">
        <v>100000</v>
      </c>
      <c r="AE1107" s="29">
        <v>0</v>
      </c>
      <c r="AF1107" s="32">
        <v>2022</v>
      </c>
      <c r="AG1107" s="32">
        <v>2022</v>
      </c>
      <c r="AH1107" s="33">
        <v>2022</v>
      </c>
      <c r="AT1107" s="18" t="e">
        <f>VLOOKUP(C1107,AW:AX,2,FALSE)</f>
        <v>#N/A</v>
      </c>
      <c r="BZ1107" s="61"/>
    </row>
    <row r="1108" spans="1:78" ht="61.5" x14ac:dyDescent="0.85">
      <c r="A1108" s="18">
        <v>1</v>
      </c>
      <c r="B1108" s="57">
        <f>SUBTOTAL(103,$A$1093:A1108)</f>
        <v>16</v>
      </c>
      <c r="C1108" s="22" t="s">
        <v>583</v>
      </c>
      <c r="D1108" s="29">
        <f t="shared" si="217"/>
        <v>3999114.33</v>
      </c>
      <c r="E1108" s="29">
        <v>0</v>
      </c>
      <c r="F1108" s="29">
        <v>0</v>
      </c>
      <c r="G1108" s="29">
        <v>0</v>
      </c>
      <c r="H1108" s="29">
        <v>0</v>
      </c>
      <c r="I1108" s="29">
        <v>0</v>
      </c>
      <c r="J1108" s="29">
        <v>0</v>
      </c>
      <c r="K1108" s="31">
        <v>0</v>
      </c>
      <c r="L1108" s="29">
        <v>0</v>
      </c>
      <c r="M1108" s="29">
        <v>844</v>
      </c>
      <c r="N1108" s="29">
        <v>3841491.95</v>
      </c>
      <c r="O1108" s="29">
        <v>0</v>
      </c>
      <c r="P1108" s="29">
        <v>0</v>
      </c>
      <c r="Q1108" s="29">
        <v>0</v>
      </c>
      <c r="R1108" s="29">
        <v>0</v>
      </c>
      <c r="S1108" s="29">
        <v>0</v>
      </c>
      <c r="T1108" s="29">
        <v>0</v>
      </c>
      <c r="U1108" s="29">
        <v>0</v>
      </c>
      <c r="V1108" s="29">
        <v>0</v>
      </c>
      <c r="W1108" s="29">
        <v>0</v>
      </c>
      <c r="X1108" s="29">
        <v>0</v>
      </c>
      <c r="Y1108" s="29">
        <v>0</v>
      </c>
      <c r="Z1108" s="29">
        <v>0</v>
      </c>
      <c r="AA1108" s="29">
        <v>0</v>
      </c>
      <c r="AB1108" s="29">
        <v>0</v>
      </c>
      <c r="AC1108" s="29">
        <v>57622.38</v>
      </c>
      <c r="AD1108" s="29">
        <v>100000</v>
      </c>
      <c r="AE1108" s="29">
        <v>0</v>
      </c>
      <c r="AF1108" s="32">
        <v>2022</v>
      </c>
      <c r="AG1108" s="32">
        <v>2022</v>
      </c>
      <c r="AH1108" s="33">
        <v>2022</v>
      </c>
      <c r="AT1108" s="18" t="e">
        <f>VLOOKUP(C1108,AW:AX,2,FALSE)</f>
        <v>#N/A</v>
      </c>
      <c r="BZ1108" s="61"/>
    </row>
    <row r="1109" spans="1:78" ht="61.5" x14ac:dyDescent="0.85">
      <c r="A1109" s="18">
        <v>1</v>
      </c>
      <c r="B1109" s="57">
        <f>SUBTOTAL(103,$A$1093:A1109)</f>
        <v>17</v>
      </c>
      <c r="C1109" s="22" t="s">
        <v>1619</v>
      </c>
      <c r="D1109" s="29">
        <f t="shared" si="217"/>
        <v>4474650</v>
      </c>
      <c r="E1109" s="29">
        <v>0</v>
      </c>
      <c r="F1109" s="29">
        <v>0</v>
      </c>
      <c r="G1109" s="29">
        <v>0</v>
      </c>
      <c r="H1109" s="29">
        <v>0</v>
      </c>
      <c r="I1109" s="29">
        <v>0</v>
      </c>
      <c r="J1109" s="29">
        <v>0</v>
      </c>
      <c r="K1109" s="31">
        <v>0</v>
      </c>
      <c r="L1109" s="29">
        <v>0</v>
      </c>
      <c r="M1109" s="29">
        <v>960</v>
      </c>
      <c r="N1109" s="29">
        <v>4310000</v>
      </c>
      <c r="O1109" s="29">
        <v>0</v>
      </c>
      <c r="P1109" s="29">
        <v>0</v>
      </c>
      <c r="Q1109" s="29">
        <v>0</v>
      </c>
      <c r="R1109" s="29">
        <v>0</v>
      </c>
      <c r="S1109" s="29">
        <v>0</v>
      </c>
      <c r="T1109" s="29">
        <v>0</v>
      </c>
      <c r="U1109" s="29">
        <v>0</v>
      </c>
      <c r="V1109" s="29">
        <v>0</v>
      </c>
      <c r="W1109" s="29">
        <v>0</v>
      </c>
      <c r="X1109" s="29">
        <v>0</v>
      </c>
      <c r="Y1109" s="29">
        <v>0</v>
      </c>
      <c r="Z1109" s="29">
        <v>0</v>
      </c>
      <c r="AA1109" s="29">
        <v>0</v>
      </c>
      <c r="AB1109" s="29">
        <v>0</v>
      </c>
      <c r="AC1109" s="29">
        <v>64650</v>
      </c>
      <c r="AD1109" s="29">
        <v>100000</v>
      </c>
      <c r="AE1109" s="29">
        <v>0</v>
      </c>
      <c r="AF1109" s="32">
        <v>2022</v>
      </c>
      <c r="AG1109" s="32">
        <v>2022</v>
      </c>
      <c r="AH1109" s="33">
        <v>2022</v>
      </c>
      <c r="BZ1109" s="61"/>
    </row>
    <row r="1110" spans="1:78" ht="61.5" x14ac:dyDescent="0.85">
      <c r="A1110" s="18">
        <v>1</v>
      </c>
      <c r="B1110" s="57">
        <f>SUBTOTAL(103,$A$1093:A1110)</f>
        <v>18</v>
      </c>
      <c r="C1110" s="22" t="s">
        <v>1620</v>
      </c>
      <c r="D1110" s="29">
        <f t="shared" si="217"/>
        <v>5713232.8199999994</v>
      </c>
      <c r="E1110" s="29">
        <v>0</v>
      </c>
      <c r="F1110" s="29">
        <v>0</v>
      </c>
      <c r="G1110" s="29">
        <v>0</v>
      </c>
      <c r="H1110" s="29">
        <v>0</v>
      </c>
      <c r="I1110" s="29">
        <v>0</v>
      </c>
      <c r="J1110" s="29">
        <v>0</v>
      </c>
      <c r="K1110" s="31">
        <v>0</v>
      </c>
      <c r="L1110" s="29">
        <v>0</v>
      </c>
      <c r="M1110" s="29">
        <v>1075</v>
      </c>
      <c r="N1110" s="29">
        <v>5530278.6399999997</v>
      </c>
      <c r="O1110" s="29">
        <v>0</v>
      </c>
      <c r="P1110" s="29">
        <v>0</v>
      </c>
      <c r="Q1110" s="29">
        <v>0</v>
      </c>
      <c r="R1110" s="29">
        <v>0</v>
      </c>
      <c r="S1110" s="29">
        <v>0</v>
      </c>
      <c r="T1110" s="29">
        <v>0</v>
      </c>
      <c r="U1110" s="29">
        <v>0</v>
      </c>
      <c r="V1110" s="29">
        <v>0</v>
      </c>
      <c r="W1110" s="29">
        <v>0</v>
      </c>
      <c r="X1110" s="29">
        <v>0</v>
      </c>
      <c r="Y1110" s="29">
        <v>0</v>
      </c>
      <c r="Z1110" s="29">
        <v>0</v>
      </c>
      <c r="AA1110" s="29">
        <v>0</v>
      </c>
      <c r="AB1110" s="29">
        <v>0</v>
      </c>
      <c r="AC1110" s="29">
        <v>82954.179999999993</v>
      </c>
      <c r="AD1110" s="29">
        <v>100000</v>
      </c>
      <c r="AE1110" s="29">
        <v>0</v>
      </c>
      <c r="AF1110" s="32">
        <v>2022</v>
      </c>
      <c r="AG1110" s="32">
        <v>2022</v>
      </c>
      <c r="AH1110" s="33">
        <v>2022</v>
      </c>
      <c r="BZ1110" s="61"/>
    </row>
    <row r="1111" spans="1:78" ht="61.5" x14ac:dyDescent="0.85">
      <c r="A1111" s="18">
        <v>1</v>
      </c>
      <c r="B1111" s="57">
        <f>SUBTOTAL(103,$A$1093:A1111)</f>
        <v>19</v>
      </c>
      <c r="C1111" s="22" t="s">
        <v>584</v>
      </c>
      <c r="D1111" s="29">
        <f t="shared" si="217"/>
        <v>3934609.35</v>
      </c>
      <c r="E1111" s="29">
        <v>0</v>
      </c>
      <c r="F1111" s="29">
        <v>0</v>
      </c>
      <c r="G1111" s="29">
        <v>0</v>
      </c>
      <c r="H1111" s="29">
        <v>0</v>
      </c>
      <c r="I1111" s="29">
        <v>0</v>
      </c>
      <c r="J1111" s="29">
        <v>0</v>
      </c>
      <c r="K1111" s="31">
        <v>0</v>
      </c>
      <c r="L1111" s="29">
        <v>0</v>
      </c>
      <c r="M1111" s="29">
        <v>832</v>
      </c>
      <c r="N1111" s="29">
        <v>3777940.25</v>
      </c>
      <c r="O1111" s="29">
        <v>0</v>
      </c>
      <c r="P1111" s="29">
        <v>0</v>
      </c>
      <c r="Q1111" s="29">
        <v>0</v>
      </c>
      <c r="R1111" s="29">
        <v>0</v>
      </c>
      <c r="S1111" s="29">
        <v>0</v>
      </c>
      <c r="T1111" s="29">
        <v>0</v>
      </c>
      <c r="U1111" s="29">
        <v>0</v>
      </c>
      <c r="V1111" s="29">
        <v>0</v>
      </c>
      <c r="W1111" s="29">
        <v>0</v>
      </c>
      <c r="X1111" s="29">
        <v>0</v>
      </c>
      <c r="Y1111" s="29">
        <v>0</v>
      </c>
      <c r="Z1111" s="29">
        <v>0</v>
      </c>
      <c r="AA1111" s="29">
        <v>0</v>
      </c>
      <c r="AB1111" s="29">
        <v>0</v>
      </c>
      <c r="AC1111" s="29">
        <v>56669.1</v>
      </c>
      <c r="AD1111" s="29">
        <v>100000</v>
      </c>
      <c r="AE1111" s="29">
        <v>0</v>
      </c>
      <c r="AF1111" s="32">
        <v>2022</v>
      </c>
      <c r="AG1111" s="32">
        <v>2022</v>
      </c>
      <c r="AH1111" s="33">
        <v>2022</v>
      </c>
      <c r="AT1111" s="18" t="e">
        <f>VLOOKUP(C1111,AW:AX,2,FALSE)</f>
        <v>#N/A</v>
      </c>
      <c r="BZ1111" s="61"/>
    </row>
    <row r="1112" spans="1:78" ht="61.5" x14ac:dyDescent="0.85">
      <c r="A1112" s="18">
        <v>1</v>
      </c>
      <c r="B1112" s="57">
        <f>SUBTOTAL(103,$A$1093:A1112)</f>
        <v>20</v>
      </c>
      <c r="C1112" s="22" t="s">
        <v>586</v>
      </c>
      <c r="D1112" s="29">
        <f t="shared" si="217"/>
        <v>6697616.7399999993</v>
      </c>
      <c r="E1112" s="29">
        <v>0</v>
      </c>
      <c r="F1112" s="29">
        <v>0</v>
      </c>
      <c r="G1112" s="29">
        <v>0</v>
      </c>
      <c r="H1112" s="29">
        <v>0</v>
      </c>
      <c r="I1112" s="29">
        <v>0</v>
      </c>
      <c r="J1112" s="29">
        <v>0</v>
      </c>
      <c r="K1112" s="31">
        <v>0</v>
      </c>
      <c r="L1112" s="29">
        <v>0</v>
      </c>
      <c r="M1112" s="29">
        <v>1447</v>
      </c>
      <c r="N1112" s="29">
        <v>6498637.1799999997</v>
      </c>
      <c r="O1112" s="29">
        <v>0</v>
      </c>
      <c r="P1112" s="29">
        <v>0</v>
      </c>
      <c r="Q1112" s="29">
        <v>0</v>
      </c>
      <c r="R1112" s="29">
        <v>0</v>
      </c>
      <c r="S1112" s="29">
        <v>0</v>
      </c>
      <c r="T1112" s="29">
        <v>0</v>
      </c>
      <c r="U1112" s="29">
        <v>0</v>
      </c>
      <c r="V1112" s="29">
        <v>0</v>
      </c>
      <c r="W1112" s="29">
        <v>0</v>
      </c>
      <c r="X1112" s="29">
        <v>0</v>
      </c>
      <c r="Y1112" s="29">
        <v>0</v>
      </c>
      <c r="Z1112" s="29">
        <v>0</v>
      </c>
      <c r="AA1112" s="29">
        <v>0</v>
      </c>
      <c r="AB1112" s="29">
        <v>0</v>
      </c>
      <c r="AC1112" s="29">
        <v>98979.56</v>
      </c>
      <c r="AD1112" s="29">
        <v>100000</v>
      </c>
      <c r="AE1112" s="29">
        <v>0</v>
      </c>
      <c r="AF1112" s="32">
        <v>2022</v>
      </c>
      <c r="AG1112" s="32">
        <v>2022</v>
      </c>
      <c r="AH1112" s="33">
        <v>2022</v>
      </c>
      <c r="AT1112" s="18" t="e">
        <f>VLOOKUP(C1112,AW:AX,2,FALSE)</f>
        <v>#N/A</v>
      </c>
      <c r="BZ1112" s="61"/>
    </row>
    <row r="1113" spans="1:78" ht="61.5" x14ac:dyDescent="0.85">
      <c r="A1113" s="18">
        <v>1</v>
      </c>
      <c r="B1113" s="57">
        <f>SUBTOTAL(103,$A$1093:A1113)</f>
        <v>21</v>
      </c>
      <c r="C1113" s="22" t="s">
        <v>587</v>
      </c>
      <c r="D1113" s="29">
        <f t="shared" si="217"/>
        <v>5263885</v>
      </c>
      <c r="E1113" s="29">
        <v>0</v>
      </c>
      <c r="F1113" s="29">
        <v>0</v>
      </c>
      <c r="G1113" s="29">
        <v>0</v>
      </c>
      <c r="H1113" s="29">
        <v>0</v>
      </c>
      <c r="I1113" s="29">
        <v>0</v>
      </c>
      <c r="J1113" s="29">
        <v>0</v>
      </c>
      <c r="K1113" s="31">
        <v>0</v>
      </c>
      <c r="L1113" s="29">
        <v>0</v>
      </c>
      <c r="M1113" s="29">
        <v>0</v>
      </c>
      <c r="N1113" s="29">
        <v>0</v>
      </c>
      <c r="O1113" s="29">
        <v>0</v>
      </c>
      <c r="P1113" s="29">
        <v>0</v>
      </c>
      <c r="Q1113" s="29">
        <v>1536</v>
      </c>
      <c r="R1113" s="29">
        <v>5087571.43</v>
      </c>
      <c r="S1113" s="29">
        <v>0</v>
      </c>
      <c r="T1113" s="29">
        <v>0</v>
      </c>
      <c r="U1113" s="29">
        <v>0</v>
      </c>
      <c r="V1113" s="29">
        <v>0</v>
      </c>
      <c r="W1113" s="29">
        <v>0</v>
      </c>
      <c r="X1113" s="29">
        <v>0</v>
      </c>
      <c r="Y1113" s="29">
        <v>0</v>
      </c>
      <c r="Z1113" s="29">
        <v>0</v>
      </c>
      <c r="AA1113" s="29">
        <v>0</v>
      </c>
      <c r="AB1113" s="29">
        <v>0</v>
      </c>
      <c r="AC1113" s="29">
        <v>76313.570000000007</v>
      </c>
      <c r="AD1113" s="29">
        <v>100000</v>
      </c>
      <c r="AE1113" s="29">
        <v>0</v>
      </c>
      <c r="AF1113" s="32">
        <v>2022</v>
      </c>
      <c r="AG1113" s="32">
        <v>2022</v>
      </c>
      <c r="AH1113" s="33">
        <v>2022</v>
      </c>
      <c r="AT1113" s="18" t="e">
        <f>VLOOKUP(C1113,AW:AX,2,FALSE)</f>
        <v>#N/A</v>
      </c>
      <c r="BZ1113" s="61"/>
    </row>
    <row r="1114" spans="1:78" ht="61.5" x14ac:dyDescent="0.85">
      <c r="A1114" s="18">
        <v>1</v>
      </c>
      <c r="B1114" s="57">
        <f>SUBTOTAL(103,$A$1093:A1114)</f>
        <v>22</v>
      </c>
      <c r="C1114" s="22" t="s">
        <v>1683</v>
      </c>
      <c r="D1114" s="29">
        <f t="shared" si="217"/>
        <v>4443671.0699999994</v>
      </c>
      <c r="E1114" s="29">
        <v>0</v>
      </c>
      <c r="F1114" s="29">
        <v>0</v>
      </c>
      <c r="G1114" s="29">
        <v>0</v>
      </c>
      <c r="H1114" s="29">
        <v>0</v>
      </c>
      <c r="I1114" s="29">
        <v>0</v>
      </c>
      <c r="J1114" s="29">
        <v>0</v>
      </c>
      <c r="K1114" s="31">
        <v>0</v>
      </c>
      <c r="L1114" s="29">
        <v>0</v>
      </c>
      <c r="M1114" s="29">
        <v>939.1</v>
      </c>
      <c r="N1114" s="29">
        <v>4279478.8899999997</v>
      </c>
      <c r="O1114" s="29">
        <v>0</v>
      </c>
      <c r="P1114" s="29">
        <v>0</v>
      </c>
      <c r="Q1114" s="29">
        <v>0</v>
      </c>
      <c r="R1114" s="29">
        <v>0</v>
      </c>
      <c r="S1114" s="29">
        <v>0</v>
      </c>
      <c r="T1114" s="29">
        <v>0</v>
      </c>
      <c r="U1114" s="29">
        <v>0</v>
      </c>
      <c r="V1114" s="29">
        <v>0</v>
      </c>
      <c r="W1114" s="29">
        <v>0</v>
      </c>
      <c r="X1114" s="29">
        <v>0</v>
      </c>
      <c r="Y1114" s="29">
        <v>0</v>
      </c>
      <c r="Z1114" s="29">
        <v>0</v>
      </c>
      <c r="AA1114" s="29">
        <v>0</v>
      </c>
      <c r="AB1114" s="29">
        <v>0</v>
      </c>
      <c r="AC1114" s="29">
        <v>64192.18</v>
      </c>
      <c r="AD1114" s="29">
        <v>100000</v>
      </c>
      <c r="AE1114" s="29">
        <v>0</v>
      </c>
      <c r="AF1114" s="32">
        <v>2022</v>
      </c>
      <c r="AG1114" s="32">
        <v>2022</v>
      </c>
      <c r="AH1114" s="33">
        <v>2022</v>
      </c>
      <c r="AT1114" s="18" t="e">
        <f>VLOOKUP(C1114,AW:AX,2,FALSE)</f>
        <v>#N/A</v>
      </c>
      <c r="BZ1114" s="61"/>
    </row>
    <row r="1115" spans="1:78" ht="61.5" x14ac:dyDescent="0.85">
      <c r="A1115" s="18">
        <v>1</v>
      </c>
      <c r="B1115" s="57">
        <f>SUBTOTAL(103,$A$1093:A1115)</f>
        <v>23</v>
      </c>
      <c r="C1115" s="22" t="s">
        <v>1684</v>
      </c>
      <c r="D1115" s="29">
        <f t="shared" si="217"/>
        <v>3809856.13</v>
      </c>
      <c r="E1115" s="29">
        <v>0</v>
      </c>
      <c r="F1115" s="29">
        <v>0</v>
      </c>
      <c r="G1115" s="29">
        <v>0</v>
      </c>
      <c r="H1115" s="29">
        <v>0</v>
      </c>
      <c r="I1115" s="29">
        <v>0</v>
      </c>
      <c r="J1115" s="29">
        <v>0</v>
      </c>
      <c r="K1115" s="31">
        <v>0</v>
      </c>
      <c r="L1115" s="29">
        <v>0</v>
      </c>
      <c r="M1115" s="29">
        <v>588</v>
      </c>
      <c r="N1115" s="29">
        <v>3655018.83</v>
      </c>
      <c r="O1115" s="29">
        <v>0</v>
      </c>
      <c r="P1115" s="29">
        <v>0</v>
      </c>
      <c r="Q1115" s="29">
        <v>0</v>
      </c>
      <c r="R1115" s="29">
        <v>0</v>
      </c>
      <c r="S1115" s="29">
        <v>0</v>
      </c>
      <c r="T1115" s="29">
        <v>0</v>
      </c>
      <c r="U1115" s="29">
        <v>0</v>
      </c>
      <c r="V1115" s="29">
        <v>0</v>
      </c>
      <c r="W1115" s="29">
        <v>0</v>
      </c>
      <c r="X1115" s="29">
        <v>0</v>
      </c>
      <c r="Y1115" s="29">
        <v>0</v>
      </c>
      <c r="Z1115" s="29">
        <v>0</v>
      </c>
      <c r="AA1115" s="29">
        <v>0</v>
      </c>
      <c r="AB1115" s="29">
        <v>0</v>
      </c>
      <c r="AC1115" s="29">
        <v>54837.3</v>
      </c>
      <c r="AD1115" s="29">
        <v>100000</v>
      </c>
      <c r="AE1115" s="29">
        <v>0</v>
      </c>
      <c r="AF1115" s="32">
        <v>2022</v>
      </c>
      <c r="AG1115" s="32">
        <v>2022</v>
      </c>
      <c r="AH1115" s="33">
        <v>2022</v>
      </c>
      <c r="AT1115" s="18" t="e">
        <f>VLOOKUP(C1115,AW:AX,2,FALSE)</f>
        <v>#N/A</v>
      </c>
      <c r="BZ1115" s="61"/>
    </row>
    <row r="1116" spans="1:78" ht="61.5" x14ac:dyDescent="0.85">
      <c r="A1116" s="18">
        <v>1</v>
      </c>
      <c r="B1116" s="57">
        <f>SUBTOTAL(103,$A$1093:A1116)</f>
        <v>24</v>
      </c>
      <c r="C1116" s="22" t="s">
        <v>588</v>
      </c>
      <c r="D1116" s="29">
        <f t="shared" si="217"/>
        <v>4940291.25</v>
      </c>
      <c r="E1116" s="29">
        <v>0</v>
      </c>
      <c r="F1116" s="29">
        <v>0</v>
      </c>
      <c r="G1116" s="29">
        <v>0</v>
      </c>
      <c r="H1116" s="29">
        <v>0</v>
      </c>
      <c r="I1116" s="29">
        <v>0</v>
      </c>
      <c r="J1116" s="29">
        <v>0</v>
      </c>
      <c r="K1116" s="31">
        <v>0</v>
      </c>
      <c r="L1116" s="29">
        <v>0</v>
      </c>
      <c r="M1116" s="29">
        <v>0</v>
      </c>
      <c r="N1116" s="29">
        <v>0</v>
      </c>
      <c r="O1116" s="29">
        <v>0</v>
      </c>
      <c r="P1116" s="29">
        <v>0</v>
      </c>
      <c r="Q1116" s="29">
        <v>1425</v>
      </c>
      <c r="R1116" s="29">
        <v>4749055</v>
      </c>
      <c r="S1116" s="29">
        <v>0</v>
      </c>
      <c r="T1116" s="29">
        <v>0</v>
      </c>
      <c r="U1116" s="29">
        <v>0</v>
      </c>
      <c r="V1116" s="29">
        <v>0</v>
      </c>
      <c r="W1116" s="29">
        <v>0</v>
      </c>
      <c r="X1116" s="29">
        <v>0</v>
      </c>
      <c r="Y1116" s="29">
        <v>0</v>
      </c>
      <c r="Z1116" s="29">
        <v>0</v>
      </c>
      <c r="AA1116" s="29">
        <v>0</v>
      </c>
      <c r="AB1116" s="29">
        <v>0</v>
      </c>
      <c r="AC1116" s="29">
        <v>71236</v>
      </c>
      <c r="AD1116" s="29">
        <v>120000.25</v>
      </c>
      <c r="AE1116" s="29">
        <v>0</v>
      </c>
      <c r="AF1116" s="32">
        <v>2022</v>
      </c>
      <c r="AG1116" s="32">
        <v>2022</v>
      </c>
      <c r="AH1116" s="33">
        <v>2022</v>
      </c>
      <c r="AT1116" s="18" t="e">
        <f>VLOOKUP(C1116,AW:AX,2,FALSE)</f>
        <v>#N/A</v>
      </c>
      <c r="BZ1116" s="61"/>
    </row>
    <row r="1117" spans="1:78" ht="61.5" x14ac:dyDescent="0.85">
      <c r="A1117" s="18">
        <v>1</v>
      </c>
      <c r="B1117" s="57">
        <f>SUBTOTAL(103,$A$1093:A1117)</f>
        <v>25</v>
      </c>
      <c r="C1117" s="22" t="s">
        <v>590</v>
      </c>
      <c r="D1117" s="29">
        <f t="shared" si="217"/>
        <v>2089100.53</v>
      </c>
      <c r="E1117" s="29">
        <v>0</v>
      </c>
      <c r="F1117" s="29">
        <v>0</v>
      </c>
      <c r="G1117" s="29">
        <v>0</v>
      </c>
      <c r="H1117" s="29">
        <v>0</v>
      </c>
      <c r="I1117" s="29">
        <v>0</v>
      </c>
      <c r="J1117" s="29">
        <v>0</v>
      </c>
      <c r="K1117" s="31">
        <v>0</v>
      </c>
      <c r="L1117" s="29">
        <v>0</v>
      </c>
      <c r="M1117" s="29">
        <v>0</v>
      </c>
      <c r="N1117" s="29">
        <v>0</v>
      </c>
      <c r="O1117" s="29">
        <v>0</v>
      </c>
      <c r="P1117" s="29">
        <v>0</v>
      </c>
      <c r="Q1117" s="29">
        <v>400</v>
      </c>
      <c r="R1117" s="29">
        <v>1959704.96</v>
      </c>
      <c r="S1117" s="29">
        <v>0</v>
      </c>
      <c r="T1117" s="29">
        <v>0</v>
      </c>
      <c r="U1117" s="29">
        <v>0</v>
      </c>
      <c r="V1117" s="29">
        <v>0</v>
      </c>
      <c r="W1117" s="29">
        <v>0</v>
      </c>
      <c r="X1117" s="29">
        <v>0</v>
      </c>
      <c r="Y1117" s="29">
        <v>0</v>
      </c>
      <c r="Z1117" s="29">
        <v>0</v>
      </c>
      <c r="AA1117" s="29">
        <v>0</v>
      </c>
      <c r="AB1117" s="29">
        <v>0</v>
      </c>
      <c r="AC1117" s="29">
        <v>29395.57</v>
      </c>
      <c r="AD1117" s="29">
        <v>100000</v>
      </c>
      <c r="AE1117" s="29">
        <v>0</v>
      </c>
      <c r="AF1117" s="32">
        <v>2022</v>
      </c>
      <c r="AG1117" s="32">
        <v>2022</v>
      </c>
      <c r="AH1117" s="33">
        <v>2022</v>
      </c>
      <c r="AT1117" s="18" t="e">
        <f>VLOOKUP(C1117,AW:AX,2,FALSE)</f>
        <v>#N/A</v>
      </c>
      <c r="BZ1117" s="61"/>
    </row>
    <row r="1118" spans="1:78" ht="61.5" x14ac:dyDescent="0.85">
      <c r="A1118" s="18">
        <v>1</v>
      </c>
      <c r="B1118" s="57">
        <f>SUBTOTAL(103,$A$1093:A1118)</f>
        <v>26</v>
      </c>
      <c r="C1118" s="22" t="s">
        <v>591</v>
      </c>
      <c r="D1118" s="29">
        <f t="shared" si="217"/>
        <v>1733943.5899999999</v>
      </c>
      <c r="E1118" s="29">
        <v>0</v>
      </c>
      <c r="F1118" s="29">
        <v>0</v>
      </c>
      <c r="G1118" s="29">
        <v>0</v>
      </c>
      <c r="H1118" s="29">
        <v>0</v>
      </c>
      <c r="I1118" s="29">
        <v>0</v>
      </c>
      <c r="J1118" s="29">
        <v>0</v>
      </c>
      <c r="K1118" s="31">
        <v>0</v>
      </c>
      <c r="L1118" s="29">
        <v>0</v>
      </c>
      <c r="M1118" s="29">
        <v>364.8</v>
      </c>
      <c r="N1118" s="29">
        <v>1609796.64</v>
      </c>
      <c r="O1118" s="29">
        <v>0</v>
      </c>
      <c r="P1118" s="29">
        <v>0</v>
      </c>
      <c r="Q1118" s="29">
        <v>0</v>
      </c>
      <c r="R1118" s="29">
        <v>0</v>
      </c>
      <c r="S1118" s="29">
        <v>0</v>
      </c>
      <c r="T1118" s="29">
        <v>0</v>
      </c>
      <c r="U1118" s="29">
        <v>0</v>
      </c>
      <c r="V1118" s="29">
        <v>0</v>
      </c>
      <c r="W1118" s="29">
        <v>0</v>
      </c>
      <c r="X1118" s="29">
        <v>0</v>
      </c>
      <c r="Y1118" s="29">
        <v>0</v>
      </c>
      <c r="Z1118" s="29">
        <v>0</v>
      </c>
      <c r="AA1118" s="29">
        <v>0</v>
      </c>
      <c r="AB1118" s="29">
        <v>0</v>
      </c>
      <c r="AC1118" s="29">
        <v>24146.95</v>
      </c>
      <c r="AD1118" s="29">
        <v>100000</v>
      </c>
      <c r="AE1118" s="29">
        <v>0</v>
      </c>
      <c r="AF1118" s="32">
        <v>2022</v>
      </c>
      <c r="AG1118" s="32">
        <v>2022</v>
      </c>
      <c r="AH1118" s="33">
        <v>2022</v>
      </c>
      <c r="AT1118" s="18" t="e">
        <f>VLOOKUP(C1118,AW:AX,2,FALSE)</f>
        <v>#N/A</v>
      </c>
      <c r="BZ1118" s="61"/>
    </row>
    <row r="1119" spans="1:78" ht="61.5" x14ac:dyDescent="0.85">
      <c r="A1119" s="18">
        <v>1</v>
      </c>
      <c r="B1119" s="57">
        <f>SUBTOTAL(103,$A$1093:A1119)</f>
        <v>27</v>
      </c>
      <c r="C1119" s="22" t="s">
        <v>592</v>
      </c>
      <c r="D1119" s="29">
        <f t="shared" si="217"/>
        <v>4372967.33</v>
      </c>
      <c r="E1119" s="29">
        <v>0</v>
      </c>
      <c r="F1119" s="29">
        <v>0</v>
      </c>
      <c r="G1119" s="29">
        <v>0</v>
      </c>
      <c r="H1119" s="29">
        <v>0</v>
      </c>
      <c r="I1119" s="29">
        <v>0</v>
      </c>
      <c r="J1119" s="29">
        <v>0</v>
      </c>
      <c r="K1119" s="31">
        <v>0</v>
      </c>
      <c r="L1119" s="29">
        <v>0</v>
      </c>
      <c r="M1119" s="29">
        <v>960</v>
      </c>
      <c r="N1119" s="29">
        <v>4209820.03</v>
      </c>
      <c r="O1119" s="29">
        <v>0</v>
      </c>
      <c r="P1119" s="29">
        <v>0</v>
      </c>
      <c r="Q1119" s="29">
        <v>0</v>
      </c>
      <c r="R1119" s="29">
        <v>0</v>
      </c>
      <c r="S1119" s="29">
        <v>0</v>
      </c>
      <c r="T1119" s="29">
        <v>0</v>
      </c>
      <c r="U1119" s="29">
        <v>0</v>
      </c>
      <c r="V1119" s="29">
        <v>0</v>
      </c>
      <c r="W1119" s="29">
        <v>0</v>
      </c>
      <c r="X1119" s="29">
        <v>0</v>
      </c>
      <c r="Y1119" s="29">
        <v>0</v>
      </c>
      <c r="Z1119" s="29">
        <v>0</v>
      </c>
      <c r="AA1119" s="29">
        <v>0</v>
      </c>
      <c r="AB1119" s="29">
        <v>0</v>
      </c>
      <c r="AC1119" s="29">
        <v>63147.3</v>
      </c>
      <c r="AD1119" s="29">
        <v>100000</v>
      </c>
      <c r="AE1119" s="29">
        <v>0</v>
      </c>
      <c r="AF1119" s="32">
        <v>2022</v>
      </c>
      <c r="AG1119" s="32">
        <v>2022</v>
      </c>
      <c r="AH1119" s="33">
        <v>2022</v>
      </c>
      <c r="AT1119" s="18" t="e">
        <f>VLOOKUP(C1119,AW:AX,2,FALSE)</f>
        <v>#N/A</v>
      </c>
      <c r="BZ1119" s="61"/>
    </row>
    <row r="1120" spans="1:78" ht="61.5" x14ac:dyDescent="0.85">
      <c r="A1120" s="18">
        <v>1</v>
      </c>
      <c r="B1120" s="57">
        <f>SUBTOTAL(103,$A$1093:A1120)</f>
        <v>28</v>
      </c>
      <c r="C1120" s="22" t="s">
        <v>593</v>
      </c>
      <c r="D1120" s="29">
        <f t="shared" si="217"/>
        <v>3164601.1799999997</v>
      </c>
      <c r="E1120" s="29">
        <v>0</v>
      </c>
      <c r="F1120" s="29">
        <v>0</v>
      </c>
      <c r="G1120" s="29">
        <v>0</v>
      </c>
      <c r="H1120" s="29">
        <v>0</v>
      </c>
      <c r="I1120" s="29">
        <v>0</v>
      </c>
      <c r="J1120" s="29">
        <v>0</v>
      </c>
      <c r="K1120" s="31">
        <v>0</v>
      </c>
      <c r="L1120" s="29">
        <v>0</v>
      </c>
      <c r="M1120" s="29">
        <v>0</v>
      </c>
      <c r="N1120" s="29">
        <v>0</v>
      </c>
      <c r="O1120" s="29">
        <v>0</v>
      </c>
      <c r="P1120" s="29">
        <v>0</v>
      </c>
      <c r="Q1120" s="29">
        <v>1670</v>
      </c>
      <c r="R1120" s="29">
        <v>3019311.51</v>
      </c>
      <c r="S1120" s="29">
        <v>0</v>
      </c>
      <c r="T1120" s="29">
        <v>0</v>
      </c>
      <c r="U1120" s="29">
        <v>0</v>
      </c>
      <c r="V1120" s="29">
        <v>0</v>
      </c>
      <c r="W1120" s="29">
        <v>0</v>
      </c>
      <c r="X1120" s="29">
        <v>0</v>
      </c>
      <c r="Y1120" s="29">
        <v>0</v>
      </c>
      <c r="Z1120" s="29">
        <v>0</v>
      </c>
      <c r="AA1120" s="29">
        <v>0</v>
      </c>
      <c r="AB1120" s="29">
        <v>0</v>
      </c>
      <c r="AC1120" s="29">
        <v>45289.67</v>
      </c>
      <c r="AD1120" s="29">
        <v>100000</v>
      </c>
      <c r="AE1120" s="29">
        <v>0</v>
      </c>
      <c r="AF1120" s="32">
        <v>2022</v>
      </c>
      <c r="AG1120" s="32">
        <v>2022</v>
      </c>
      <c r="AH1120" s="33">
        <v>2022</v>
      </c>
      <c r="AT1120" s="18" t="e">
        <f>VLOOKUP(C1120,AW:AX,2,FALSE)</f>
        <v>#N/A</v>
      </c>
      <c r="BZ1120" s="61"/>
    </row>
    <row r="1121" spans="1:82" ht="61.5" x14ac:dyDescent="0.85">
      <c r="A1121" s="18">
        <v>1</v>
      </c>
      <c r="B1121" s="57">
        <f>SUBTOTAL(103,$A$1093:A1121)</f>
        <v>29</v>
      </c>
      <c r="C1121" s="22" t="s">
        <v>594</v>
      </c>
      <c r="D1121" s="29">
        <f t="shared" si="217"/>
        <v>1146986.94</v>
      </c>
      <c r="E1121" s="29">
        <v>0</v>
      </c>
      <c r="F1121" s="29">
        <v>0</v>
      </c>
      <c r="G1121" s="29">
        <v>0</v>
      </c>
      <c r="H1121" s="29">
        <v>0</v>
      </c>
      <c r="I1121" s="29">
        <v>0</v>
      </c>
      <c r="J1121" s="29">
        <v>0</v>
      </c>
      <c r="K1121" s="31">
        <v>0</v>
      </c>
      <c r="L1121" s="29">
        <v>0</v>
      </c>
      <c r="M1121" s="29">
        <v>235</v>
      </c>
      <c r="N1121" s="29">
        <v>1031514.23</v>
      </c>
      <c r="O1121" s="29">
        <v>0</v>
      </c>
      <c r="P1121" s="29">
        <v>0</v>
      </c>
      <c r="Q1121" s="29">
        <v>0</v>
      </c>
      <c r="R1121" s="29">
        <v>0</v>
      </c>
      <c r="S1121" s="29">
        <v>0</v>
      </c>
      <c r="T1121" s="29">
        <v>0</v>
      </c>
      <c r="U1121" s="29">
        <v>0</v>
      </c>
      <c r="V1121" s="29">
        <v>0</v>
      </c>
      <c r="W1121" s="29">
        <v>0</v>
      </c>
      <c r="X1121" s="29">
        <v>0</v>
      </c>
      <c r="Y1121" s="29">
        <v>0</v>
      </c>
      <c r="Z1121" s="29">
        <v>0</v>
      </c>
      <c r="AA1121" s="29">
        <v>0</v>
      </c>
      <c r="AB1121" s="29">
        <v>0</v>
      </c>
      <c r="AC1121" s="29">
        <v>15472.71</v>
      </c>
      <c r="AD1121" s="29">
        <v>100000</v>
      </c>
      <c r="AE1121" s="29">
        <v>0</v>
      </c>
      <c r="AF1121" s="32">
        <v>2022</v>
      </c>
      <c r="AG1121" s="32">
        <v>2022</v>
      </c>
      <c r="AH1121" s="33">
        <v>2022</v>
      </c>
      <c r="AT1121" s="18" t="e">
        <f>VLOOKUP(C1121,AW:AX,2,FALSE)</f>
        <v>#N/A</v>
      </c>
      <c r="BZ1121" s="61"/>
    </row>
    <row r="1122" spans="1:82" ht="61.5" x14ac:dyDescent="0.85">
      <c r="A1122" s="18">
        <v>1</v>
      </c>
      <c r="B1122" s="57">
        <f>SUBTOTAL(103,$A$1093:A1122)</f>
        <v>30</v>
      </c>
      <c r="C1122" s="22" t="s">
        <v>595</v>
      </c>
      <c r="D1122" s="29">
        <f t="shared" si="217"/>
        <v>3616149.44</v>
      </c>
      <c r="E1122" s="29">
        <v>0</v>
      </c>
      <c r="F1122" s="29">
        <v>0</v>
      </c>
      <c r="G1122" s="29">
        <v>0</v>
      </c>
      <c r="H1122" s="29">
        <v>0</v>
      </c>
      <c r="I1122" s="29">
        <v>0</v>
      </c>
      <c r="J1122" s="29">
        <v>0</v>
      </c>
      <c r="K1122" s="31">
        <v>0</v>
      </c>
      <c r="L1122" s="29">
        <v>0</v>
      </c>
      <c r="M1122" s="29">
        <v>765</v>
      </c>
      <c r="N1122" s="29">
        <v>3464186.64</v>
      </c>
      <c r="O1122" s="29">
        <v>0</v>
      </c>
      <c r="P1122" s="29">
        <v>0</v>
      </c>
      <c r="Q1122" s="29">
        <v>0</v>
      </c>
      <c r="R1122" s="29">
        <v>0</v>
      </c>
      <c r="S1122" s="29">
        <v>0</v>
      </c>
      <c r="T1122" s="29">
        <v>0</v>
      </c>
      <c r="U1122" s="29">
        <v>0</v>
      </c>
      <c r="V1122" s="29">
        <v>0</v>
      </c>
      <c r="W1122" s="29">
        <v>0</v>
      </c>
      <c r="X1122" s="29">
        <v>0</v>
      </c>
      <c r="Y1122" s="29">
        <v>0</v>
      </c>
      <c r="Z1122" s="29">
        <v>0</v>
      </c>
      <c r="AA1122" s="29">
        <v>0</v>
      </c>
      <c r="AB1122" s="29">
        <v>0</v>
      </c>
      <c r="AC1122" s="29">
        <v>51962.8</v>
      </c>
      <c r="AD1122" s="29">
        <v>100000</v>
      </c>
      <c r="AE1122" s="29">
        <v>0</v>
      </c>
      <c r="AF1122" s="32">
        <v>2022</v>
      </c>
      <c r="AG1122" s="32">
        <v>2022</v>
      </c>
      <c r="AH1122" s="33">
        <v>2022</v>
      </c>
      <c r="AT1122" s="18" t="e">
        <f>VLOOKUP(C1122,AW:AX,2,FALSE)</f>
        <v>#N/A</v>
      </c>
      <c r="BZ1122" s="61"/>
    </row>
    <row r="1123" spans="1:82" ht="61.5" x14ac:dyDescent="0.85">
      <c r="A1123" s="18">
        <v>1</v>
      </c>
      <c r="B1123" s="57">
        <f>SUBTOTAL(103,$A$1093:A1123)</f>
        <v>31</v>
      </c>
      <c r="C1123" s="22" t="s">
        <v>1621</v>
      </c>
      <c r="D1123" s="29">
        <f t="shared" si="217"/>
        <v>5986250</v>
      </c>
      <c r="E1123" s="29">
        <v>0</v>
      </c>
      <c r="F1123" s="29">
        <v>0</v>
      </c>
      <c r="G1123" s="29">
        <v>0</v>
      </c>
      <c r="H1123" s="29">
        <v>0</v>
      </c>
      <c r="I1123" s="29">
        <v>0</v>
      </c>
      <c r="J1123" s="29">
        <v>0</v>
      </c>
      <c r="K1123" s="31">
        <v>0</v>
      </c>
      <c r="L1123" s="29">
        <v>0</v>
      </c>
      <c r="M1123" s="29">
        <v>1196</v>
      </c>
      <c r="N1123" s="29">
        <v>5750000</v>
      </c>
      <c r="O1123" s="29">
        <v>0</v>
      </c>
      <c r="P1123" s="29">
        <v>0</v>
      </c>
      <c r="Q1123" s="29">
        <v>0</v>
      </c>
      <c r="R1123" s="29">
        <v>0</v>
      </c>
      <c r="S1123" s="29">
        <v>0</v>
      </c>
      <c r="T1123" s="29">
        <v>0</v>
      </c>
      <c r="U1123" s="29">
        <v>0</v>
      </c>
      <c r="V1123" s="29">
        <v>0</v>
      </c>
      <c r="W1123" s="29">
        <v>0</v>
      </c>
      <c r="X1123" s="29">
        <v>0</v>
      </c>
      <c r="Y1123" s="29">
        <v>0</v>
      </c>
      <c r="Z1123" s="29">
        <v>0</v>
      </c>
      <c r="AA1123" s="29">
        <v>0</v>
      </c>
      <c r="AB1123" s="29">
        <v>0</v>
      </c>
      <c r="AC1123" s="29">
        <v>86250</v>
      </c>
      <c r="AD1123" s="29">
        <v>150000</v>
      </c>
      <c r="AE1123" s="29">
        <v>0</v>
      </c>
      <c r="AF1123" s="32">
        <v>2022</v>
      </c>
      <c r="AG1123" s="32">
        <v>2022</v>
      </c>
      <c r="AH1123" s="33">
        <v>2022</v>
      </c>
      <c r="BZ1123" s="61"/>
    </row>
    <row r="1124" spans="1:82" ht="61.5" x14ac:dyDescent="0.85">
      <c r="A1124" s="18">
        <v>1</v>
      </c>
      <c r="B1124" s="57">
        <f>SUBTOTAL(103,$A$1093:A1124)</f>
        <v>32</v>
      </c>
      <c r="C1124" s="22" t="s">
        <v>1605</v>
      </c>
      <c r="D1124" s="29">
        <f t="shared" si="217"/>
        <v>7471186.2199999997</v>
      </c>
      <c r="E1124" s="29">
        <v>0</v>
      </c>
      <c r="F1124" s="29">
        <v>0</v>
      </c>
      <c r="G1124" s="29">
        <v>0</v>
      </c>
      <c r="H1124" s="29">
        <v>0</v>
      </c>
      <c r="I1124" s="29">
        <v>0</v>
      </c>
      <c r="J1124" s="29">
        <v>0</v>
      </c>
      <c r="K1124" s="31">
        <v>0</v>
      </c>
      <c r="L1124" s="29">
        <v>0</v>
      </c>
      <c r="M1124" s="29">
        <v>1626.8</v>
      </c>
      <c r="N1124" s="29">
        <v>7262252.4299999997</v>
      </c>
      <c r="O1124" s="29">
        <v>0</v>
      </c>
      <c r="P1124" s="29">
        <v>0</v>
      </c>
      <c r="Q1124" s="29">
        <v>0</v>
      </c>
      <c r="R1124" s="29">
        <v>0</v>
      </c>
      <c r="S1124" s="29">
        <v>0</v>
      </c>
      <c r="T1124" s="29">
        <v>0</v>
      </c>
      <c r="U1124" s="29">
        <v>0</v>
      </c>
      <c r="V1124" s="29">
        <v>0</v>
      </c>
      <c r="W1124" s="29">
        <v>0</v>
      </c>
      <c r="X1124" s="29">
        <v>0</v>
      </c>
      <c r="Y1124" s="29">
        <v>0</v>
      </c>
      <c r="Z1124" s="29">
        <v>0</v>
      </c>
      <c r="AA1124" s="29">
        <v>0</v>
      </c>
      <c r="AB1124" s="29">
        <v>0</v>
      </c>
      <c r="AC1124" s="29">
        <v>108933.79</v>
      </c>
      <c r="AD1124" s="29">
        <v>100000</v>
      </c>
      <c r="AE1124" s="29">
        <v>0</v>
      </c>
      <c r="AF1124" s="32">
        <v>2022</v>
      </c>
      <c r="AG1124" s="32">
        <v>2022</v>
      </c>
      <c r="AH1124" s="33">
        <v>2022</v>
      </c>
      <c r="BZ1124" s="61"/>
    </row>
    <row r="1125" spans="1:82" ht="61.5" x14ac:dyDescent="0.85">
      <c r="A1125" s="18">
        <v>1</v>
      </c>
      <c r="B1125" s="57">
        <f>SUBTOTAL(103,$A$1093:A1125)</f>
        <v>33</v>
      </c>
      <c r="C1125" s="22" t="s">
        <v>597</v>
      </c>
      <c r="D1125" s="29">
        <f t="shared" si="217"/>
        <v>3650462.6100000003</v>
      </c>
      <c r="E1125" s="29">
        <v>0</v>
      </c>
      <c r="F1125" s="29">
        <v>0</v>
      </c>
      <c r="G1125" s="29">
        <v>0</v>
      </c>
      <c r="H1125" s="29">
        <v>0</v>
      </c>
      <c r="I1125" s="29">
        <v>0</v>
      </c>
      <c r="J1125" s="29">
        <v>0</v>
      </c>
      <c r="K1125" s="31">
        <v>0</v>
      </c>
      <c r="L1125" s="29">
        <v>0</v>
      </c>
      <c r="M1125" s="29">
        <v>807.01</v>
      </c>
      <c r="N1125" s="29">
        <v>3497992.72</v>
      </c>
      <c r="O1125" s="29">
        <v>0</v>
      </c>
      <c r="P1125" s="29">
        <v>0</v>
      </c>
      <c r="Q1125" s="29">
        <v>0</v>
      </c>
      <c r="R1125" s="29">
        <v>0</v>
      </c>
      <c r="S1125" s="29">
        <v>0</v>
      </c>
      <c r="T1125" s="29">
        <v>0</v>
      </c>
      <c r="U1125" s="29">
        <v>0</v>
      </c>
      <c r="V1125" s="29">
        <v>0</v>
      </c>
      <c r="W1125" s="29">
        <v>0</v>
      </c>
      <c r="X1125" s="29">
        <v>0</v>
      </c>
      <c r="Y1125" s="29">
        <v>0</v>
      </c>
      <c r="Z1125" s="29">
        <v>0</v>
      </c>
      <c r="AA1125" s="29">
        <v>0</v>
      </c>
      <c r="AB1125" s="29">
        <v>0</v>
      </c>
      <c r="AC1125" s="29">
        <v>52469.89</v>
      </c>
      <c r="AD1125" s="29">
        <v>100000</v>
      </c>
      <c r="AE1125" s="29">
        <v>0</v>
      </c>
      <c r="AF1125" s="32">
        <v>2022</v>
      </c>
      <c r="AG1125" s="32">
        <v>2022</v>
      </c>
      <c r="AH1125" s="33">
        <v>2022</v>
      </c>
      <c r="AT1125" s="18" t="e">
        <f>VLOOKUP(C1125,AW:AX,2,FALSE)</f>
        <v>#N/A</v>
      </c>
      <c r="BZ1125" s="61"/>
    </row>
    <row r="1126" spans="1:82" ht="61.5" x14ac:dyDescent="0.85">
      <c r="A1126" s="18">
        <v>1</v>
      </c>
      <c r="B1126" s="57">
        <f>SUBTOTAL(103,$A$1093:A1126)</f>
        <v>34</v>
      </c>
      <c r="C1126" s="22" t="s">
        <v>598</v>
      </c>
      <c r="D1126" s="29">
        <f t="shared" si="217"/>
        <v>4560834.87</v>
      </c>
      <c r="E1126" s="29">
        <v>0</v>
      </c>
      <c r="F1126" s="29">
        <v>0</v>
      </c>
      <c r="G1126" s="29">
        <v>0</v>
      </c>
      <c r="H1126" s="29">
        <v>0</v>
      </c>
      <c r="I1126" s="29">
        <v>0</v>
      </c>
      <c r="J1126" s="29">
        <v>0</v>
      </c>
      <c r="K1126" s="31">
        <v>0</v>
      </c>
      <c r="L1126" s="29">
        <v>0</v>
      </c>
      <c r="M1126" s="29">
        <v>963.75</v>
      </c>
      <c r="N1126" s="29">
        <v>4394911.2</v>
      </c>
      <c r="O1126" s="29">
        <v>0</v>
      </c>
      <c r="P1126" s="29">
        <v>0</v>
      </c>
      <c r="Q1126" s="29">
        <v>0</v>
      </c>
      <c r="R1126" s="29">
        <v>0</v>
      </c>
      <c r="S1126" s="29">
        <v>0</v>
      </c>
      <c r="T1126" s="29">
        <v>0</v>
      </c>
      <c r="U1126" s="29">
        <v>0</v>
      </c>
      <c r="V1126" s="29">
        <v>0</v>
      </c>
      <c r="W1126" s="29">
        <v>0</v>
      </c>
      <c r="X1126" s="29">
        <v>0</v>
      </c>
      <c r="Y1126" s="29">
        <v>0</v>
      </c>
      <c r="Z1126" s="29">
        <v>0</v>
      </c>
      <c r="AA1126" s="29">
        <v>0</v>
      </c>
      <c r="AB1126" s="29">
        <v>0</v>
      </c>
      <c r="AC1126" s="29">
        <v>65923.67</v>
      </c>
      <c r="AD1126" s="29">
        <v>100000</v>
      </c>
      <c r="AE1126" s="29">
        <v>0</v>
      </c>
      <c r="AF1126" s="32">
        <v>2022</v>
      </c>
      <c r="AG1126" s="32">
        <v>2022</v>
      </c>
      <c r="AH1126" s="33">
        <v>2022</v>
      </c>
      <c r="AT1126" s="18" t="e">
        <f>VLOOKUP(C1126,AW:AX,2,FALSE)</f>
        <v>#N/A</v>
      </c>
      <c r="BZ1126" s="61"/>
    </row>
    <row r="1127" spans="1:82" ht="61.5" x14ac:dyDescent="0.85">
      <c r="A1127" s="18">
        <v>1</v>
      </c>
      <c r="B1127" s="57">
        <f>SUBTOTAL(103,$A$1093:A1127)</f>
        <v>35</v>
      </c>
      <c r="C1127" s="22" t="s">
        <v>1057</v>
      </c>
      <c r="D1127" s="29">
        <f t="shared" si="217"/>
        <v>6406735.0199999996</v>
      </c>
      <c r="E1127" s="29">
        <v>0</v>
      </c>
      <c r="F1127" s="29">
        <v>0</v>
      </c>
      <c r="G1127" s="29">
        <v>0</v>
      </c>
      <c r="H1127" s="29">
        <v>0</v>
      </c>
      <c r="I1127" s="29">
        <v>0</v>
      </c>
      <c r="J1127" s="29">
        <v>0</v>
      </c>
      <c r="K1127" s="31">
        <v>3</v>
      </c>
      <c r="L1127" s="29">
        <v>6300000</v>
      </c>
      <c r="M1127" s="29">
        <v>0</v>
      </c>
      <c r="N1127" s="29">
        <v>0</v>
      </c>
      <c r="O1127" s="29">
        <v>0</v>
      </c>
      <c r="P1127" s="29">
        <v>0</v>
      </c>
      <c r="Q1127" s="29">
        <v>0</v>
      </c>
      <c r="R1127" s="29">
        <v>0</v>
      </c>
      <c r="S1127" s="29">
        <v>0</v>
      </c>
      <c r="T1127" s="29">
        <v>0</v>
      </c>
      <c r="U1127" s="29">
        <v>0</v>
      </c>
      <c r="V1127" s="29">
        <v>0</v>
      </c>
      <c r="W1127" s="29">
        <v>0</v>
      </c>
      <c r="X1127" s="29">
        <v>0</v>
      </c>
      <c r="Y1127" s="29">
        <v>0</v>
      </c>
      <c r="Z1127" s="29">
        <v>0</v>
      </c>
      <c r="AA1127" s="29">
        <v>0</v>
      </c>
      <c r="AB1127" s="29">
        <v>0</v>
      </c>
      <c r="AC1127" s="29">
        <v>0</v>
      </c>
      <c r="AD1127" s="29">
        <v>106735.02</v>
      </c>
      <c r="AE1127" s="29">
        <v>0</v>
      </c>
      <c r="AF1127" s="32">
        <v>2022</v>
      </c>
      <c r="AG1127" s="32">
        <v>2022</v>
      </c>
      <c r="AH1127" s="33" t="s">
        <v>268</v>
      </c>
      <c r="AT1127" s="18" t="e">
        <f>VLOOKUP(C1127,AW:AX,2,FALSE)</f>
        <v>#N/A</v>
      </c>
      <c r="BZ1127" s="61"/>
    </row>
    <row r="1128" spans="1:82" ht="61.5" x14ac:dyDescent="0.85">
      <c r="A1128" s="18">
        <v>1</v>
      </c>
      <c r="B1128" s="57">
        <f>SUBTOTAL(103,$A$1093:A1128)</f>
        <v>36</v>
      </c>
      <c r="C1128" s="22" t="s">
        <v>1672</v>
      </c>
      <c r="D1128" s="29">
        <f t="shared" si="217"/>
        <v>5164136.5</v>
      </c>
      <c r="E1128" s="29">
        <v>0</v>
      </c>
      <c r="F1128" s="29">
        <v>0</v>
      </c>
      <c r="G1128" s="29">
        <v>0</v>
      </c>
      <c r="H1128" s="29">
        <v>0</v>
      </c>
      <c r="I1128" s="29">
        <v>0</v>
      </c>
      <c r="J1128" s="29">
        <v>0</v>
      </c>
      <c r="K1128" s="31">
        <v>0</v>
      </c>
      <c r="L1128" s="29">
        <v>0</v>
      </c>
      <c r="M1128" s="29">
        <v>1234</v>
      </c>
      <c r="N1128" s="29">
        <v>4987819.21</v>
      </c>
      <c r="O1128" s="29">
        <v>0</v>
      </c>
      <c r="P1128" s="29">
        <v>0</v>
      </c>
      <c r="Q1128" s="29">
        <v>0</v>
      </c>
      <c r="R1128" s="29">
        <v>0</v>
      </c>
      <c r="S1128" s="29">
        <v>0</v>
      </c>
      <c r="T1128" s="29">
        <v>0</v>
      </c>
      <c r="U1128" s="29">
        <v>0</v>
      </c>
      <c r="V1128" s="29">
        <v>0</v>
      </c>
      <c r="W1128" s="29">
        <v>0</v>
      </c>
      <c r="X1128" s="29">
        <v>0</v>
      </c>
      <c r="Y1128" s="29">
        <v>0</v>
      </c>
      <c r="Z1128" s="29">
        <v>0</v>
      </c>
      <c r="AA1128" s="29">
        <v>0</v>
      </c>
      <c r="AB1128" s="29">
        <v>0</v>
      </c>
      <c r="AC1128" s="29">
        <v>74817.289999999994</v>
      </c>
      <c r="AD1128" s="29">
        <v>101500</v>
      </c>
      <c r="AE1128" s="29">
        <v>0</v>
      </c>
      <c r="AF1128" s="32">
        <v>2022</v>
      </c>
      <c r="AG1128" s="32">
        <v>2022</v>
      </c>
      <c r="AH1128" s="33">
        <v>2022</v>
      </c>
      <c r="AT1128" s="18" t="e">
        <f>VLOOKUP(C1128,AW:AX,2,FALSE)</f>
        <v>#N/A</v>
      </c>
      <c r="BZ1128" s="61"/>
    </row>
    <row r="1129" spans="1:82" ht="61.5" x14ac:dyDescent="0.85">
      <c r="A1129" s="18">
        <v>1</v>
      </c>
      <c r="B1129" s="57">
        <f>SUBTOTAL(103,$A$1093:A1129)</f>
        <v>37</v>
      </c>
      <c r="C1129" s="22" t="s">
        <v>539</v>
      </c>
      <c r="D1129" s="29">
        <f t="shared" si="217"/>
        <v>3229425.65</v>
      </c>
      <c r="E1129" s="29">
        <v>0</v>
      </c>
      <c r="F1129" s="29">
        <v>0</v>
      </c>
      <c r="G1129" s="29">
        <v>0</v>
      </c>
      <c r="H1129" s="29">
        <v>0</v>
      </c>
      <c r="I1129" s="29">
        <v>0</v>
      </c>
      <c r="J1129" s="29">
        <v>0</v>
      </c>
      <c r="K1129" s="31">
        <v>0</v>
      </c>
      <c r="L1129" s="29">
        <v>0</v>
      </c>
      <c r="M1129" s="29">
        <v>650</v>
      </c>
      <c r="N1129" s="29">
        <v>3083177.98</v>
      </c>
      <c r="O1129" s="29">
        <v>0</v>
      </c>
      <c r="P1129" s="29">
        <v>0</v>
      </c>
      <c r="Q1129" s="29">
        <v>0</v>
      </c>
      <c r="R1129" s="29">
        <v>0</v>
      </c>
      <c r="S1129" s="29">
        <v>0</v>
      </c>
      <c r="T1129" s="29">
        <v>0</v>
      </c>
      <c r="U1129" s="29">
        <v>0</v>
      </c>
      <c r="V1129" s="29">
        <v>0</v>
      </c>
      <c r="W1129" s="29">
        <v>0</v>
      </c>
      <c r="X1129" s="29">
        <v>0</v>
      </c>
      <c r="Y1129" s="29">
        <v>0</v>
      </c>
      <c r="Z1129" s="29">
        <v>0</v>
      </c>
      <c r="AA1129" s="29">
        <v>0</v>
      </c>
      <c r="AB1129" s="29">
        <v>0</v>
      </c>
      <c r="AC1129" s="29">
        <v>46247.67</v>
      </c>
      <c r="AD1129" s="29">
        <v>100000</v>
      </c>
      <c r="AE1129" s="29">
        <v>0</v>
      </c>
      <c r="AF1129" s="32">
        <v>2022</v>
      </c>
      <c r="AG1129" s="32">
        <v>2022</v>
      </c>
      <c r="AH1129" s="33">
        <v>2022</v>
      </c>
      <c r="AT1129" s="18" t="e">
        <f>VLOOKUP(C1129,AW:AX,2,FALSE)</f>
        <v>#N/A</v>
      </c>
      <c r="BZ1129" s="61"/>
      <c r="CD1129" s="18" t="e">
        <f>VLOOKUP(C1129,CE:CF,2,FALSE)</f>
        <v>#N/A</v>
      </c>
    </row>
    <row r="1130" spans="1:82" ht="61.5" x14ac:dyDescent="0.85">
      <c r="A1130" s="18">
        <v>1</v>
      </c>
      <c r="B1130" s="57">
        <f>SUBTOTAL(103,$A$1093:A1130)</f>
        <v>38</v>
      </c>
      <c r="C1130" s="22" t="s">
        <v>542</v>
      </c>
      <c r="D1130" s="29">
        <f t="shared" si="217"/>
        <v>4517275.3499999996</v>
      </c>
      <c r="E1130" s="29">
        <v>0</v>
      </c>
      <c r="F1130" s="29">
        <v>0</v>
      </c>
      <c r="G1130" s="29">
        <v>0</v>
      </c>
      <c r="H1130" s="29">
        <v>0</v>
      </c>
      <c r="I1130" s="29">
        <v>0</v>
      </c>
      <c r="J1130" s="29">
        <v>0</v>
      </c>
      <c r="K1130" s="31">
        <v>0</v>
      </c>
      <c r="L1130" s="29">
        <v>0</v>
      </c>
      <c r="M1130" s="29">
        <v>980</v>
      </c>
      <c r="N1130" s="29">
        <v>4351995.42</v>
      </c>
      <c r="O1130" s="29">
        <v>0</v>
      </c>
      <c r="P1130" s="29">
        <v>0</v>
      </c>
      <c r="Q1130" s="29">
        <v>0</v>
      </c>
      <c r="R1130" s="29">
        <v>0</v>
      </c>
      <c r="S1130" s="29">
        <v>0</v>
      </c>
      <c r="T1130" s="29">
        <v>0</v>
      </c>
      <c r="U1130" s="29">
        <v>0</v>
      </c>
      <c r="V1130" s="29">
        <v>0</v>
      </c>
      <c r="W1130" s="29">
        <v>0</v>
      </c>
      <c r="X1130" s="29">
        <v>0</v>
      </c>
      <c r="Y1130" s="29">
        <v>0</v>
      </c>
      <c r="Z1130" s="29">
        <v>0</v>
      </c>
      <c r="AA1130" s="29">
        <v>0</v>
      </c>
      <c r="AB1130" s="29">
        <v>0</v>
      </c>
      <c r="AC1130" s="29">
        <v>65279.93</v>
      </c>
      <c r="AD1130" s="29">
        <v>100000</v>
      </c>
      <c r="AE1130" s="29">
        <v>0</v>
      </c>
      <c r="AF1130" s="32">
        <v>2022</v>
      </c>
      <c r="AG1130" s="32">
        <v>2022</v>
      </c>
      <c r="AH1130" s="33">
        <v>2022</v>
      </c>
      <c r="AT1130" s="18" t="e">
        <f>VLOOKUP(C1130,AW:AX,2,FALSE)</f>
        <v>#N/A</v>
      </c>
      <c r="BZ1130" s="61"/>
      <c r="CD1130" s="18" t="e">
        <f>VLOOKUP(C1130,CE:CF,2,FALSE)</f>
        <v>#N/A</v>
      </c>
    </row>
    <row r="1131" spans="1:82" ht="61.5" x14ac:dyDescent="0.85">
      <c r="A1131" s="18">
        <v>1</v>
      </c>
      <c r="B1131" s="57">
        <f>SUBTOTAL(103,$A$1093:A1131)</f>
        <v>39</v>
      </c>
      <c r="C1131" s="22" t="s">
        <v>526</v>
      </c>
      <c r="D1131" s="29">
        <f t="shared" ref="D1131:D1140" si="218">E1131+F1131+G1131+H1131+I1131+J1131+L1131+N1131+P1131+R1131+T1131+U1131+V1131+W1131+X1131+Y1131+Z1131+AA1131+AB1131+AC1131+AD1131+AE1131</f>
        <v>4625631.57</v>
      </c>
      <c r="E1131" s="29">
        <v>0</v>
      </c>
      <c r="F1131" s="29">
        <v>0</v>
      </c>
      <c r="G1131" s="29">
        <v>0</v>
      </c>
      <c r="H1131" s="29">
        <v>0</v>
      </c>
      <c r="I1131" s="29">
        <v>0</v>
      </c>
      <c r="J1131" s="29">
        <v>0</v>
      </c>
      <c r="K1131" s="31">
        <v>0</v>
      </c>
      <c r="L1131" s="29">
        <v>0</v>
      </c>
      <c r="M1131" s="29">
        <v>940</v>
      </c>
      <c r="N1131" s="29">
        <v>4458750.32</v>
      </c>
      <c r="O1131" s="29">
        <v>0</v>
      </c>
      <c r="P1131" s="29">
        <v>0</v>
      </c>
      <c r="Q1131" s="29">
        <v>0</v>
      </c>
      <c r="R1131" s="29">
        <v>0</v>
      </c>
      <c r="S1131" s="29">
        <v>0</v>
      </c>
      <c r="T1131" s="29">
        <v>0</v>
      </c>
      <c r="U1131" s="29">
        <v>0</v>
      </c>
      <c r="V1131" s="29">
        <v>0</v>
      </c>
      <c r="W1131" s="29">
        <v>0</v>
      </c>
      <c r="X1131" s="29">
        <v>0</v>
      </c>
      <c r="Y1131" s="29">
        <v>0</v>
      </c>
      <c r="Z1131" s="29">
        <v>0</v>
      </c>
      <c r="AA1131" s="29">
        <v>0</v>
      </c>
      <c r="AB1131" s="29">
        <v>0</v>
      </c>
      <c r="AC1131" s="29">
        <v>66881.25</v>
      </c>
      <c r="AD1131" s="29">
        <v>100000</v>
      </c>
      <c r="AE1131" s="29">
        <v>0</v>
      </c>
      <c r="AF1131" s="32">
        <v>2022</v>
      </c>
      <c r="AG1131" s="32">
        <v>2022</v>
      </c>
      <c r="AH1131" s="33">
        <v>2022</v>
      </c>
      <c r="AT1131" s="18" t="e">
        <f>VLOOKUP(C1131,AW:AX,2,FALSE)</f>
        <v>#N/A</v>
      </c>
      <c r="BZ1131" s="61"/>
      <c r="CD1131" s="18" t="e">
        <f>VLOOKUP(C1131,CE:CF,2,FALSE)</f>
        <v>#N/A</v>
      </c>
    </row>
    <row r="1132" spans="1:82" ht="61.5" x14ac:dyDescent="0.85">
      <c r="A1132" s="18">
        <v>1</v>
      </c>
      <c r="B1132" s="57">
        <f>SUBTOTAL(103,$A$1093:A1132)</f>
        <v>40</v>
      </c>
      <c r="C1132" s="22" t="s">
        <v>532</v>
      </c>
      <c r="D1132" s="29">
        <f t="shared" si="218"/>
        <v>4642018.24</v>
      </c>
      <c r="E1132" s="29">
        <v>0</v>
      </c>
      <c r="F1132" s="29">
        <v>0</v>
      </c>
      <c r="G1132" s="29">
        <v>0</v>
      </c>
      <c r="H1132" s="29">
        <v>0</v>
      </c>
      <c r="I1132" s="29">
        <v>0</v>
      </c>
      <c r="J1132" s="29">
        <v>0</v>
      </c>
      <c r="K1132" s="31">
        <v>0</v>
      </c>
      <c r="L1132" s="29">
        <v>0</v>
      </c>
      <c r="M1132" s="29">
        <v>980</v>
      </c>
      <c r="N1132" s="29">
        <v>4474894.82</v>
      </c>
      <c r="O1132" s="29">
        <v>0</v>
      </c>
      <c r="P1132" s="29">
        <v>0</v>
      </c>
      <c r="Q1132" s="29">
        <v>0</v>
      </c>
      <c r="R1132" s="29">
        <v>0</v>
      </c>
      <c r="S1132" s="29">
        <v>0</v>
      </c>
      <c r="T1132" s="29">
        <v>0</v>
      </c>
      <c r="U1132" s="29">
        <v>0</v>
      </c>
      <c r="V1132" s="29">
        <v>0</v>
      </c>
      <c r="W1132" s="29">
        <v>0</v>
      </c>
      <c r="X1132" s="29">
        <v>0</v>
      </c>
      <c r="Y1132" s="29">
        <v>0</v>
      </c>
      <c r="Z1132" s="29">
        <v>0</v>
      </c>
      <c r="AA1132" s="29">
        <v>0</v>
      </c>
      <c r="AB1132" s="29">
        <v>0</v>
      </c>
      <c r="AC1132" s="29">
        <v>67123.42</v>
      </c>
      <c r="AD1132" s="29">
        <v>100000</v>
      </c>
      <c r="AE1132" s="29">
        <v>0</v>
      </c>
      <c r="AF1132" s="32">
        <v>2022</v>
      </c>
      <c r="AG1132" s="32">
        <v>2022</v>
      </c>
      <c r="AH1132" s="33">
        <v>2022</v>
      </c>
      <c r="BZ1132" s="61"/>
      <c r="CD1132" s="18" t="e">
        <f>VLOOKUP(C1132,CE:CF,2,FALSE)</f>
        <v>#N/A</v>
      </c>
    </row>
    <row r="1133" spans="1:82" ht="61.5" x14ac:dyDescent="0.85">
      <c r="A1133" s="18">
        <v>1</v>
      </c>
      <c r="B1133" s="57">
        <f>SUBTOTAL(103,$A$1093:A1133)</f>
        <v>41</v>
      </c>
      <c r="C1133" s="22" t="s">
        <v>550</v>
      </c>
      <c r="D1133" s="29">
        <f t="shared" si="218"/>
        <v>4412836.3</v>
      </c>
      <c r="E1133" s="29">
        <v>0</v>
      </c>
      <c r="F1133" s="29">
        <v>0</v>
      </c>
      <c r="G1133" s="29">
        <v>0</v>
      </c>
      <c r="H1133" s="29">
        <v>0</v>
      </c>
      <c r="I1133" s="29">
        <v>0</v>
      </c>
      <c r="J1133" s="29">
        <v>0</v>
      </c>
      <c r="K1133" s="31">
        <v>0</v>
      </c>
      <c r="L1133" s="29">
        <v>0</v>
      </c>
      <c r="M1133" s="29">
        <v>897.3</v>
      </c>
      <c r="N1133" s="29">
        <v>4199838.72</v>
      </c>
      <c r="O1133" s="29">
        <v>0</v>
      </c>
      <c r="P1133" s="29">
        <v>0</v>
      </c>
      <c r="Q1133" s="29">
        <v>0</v>
      </c>
      <c r="R1133" s="29">
        <v>0</v>
      </c>
      <c r="S1133" s="29">
        <v>0</v>
      </c>
      <c r="T1133" s="29">
        <v>0</v>
      </c>
      <c r="U1133" s="29">
        <v>0</v>
      </c>
      <c r="V1133" s="29">
        <v>0</v>
      </c>
      <c r="W1133" s="29">
        <v>0</v>
      </c>
      <c r="X1133" s="29">
        <v>0</v>
      </c>
      <c r="Y1133" s="29">
        <v>0</v>
      </c>
      <c r="Z1133" s="29">
        <v>0</v>
      </c>
      <c r="AA1133" s="29">
        <v>0</v>
      </c>
      <c r="AB1133" s="29">
        <v>0</v>
      </c>
      <c r="AC1133" s="29">
        <v>62997.58</v>
      </c>
      <c r="AD1133" s="29">
        <v>150000</v>
      </c>
      <c r="AE1133" s="29">
        <v>0</v>
      </c>
      <c r="AF1133" s="32">
        <v>2022</v>
      </c>
      <c r="AG1133" s="32">
        <v>2022</v>
      </c>
      <c r="AH1133" s="33">
        <v>2022</v>
      </c>
      <c r="AT1133" s="18" t="e">
        <f>VLOOKUP(C1133,AW:AX,2,FALSE)</f>
        <v>#N/A</v>
      </c>
      <c r="BZ1133" s="61"/>
      <c r="CD1133" s="18" t="e">
        <f>VLOOKUP(C1133,CE:CF,2,FALSE)</f>
        <v>#N/A</v>
      </c>
    </row>
    <row r="1134" spans="1:82" ht="61.5" x14ac:dyDescent="0.85">
      <c r="A1134" s="18">
        <v>1</v>
      </c>
      <c r="B1134" s="57">
        <f>SUBTOTAL(103,$A$1093:A1134)</f>
        <v>42</v>
      </c>
      <c r="C1134" s="22" t="s">
        <v>483</v>
      </c>
      <c r="D1134" s="29">
        <f t="shared" si="218"/>
        <v>4370645.5</v>
      </c>
      <c r="E1134" s="29">
        <v>0</v>
      </c>
      <c r="F1134" s="29">
        <v>0</v>
      </c>
      <c r="G1134" s="29">
        <v>0</v>
      </c>
      <c r="H1134" s="29">
        <v>0</v>
      </c>
      <c r="I1134" s="29">
        <v>0</v>
      </c>
      <c r="J1134" s="29">
        <v>0</v>
      </c>
      <c r="K1134" s="64">
        <v>0</v>
      </c>
      <c r="L1134" s="29">
        <v>0</v>
      </c>
      <c r="M1134" s="29">
        <v>1089.5999999999999</v>
      </c>
      <c r="N1134" s="29">
        <v>4307532.51</v>
      </c>
      <c r="O1134" s="29">
        <v>0</v>
      </c>
      <c r="P1134" s="29">
        <v>0</v>
      </c>
      <c r="Q1134" s="29">
        <v>0</v>
      </c>
      <c r="R1134" s="29">
        <v>0</v>
      </c>
      <c r="S1134" s="29">
        <v>0</v>
      </c>
      <c r="T1134" s="29">
        <v>0</v>
      </c>
      <c r="U1134" s="29">
        <v>0</v>
      </c>
      <c r="V1134" s="29">
        <v>0</v>
      </c>
      <c r="W1134" s="29">
        <v>0</v>
      </c>
      <c r="X1134" s="29">
        <v>0</v>
      </c>
      <c r="Y1134" s="29">
        <v>0</v>
      </c>
      <c r="Z1134" s="29">
        <v>0</v>
      </c>
      <c r="AA1134" s="29">
        <v>0</v>
      </c>
      <c r="AB1134" s="29">
        <v>0</v>
      </c>
      <c r="AC1134" s="29">
        <v>63112.99</v>
      </c>
      <c r="AD1134" s="29">
        <v>0</v>
      </c>
      <c r="AE1134" s="29">
        <v>0</v>
      </c>
      <c r="AF1134" s="32" t="s">
        <v>268</v>
      </c>
      <c r="AG1134" s="32">
        <v>2022</v>
      </c>
      <c r="AH1134" s="33">
        <v>2022</v>
      </c>
      <c r="BZ1134" s="61"/>
      <c r="CD1134" s="18" t="e">
        <f>VLOOKUP(C1134,CE:CF,2,FALSE)</f>
        <v>#N/A</v>
      </c>
    </row>
    <row r="1135" spans="1:82" ht="61.5" x14ac:dyDescent="0.85">
      <c r="A1135" s="18">
        <v>1</v>
      </c>
      <c r="B1135" s="57">
        <f>SUBTOTAL(103,$A$1093:A1135)</f>
        <v>43</v>
      </c>
      <c r="C1135" s="22" t="s">
        <v>1572</v>
      </c>
      <c r="D1135" s="29">
        <f t="shared" si="218"/>
        <v>2312500.0499999998</v>
      </c>
      <c r="E1135" s="29">
        <v>0</v>
      </c>
      <c r="F1135" s="29">
        <v>0</v>
      </c>
      <c r="G1135" s="29">
        <v>0</v>
      </c>
      <c r="H1135" s="29">
        <v>0</v>
      </c>
      <c r="I1135" s="29">
        <v>0</v>
      </c>
      <c r="J1135" s="29">
        <v>0</v>
      </c>
      <c r="K1135" s="64">
        <v>0</v>
      </c>
      <c r="L1135" s="29">
        <v>0</v>
      </c>
      <c r="M1135" s="29">
        <v>0</v>
      </c>
      <c r="N1135" s="29">
        <v>0</v>
      </c>
      <c r="O1135" s="29">
        <v>0</v>
      </c>
      <c r="P1135" s="29">
        <v>0</v>
      </c>
      <c r="Q1135" s="29">
        <v>840</v>
      </c>
      <c r="R1135" s="29">
        <v>2179803</v>
      </c>
      <c r="S1135" s="29">
        <v>0</v>
      </c>
      <c r="T1135" s="29">
        <v>0</v>
      </c>
      <c r="U1135" s="29">
        <v>0</v>
      </c>
      <c r="V1135" s="29">
        <v>0</v>
      </c>
      <c r="W1135" s="29">
        <v>0</v>
      </c>
      <c r="X1135" s="29">
        <v>0</v>
      </c>
      <c r="Y1135" s="29">
        <v>0</v>
      </c>
      <c r="Z1135" s="29">
        <v>0</v>
      </c>
      <c r="AA1135" s="29">
        <v>0</v>
      </c>
      <c r="AB1135" s="29">
        <v>0</v>
      </c>
      <c r="AC1135" s="29">
        <v>32697.05</v>
      </c>
      <c r="AD1135" s="29">
        <v>100000</v>
      </c>
      <c r="AE1135" s="29">
        <v>0</v>
      </c>
      <c r="AF1135" s="32">
        <v>2022</v>
      </c>
      <c r="AG1135" s="32">
        <v>2022</v>
      </c>
      <c r="AH1135" s="33">
        <v>2022</v>
      </c>
      <c r="BZ1135" s="61"/>
      <c r="CD1135" s="18" t="e">
        <f>VLOOKUP(C1135,CE:CF,2,FALSE)</f>
        <v>#N/A</v>
      </c>
    </row>
    <row r="1136" spans="1:82" ht="61.5" x14ac:dyDescent="0.85">
      <c r="A1136" s="18">
        <v>1</v>
      </c>
      <c r="B1136" s="57">
        <f>SUBTOTAL(103,$A$1093:A1136)</f>
        <v>44</v>
      </c>
      <c r="C1136" s="22" t="s">
        <v>1108</v>
      </c>
      <c r="D1136" s="29">
        <f t="shared" si="218"/>
        <v>4348142.72</v>
      </c>
      <c r="E1136" s="29">
        <v>0</v>
      </c>
      <c r="F1136" s="29">
        <v>0</v>
      </c>
      <c r="G1136" s="29">
        <v>0</v>
      </c>
      <c r="H1136" s="29">
        <v>0</v>
      </c>
      <c r="I1136" s="29">
        <v>0</v>
      </c>
      <c r="J1136" s="29">
        <v>0</v>
      </c>
      <c r="K1136" s="64">
        <v>0</v>
      </c>
      <c r="L1136" s="29">
        <v>0</v>
      </c>
      <c r="M1136" s="29">
        <v>0</v>
      </c>
      <c r="N1136" s="29">
        <v>0</v>
      </c>
      <c r="O1136" s="29">
        <v>0</v>
      </c>
      <c r="P1136" s="29">
        <v>0</v>
      </c>
      <c r="Q1136" s="29">
        <v>1389</v>
      </c>
      <c r="R1136" s="29">
        <v>4165657.85</v>
      </c>
      <c r="S1136" s="29">
        <v>0</v>
      </c>
      <c r="T1136" s="29">
        <v>0</v>
      </c>
      <c r="U1136" s="29">
        <v>0</v>
      </c>
      <c r="V1136" s="29">
        <v>0</v>
      </c>
      <c r="W1136" s="29">
        <v>0</v>
      </c>
      <c r="X1136" s="29">
        <v>0</v>
      </c>
      <c r="Y1136" s="29">
        <v>0</v>
      </c>
      <c r="Z1136" s="29">
        <v>0</v>
      </c>
      <c r="AA1136" s="29">
        <v>0</v>
      </c>
      <c r="AB1136" s="29">
        <v>0</v>
      </c>
      <c r="AC1136" s="29">
        <v>62484.87</v>
      </c>
      <c r="AD1136" s="29">
        <v>120000</v>
      </c>
      <c r="AE1136" s="29">
        <v>0</v>
      </c>
      <c r="AF1136" s="32">
        <v>2022</v>
      </c>
      <c r="AG1136" s="32">
        <v>2022</v>
      </c>
      <c r="AH1136" s="33">
        <v>2022</v>
      </c>
      <c r="BZ1136" s="61"/>
      <c r="CD1136" s="18" t="e">
        <f>VLOOKUP(C1136,CE:CF,2,FALSE)</f>
        <v>#N/A</v>
      </c>
    </row>
    <row r="1137" spans="1:82" ht="61.5" x14ac:dyDescent="0.85">
      <c r="A1137" s="18">
        <v>1</v>
      </c>
      <c r="B1137" s="57">
        <f>SUBTOTAL(103,$A$1093:A1137)</f>
        <v>45</v>
      </c>
      <c r="C1137" s="22" t="s">
        <v>547</v>
      </c>
      <c r="D1137" s="29">
        <f t="shared" si="218"/>
        <v>4050624.21</v>
      </c>
      <c r="E1137" s="29">
        <v>0</v>
      </c>
      <c r="F1137" s="29">
        <v>0</v>
      </c>
      <c r="G1137" s="29">
        <v>0</v>
      </c>
      <c r="H1137" s="29">
        <v>0</v>
      </c>
      <c r="I1137" s="29">
        <v>0</v>
      </c>
      <c r="J1137" s="29">
        <v>0</v>
      </c>
      <c r="K1137" s="64">
        <v>0</v>
      </c>
      <c r="L1137" s="29">
        <v>0</v>
      </c>
      <c r="M1137" s="29">
        <v>0</v>
      </c>
      <c r="N1137" s="29">
        <v>0</v>
      </c>
      <c r="O1137" s="29">
        <v>0</v>
      </c>
      <c r="P1137" s="29">
        <v>0</v>
      </c>
      <c r="Q1137" s="29">
        <v>940.98</v>
      </c>
      <c r="R1137" s="29">
        <v>3849615</v>
      </c>
      <c r="S1137" s="29">
        <v>0</v>
      </c>
      <c r="T1137" s="29">
        <v>0</v>
      </c>
      <c r="U1137" s="29">
        <v>0</v>
      </c>
      <c r="V1137" s="29">
        <v>0</v>
      </c>
      <c r="W1137" s="29">
        <v>0</v>
      </c>
      <c r="X1137" s="29">
        <v>0</v>
      </c>
      <c r="Y1137" s="29">
        <v>0</v>
      </c>
      <c r="Z1137" s="29">
        <v>0</v>
      </c>
      <c r="AA1137" s="29">
        <v>0</v>
      </c>
      <c r="AB1137" s="29">
        <v>0</v>
      </c>
      <c r="AC1137" s="29">
        <v>57744.23</v>
      </c>
      <c r="AD1137" s="29">
        <v>143264.98000000001</v>
      </c>
      <c r="AE1137" s="29">
        <v>0</v>
      </c>
      <c r="AF1137" s="32">
        <v>2022</v>
      </c>
      <c r="AG1137" s="32">
        <v>2022</v>
      </c>
      <c r="AH1137" s="33">
        <v>2022</v>
      </c>
      <c r="AT1137" s="18" t="e">
        <f>VLOOKUP(C1137,AW:AX,2,FALSE)</f>
        <v>#N/A</v>
      </c>
      <c r="BZ1137" s="61"/>
      <c r="CD1137" s="18" t="e">
        <f>VLOOKUP(C1137,CE:CF,2,FALSE)</f>
        <v>#N/A</v>
      </c>
    </row>
    <row r="1138" spans="1:82" ht="61.5" x14ac:dyDescent="0.85">
      <c r="A1138" s="18">
        <v>1</v>
      </c>
      <c r="B1138" s="57">
        <f>SUBTOTAL(103,$A$1093:A1138)</f>
        <v>46</v>
      </c>
      <c r="C1138" s="22" t="s">
        <v>551</v>
      </c>
      <c r="D1138" s="29">
        <f t="shared" si="218"/>
        <v>4448638.5999999996</v>
      </c>
      <c r="E1138" s="29">
        <v>0</v>
      </c>
      <c r="F1138" s="29">
        <v>0</v>
      </c>
      <c r="G1138" s="29">
        <v>0</v>
      </c>
      <c r="H1138" s="29">
        <v>0</v>
      </c>
      <c r="I1138" s="29">
        <v>0</v>
      </c>
      <c r="J1138" s="29">
        <v>0</v>
      </c>
      <c r="K1138" s="64">
        <v>0</v>
      </c>
      <c r="L1138" s="29">
        <v>0</v>
      </c>
      <c r="M1138" s="29">
        <v>0</v>
      </c>
      <c r="N1138" s="29">
        <v>0</v>
      </c>
      <c r="O1138" s="29">
        <v>0</v>
      </c>
      <c r="P1138" s="29">
        <v>0</v>
      </c>
      <c r="Q1138" s="29">
        <v>1047.25</v>
      </c>
      <c r="R1138" s="29">
        <v>4284373</v>
      </c>
      <c r="S1138" s="29">
        <v>0</v>
      </c>
      <c r="T1138" s="29">
        <v>0</v>
      </c>
      <c r="U1138" s="29">
        <v>0</v>
      </c>
      <c r="V1138" s="29">
        <v>0</v>
      </c>
      <c r="W1138" s="29">
        <v>0</v>
      </c>
      <c r="X1138" s="29">
        <v>0</v>
      </c>
      <c r="Y1138" s="29">
        <v>0</v>
      </c>
      <c r="Z1138" s="29">
        <v>0</v>
      </c>
      <c r="AA1138" s="29">
        <v>0</v>
      </c>
      <c r="AB1138" s="29">
        <v>0</v>
      </c>
      <c r="AC1138" s="29">
        <v>64265.599999999999</v>
      </c>
      <c r="AD1138" s="29">
        <v>100000</v>
      </c>
      <c r="AE1138" s="29">
        <v>0</v>
      </c>
      <c r="AF1138" s="32">
        <v>2022</v>
      </c>
      <c r="AG1138" s="32">
        <v>2022</v>
      </c>
      <c r="AH1138" s="33">
        <v>2022</v>
      </c>
      <c r="AT1138" s="18" t="e">
        <f>VLOOKUP(C1138,AW:AX,2,FALSE)</f>
        <v>#N/A</v>
      </c>
      <c r="BZ1138" s="61"/>
      <c r="CD1138" s="18" t="e">
        <f>VLOOKUP(C1138,CE:CF,2,FALSE)</f>
        <v>#N/A</v>
      </c>
    </row>
    <row r="1139" spans="1:82" ht="61.5" x14ac:dyDescent="0.85">
      <c r="A1139" s="18">
        <v>1</v>
      </c>
      <c r="B1139" s="57">
        <f>SUBTOTAL(103,$A$1093:A1139)</f>
        <v>47</v>
      </c>
      <c r="C1139" s="22" t="s">
        <v>554</v>
      </c>
      <c r="D1139" s="29">
        <f t="shared" si="218"/>
        <v>4669247.95</v>
      </c>
      <c r="E1139" s="29">
        <v>0</v>
      </c>
      <c r="F1139" s="29">
        <v>0</v>
      </c>
      <c r="G1139" s="29">
        <v>0</v>
      </c>
      <c r="H1139" s="29">
        <v>0</v>
      </c>
      <c r="I1139" s="29">
        <v>0</v>
      </c>
      <c r="J1139" s="29">
        <v>0</v>
      </c>
      <c r="K1139" s="64">
        <v>0</v>
      </c>
      <c r="L1139" s="29">
        <v>0</v>
      </c>
      <c r="M1139" s="29">
        <v>0</v>
      </c>
      <c r="N1139" s="29">
        <v>0</v>
      </c>
      <c r="O1139" s="29">
        <v>0</v>
      </c>
      <c r="P1139" s="29">
        <v>0</v>
      </c>
      <c r="Q1139" s="29">
        <v>1160</v>
      </c>
      <c r="R1139" s="29">
        <v>4501722.12</v>
      </c>
      <c r="S1139" s="29">
        <v>0</v>
      </c>
      <c r="T1139" s="29">
        <v>0</v>
      </c>
      <c r="U1139" s="29">
        <v>0</v>
      </c>
      <c r="V1139" s="29">
        <v>0</v>
      </c>
      <c r="W1139" s="29">
        <v>0</v>
      </c>
      <c r="X1139" s="29">
        <v>0</v>
      </c>
      <c r="Y1139" s="29">
        <v>0</v>
      </c>
      <c r="Z1139" s="29">
        <v>0</v>
      </c>
      <c r="AA1139" s="29">
        <v>0</v>
      </c>
      <c r="AB1139" s="29">
        <v>0</v>
      </c>
      <c r="AC1139" s="29">
        <v>67525.83</v>
      </c>
      <c r="AD1139" s="29">
        <v>100000</v>
      </c>
      <c r="AE1139" s="29">
        <v>0</v>
      </c>
      <c r="AF1139" s="32">
        <v>2022</v>
      </c>
      <c r="AG1139" s="32">
        <v>2022</v>
      </c>
      <c r="AH1139" s="33">
        <v>2022</v>
      </c>
      <c r="AT1139" s="18" t="e">
        <f>VLOOKUP(C1139,AW:AX,2,FALSE)</f>
        <v>#N/A</v>
      </c>
      <c r="BZ1139" s="61"/>
      <c r="CD1139" s="18" t="e">
        <f>VLOOKUP(C1139,CE:CF,2,FALSE)</f>
        <v>#N/A</v>
      </c>
    </row>
    <row r="1140" spans="1:82" ht="61.5" x14ac:dyDescent="0.85">
      <c r="A1140" s="18">
        <v>1</v>
      </c>
      <c r="B1140" s="57">
        <f>SUBTOTAL(103,$A$1093:A1140)</f>
        <v>48</v>
      </c>
      <c r="C1140" s="22" t="s">
        <v>548</v>
      </c>
      <c r="D1140" s="29">
        <f t="shared" si="218"/>
        <v>2880414.3600000003</v>
      </c>
      <c r="E1140" s="29">
        <v>0</v>
      </c>
      <c r="F1140" s="29">
        <v>0</v>
      </c>
      <c r="G1140" s="29">
        <v>0</v>
      </c>
      <c r="H1140" s="29">
        <v>0</v>
      </c>
      <c r="I1140" s="29">
        <v>0</v>
      </c>
      <c r="J1140" s="29">
        <v>0</v>
      </c>
      <c r="K1140" s="64">
        <v>0</v>
      </c>
      <c r="L1140" s="29">
        <v>0</v>
      </c>
      <c r="M1140" s="29">
        <v>560</v>
      </c>
      <c r="N1140" s="29">
        <v>2739324.49</v>
      </c>
      <c r="O1140" s="29">
        <v>0</v>
      </c>
      <c r="P1140" s="29">
        <v>0</v>
      </c>
      <c r="Q1140" s="29">
        <v>0</v>
      </c>
      <c r="R1140" s="29">
        <v>0</v>
      </c>
      <c r="S1140" s="29">
        <v>0</v>
      </c>
      <c r="T1140" s="29">
        <v>0</v>
      </c>
      <c r="U1140" s="29">
        <v>0</v>
      </c>
      <c r="V1140" s="29">
        <v>0</v>
      </c>
      <c r="W1140" s="29">
        <v>0</v>
      </c>
      <c r="X1140" s="29">
        <v>0</v>
      </c>
      <c r="Y1140" s="29">
        <v>0</v>
      </c>
      <c r="Z1140" s="29">
        <v>0</v>
      </c>
      <c r="AA1140" s="29">
        <v>0</v>
      </c>
      <c r="AB1140" s="29">
        <v>0</v>
      </c>
      <c r="AC1140" s="29">
        <v>41089.870000000003</v>
      </c>
      <c r="AD1140" s="29">
        <v>100000</v>
      </c>
      <c r="AE1140" s="29">
        <v>0</v>
      </c>
      <c r="AF1140" s="32">
        <v>2022</v>
      </c>
      <c r="AG1140" s="32">
        <v>2022</v>
      </c>
      <c r="AH1140" s="33">
        <v>2022</v>
      </c>
      <c r="AT1140" s="18" t="e">
        <f>VLOOKUP(C1140,AW:AX,2,FALSE)</f>
        <v>#N/A</v>
      </c>
      <c r="BZ1140" s="61"/>
      <c r="CD1140" s="18" t="e">
        <f>VLOOKUP(C1140,CE:CF,2,FALSE)</f>
        <v>#N/A</v>
      </c>
    </row>
    <row r="1141" spans="1:82" ht="61.5" x14ac:dyDescent="0.85">
      <c r="A1141" s="18">
        <v>1</v>
      </c>
      <c r="B1141" s="57">
        <f>SUBTOTAL(103,$A$1093:A1141)</f>
        <v>49</v>
      </c>
      <c r="C1141" s="22" t="s">
        <v>2273</v>
      </c>
      <c r="D1141" s="29">
        <f t="shared" si="217"/>
        <v>763048.75</v>
      </c>
      <c r="E1141" s="29">
        <v>0</v>
      </c>
      <c r="F1141" s="29">
        <v>0</v>
      </c>
      <c r="G1141" s="29">
        <v>0</v>
      </c>
      <c r="H1141" s="29">
        <v>0</v>
      </c>
      <c r="I1141" s="29">
        <v>0</v>
      </c>
      <c r="J1141" s="29">
        <v>0</v>
      </c>
      <c r="K1141" s="31">
        <v>0</v>
      </c>
      <c r="L1141" s="29">
        <v>0</v>
      </c>
      <c r="M1141" s="29">
        <v>185.8</v>
      </c>
      <c r="N1141" s="29">
        <v>653250</v>
      </c>
      <c r="O1141" s="29">
        <v>0</v>
      </c>
      <c r="P1141" s="29">
        <v>0</v>
      </c>
      <c r="Q1141" s="29">
        <v>0</v>
      </c>
      <c r="R1141" s="29">
        <v>0</v>
      </c>
      <c r="S1141" s="29">
        <v>0</v>
      </c>
      <c r="T1141" s="29">
        <v>0</v>
      </c>
      <c r="U1141" s="29">
        <v>0</v>
      </c>
      <c r="V1141" s="29">
        <v>0</v>
      </c>
      <c r="W1141" s="29">
        <v>0</v>
      </c>
      <c r="X1141" s="29">
        <v>0</v>
      </c>
      <c r="Y1141" s="29">
        <v>0</v>
      </c>
      <c r="Z1141" s="29">
        <v>0</v>
      </c>
      <c r="AA1141" s="29">
        <v>0</v>
      </c>
      <c r="AB1141" s="29">
        <v>0</v>
      </c>
      <c r="AC1141" s="29">
        <v>9798.75</v>
      </c>
      <c r="AD1141" s="29">
        <v>100000</v>
      </c>
      <c r="AE1141" s="29">
        <v>0</v>
      </c>
      <c r="AF1141" s="32">
        <v>2022</v>
      </c>
      <c r="AG1141" s="32">
        <v>2022</v>
      </c>
      <c r="AH1141" s="33">
        <v>2022</v>
      </c>
      <c r="AT1141" s="18" t="e">
        <f>VLOOKUP(C1141,AW:AX,2,FALSE)</f>
        <v>#N/A</v>
      </c>
      <c r="BZ1141" s="61"/>
      <c r="CD1141" s="18" t="e">
        <f>VLOOKUP(C1141,CE:CF,2,FALSE)</f>
        <v>#N/A</v>
      </c>
    </row>
    <row r="1142" spans="1:82" ht="61.5" x14ac:dyDescent="0.85">
      <c r="A1142" s="18">
        <v>1</v>
      </c>
      <c r="B1142" s="57">
        <f>SUBTOTAL(103,$A$1093:A1142)</f>
        <v>50</v>
      </c>
      <c r="C1142" s="22" t="s">
        <v>2274</v>
      </c>
      <c r="D1142" s="29">
        <f t="shared" si="217"/>
        <v>2942000</v>
      </c>
      <c r="E1142" s="29">
        <v>0</v>
      </c>
      <c r="F1142" s="29">
        <v>0</v>
      </c>
      <c r="G1142" s="29">
        <v>0</v>
      </c>
      <c r="H1142" s="29">
        <v>0</v>
      </c>
      <c r="I1142" s="29">
        <v>0</v>
      </c>
      <c r="J1142" s="29">
        <v>0</v>
      </c>
      <c r="K1142" s="31">
        <v>0</v>
      </c>
      <c r="L1142" s="29">
        <v>0</v>
      </c>
      <c r="M1142" s="29">
        <v>0</v>
      </c>
      <c r="N1142" s="29">
        <v>0</v>
      </c>
      <c r="O1142" s="29">
        <v>0</v>
      </c>
      <c r="P1142" s="29">
        <v>0</v>
      </c>
      <c r="Q1142" s="29">
        <v>688.4</v>
      </c>
      <c r="R1142" s="29">
        <v>2800000</v>
      </c>
      <c r="S1142" s="29">
        <v>0</v>
      </c>
      <c r="T1142" s="29">
        <v>0</v>
      </c>
      <c r="U1142" s="29">
        <v>0</v>
      </c>
      <c r="V1142" s="29">
        <v>0</v>
      </c>
      <c r="W1142" s="29">
        <v>0</v>
      </c>
      <c r="X1142" s="29">
        <v>0</v>
      </c>
      <c r="Y1142" s="29">
        <v>0</v>
      </c>
      <c r="Z1142" s="29">
        <v>0</v>
      </c>
      <c r="AA1142" s="29">
        <v>0</v>
      </c>
      <c r="AB1142" s="29">
        <v>0</v>
      </c>
      <c r="AC1142" s="29">
        <v>42000</v>
      </c>
      <c r="AD1142" s="29">
        <v>100000</v>
      </c>
      <c r="AE1142" s="29">
        <v>0</v>
      </c>
      <c r="AF1142" s="32">
        <v>2022</v>
      </c>
      <c r="AG1142" s="32">
        <v>2022</v>
      </c>
      <c r="AH1142" s="33">
        <v>2022</v>
      </c>
      <c r="BZ1142" s="61"/>
      <c r="CD1142" s="18" t="e">
        <f>VLOOKUP(C1142,CE:CF,2,FALSE)</f>
        <v>#N/A</v>
      </c>
    </row>
    <row r="1143" spans="1:82" ht="61.5" x14ac:dyDescent="0.85">
      <c r="A1143" s="18">
        <v>1</v>
      </c>
      <c r="B1143" s="57">
        <f>SUBTOTAL(103,$A$1093:A1143)</f>
        <v>51</v>
      </c>
      <c r="C1143" s="22" t="s">
        <v>2275</v>
      </c>
      <c r="D1143" s="29">
        <f t="shared" si="217"/>
        <v>1876250</v>
      </c>
      <c r="E1143" s="29">
        <v>0</v>
      </c>
      <c r="F1143" s="29">
        <v>0</v>
      </c>
      <c r="G1143" s="29">
        <v>0</v>
      </c>
      <c r="H1143" s="29">
        <v>0</v>
      </c>
      <c r="I1143" s="29">
        <v>0</v>
      </c>
      <c r="J1143" s="29">
        <v>0</v>
      </c>
      <c r="K1143" s="31">
        <v>0</v>
      </c>
      <c r="L1143" s="29">
        <v>0</v>
      </c>
      <c r="M1143" s="29">
        <v>330</v>
      </c>
      <c r="N1143" s="29">
        <v>1750000</v>
      </c>
      <c r="O1143" s="29">
        <v>0</v>
      </c>
      <c r="P1143" s="29">
        <v>0</v>
      </c>
      <c r="Q1143" s="29">
        <v>0</v>
      </c>
      <c r="R1143" s="29">
        <v>0</v>
      </c>
      <c r="S1143" s="29">
        <v>0</v>
      </c>
      <c r="T1143" s="29">
        <v>0</v>
      </c>
      <c r="U1143" s="29">
        <v>0</v>
      </c>
      <c r="V1143" s="29">
        <v>0</v>
      </c>
      <c r="W1143" s="29">
        <v>0</v>
      </c>
      <c r="X1143" s="29">
        <v>0</v>
      </c>
      <c r="Y1143" s="29">
        <v>0</v>
      </c>
      <c r="Z1143" s="29">
        <v>0</v>
      </c>
      <c r="AA1143" s="29">
        <v>0</v>
      </c>
      <c r="AB1143" s="29">
        <v>0</v>
      </c>
      <c r="AC1143" s="29">
        <v>26250</v>
      </c>
      <c r="AD1143" s="29">
        <v>100000</v>
      </c>
      <c r="AE1143" s="29">
        <v>0</v>
      </c>
      <c r="AF1143" s="32">
        <v>2022</v>
      </c>
      <c r="AG1143" s="32">
        <v>2022</v>
      </c>
      <c r="AH1143" s="33">
        <v>2022</v>
      </c>
      <c r="AT1143" s="18" t="e">
        <f>VLOOKUP(C1143,AW:AX,2,FALSE)</f>
        <v>#N/A</v>
      </c>
      <c r="BZ1143" s="61"/>
      <c r="CD1143" s="18" t="e">
        <f>VLOOKUP(C1143,CE:CF,2,FALSE)</f>
        <v>#N/A</v>
      </c>
    </row>
    <row r="1144" spans="1:82" ht="61.5" x14ac:dyDescent="0.85">
      <c r="A1144" s="18">
        <v>1</v>
      </c>
      <c r="B1144" s="57">
        <f>SUBTOTAL(103,$A$1093:A1144)</f>
        <v>52</v>
      </c>
      <c r="C1144" s="22" t="s">
        <v>2276</v>
      </c>
      <c r="D1144" s="29">
        <f t="shared" si="217"/>
        <v>3635053.04</v>
      </c>
      <c r="E1144" s="29">
        <v>0</v>
      </c>
      <c r="F1144" s="29">
        <v>0</v>
      </c>
      <c r="G1144" s="29">
        <v>0</v>
      </c>
      <c r="H1144" s="29">
        <v>0</v>
      </c>
      <c r="I1144" s="29">
        <v>0</v>
      </c>
      <c r="J1144" s="29">
        <v>0</v>
      </c>
      <c r="K1144" s="64">
        <v>0</v>
      </c>
      <c r="L1144" s="29">
        <v>0</v>
      </c>
      <c r="M1144" s="29">
        <v>0</v>
      </c>
      <c r="N1144" s="29">
        <v>0</v>
      </c>
      <c r="O1144" s="29">
        <v>0</v>
      </c>
      <c r="P1144" s="29">
        <v>0</v>
      </c>
      <c r="Q1144" s="29">
        <v>1042</v>
      </c>
      <c r="R1144" s="29">
        <v>3482810.88</v>
      </c>
      <c r="S1144" s="29">
        <v>0</v>
      </c>
      <c r="T1144" s="29">
        <v>0</v>
      </c>
      <c r="U1144" s="29">
        <v>0</v>
      </c>
      <c r="V1144" s="29">
        <v>0</v>
      </c>
      <c r="W1144" s="29">
        <v>0</v>
      </c>
      <c r="X1144" s="29">
        <v>0</v>
      </c>
      <c r="Y1144" s="29">
        <v>0</v>
      </c>
      <c r="Z1144" s="29">
        <v>0</v>
      </c>
      <c r="AA1144" s="29">
        <v>0</v>
      </c>
      <c r="AB1144" s="29">
        <v>0</v>
      </c>
      <c r="AC1144" s="29">
        <v>52242.16</v>
      </c>
      <c r="AD1144" s="29">
        <v>100000</v>
      </c>
      <c r="AE1144" s="29">
        <v>0</v>
      </c>
      <c r="AF1144" s="32">
        <v>2022</v>
      </c>
      <c r="AG1144" s="32">
        <v>2022</v>
      </c>
      <c r="AH1144" s="33">
        <v>2022</v>
      </c>
      <c r="BZ1144" s="61"/>
      <c r="CD1144" s="18" t="e">
        <f>VLOOKUP(C1144,CE:CF,2,FALSE)</f>
        <v>#N/A</v>
      </c>
    </row>
    <row r="1145" spans="1:82" ht="61.5" x14ac:dyDescent="0.85">
      <c r="A1145" s="18">
        <v>1</v>
      </c>
      <c r="B1145" s="57">
        <f>SUBTOTAL(103,$A$1093:A1145)</f>
        <v>53</v>
      </c>
      <c r="C1145" s="22" t="s">
        <v>2277</v>
      </c>
      <c r="D1145" s="29">
        <f t="shared" si="217"/>
        <v>3449500</v>
      </c>
      <c r="E1145" s="29">
        <v>0</v>
      </c>
      <c r="F1145" s="29">
        <v>0</v>
      </c>
      <c r="G1145" s="29">
        <v>0</v>
      </c>
      <c r="H1145" s="29">
        <v>0</v>
      </c>
      <c r="I1145" s="29">
        <v>0</v>
      </c>
      <c r="J1145" s="29">
        <v>0</v>
      </c>
      <c r="K1145" s="64">
        <v>0</v>
      </c>
      <c r="L1145" s="29">
        <v>0</v>
      </c>
      <c r="M1145" s="29">
        <v>0</v>
      </c>
      <c r="N1145" s="29">
        <v>0</v>
      </c>
      <c r="O1145" s="29">
        <v>0</v>
      </c>
      <c r="P1145" s="29">
        <v>0</v>
      </c>
      <c r="Q1145" s="29">
        <v>1004.7</v>
      </c>
      <c r="R1145" s="29">
        <v>3300000</v>
      </c>
      <c r="S1145" s="29">
        <v>0</v>
      </c>
      <c r="T1145" s="29">
        <v>0</v>
      </c>
      <c r="U1145" s="29">
        <v>0</v>
      </c>
      <c r="V1145" s="29">
        <v>0</v>
      </c>
      <c r="W1145" s="29">
        <v>0</v>
      </c>
      <c r="X1145" s="29">
        <v>0</v>
      </c>
      <c r="Y1145" s="29">
        <v>0</v>
      </c>
      <c r="Z1145" s="29">
        <v>0</v>
      </c>
      <c r="AA1145" s="29">
        <v>0</v>
      </c>
      <c r="AB1145" s="29">
        <v>0</v>
      </c>
      <c r="AC1145" s="29">
        <v>49500</v>
      </c>
      <c r="AD1145" s="29">
        <v>100000</v>
      </c>
      <c r="AE1145" s="29">
        <v>0</v>
      </c>
      <c r="AF1145" s="32">
        <v>2022</v>
      </c>
      <c r="AG1145" s="32">
        <v>2022</v>
      </c>
      <c r="AH1145" s="33">
        <v>2022</v>
      </c>
      <c r="BZ1145" s="61"/>
      <c r="CD1145" s="18" t="e">
        <f>VLOOKUP(C1145,CE:CF,2,FALSE)</f>
        <v>#N/A</v>
      </c>
    </row>
    <row r="1146" spans="1:82" ht="61.5" x14ac:dyDescent="0.85">
      <c r="A1146" s="18">
        <v>1</v>
      </c>
      <c r="B1146" s="57">
        <f>SUBTOTAL(103,$A$1093:A1146)</f>
        <v>54</v>
      </c>
      <c r="C1146" s="22" t="s">
        <v>2278</v>
      </c>
      <c r="D1146" s="29">
        <f t="shared" si="217"/>
        <v>3635053.04</v>
      </c>
      <c r="E1146" s="29">
        <v>0</v>
      </c>
      <c r="F1146" s="29">
        <v>0</v>
      </c>
      <c r="G1146" s="29">
        <v>0</v>
      </c>
      <c r="H1146" s="29">
        <v>0</v>
      </c>
      <c r="I1146" s="29">
        <v>0</v>
      </c>
      <c r="J1146" s="29">
        <v>0</v>
      </c>
      <c r="K1146" s="64">
        <v>0</v>
      </c>
      <c r="L1146" s="29">
        <v>0</v>
      </c>
      <c r="M1146" s="29">
        <v>0</v>
      </c>
      <c r="N1146" s="29">
        <v>0</v>
      </c>
      <c r="O1146" s="29">
        <v>0</v>
      </c>
      <c r="P1146" s="29">
        <v>0</v>
      </c>
      <c r="Q1146" s="29">
        <v>1142</v>
      </c>
      <c r="R1146" s="29">
        <v>3482810.88</v>
      </c>
      <c r="S1146" s="29">
        <v>0</v>
      </c>
      <c r="T1146" s="29">
        <v>0</v>
      </c>
      <c r="U1146" s="29">
        <v>0</v>
      </c>
      <c r="V1146" s="29">
        <v>0</v>
      </c>
      <c r="W1146" s="29">
        <v>0</v>
      </c>
      <c r="X1146" s="29">
        <v>0</v>
      </c>
      <c r="Y1146" s="29">
        <v>0</v>
      </c>
      <c r="Z1146" s="29">
        <v>0</v>
      </c>
      <c r="AA1146" s="29">
        <v>0</v>
      </c>
      <c r="AB1146" s="29">
        <v>0</v>
      </c>
      <c r="AC1146" s="29">
        <v>52242.16</v>
      </c>
      <c r="AD1146" s="29">
        <v>100000</v>
      </c>
      <c r="AE1146" s="29">
        <v>0</v>
      </c>
      <c r="AF1146" s="32">
        <v>2022</v>
      </c>
      <c r="AG1146" s="32">
        <v>2022</v>
      </c>
      <c r="AH1146" s="33">
        <v>2022</v>
      </c>
      <c r="BZ1146" s="61"/>
      <c r="CD1146" s="18" t="e">
        <f>VLOOKUP(C1146,CE:CF,2,FALSE)</f>
        <v>#N/A</v>
      </c>
    </row>
    <row r="1147" spans="1:82" ht="61.5" x14ac:dyDescent="0.85">
      <c r="A1147" s="18">
        <v>1</v>
      </c>
      <c r="B1147" s="57">
        <f>SUBTOTAL(103,$A$1093:A1147)</f>
        <v>55</v>
      </c>
      <c r="C1147" s="22" t="s">
        <v>2279</v>
      </c>
      <c r="D1147" s="29">
        <f t="shared" si="217"/>
        <v>2891250</v>
      </c>
      <c r="E1147" s="29">
        <v>0</v>
      </c>
      <c r="F1147" s="29">
        <v>0</v>
      </c>
      <c r="G1147" s="29">
        <v>0</v>
      </c>
      <c r="H1147" s="29">
        <v>0</v>
      </c>
      <c r="I1147" s="29">
        <v>0</v>
      </c>
      <c r="J1147" s="29">
        <v>0</v>
      </c>
      <c r="K1147" s="64">
        <v>0</v>
      </c>
      <c r="L1147" s="29">
        <v>0</v>
      </c>
      <c r="M1147" s="29">
        <v>650</v>
      </c>
      <c r="N1147" s="29">
        <v>2750000</v>
      </c>
      <c r="O1147" s="29">
        <v>0</v>
      </c>
      <c r="P1147" s="29">
        <v>0</v>
      </c>
      <c r="Q1147" s="29">
        <v>0</v>
      </c>
      <c r="R1147" s="29">
        <v>0</v>
      </c>
      <c r="S1147" s="29">
        <v>0</v>
      </c>
      <c r="T1147" s="29">
        <v>0</v>
      </c>
      <c r="U1147" s="29">
        <v>0</v>
      </c>
      <c r="V1147" s="29">
        <v>0</v>
      </c>
      <c r="W1147" s="29">
        <v>0</v>
      </c>
      <c r="X1147" s="29">
        <v>0</v>
      </c>
      <c r="Y1147" s="29">
        <v>0</v>
      </c>
      <c r="Z1147" s="29">
        <v>0</v>
      </c>
      <c r="AA1147" s="29">
        <v>0</v>
      </c>
      <c r="AB1147" s="29">
        <v>0</v>
      </c>
      <c r="AC1147" s="29">
        <v>41250</v>
      </c>
      <c r="AD1147" s="29">
        <v>100000</v>
      </c>
      <c r="AE1147" s="29">
        <v>0</v>
      </c>
      <c r="AF1147" s="32">
        <v>2022</v>
      </c>
      <c r="AG1147" s="32">
        <v>2022</v>
      </c>
      <c r="AH1147" s="33">
        <v>2022</v>
      </c>
      <c r="AT1147" s="18" t="e">
        <f>VLOOKUP(C1147,AW:AX,2,FALSE)</f>
        <v>#N/A</v>
      </c>
      <c r="BZ1147" s="61"/>
      <c r="CD1147" s="18" t="e">
        <f>VLOOKUP(C1147,CE:CF,2,FALSE)</f>
        <v>#N/A</v>
      </c>
    </row>
    <row r="1148" spans="1:82" ht="61.5" x14ac:dyDescent="0.85">
      <c r="A1148" s="18">
        <v>1</v>
      </c>
      <c r="B1148" s="57">
        <f>SUBTOTAL(103,$A$1093:A1148)</f>
        <v>56</v>
      </c>
      <c r="C1148" s="22" t="s">
        <v>2280</v>
      </c>
      <c r="D1148" s="29">
        <f t="shared" si="217"/>
        <v>4829900</v>
      </c>
      <c r="E1148" s="29">
        <v>0</v>
      </c>
      <c r="F1148" s="29">
        <v>0</v>
      </c>
      <c r="G1148" s="29">
        <v>0</v>
      </c>
      <c r="H1148" s="29">
        <v>0</v>
      </c>
      <c r="I1148" s="29">
        <v>0</v>
      </c>
      <c r="J1148" s="29">
        <v>0</v>
      </c>
      <c r="K1148" s="64">
        <v>0</v>
      </c>
      <c r="L1148" s="29">
        <v>0</v>
      </c>
      <c r="M1148" s="29">
        <v>899</v>
      </c>
      <c r="N1148" s="29">
        <v>4660000</v>
      </c>
      <c r="O1148" s="29">
        <v>0</v>
      </c>
      <c r="P1148" s="29">
        <v>0</v>
      </c>
      <c r="Q1148" s="29">
        <v>0</v>
      </c>
      <c r="R1148" s="29">
        <v>0</v>
      </c>
      <c r="S1148" s="29">
        <v>0</v>
      </c>
      <c r="T1148" s="29">
        <v>0</v>
      </c>
      <c r="U1148" s="29">
        <v>0</v>
      </c>
      <c r="V1148" s="29">
        <v>0</v>
      </c>
      <c r="W1148" s="29">
        <v>0</v>
      </c>
      <c r="X1148" s="29">
        <v>0</v>
      </c>
      <c r="Y1148" s="29">
        <v>0</v>
      </c>
      <c r="Z1148" s="29">
        <v>0</v>
      </c>
      <c r="AA1148" s="29">
        <v>0</v>
      </c>
      <c r="AB1148" s="29">
        <v>0</v>
      </c>
      <c r="AC1148" s="29">
        <v>69900</v>
      </c>
      <c r="AD1148" s="29">
        <v>100000</v>
      </c>
      <c r="AE1148" s="29">
        <v>0</v>
      </c>
      <c r="AF1148" s="32">
        <v>2022</v>
      </c>
      <c r="AG1148" s="32">
        <v>2022</v>
      </c>
      <c r="AH1148" s="33">
        <v>2022</v>
      </c>
      <c r="AT1148" s="18" t="e">
        <f>VLOOKUP(C1148,AW:AX,2,FALSE)</f>
        <v>#N/A</v>
      </c>
      <c r="BZ1148" s="61"/>
      <c r="CD1148" s="18" t="e">
        <f>VLOOKUP(C1148,CE:CF,2,FALSE)</f>
        <v>#N/A</v>
      </c>
    </row>
    <row r="1149" spans="1:82" ht="61.5" x14ac:dyDescent="0.85">
      <c r="A1149" s="18">
        <v>1</v>
      </c>
      <c r="B1149" s="57">
        <f>SUBTOTAL(103,$A$1093:A1149)</f>
        <v>57</v>
      </c>
      <c r="C1149" s="22" t="s">
        <v>2281</v>
      </c>
      <c r="D1149" s="29">
        <f t="shared" si="217"/>
        <v>1521000</v>
      </c>
      <c r="E1149" s="29">
        <v>0</v>
      </c>
      <c r="F1149" s="29">
        <v>0</v>
      </c>
      <c r="G1149" s="29">
        <v>0</v>
      </c>
      <c r="H1149" s="29">
        <v>0</v>
      </c>
      <c r="I1149" s="29">
        <v>0</v>
      </c>
      <c r="J1149" s="29">
        <v>0</v>
      </c>
      <c r="K1149" s="64">
        <v>0</v>
      </c>
      <c r="L1149" s="29">
        <v>0</v>
      </c>
      <c r="M1149" s="29">
        <v>275</v>
      </c>
      <c r="N1149" s="29">
        <v>1400000</v>
      </c>
      <c r="O1149" s="29">
        <v>0</v>
      </c>
      <c r="P1149" s="29">
        <v>0</v>
      </c>
      <c r="Q1149" s="29">
        <v>0</v>
      </c>
      <c r="R1149" s="29">
        <v>0</v>
      </c>
      <c r="S1149" s="29">
        <v>0</v>
      </c>
      <c r="T1149" s="29">
        <v>0</v>
      </c>
      <c r="U1149" s="29">
        <v>0</v>
      </c>
      <c r="V1149" s="29">
        <v>0</v>
      </c>
      <c r="W1149" s="29">
        <v>0</v>
      </c>
      <c r="X1149" s="29">
        <v>0</v>
      </c>
      <c r="Y1149" s="29">
        <v>0</v>
      </c>
      <c r="Z1149" s="29">
        <v>0</v>
      </c>
      <c r="AA1149" s="29">
        <v>0</v>
      </c>
      <c r="AB1149" s="29">
        <v>0</v>
      </c>
      <c r="AC1149" s="29">
        <v>21000</v>
      </c>
      <c r="AD1149" s="29">
        <v>100000</v>
      </c>
      <c r="AE1149" s="29">
        <v>0</v>
      </c>
      <c r="AF1149" s="32">
        <v>2022</v>
      </c>
      <c r="AG1149" s="32">
        <v>2022</v>
      </c>
      <c r="AH1149" s="33">
        <v>2022</v>
      </c>
      <c r="AT1149" s="18" t="e">
        <f>VLOOKUP(C1149,AW:AX,2,FALSE)</f>
        <v>#N/A</v>
      </c>
      <c r="BZ1149" s="61"/>
      <c r="CD1149" s="18" t="e">
        <f>VLOOKUP(C1149,CE:CF,2,FALSE)</f>
        <v>#N/A</v>
      </c>
    </row>
    <row r="1150" spans="1:82" ht="61.5" x14ac:dyDescent="0.85">
      <c r="A1150" s="18">
        <v>1</v>
      </c>
      <c r="B1150" s="57">
        <f>SUBTOTAL(103,$A$1093:A1150)</f>
        <v>58</v>
      </c>
      <c r="C1150" s="22" t="s">
        <v>2282</v>
      </c>
      <c r="D1150" s="29">
        <f t="shared" ref="D1150:D1161" si="219">E1150+F1150+G1150+H1150+I1150+J1150+L1150+N1150+P1150+R1150+T1150+U1150+V1150+W1150+X1150+Y1150+Z1150+AA1150+AB1150+AC1150+AD1150+AE1150</f>
        <v>4858515.0599999996</v>
      </c>
      <c r="E1150" s="29">
        <v>0</v>
      </c>
      <c r="F1150" s="29">
        <v>0</v>
      </c>
      <c r="G1150" s="29">
        <v>0</v>
      </c>
      <c r="H1150" s="29">
        <v>0</v>
      </c>
      <c r="I1150" s="29">
        <v>0</v>
      </c>
      <c r="J1150" s="29">
        <v>0</v>
      </c>
      <c r="K1150" s="64">
        <v>0</v>
      </c>
      <c r="L1150" s="29">
        <v>0</v>
      </c>
      <c r="M1150" s="29">
        <v>1147.5</v>
      </c>
      <c r="N1150" s="29">
        <v>4688192.18</v>
      </c>
      <c r="O1150" s="29">
        <v>0</v>
      </c>
      <c r="P1150" s="29">
        <v>0</v>
      </c>
      <c r="Q1150" s="29">
        <v>0</v>
      </c>
      <c r="R1150" s="29">
        <v>0</v>
      </c>
      <c r="S1150" s="29">
        <v>0</v>
      </c>
      <c r="T1150" s="29">
        <v>0</v>
      </c>
      <c r="U1150" s="29">
        <v>0</v>
      </c>
      <c r="V1150" s="29">
        <v>0</v>
      </c>
      <c r="W1150" s="29">
        <v>0</v>
      </c>
      <c r="X1150" s="29">
        <v>0</v>
      </c>
      <c r="Y1150" s="29">
        <v>0</v>
      </c>
      <c r="Z1150" s="29">
        <v>0</v>
      </c>
      <c r="AA1150" s="29">
        <v>0</v>
      </c>
      <c r="AB1150" s="29">
        <v>0</v>
      </c>
      <c r="AC1150" s="29">
        <v>70322.880000000005</v>
      </c>
      <c r="AD1150" s="29">
        <v>100000</v>
      </c>
      <c r="AE1150" s="29">
        <v>0</v>
      </c>
      <c r="AF1150" s="32">
        <v>2022</v>
      </c>
      <c r="AG1150" s="32">
        <v>2022</v>
      </c>
      <c r="AH1150" s="33">
        <v>2022</v>
      </c>
      <c r="AT1150" s="18" t="e">
        <f>VLOOKUP(C1150,AW:AX,2,FALSE)</f>
        <v>#N/A</v>
      </c>
      <c r="BZ1150" s="61"/>
      <c r="CD1150" s="18" t="e">
        <f>VLOOKUP(C1150,CE:CF,2,FALSE)</f>
        <v>#N/A</v>
      </c>
    </row>
    <row r="1151" spans="1:82" ht="61.5" x14ac:dyDescent="0.85">
      <c r="A1151" s="18">
        <v>1</v>
      </c>
      <c r="B1151" s="57">
        <f>SUBTOTAL(103,$A$1093:A1151)</f>
        <v>59</v>
      </c>
      <c r="C1151" s="22" t="s">
        <v>1103</v>
      </c>
      <c r="D1151" s="29">
        <f t="shared" si="219"/>
        <v>1338055.4100000001</v>
      </c>
      <c r="E1151" s="29">
        <v>0</v>
      </c>
      <c r="F1151" s="29">
        <v>0</v>
      </c>
      <c r="G1151" s="29">
        <v>0</v>
      </c>
      <c r="H1151" s="29">
        <v>0</v>
      </c>
      <c r="I1151" s="29">
        <v>0</v>
      </c>
      <c r="J1151" s="29">
        <v>0</v>
      </c>
      <c r="K1151" s="64">
        <v>0</v>
      </c>
      <c r="L1151" s="29">
        <v>0</v>
      </c>
      <c r="M1151" s="29">
        <v>0</v>
      </c>
      <c r="N1151" s="29">
        <v>0</v>
      </c>
      <c r="O1151" s="29">
        <v>278</v>
      </c>
      <c r="P1151" s="29">
        <v>1318378.6100000001</v>
      </c>
      <c r="Q1151" s="29">
        <v>0</v>
      </c>
      <c r="R1151" s="29">
        <v>0</v>
      </c>
      <c r="S1151" s="29">
        <v>0</v>
      </c>
      <c r="T1151" s="29">
        <v>0</v>
      </c>
      <c r="U1151" s="29">
        <v>0</v>
      </c>
      <c r="V1151" s="29">
        <v>0</v>
      </c>
      <c r="W1151" s="29">
        <v>0</v>
      </c>
      <c r="X1151" s="29">
        <v>0</v>
      </c>
      <c r="Y1151" s="29">
        <v>0</v>
      </c>
      <c r="Z1151" s="29">
        <v>0</v>
      </c>
      <c r="AA1151" s="29">
        <v>0</v>
      </c>
      <c r="AB1151" s="29">
        <v>0</v>
      </c>
      <c r="AC1151" s="29">
        <v>19676.8</v>
      </c>
      <c r="AD1151" s="29">
        <v>0</v>
      </c>
      <c r="AE1151" s="29">
        <v>0</v>
      </c>
      <c r="AF1151" s="32" t="s">
        <v>268</v>
      </c>
      <c r="AG1151" s="32">
        <v>2022</v>
      </c>
      <c r="AH1151" s="32">
        <v>2022</v>
      </c>
      <c r="BZ1151" s="61"/>
      <c r="CD1151" s="18" t="e">
        <f>VLOOKUP(C1151,CE:CF,2,FALSE)</f>
        <v>#N/A</v>
      </c>
    </row>
    <row r="1152" spans="1:82" ht="61.5" x14ac:dyDescent="0.85">
      <c r="A1152" s="18">
        <v>1</v>
      </c>
      <c r="B1152" s="57">
        <f>SUBTOTAL(103,$A$1093:A1152)</f>
        <v>60</v>
      </c>
      <c r="C1152" s="22" t="s">
        <v>1104</v>
      </c>
      <c r="D1152" s="29">
        <f t="shared" si="219"/>
        <v>221655.15999999997</v>
      </c>
      <c r="E1152" s="29">
        <v>102509.44</v>
      </c>
      <c r="F1152" s="29">
        <v>0</v>
      </c>
      <c r="G1152" s="29">
        <v>0</v>
      </c>
      <c r="H1152" s="29">
        <v>115886.17</v>
      </c>
      <c r="I1152" s="29">
        <v>0</v>
      </c>
      <c r="J1152" s="29">
        <v>0</v>
      </c>
      <c r="K1152" s="64">
        <v>0</v>
      </c>
      <c r="L1152" s="29">
        <v>0</v>
      </c>
      <c r="M1152" s="29">
        <v>0</v>
      </c>
      <c r="N1152" s="29">
        <v>0</v>
      </c>
      <c r="O1152" s="29">
        <v>0</v>
      </c>
      <c r="P1152" s="29">
        <v>0</v>
      </c>
      <c r="Q1152" s="29">
        <v>0</v>
      </c>
      <c r="R1152" s="29">
        <v>0</v>
      </c>
      <c r="S1152" s="29">
        <v>0</v>
      </c>
      <c r="T1152" s="29">
        <v>0</v>
      </c>
      <c r="U1152" s="29">
        <v>0</v>
      </c>
      <c r="V1152" s="29">
        <v>0</v>
      </c>
      <c r="W1152" s="29">
        <v>0</v>
      </c>
      <c r="X1152" s="29">
        <v>0</v>
      </c>
      <c r="Y1152" s="29">
        <v>0</v>
      </c>
      <c r="Z1152" s="29">
        <v>0</v>
      </c>
      <c r="AA1152" s="29">
        <v>0</v>
      </c>
      <c r="AB1152" s="29">
        <v>0</v>
      </c>
      <c r="AC1152" s="29">
        <v>3259.55</v>
      </c>
      <c r="AD1152" s="29">
        <v>0</v>
      </c>
      <c r="AE1152" s="29">
        <v>0</v>
      </c>
      <c r="AF1152" s="32" t="s">
        <v>268</v>
      </c>
      <c r="AG1152" s="32">
        <v>2022</v>
      </c>
      <c r="AH1152" s="32">
        <v>2022</v>
      </c>
      <c r="BZ1152" s="61"/>
      <c r="CD1152" s="18" t="e">
        <f>VLOOKUP(C1152,CE:CF,2,FALSE)</f>
        <v>#N/A</v>
      </c>
    </row>
    <row r="1153" spans="1:82" ht="61.5" x14ac:dyDescent="0.85">
      <c r="A1153" s="18">
        <v>1</v>
      </c>
      <c r="B1153" s="57">
        <f>SUBTOTAL(103,$A$1093:A1153)</f>
        <v>61</v>
      </c>
      <c r="C1153" s="22" t="s">
        <v>2440</v>
      </c>
      <c r="D1153" s="29">
        <f t="shared" ref="D1153:D1154" si="220">E1153+F1153+G1153+H1153+I1153+J1153+L1153+N1153+P1153+R1153+T1153+U1153+V1153+W1153+X1153+Y1153+Z1153+AA1153+AB1153+AC1153+AD1153+AE1153</f>
        <v>2130000</v>
      </c>
      <c r="E1153" s="29">
        <v>0</v>
      </c>
      <c r="F1153" s="29">
        <v>0</v>
      </c>
      <c r="G1153" s="29">
        <v>0</v>
      </c>
      <c r="H1153" s="29">
        <v>0</v>
      </c>
      <c r="I1153" s="29">
        <v>0</v>
      </c>
      <c r="J1153" s="29">
        <v>0</v>
      </c>
      <c r="K1153" s="64">
        <v>0</v>
      </c>
      <c r="L1153" s="29">
        <v>0</v>
      </c>
      <c r="M1153" s="29">
        <v>436</v>
      </c>
      <c r="N1153" s="29">
        <v>2000000</v>
      </c>
      <c r="O1153" s="29">
        <v>0</v>
      </c>
      <c r="P1153" s="29">
        <v>0</v>
      </c>
      <c r="Q1153" s="29">
        <v>0</v>
      </c>
      <c r="R1153" s="29">
        <v>0</v>
      </c>
      <c r="S1153" s="29">
        <v>0</v>
      </c>
      <c r="T1153" s="29">
        <v>0</v>
      </c>
      <c r="U1153" s="29">
        <v>0</v>
      </c>
      <c r="V1153" s="29">
        <v>0</v>
      </c>
      <c r="W1153" s="29">
        <v>0</v>
      </c>
      <c r="X1153" s="29">
        <v>0</v>
      </c>
      <c r="Y1153" s="29">
        <v>0</v>
      </c>
      <c r="Z1153" s="29">
        <v>0</v>
      </c>
      <c r="AA1153" s="29">
        <v>0</v>
      </c>
      <c r="AB1153" s="29">
        <v>0</v>
      </c>
      <c r="AC1153" s="29">
        <v>30000</v>
      </c>
      <c r="AD1153" s="29">
        <v>100000</v>
      </c>
      <c r="AE1153" s="29">
        <v>0</v>
      </c>
      <c r="AF1153" s="32">
        <v>2022</v>
      </c>
      <c r="AG1153" s="32">
        <v>2022</v>
      </c>
      <c r="AH1153" s="33">
        <v>2022</v>
      </c>
      <c r="AT1153" s="18" t="e">
        <f>VLOOKUP(C1153,AW:AX,2,FALSE)</f>
        <v>#N/A</v>
      </c>
      <c r="BZ1153" s="61"/>
      <c r="CD1153" s="18" t="e">
        <f>VLOOKUP(C1153,CE:CF,2,FALSE)</f>
        <v>#N/A</v>
      </c>
    </row>
    <row r="1154" spans="1:82" ht="61.5" x14ac:dyDescent="0.85">
      <c r="A1154" s="18">
        <v>1</v>
      </c>
      <c r="B1154" s="57">
        <f>SUBTOTAL(103,$A$1093:A1154)</f>
        <v>62</v>
      </c>
      <c r="C1154" s="22" t="s">
        <v>2441</v>
      </c>
      <c r="D1154" s="29">
        <f t="shared" si="220"/>
        <v>4369274.7300000004</v>
      </c>
      <c r="E1154" s="29">
        <v>0</v>
      </c>
      <c r="F1154" s="29">
        <v>0</v>
      </c>
      <c r="G1154" s="29">
        <v>0</v>
      </c>
      <c r="H1154" s="29">
        <v>0</v>
      </c>
      <c r="I1154" s="29">
        <v>0</v>
      </c>
      <c r="J1154" s="29">
        <v>0</v>
      </c>
      <c r="K1154" s="64">
        <v>0</v>
      </c>
      <c r="L1154" s="29">
        <v>0</v>
      </c>
      <c r="M1154" s="29">
        <v>890</v>
      </c>
      <c r="N1154" s="29">
        <v>4206182</v>
      </c>
      <c r="O1154" s="29">
        <v>0</v>
      </c>
      <c r="P1154" s="29">
        <v>0</v>
      </c>
      <c r="Q1154" s="29">
        <v>0</v>
      </c>
      <c r="R1154" s="29">
        <v>0</v>
      </c>
      <c r="S1154" s="29">
        <v>0</v>
      </c>
      <c r="T1154" s="29">
        <v>0</v>
      </c>
      <c r="U1154" s="29">
        <v>0</v>
      </c>
      <c r="V1154" s="29">
        <v>0</v>
      </c>
      <c r="W1154" s="29">
        <v>0</v>
      </c>
      <c r="X1154" s="29">
        <v>0</v>
      </c>
      <c r="Y1154" s="29">
        <v>0</v>
      </c>
      <c r="Z1154" s="29">
        <v>0</v>
      </c>
      <c r="AA1154" s="29">
        <v>0</v>
      </c>
      <c r="AB1154" s="29">
        <v>0</v>
      </c>
      <c r="AC1154" s="29">
        <v>63092.73</v>
      </c>
      <c r="AD1154" s="29">
        <v>100000</v>
      </c>
      <c r="AE1154" s="29">
        <v>0</v>
      </c>
      <c r="AF1154" s="32">
        <v>2022</v>
      </c>
      <c r="AG1154" s="32">
        <v>2022</v>
      </c>
      <c r="AH1154" s="33">
        <v>2022</v>
      </c>
      <c r="AT1154" s="18" t="e">
        <f>VLOOKUP(C1154,AW:AX,2,FALSE)</f>
        <v>#N/A</v>
      </c>
      <c r="BZ1154" s="61"/>
      <c r="CD1154" s="18" t="e">
        <f>VLOOKUP(C1154,CE:CF,2,FALSE)</f>
        <v>#N/A</v>
      </c>
    </row>
    <row r="1155" spans="1:82" ht="61.5" x14ac:dyDescent="0.85">
      <c r="A1155" s="18">
        <v>1</v>
      </c>
      <c r="B1155" s="57">
        <f>SUBTOTAL(103,$A$1093:A1155)</f>
        <v>63</v>
      </c>
      <c r="C1155" s="22" t="s">
        <v>2442</v>
      </c>
      <c r="D1155" s="29">
        <f t="shared" si="219"/>
        <v>3065371.4600000004</v>
      </c>
      <c r="E1155" s="29">
        <v>0</v>
      </c>
      <c r="F1155" s="29">
        <v>0</v>
      </c>
      <c r="G1155" s="29">
        <v>0</v>
      </c>
      <c r="H1155" s="29">
        <v>0</v>
      </c>
      <c r="I1155" s="29">
        <v>0</v>
      </c>
      <c r="J1155" s="29">
        <v>0</v>
      </c>
      <c r="K1155" s="64">
        <v>0</v>
      </c>
      <c r="L1155" s="29">
        <v>0</v>
      </c>
      <c r="M1155" s="29">
        <v>522.5</v>
      </c>
      <c r="N1155" s="29">
        <v>2921548.24</v>
      </c>
      <c r="O1155" s="29">
        <v>0</v>
      </c>
      <c r="P1155" s="29">
        <v>0</v>
      </c>
      <c r="Q1155" s="29">
        <v>0</v>
      </c>
      <c r="R1155" s="29">
        <v>0</v>
      </c>
      <c r="S1155" s="29">
        <v>0</v>
      </c>
      <c r="T1155" s="29">
        <v>0</v>
      </c>
      <c r="U1155" s="29">
        <v>0</v>
      </c>
      <c r="V1155" s="29">
        <v>0</v>
      </c>
      <c r="W1155" s="29">
        <v>0</v>
      </c>
      <c r="X1155" s="29">
        <v>0</v>
      </c>
      <c r="Y1155" s="29">
        <v>0</v>
      </c>
      <c r="Z1155" s="29">
        <v>0</v>
      </c>
      <c r="AA1155" s="29">
        <v>0</v>
      </c>
      <c r="AB1155" s="29">
        <v>0</v>
      </c>
      <c r="AC1155" s="29">
        <v>43823.22</v>
      </c>
      <c r="AD1155" s="29">
        <v>100000</v>
      </c>
      <c r="AE1155" s="29">
        <v>0</v>
      </c>
      <c r="AF1155" s="32">
        <v>2022</v>
      </c>
      <c r="AG1155" s="32">
        <v>2022</v>
      </c>
      <c r="AH1155" s="33">
        <v>2022</v>
      </c>
      <c r="AT1155" s="18" t="e">
        <f>VLOOKUP(C1155,AW:AX,2,FALSE)</f>
        <v>#N/A</v>
      </c>
      <c r="BZ1155" s="61"/>
      <c r="CD1155" s="18" t="e">
        <f>VLOOKUP(C1155,CE:CF,2,FALSE)</f>
        <v>#N/A</v>
      </c>
    </row>
    <row r="1156" spans="1:82" ht="61.5" x14ac:dyDescent="0.85">
      <c r="A1156" s="18">
        <v>1</v>
      </c>
      <c r="B1156" s="57">
        <f>SUBTOTAL(103,$A$1093:A1156)</f>
        <v>64</v>
      </c>
      <c r="C1156" s="22" t="s">
        <v>2443</v>
      </c>
      <c r="D1156" s="29">
        <f t="shared" si="219"/>
        <v>7052450</v>
      </c>
      <c r="E1156" s="29">
        <v>0</v>
      </c>
      <c r="F1156" s="29">
        <v>0</v>
      </c>
      <c r="G1156" s="29">
        <v>0</v>
      </c>
      <c r="H1156" s="29">
        <v>0</v>
      </c>
      <c r="I1156" s="29">
        <v>0</v>
      </c>
      <c r="J1156" s="29">
        <v>0</v>
      </c>
      <c r="K1156" s="64">
        <v>0</v>
      </c>
      <c r="L1156" s="29">
        <v>0</v>
      </c>
      <c r="M1156" s="29">
        <v>1560</v>
      </c>
      <c r="N1156" s="29">
        <v>6830000</v>
      </c>
      <c r="O1156" s="29">
        <v>0</v>
      </c>
      <c r="P1156" s="29">
        <v>0</v>
      </c>
      <c r="Q1156" s="29">
        <v>0</v>
      </c>
      <c r="R1156" s="29">
        <v>0</v>
      </c>
      <c r="S1156" s="29">
        <v>0</v>
      </c>
      <c r="T1156" s="29">
        <v>0</v>
      </c>
      <c r="U1156" s="29">
        <v>0</v>
      </c>
      <c r="V1156" s="29">
        <v>0</v>
      </c>
      <c r="W1156" s="29">
        <v>0</v>
      </c>
      <c r="X1156" s="29">
        <v>0</v>
      </c>
      <c r="Y1156" s="29">
        <v>0</v>
      </c>
      <c r="Z1156" s="29">
        <v>0</v>
      </c>
      <c r="AA1156" s="29">
        <v>0</v>
      </c>
      <c r="AB1156" s="29">
        <v>0</v>
      </c>
      <c r="AC1156" s="29">
        <v>102450</v>
      </c>
      <c r="AD1156" s="29">
        <v>120000</v>
      </c>
      <c r="AE1156" s="29">
        <v>0</v>
      </c>
      <c r="AF1156" s="32">
        <v>2022</v>
      </c>
      <c r="AG1156" s="32">
        <v>2022</v>
      </c>
      <c r="AH1156" s="33">
        <v>2022</v>
      </c>
      <c r="AT1156" s="18" t="e">
        <f>VLOOKUP(C1156,AW:AX,2,FALSE)</f>
        <v>#N/A</v>
      </c>
      <c r="BZ1156" s="61"/>
      <c r="CD1156" s="18" t="e">
        <f>VLOOKUP(C1156,CE:CF,2,FALSE)</f>
        <v>#N/A</v>
      </c>
    </row>
    <row r="1157" spans="1:82" ht="61.5" x14ac:dyDescent="0.85">
      <c r="A1157" s="18">
        <v>1</v>
      </c>
      <c r="B1157" s="57">
        <f>SUBTOTAL(103,$A$1093:A1157)</f>
        <v>65</v>
      </c>
      <c r="C1157" s="22" t="s">
        <v>2444</v>
      </c>
      <c r="D1157" s="29">
        <f t="shared" ref="D1157:D1158" si="221">E1157+F1157+G1157+H1157+I1157+J1157+L1157+N1157+P1157+R1157+T1157+U1157+V1157+W1157+X1157+Y1157+Z1157+AA1157+AB1157+AC1157+AD1157+AE1157</f>
        <v>4621407.54</v>
      </c>
      <c r="E1157" s="29">
        <v>0</v>
      </c>
      <c r="F1157" s="29">
        <v>0</v>
      </c>
      <c r="G1157" s="29">
        <v>0</v>
      </c>
      <c r="H1157" s="29">
        <v>0</v>
      </c>
      <c r="I1157" s="29">
        <v>0</v>
      </c>
      <c r="J1157" s="29">
        <v>0</v>
      </c>
      <c r="K1157" s="64">
        <v>0</v>
      </c>
      <c r="L1157" s="29">
        <v>0</v>
      </c>
      <c r="M1157" s="29">
        <v>1024</v>
      </c>
      <c r="N1157" s="29">
        <v>4434884.28</v>
      </c>
      <c r="O1157" s="29">
        <v>0</v>
      </c>
      <c r="P1157" s="29">
        <v>0</v>
      </c>
      <c r="Q1157" s="29">
        <v>0</v>
      </c>
      <c r="R1157" s="29">
        <v>0</v>
      </c>
      <c r="S1157" s="29">
        <v>0</v>
      </c>
      <c r="T1157" s="29">
        <v>0</v>
      </c>
      <c r="U1157" s="29">
        <v>0</v>
      </c>
      <c r="V1157" s="29">
        <v>0</v>
      </c>
      <c r="W1157" s="29">
        <v>0</v>
      </c>
      <c r="X1157" s="29">
        <v>0</v>
      </c>
      <c r="Y1157" s="29">
        <v>0</v>
      </c>
      <c r="Z1157" s="29">
        <v>0</v>
      </c>
      <c r="AA1157" s="29">
        <v>0</v>
      </c>
      <c r="AB1157" s="29">
        <v>0</v>
      </c>
      <c r="AC1157" s="29">
        <v>66523.259999999995</v>
      </c>
      <c r="AD1157" s="29">
        <v>120000</v>
      </c>
      <c r="AE1157" s="29">
        <v>0</v>
      </c>
      <c r="AF1157" s="32">
        <v>2022</v>
      </c>
      <c r="AG1157" s="32">
        <v>2022</v>
      </c>
      <c r="AH1157" s="33">
        <v>2022</v>
      </c>
      <c r="AT1157" s="18" t="e">
        <f>VLOOKUP(C1157,AW:AX,2,FALSE)</f>
        <v>#N/A</v>
      </c>
      <c r="BZ1157" s="61"/>
      <c r="CD1157" s="18" t="e">
        <f>VLOOKUP(C1157,CE:CF,2,FALSE)</f>
        <v>#N/A</v>
      </c>
    </row>
    <row r="1158" spans="1:82" ht="61.5" x14ac:dyDescent="0.85">
      <c r="A1158" s="18">
        <v>1</v>
      </c>
      <c r="B1158" s="57">
        <f>SUBTOTAL(103,$A$1093:A1158)</f>
        <v>66</v>
      </c>
      <c r="C1158" s="22" t="s">
        <v>2445</v>
      </c>
      <c r="D1158" s="29">
        <f t="shared" si="221"/>
        <v>2334500</v>
      </c>
      <c r="E1158" s="29">
        <v>0</v>
      </c>
      <c r="F1158" s="29">
        <v>0</v>
      </c>
      <c r="G1158" s="29">
        <v>0</v>
      </c>
      <c r="H1158" s="29">
        <v>0</v>
      </c>
      <c r="I1158" s="29">
        <v>0</v>
      </c>
      <c r="J1158" s="29">
        <v>0</v>
      </c>
      <c r="K1158" s="64">
        <v>0</v>
      </c>
      <c r="L1158" s="29">
        <v>0</v>
      </c>
      <c r="M1158" s="29">
        <v>0</v>
      </c>
      <c r="N1158" s="29">
        <v>0</v>
      </c>
      <c r="O1158" s="29">
        <v>0</v>
      </c>
      <c r="P1158" s="29">
        <v>0</v>
      </c>
      <c r="Q1158" s="29">
        <v>633.91</v>
      </c>
      <c r="R1158" s="29">
        <v>2200000</v>
      </c>
      <c r="S1158" s="29">
        <v>0</v>
      </c>
      <c r="T1158" s="29">
        <v>0</v>
      </c>
      <c r="U1158" s="29">
        <v>0</v>
      </c>
      <c r="V1158" s="29">
        <v>0</v>
      </c>
      <c r="W1158" s="29">
        <v>0</v>
      </c>
      <c r="X1158" s="29">
        <v>0</v>
      </c>
      <c r="Y1158" s="29">
        <v>0</v>
      </c>
      <c r="Z1158" s="29">
        <v>0</v>
      </c>
      <c r="AA1158" s="29">
        <v>0</v>
      </c>
      <c r="AB1158" s="29">
        <v>0</v>
      </c>
      <c r="AC1158" s="29">
        <v>34500</v>
      </c>
      <c r="AD1158" s="29">
        <v>100000</v>
      </c>
      <c r="AE1158" s="29">
        <v>0</v>
      </c>
      <c r="AF1158" s="32">
        <v>2022</v>
      </c>
      <c r="AG1158" s="32">
        <v>2022</v>
      </c>
      <c r="AH1158" s="33">
        <v>2022</v>
      </c>
      <c r="AT1158" s="18" t="e">
        <f>VLOOKUP(C1158,AW:AX,2,FALSE)</f>
        <v>#N/A</v>
      </c>
      <c r="BZ1158" s="61"/>
      <c r="CD1158" s="18" t="e">
        <f>VLOOKUP(C1158,CE:CF,2,FALSE)</f>
        <v>#N/A</v>
      </c>
    </row>
    <row r="1159" spans="1:82" ht="61.5" x14ac:dyDescent="0.85">
      <c r="A1159" s="18">
        <v>1</v>
      </c>
      <c r="B1159" s="57">
        <f>SUBTOTAL(103,$A$1093:A1159)</f>
        <v>67</v>
      </c>
      <c r="C1159" s="22" t="s">
        <v>2446</v>
      </c>
      <c r="D1159" s="29">
        <f t="shared" ref="D1159:D1160" si="222">E1159+F1159+G1159+H1159+I1159+J1159+L1159+N1159+P1159+R1159+T1159+U1159+V1159+W1159+X1159+Y1159+Z1159+AA1159+AB1159+AC1159+AD1159+AE1159</f>
        <v>938875</v>
      </c>
      <c r="E1159" s="29">
        <v>0</v>
      </c>
      <c r="F1159" s="29">
        <v>0</v>
      </c>
      <c r="G1159" s="29">
        <v>0</v>
      </c>
      <c r="H1159" s="29">
        <v>0</v>
      </c>
      <c r="I1159" s="29">
        <v>0</v>
      </c>
      <c r="J1159" s="29">
        <v>0</v>
      </c>
      <c r="K1159" s="64">
        <v>0</v>
      </c>
      <c r="L1159" s="29">
        <v>0</v>
      </c>
      <c r="M1159" s="29">
        <v>0</v>
      </c>
      <c r="N1159" s="29">
        <v>0</v>
      </c>
      <c r="O1159" s="29">
        <v>0</v>
      </c>
      <c r="P1159" s="29">
        <v>0</v>
      </c>
      <c r="Q1159" s="29">
        <v>398.4</v>
      </c>
      <c r="R1159" s="29">
        <v>925000</v>
      </c>
      <c r="S1159" s="29">
        <v>0</v>
      </c>
      <c r="T1159" s="29">
        <v>0</v>
      </c>
      <c r="U1159" s="29">
        <v>0</v>
      </c>
      <c r="V1159" s="29">
        <v>0</v>
      </c>
      <c r="W1159" s="29">
        <v>0</v>
      </c>
      <c r="X1159" s="29">
        <v>0</v>
      </c>
      <c r="Y1159" s="29">
        <v>0</v>
      </c>
      <c r="Z1159" s="29">
        <v>0</v>
      </c>
      <c r="AA1159" s="29">
        <v>0</v>
      </c>
      <c r="AB1159" s="29">
        <v>0</v>
      </c>
      <c r="AC1159" s="29">
        <v>13875</v>
      </c>
      <c r="AD1159" s="29">
        <v>0</v>
      </c>
      <c r="AE1159" s="29">
        <v>0</v>
      </c>
      <c r="AF1159" s="32" t="s">
        <v>268</v>
      </c>
      <c r="AG1159" s="32">
        <v>2022</v>
      </c>
      <c r="AH1159" s="33">
        <v>2022</v>
      </c>
      <c r="AT1159" s="18" t="e">
        <f>VLOOKUP(C1159,AW:AX,2,FALSE)</f>
        <v>#N/A</v>
      </c>
      <c r="BZ1159" s="61"/>
      <c r="CD1159" s="18" t="e">
        <f>VLOOKUP(C1159,CE:CF,2,FALSE)</f>
        <v>#N/A</v>
      </c>
    </row>
    <row r="1160" spans="1:82" ht="61.5" x14ac:dyDescent="0.85">
      <c r="A1160" s="18">
        <v>1</v>
      </c>
      <c r="B1160" s="57">
        <f>SUBTOTAL(103,$A$1093:A1160)</f>
        <v>68</v>
      </c>
      <c r="C1160" s="22" t="s">
        <v>2447</v>
      </c>
      <c r="D1160" s="29">
        <f t="shared" si="222"/>
        <v>4220900</v>
      </c>
      <c r="E1160" s="29">
        <v>0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64">
        <v>0</v>
      </c>
      <c r="L1160" s="29">
        <v>0</v>
      </c>
      <c r="M1160" s="29">
        <v>860</v>
      </c>
      <c r="N1160" s="29">
        <v>4060000</v>
      </c>
      <c r="O1160" s="29">
        <v>0</v>
      </c>
      <c r="P1160" s="29">
        <v>0</v>
      </c>
      <c r="Q1160" s="29">
        <v>0</v>
      </c>
      <c r="R1160" s="29">
        <v>0</v>
      </c>
      <c r="S1160" s="29">
        <v>0</v>
      </c>
      <c r="T1160" s="29">
        <v>0</v>
      </c>
      <c r="U1160" s="29">
        <v>0</v>
      </c>
      <c r="V1160" s="29">
        <v>0</v>
      </c>
      <c r="W1160" s="29">
        <v>0</v>
      </c>
      <c r="X1160" s="29">
        <v>0</v>
      </c>
      <c r="Y1160" s="29">
        <v>0</v>
      </c>
      <c r="Z1160" s="29">
        <v>0</v>
      </c>
      <c r="AA1160" s="29">
        <v>0</v>
      </c>
      <c r="AB1160" s="29">
        <v>0</v>
      </c>
      <c r="AC1160" s="29">
        <v>60900</v>
      </c>
      <c r="AD1160" s="29">
        <v>100000</v>
      </c>
      <c r="AE1160" s="29">
        <v>0</v>
      </c>
      <c r="AF1160" s="32">
        <v>2022</v>
      </c>
      <c r="AG1160" s="32">
        <v>2022</v>
      </c>
      <c r="AH1160" s="33">
        <v>2022</v>
      </c>
      <c r="AT1160" s="18" t="e">
        <f>VLOOKUP(C1160,AW:AX,2,FALSE)</f>
        <v>#N/A</v>
      </c>
      <c r="BZ1160" s="61"/>
      <c r="CD1160" s="18" t="e">
        <f>VLOOKUP(C1160,CE:CF,2,FALSE)</f>
        <v>#N/A</v>
      </c>
    </row>
    <row r="1161" spans="1:82" ht="61.5" x14ac:dyDescent="0.85">
      <c r="A1161" s="18">
        <v>1</v>
      </c>
      <c r="B1161" s="57">
        <f>SUBTOTAL(103,$A$1093:A1161)</f>
        <v>69</v>
      </c>
      <c r="C1161" s="22" t="s">
        <v>2448</v>
      </c>
      <c r="D1161" s="29">
        <f t="shared" si="219"/>
        <v>5550250</v>
      </c>
      <c r="E1161" s="29">
        <v>0</v>
      </c>
      <c r="F1161" s="29">
        <v>0</v>
      </c>
      <c r="G1161" s="29">
        <v>0</v>
      </c>
      <c r="H1161" s="29">
        <v>0</v>
      </c>
      <c r="I1161" s="29">
        <v>0</v>
      </c>
      <c r="J1161" s="29">
        <v>0</v>
      </c>
      <c r="K1161" s="64">
        <v>0</v>
      </c>
      <c r="L1161" s="29">
        <v>0</v>
      </c>
      <c r="M1161" s="29">
        <v>1164</v>
      </c>
      <c r="N1161" s="29">
        <v>5350000</v>
      </c>
      <c r="O1161" s="29">
        <v>0</v>
      </c>
      <c r="P1161" s="29">
        <v>0</v>
      </c>
      <c r="Q1161" s="29">
        <v>0</v>
      </c>
      <c r="R1161" s="29">
        <v>0</v>
      </c>
      <c r="S1161" s="29">
        <v>0</v>
      </c>
      <c r="T1161" s="29">
        <v>0</v>
      </c>
      <c r="U1161" s="29">
        <v>0</v>
      </c>
      <c r="V1161" s="29">
        <v>0</v>
      </c>
      <c r="W1161" s="29">
        <v>0</v>
      </c>
      <c r="X1161" s="29">
        <v>0</v>
      </c>
      <c r="Y1161" s="29">
        <v>0</v>
      </c>
      <c r="Z1161" s="29">
        <v>0</v>
      </c>
      <c r="AA1161" s="29">
        <v>0</v>
      </c>
      <c r="AB1161" s="29">
        <v>0</v>
      </c>
      <c r="AC1161" s="29">
        <v>80250</v>
      </c>
      <c r="AD1161" s="29">
        <v>120000</v>
      </c>
      <c r="AE1161" s="29">
        <v>0</v>
      </c>
      <c r="AF1161" s="32">
        <v>2022</v>
      </c>
      <c r="AG1161" s="32">
        <v>2022</v>
      </c>
      <c r="AH1161" s="33">
        <v>2022</v>
      </c>
      <c r="AT1161" s="18" t="e">
        <f>VLOOKUP(C1161,AW:AX,2,FALSE)</f>
        <v>#N/A</v>
      </c>
      <c r="BZ1161" s="61"/>
      <c r="CD1161" s="18" t="e">
        <f>VLOOKUP(C1161,CE:CF,2,FALSE)</f>
        <v>#N/A</v>
      </c>
    </row>
    <row r="1162" spans="1:82" ht="61.5" x14ac:dyDescent="0.85">
      <c r="A1162" s="18">
        <v>1</v>
      </c>
      <c r="B1162" s="57">
        <f>SUBTOTAL(103,$A$1093:A1162)</f>
        <v>70</v>
      </c>
      <c r="C1162" s="22" t="s">
        <v>2449</v>
      </c>
      <c r="D1162" s="29">
        <f t="shared" si="217"/>
        <v>4527278.21</v>
      </c>
      <c r="E1162" s="29">
        <v>0</v>
      </c>
      <c r="F1162" s="29">
        <v>0</v>
      </c>
      <c r="G1162" s="29">
        <v>0</v>
      </c>
      <c r="H1162" s="29">
        <v>0</v>
      </c>
      <c r="I1162" s="29">
        <v>0</v>
      </c>
      <c r="J1162" s="29">
        <v>0</v>
      </c>
      <c r="K1162" s="64">
        <v>0</v>
      </c>
      <c r="L1162" s="29">
        <v>0</v>
      </c>
      <c r="M1162" s="29">
        <v>1029.3</v>
      </c>
      <c r="N1162" s="29">
        <v>4342146.0199999996</v>
      </c>
      <c r="O1162" s="29">
        <v>0</v>
      </c>
      <c r="P1162" s="29">
        <v>0</v>
      </c>
      <c r="Q1162" s="29">
        <v>0</v>
      </c>
      <c r="R1162" s="29">
        <v>0</v>
      </c>
      <c r="S1162" s="29">
        <v>0</v>
      </c>
      <c r="T1162" s="29">
        <v>0</v>
      </c>
      <c r="U1162" s="29">
        <v>0</v>
      </c>
      <c r="V1162" s="29">
        <v>0</v>
      </c>
      <c r="W1162" s="29">
        <v>0</v>
      </c>
      <c r="X1162" s="29">
        <v>0</v>
      </c>
      <c r="Y1162" s="29">
        <v>0</v>
      </c>
      <c r="Z1162" s="29">
        <v>0</v>
      </c>
      <c r="AA1162" s="29">
        <v>0</v>
      </c>
      <c r="AB1162" s="29">
        <v>0</v>
      </c>
      <c r="AC1162" s="29">
        <v>65132.19</v>
      </c>
      <c r="AD1162" s="29">
        <v>120000</v>
      </c>
      <c r="AE1162" s="29">
        <v>0</v>
      </c>
      <c r="AF1162" s="32">
        <v>2022</v>
      </c>
      <c r="AG1162" s="32">
        <v>2022</v>
      </c>
      <c r="AH1162" s="33">
        <v>2022</v>
      </c>
      <c r="AT1162" s="18" t="e">
        <f>VLOOKUP(C1162,AW:AX,2,FALSE)</f>
        <v>#N/A</v>
      </c>
      <c r="BZ1162" s="61"/>
      <c r="CD1162" s="18" t="e">
        <f>VLOOKUP(C1162,CE:CF,2,FALSE)</f>
        <v>#N/A</v>
      </c>
    </row>
    <row r="1163" spans="1:82" ht="61.5" x14ac:dyDescent="0.85">
      <c r="B1163" s="22" t="s">
        <v>748</v>
      </c>
      <c r="C1163" s="338"/>
      <c r="D1163" s="339">
        <f>SUM(D1164:D1177)</f>
        <v>44764760.649999999</v>
      </c>
      <c r="E1163" s="29">
        <f t="shared" ref="E1163:AE1163" si="223">SUM(E1164:E1177)</f>
        <v>0</v>
      </c>
      <c r="F1163" s="29">
        <f t="shared" si="223"/>
        <v>0</v>
      </c>
      <c r="G1163" s="29">
        <f t="shared" si="223"/>
        <v>0</v>
      </c>
      <c r="H1163" s="29">
        <f t="shared" si="223"/>
        <v>415281.24</v>
      </c>
      <c r="I1163" s="29">
        <f t="shared" si="223"/>
        <v>0</v>
      </c>
      <c r="J1163" s="29">
        <f t="shared" si="223"/>
        <v>0</v>
      </c>
      <c r="K1163" s="31">
        <f t="shared" si="223"/>
        <v>0</v>
      </c>
      <c r="L1163" s="29">
        <f t="shared" si="223"/>
        <v>0</v>
      </c>
      <c r="M1163" s="29">
        <f t="shared" si="223"/>
        <v>7727.4100000000008</v>
      </c>
      <c r="N1163" s="29">
        <f t="shared" si="223"/>
        <v>41638670.140000008</v>
      </c>
      <c r="O1163" s="29">
        <f t="shared" si="223"/>
        <v>0</v>
      </c>
      <c r="P1163" s="29">
        <f t="shared" si="223"/>
        <v>0</v>
      </c>
      <c r="Q1163" s="29">
        <f t="shared" si="223"/>
        <v>0</v>
      </c>
      <c r="R1163" s="29">
        <f t="shared" si="223"/>
        <v>0</v>
      </c>
      <c r="S1163" s="29">
        <f t="shared" si="223"/>
        <v>0</v>
      </c>
      <c r="T1163" s="29">
        <f t="shared" si="223"/>
        <v>0</v>
      </c>
      <c r="U1163" s="29">
        <f t="shared" si="223"/>
        <v>0</v>
      </c>
      <c r="V1163" s="29">
        <f t="shared" si="223"/>
        <v>0</v>
      </c>
      <c r="W1163" s="29">
        <f t="shared" si="223"/>
        <v>0</v>
      </c>
      <c r="X1163" s="29">
        <f t="shared" si="223"/>
        <v>0</v>
      </c>
      <c r="Y1163" s="29">
        <f t="shared" si="223"/>
        <v>0</v>
      </c>
      <c r="Z1163" s="29">
        <f t="shared" si="223"/>
        <v>0</v>
      </c>
      <c r="AA1163" s="29">
        <f t="shared" si="223"/>
        <v>0</v>
      </c>
      <c r="AB1163" s="29">
        <f t="shared" si="223"/>
        <v>0</v>
      </c>
      <c r="AC1163" s="29">
        <f t="shared" si="223"/>
        <v>630809.27</v>
      </c>
      <c r="AD1163" s="29">
        <f t="shared" si="223"/>
        <v>1960000</v>
      </c>
      <c r="AE1163" s="29">
        <f t="shared" si="223"/>
        <v>120000</v>
      </c>
      <c r="AF1163" s="62" t="s">
        <v>743</v>
      </c>
      <c r="AG1163" s="62" t="s">
        <v>743</v>
      </c>
      <c r="AH1163" s="77" t="s">
        <v>743</v>
      </c>
      <c r="AT1163" s="18" t="e">
        <f>VLOOKUP(C1163,AW:AX,2,FALSE)</f>
        <v>#N/A</v>
      </c>
      <c r="BZ1163" s="29">
        <v>45048314.759999998</v>
      </c>
      <c r="CA1163" s="29"/>
      <c r="CB1163" s="29">
        <f>BZ1163-D1163</f>
        <v>283554.1099999994</v>
      </c>
    </row>
    <row r="1164" spans="1:82" ht="61.5" x14ac:dyDescent="0.85">
      <c r="A1164" s="18">
        <v>1</v>
      </c>
      <c r="B1164" s="57">
        <f>SUBTOTAL(103,$A$1093:A1164)</f>
        <v>71</v>
      </c>
      <c r="C1164" s="22" t="s">
        <v>464</v>
      </c>
      <c r="D1164" s="29">
        <f t="shared" si="217"/>
        <v>3951259.39</v>
      </c>
      <c r="E1164" s="30">
        <v>0</v>
      </c>
      <c r="F1164" s="30">
        <v>0</v>
      </c>
      <c r="G1164" s="30">
        <v>0</v>
      </c>
      <c r="H1164" s="30">
        <v>0</v>
      </c>
      <c r="I1164" s="30">
        <v>0</v>
      </c>
      <c r="J1164" s="30">
        <v>0</v>
      </c>
      <c r="K1164" s="74">
        <v>0</v>
      </c>
      <c r="L1164" s="30">
        <v>0</v>
      </c>
      <c r="M1164" s="29">
        <v>648.4</v>
      </c>
      <c r="N1164" s="29">
        <v>3745083.14</v>
      </c>
      <c r="O1164" s="30">
        <v>0</v>
      </c>
      <c r="P1164" s="30">
        <v>0</v>
      </c>
      <c r="Q1164" s="30">
        <v>0</v>
      </c>
      <c r="R1164" s="30">
        <v>0</v>
      </c>
      <c r="S1164" s="30">
        <v>0</v>
      </c>
      <c r="T1164" s="30">
        <v>0</v>
      </c>
      <c r="U1164" s="30">
        <v>0</v>
      </c>
      <c r="V1164" s="30">
        <v>0</v>
      </c>
      <c r="W1164" s="30">
        <v>0</v>
      </c>
      <c r="X1164" s="30">
        <v>0</v>
      </c>
      <c r="Y1164" s="30">
        <v>0</v>
      </c>
      <c r="Z1164" s="30">
        <v>0</v>
      </c>
      <c r="AA1164" s="29">
        <v>0</v>
      </c>
      <c r="AB1164" s="29">
        <v>0</v>
      </c>
      <c r="AC1164" s="29">
        <f>ROUND(N1164*1.5%,2)</f>
        <v>56176.25</v>
      </c>
      <c r="AD1164" s="29">
        <v>150000</v>
      </c>
      <c r="AE1164" s="29">
        <v>0</v>
      </c>
      <c r="AF1164" s="32">
        <v>2022</v>
      </c>
      <c r="AG1164" s="32">
        <v>2022</v>
      </c>
      <c r="AH1164" s="33">
        <v>2022</v>
      </c>
      <c r="AT1164" s="18" t="e">
        <f>VLOOKUP(C1164,AW:AX,2,FALSE)</f>
        <v>#N/A</v>
      </c>
      <c r="BZ1164" s="61"/>
    </row>
    <row r="1165" spans="1:82" ht="61.5" x14ac:dyDescent="0.85">
      <c r="A1165" s="18">
        <v>1</v>
      </c>
      <c r="B1165" s="57">
        <f>SUBTOTAL(103,$A$1093:A1165)</f>
        <v>72</v>
      </c>
      <c r="C1165" s="22" t="s">
        <v>465</v>
      </c>
      <c r="D1165" s="29">
        <f t="shared" ref="D1165:D1177" si="224">E1165+F1165+G1165+H1165+I1165+J1165+L1165+N1165+P1165+R1165+T1165+U1165+V1165+W1165+X1165+Y1165+Z1165+AA1165+AB1165+AC1165+AD1165+AE1165</f>
        <v>2999201</v>
      </c>
      <c r="E1165" s="30">
        <v>0</v>
      </c>
      <c r="F1165" s="30">
        <v>0</v>
      </c>
      <c r="G1165" s="30">
        <v>0</v>
      </c>
      <c r="H1165" s="30">
        <v>0</v>
      </c>
      <c r="I1165" s="30">
        <v>0</v>
      </c>
      <c r="J1165" s="30">
        <v>0</v>
      </c>
      <c r="K1165" s="74">
        <v>0</v>
      </c>
      <c r="L1165" s="30">
        <v>0</v>
      </c>
      <c r="M1165" s="29">
        <v>547</v>
      </c>
      <c r="N1165" s="29">
        <v>2807094.58</v>
      </c>
      <c r="O1165" s="30">
        <v>0</v>
      </c>
      <c r="P1165" s="30">
        <v>0</v>
      </c>
      <c r="Q1165" s="30">
        <v>0</v>
      </c>
      <c r="R1165" s="30">
        <v>0</v>
      </c>
      <c r="S1165" s="30">
        <v>0</v>
      </c>
      <c r="T1165" s="30">
        <v>0</v>
      </c>
      <c r="U1165" s="30">
        <v>0</v>
      </c>
      <c r="V1165" s="30">
        <v>0</v>
      </c>
      <c r="W1165" s="30">
        <v>0</v>
      </c>
      <c r="X1165" s="30">
        <v>0</v>
      </c>
      <c r="Y1165" s="30">
        <v>0</v>
      </c>
      <c r="Z1165" s="30">
        <v>0</v>
      </c>
      <c r="AA1165" s="29">
        <v>0</v>
      </c>
      <c r="AB1165" s="29">
        <v>0</v>
      </c>
      <c r="AC1165" s="29">
        <f>ROUND(N1165*1.5%,2)</f>
        <v>42106.42</v>
      </c>
      <c r="AD1165" s="29">
        <v>150000</v>
      </c>
      <c r="AE1165" s="29">
        <v>0</v>
      </c>
      <c r="AF1165" s="32">
        <v>2022</v>
      </c>
      <c r="AG1165" s="32">
        <v>2022</v>
      </c>
      <c r="AH1165" s="33">
        <v>2022</v>
      </c>
      <c r="AT1165" s="18" t="e">
        <f>VLOOKUP(C1165,AW:AX,2,FALSE)</f>
        <v>#N/A</v>
      </c>
      <c r="BZ1165" s="61"/>
    </row>
    <row r="1166" spans="1:82" ht="61.5" x14ac:dyDescent="0.85">
      <c r="A1166" s="18">
        <v>1</v>
      </c>
      <c r="B1166" s="57">
        <f>SUBTOTAL(103,$A$1093:A1166)</f>
        <v>73</v>
      </c>
      <c r="C1166" s="22" t="s">
        <v>466</v>
      </c>
      <c r="D1166" s="29">
        <f t="shared" si="224"/>
        <v>2584541.12</v>
      </c>
      <c r="E1166" s="30">
        <v>0</v>
      </c>
      <c r="F1166" s="30">
        <v>0</v>
      </c>
      <c r="G1166" s="30">
        <v>0</v>
      </c>
      <c r="H1166" s="30">
        <v>0</v>
      </c>
      <c r="I1166" s="30">
        <v>0</v>
      </c>
      <c r="J1166" s="30">
        <v>0</v>
      </c>
      <c r="K1166" s="74">
        <v>0</v>
      </c>
      <c r="L1166" s="30">
        <v>0</v>
      </c>
      <c r="M1166" s="29">
        <v>493.2</v>
      </c>
      <c r="N1166" s="29">
        <v>2428119.33</v>
      </c>
      <c r="O1166" s="30">
        <v>0</v>
      </c>
      <c r="P1166" s="30">
        <v>0</v>
      </c>
      <c r="Q1166" s="30">
        <v>0</v>
      </c>
      <c r="R1166" s="30">
        <v>0</v>
      </c>
      <c r="S1166" s="30">
        <v>0</v>
      </c>
      <c r="T1166" s="30">
        <v>0</v>
      </c>
      <c r="U1166" s="30">
        <v>0</v>
      </c>
      <c r="V1166" s="30">
        <v>0</v>
      </c>
      <c r="W1166" s="30">
        <v>0</v>
      </c>
      <c r="X1166" s="30">
        <v>0</v>
      </c>
      <c r="Y1166" s="30">
        <v>0</v>
      </c>
      <c r="Z1166" s="30">
        <v>0</v>
      </c>
      <c r="AA1166" s="29">
        <v>0</v>
      </c>
      <c r="AB1166" s="29">
        <v>0</v>
      </c>
      <c r="AC1166" s="29">
        <f>ROUND(N1166*1.5%,2)</f>
        <v>36421.79</v>
      </c>
      <c r="AD1166" s="29">
        <v>120000</v>
      </c>
      <c r="AE1166" s="29">
        <v>0</v>
      </c>
      <c r="AF1166" s="32">
        <v>2022</v>
      </c>
      <c r="AG1166" s="32">
        <v>2022</v>
      </c>
      <c r="AH1166" s="33">
        <v>2022</v>
      </c>
      <c r="AT1166" s="18" t="e">
        <f>VLOOKUP(C1166,AW:AX,2,FALSE)</f>
        <v>#N/A</v>
      </c>
      <c r="BZ1166" s="61"/>
    </row>
    <row r="1167" spans="1:82" ht="61.5" x14ac:dyDescent="0.85">
      <c r="A1167" s="18">
        <v>1</v>
      </c>
      <c r="B1167" s="57">
        <f>SUBTOTAL(103,$A$1093:A1167)</f>
        <v>74</v>
      </c>
      <c r="C1167" s="22" t="s">
        <v>467</v>
      </c>
      <c r="D1167" s="29">
        <f t="shared" si="224"/>
        <v>6581549.3999999994</v>
      </c>
      <c r="E1167" s="30">
        <v>0</v>
      </c>
      <c r="F1167" s="30">
        <v>0</v>
      </c>
      <c r="G1167" s="30">
        <v>0</v>
      </c>
      <c r="H1167" s="30">
        <v>0</v>
      </c>
      <c r="I1167" s="30">
        <v>0</v>
      </c>
      <c r="J1167" s="30">
        <v>0</v>
      </c>
      <c r="K1167" s="74">
        <v>0</v>
      </c>
      <c r="L1167" s="30">
        <v>0</v>
      </c>
      <c r="M1167" s="29">
        <v>1130</v>
      </c>
      <c r="N1167" s="29">
        <v>6306945.2199999997</v>
      </c>
      <c r="O1167" s="30">
        <v>0</v>
      </c>
      <c r="P1167" s="30">
        <v>0</v>
      </c>
      <c r="Q1167" s="30">
        <v>0</v>
      </c>
      <c r="R1167" s="30">
        <v>0</v>
      </c>
      <c r="S1167" s="30">
        <v>0</v>
      </c>
      <c r="T1167" s="30">
        <v>0</v>
      </c>
      <c r="U1167" s="30">
        <v>0</v>
      </c>
      <c r="V1167" s="30">
        <v>0</v>
      </c>
      <c r="W1167" s="30">
        <v>0</v>
      </c>
      <c r="X1167" s="30">
        <v>0</v>
      </c>
      <c r="Y1167" s="30">
        <v>0</v>
      </c>
      <c r="Z1167" s="30">
        <v>0</v>
      </c>
      <c r="AA1167" s="29">
        <v>0</v>
      </c>
      <c r="AB1167" s="29">
        <v>0</v>
      </c>
      <c r="AC1167" s="29">
        <f>ROUND(N1167*1.5%,2)</f>
        <v>94604.18</v>
      </c>
      <c r="AD1167" s="29">
        <v>180000</v>
      </c>
      <c r="AE1167" s="29">
        <v>0</v>
      </c>
      <c r="AF1167" s="32">
        <v>2022</v>
      </c>
      <c r="AG1167" s="32">
        <v>2022</v>
      </c>
      <c r="AH1167" s="33">
        <v>2022</v>
      </c>
      <c r="AT1167" s="18" t="e">
        <f>VLOOKUP(C1167,AW:AX,2,FALSE)</f>
        <v>#N/A</v>
      </c>
      <c r="BZ1167" s="61"/>
    </row>
    <row r="1168" spans="1:82" ht="61.5" x14ac:dyDescent="0.85">
      <c r="A1168" s="18">
        <v>1</v>
      </c>
      <c r="B1168" s="57">
        <f>SUBTOTAL(103,$A$1093:A1168)</f>
        <v>75</v>
      </c>
      <c r="C1168" s="22" t="s">
        <v>468</v>
      </c>
      <c r="D1168" s="29">
        <f t="shared" si="224"/>
        <v>4737312</v>
      </c>
      <c r="E1168" s="30">
        <v>0</v>
      </c>
      <c r="F1168" s="30">
        <v>0</v>
      </c>
      <c r="G1168" s="30">
        <v>0</v>
      </c>
      <c r="H1168" s="30">
        <v>0</v>
      </c>
      <c r="I1168" s="30">
        <v>0</v>
      </c>
      <c r="J1168" s="30">
        <v>0</v>
      </c>
      <c r="K1168" s="74">
        <v>0</v>
      </c>
      <c r="L1168" s="30">
        <v>0</v>
      </c>
      <c r="M1168" s="29">
        <v>864</v>
      </c>
      <c r="N1168" s="29">
        <v>4519519.21</v>
      </c>
      <c r="O1168" s="30">
        <v>0</v>
      </c>
      <c r="P1168" s="30">
        <v>0</v>
      </c>
      <c r="Q1168" s="30">
        <v>0</v>
      </c>
      <c r="R1168" s="30">
        <v>0</v>
      </c>
      <c r="S1168" s="30">
        <v>0</v>
      </c>
      <c r="T1168" s="30">
        <v>0</v>
      </c>
      <c r="U1168" s="30">
        <v>0</v>
      </c>
      <c r="V1168" s="30">
        <v>0</v>
      </c>
      <c r="W1168" s="30">
        <v>0</v>
      </c>
      <c r="X1168" s="30">
        <v>0</v>
      </c>
      <c r="Y1168" s="30">
        <v>0</v>
      </c>
      <c r="Z1168" s="30">
        <v>0</v>
      </c>
      <c r="AA1168" s="29">
        <v>0</v>
      </c>
      <c r="AB1168" s="29">
        <v>0</v>
      </c>
      <c r="AC1168" s="29">
        <f>ROUND(N1168*1.5%,2)</f>
        <v>67792.789999999994</v>
      </c>
      <c r="AD1168" s="29">
        <v>150000</v>
      </c>
      <c r="AE1168" s="29">
        <v>0</v>
      </c>
      <c r="AF1168" s="32">
        <v>2022</v>
      </c>
      <c r="AG1168" s="32">
        <v>2022</v>
      </c>
      <c r="AH1168" s="33">
        <v>2022</v>
      </c>
      <c r="AT1168" s="18" t="e">
        <f>VLOOKUP(C1168,AW:AX,2,FALSE)</f>
        <v>#N/A</v>
      </c>
      <c r="BZ1168" s="61"/>
    </row>
    <row r="1169" spans="1:82" ht="61.5" x14ac:dyDescent="0.85">
      <c r="A1169" s="18">
        <v>1</v>
      </c>
      <c r="B1169" s="57">
        <f>SUBTOTAL(103,$A$1093:A1169)</f>
        <v>76</v>
      </c>
      <c r="C1169" s="22" t="s">
        <v>469</v>
      </c>
      <c r="D1169" s="29">
        <f t="shared" si="224"/>
        <v>491510.45999999996</v>
      </c>
      <c r="E1169" s="30">
        <v>0</v>
      </c>
      <c r="F1169" s="30">
        <v>0</v>
      </c>
      <c r="G1169" s="30">
        <v>0</v>
      </c>
      <c r="H1169" s="29">
        <v>415281.24</v>
      </c>
      <c r="I1169" s="30">
        <v>0</v>
      </c>
      <c r="J1169" s="30">
        <v>0</v>
      </c>
      <c r="K1169" s="74">
        <v>0</v>
      </c>
      <c r="L1169" s="30">
        <v>0</v>
      </c>
      <c r="M1169" s="29">
        <v>0</v>
      </c>
      <c r="N1169" s="29">
        <v>0</v>
      </c>
      <c r="O1169" s="30">
        <v>0</v>
      </c>
      <c r="P1169" s="30">
        <v>0</v>
      </c>
      <c r="Q1169" s="30">
        <v>0</v>
      </c>
      <c r="R1169" s="30">
        <v>0</v>
      </c>
      <c r="S1169" s="30">
        <v>0</v>
      </c>
      <c r="T1169" s="30">
        <v>0</v>
      </c>
      <c r="U1169" s="30">
        <v>0</v>
      </c>
      <c r="V1169" s="30">
        <v>0</v>
      </c>
      <c r="W1169" s="30">
        <v>0</v>
      </c>
      <c r="X1169" s="30">
        <v>0</v>
      </c>
      <c r="Y1169" s="30">
        <v>0</v>
      </c>
      <c r="Z1169" s="30">
        <v>0</v>
      </c>
      <c r="AA1169" s="29">
        <v>0</v>
      </c>
      <c r="AB1169" s="29">
        <v>0</v>
      </c>
      <c r="AC1169" s="29">
        <f>ROUND((E1169+F1169+G1169+H1169+I1169+J1169)*1.5%,2)</f>
        <v>6229.22</v>
      </c>
      <c r="AD1169" s="29">
        <v>70000</v>
      </c>
      <c r="AE1169" s="29">
        <v>0</v>
      </c>
      <c r="AF1169" s="32">
        <v>2022</v>
      </c>
      <c r="AG1169" s="32">
        <v>2022</v>
      </c>
      <c r="AH1169" s="33">
        <v>2022</v>
      </c>
      <c r="AT1169" s="18" t="e">
        <f>VLOOKUP(C1169,AW:AX,2,FALSE)</f>
        <v>#N/A</v>
      </c>
      <c r="BZ1169" s="61"/>
    </row>
    <row r="1170" spans="1:82" ht="61.5" x14ac:dyDescent="0.85">
      <c r="A1170" s="18">
        <v>1</v>
      </c>
      <c r="B1170" s="57">
        <f>SUBTOTAL(103,$A$1093:A1170)</f>
        <v>77</v>
      </c>
      <c r="C1170" s="22" t="s">
        <v>470</v>
      </c>
      <c r="D1170" s="29">
        <f t="shared" si="224"/>
        <v>3422817.5799999996</v>
      </c>
      <c r="E1170" s="30">
        <v>0</v>
      </c>
      <c r="F1170" s="30">
        <v>0</v>
      </c>
      <c r="G1170" s="30">
        <v>0</v>
      </c>
      <c r="H1170" s="30">
        <v>0</v>
      </c>
      <c r="I1170" s="30">
        <v>0</v>
      </c>
      <c r="J1170" s="30">
        <v>0</v>
      </c>
      <c r="K1170" s="74">
        <v>0</v>
      </c>
      <c r="L1170" s="30">
        <v>0</v>
      </c>
      <c r="M1170" s="29">
        <v>624.26</v>
      </c>
      <c r="N1170" s="29">
        <v>3224450.82</v>
      </c>
      <c r="O1170" s="30">
        <v>0</v>
      </c>
      <c r="P1170" s="30">
        <v>0</v>
      </c>
      <c r="Q1170" s="30">
        <v>0</v>
      </c>
      <c r="R1170" s="30">
        <v>0</v>
      </c>
      <c r="S1170" s="30">
        <v>0</v>
      </c>
      <c r="T1170" s="30">
        <v>0</v>
      </c>
      <c r="U1170" s="30">
        <v>0</v>
      </c>
      <c r="V1170" s="30">
        <v>0</v>
      </c>
      <c r="W1170" s="30">
        <v>0</v>
      </c>
      <c r="X1170" s="30">
        <v>0</v>
      </c>
      <c r="Y1170" s="30">
        <v>0</v>
      </c>
      <c r="Z1170" s="30">
        <v>0</v>
      </c>
      <c r="AA1170" s="29">
        <v>0</v>
      </c>
      <c r="AB1170" s="29">
        <v>0</v>
      </c>
      <c r="AC1170" s="29">
        <f t="shared" ref="AC1170:AC1175" si="225">ROUND(N1170*1.5%,2)</f>
        <v>48366.76</v>
      </c>
      <c r="AD1170" s="29">
        <v>150000</v>
      </c>
      <c r="AE1170" s="29">
        <v>0</v>
      </c>
      <c r="AF1170" s="32">
        <v>2022</v>
      </c>
      <c r="AG1170" s="32">
        <v>2022</v>
      </c>
      <c r="AH1170" s="33">
        <v>2022</v>
      </c>
      <c r="AT1170" s="18" t="e">
        <f>VLOOKUP(C1170,AW:AX,2,FALSE)</f>
        <v>#N/A</v>
      </c>
      <c r="BZ1170" s="61"/>
    </row>
    <row r="1171" spans="1:82" ht="61.5" x14ac:dyDescent="0.85">
      <c r="A1171" s="18">
        <v>1</v>
      </c>
      <c r="B1171" s="57">
        <f>SUBTOTAL(103,$A$1093:A1171)</f>
        <v>78</v>
      </c>
      <c r="C1171" s="22" t="s">
        <v>471</v>
      </c>
      <c r="D1171" s="29">
        <f t="shared" si="224"/>
        <v>2888444.4</v>
      </c>
      <c r="E1171" s="30">
        <v>0</v>
      </c>
      <c r="F1171" s="30">
        <v>0</v>
      </c>
      <c r="G1171" s="30">
        <v>0</v>
      </c>
      <c r="H1171" s="30">
        <v>0</v>
      </c>
      <c r="I1171" s="30">
        <v>0</v>
      </c>
      <c r="J1171" s="30">
        <v>0</v>
      </c>
      <c r="K1171" s="74">
        <v>0</v>
      </c>
      <c r="L1171" s="30">
        <v>0</v>
      </c>
      <c r="M1171" s="29">
        <v>526.79999999999995</v>
      </c>
      <c r="N1171" s="29">
        <v>2697974.78</v>
      </c>
      <c r="O1171" s="30">
        <v>0</v>
      </c>
      <c r="P1171" s="30">
        <v>0</v>
      </c>
      <c r="Q1171" s="30">
        <v>0</v>
      </c>
      <c r="R1171" s="30">
        <v>0</v>
      </c>
      <c r="S1171" s="30">
        <v>0</v>
      </c>
      <c r="T1171" s="30">
        <v>0</v>
      </c>
      <c r="U1171" s="30">
        <v>0</v>
      </c>
      <c r="V1171" s="30">
        <v>0</v>
      </c>
      <c r="W1171" s="30">
        <v>0</v>
      </c>
      <c r="X1171" s="30">
        <v>0</v>
      </c>
      <c r="Y1171" s="30">
        <v>0</v>
      </c>
      <c r="Z1171" s="30">
        <v>0</v>
      </c>
      <c r="AA1171" s="29">
        <v>0</v>
      </c>
      <c r="AB1171" s="29">
        <v>0</v>
      </c>
      <c r="AC1171" s="29">
        <f t="shared" si="225"/>
        <v>40469.620000000003</v>
      </c>
      <c r="AD1171" s="29">
        <v>150000</v>
      </c>
      <c r="AE1171" s="29">
        <v>0</v>
      </c>
      <c r="AF1171" s="32">
        <v>2022</v>
      </c>
      <c r="AG1171" s="32">
        <v>2022</v>
      </c>
      <c r="AH1171" s="33">
        <v>2022</v>
      </c>
      <c r="AT1171" s="18" t="e">
        <f>VLOOKUP(C1171,AW:AX,2,FALSE)</f>
        <v>#N/A</v>
      </c>
      <c r="BZ1171" s="61"/>
    </row>
    <row r="1172" spans="1:82" ht="61.5" x14ac:dyDescent="0.85">
      <c r="A1172" s="18">
        <v>1</v>
      </c>
      <c r="B1172" s="57">
        <f>SUBTOTAL(103,$A$1093:A1172)</f>
        <v>79</v>
      </c>
      <c r="C1172" s="22" t="s">
        <v>472</v>
      </c>
      <c r="D1172" s="29">
        <f t="shared" si="224"/>
        <v>3422817.5799999996</v>
      </c>
      <c r="E1172" s="30">
        <v>0</v>
      </c>
      <c r="F1172" s="30">
        <v>0</v>
      </c>
      <c r="G1172" s="30">
        <v>0</v>
      </c>
      <c r="H1172" s="30">
        <v>0</v>
      </c>
      <c r="I1172" s="30">
        <v>0</v>
      </c>
      <c r="J1172" s="30">
        <v>0</v>
      </c>
      <c r="K1172" s="74">
        <v>0</v>
      </c>
      <c r="L1172" s="30">
        <v>0</v>
      </c>
      <c r="M1172" s="29">
        <v>624.26</v>
      </c>
      <c r="N1172" s="29">
        <v>3224450.82</v>
      </c>
      <c r="O1172" s="30">
        <v>0</v>
      </c>
      <c r="P1172" s="30">
        <v>0</v>
      </c>
      <c r="Q1172" s="30">
        <v>0</v>
      </c>
      <c r="R1172" s="30">
        <v>0</v>
      </c>
      <c r="S1172" s="30">
        <v>0</v>
      </c>
      <c r="T1172" s="30">
        <v>0</v>
      </c>
      <c r="U1172" s="30">
        <v>0</v>
      </c>
      <c r="V1172" s="30">
        <v>0</v>
      </c>
      <c r="W1172" s="30">
        <v>0</v>
      </c>
      <c r="X1172" s="30">
        <v>0</v>
      </c>
      <c r="Y1172" s="30">
        <v>0</v>
      </c>
      <c r="Z1172" s="30">
        <v>0</v>
      </c>
      <c r="AA1172" s="29">
        <v>0</v>
      </c>
      <c r="AB1172" s="29">
        <v>0</v>
      </c>
      <c r="AC1172" s="29">
        <f t="shared" si="225"/>
        <v>48366.76</v>
      </c>
      <c r="AD1172" s="29">
        <v>150000</v>
      </c>
      <c r="AE1172" s="29">
        <v>0</v>
      </c>
      <c r="AF1172" s="32">
        <v>2022</v>
      </c>
      <c r="AG1172" s="32">
        <v>2022</v>
      </c>
      <c r="AH1172" s="33">
        <v>2022</v>
      </c>
      <c r="AT1172" s="18" t="e">
        <f>VLOOKUP(C1172,AW:AX,2,FALSE)</f>
        <v>#N/A</v>
      </c>
      <c r="BZ1172" s="61"/>
    </row>
    <row r="1173" spans="1:82" ht="61.5" x14ac:dyDescent="0.85">
      <c r="A1173" s="18">
        <v>1</v>
      </c>
      <c r="B1173" s="57">
        <f>SUBTOTAL(103,$A$1093:A1173)</f>
        <v>80</v>
      </c>
      <c r="C1173" s="22" t="s">
        <v>473</v>
      </c>
      <c r="D1173" s="29">
        <f t="shared" si="224"/>
        <v>3106903.4</v>
      </c>
      <c r="E1173" s="30">
        <v>0</v>
      </c>
      <c r="F1173" s="30">
        <v>0</v>
      </c>
      <c r="G1173" s="30">
        <v>0</v>
      </c>
      <c r="H1173" s="30">
        <v>0</v>
      </c>
      <c r="I1173" s="30">
        <v>0</v>
      </c>
      <c r="J1173" s="30">
        <v>0</v>
      </c>
      <c r="K1173" s="74">
        <v>0</v>
      </c>
      <c r="L1173" s="30">
        <v>0</v>
      </c>
      <c r="M1173" s="29">
        <v>544.85</v>
      </c>
      <c r="N1173" s="29">
        <f>2664960.76+248244.56</f>
        <v>2913205.32</v>
      </c>
      <c r="O1173" s="30">
        <v>0</v>
      </c>
      <c r="P1173" s="30">
        <v>0</v>
      </c>
      <c r="Q1173" s="30">
        <v>0</v>
      </c>
      <c r="R1173" s="30">
        <v>0</v>
      </c>
      <c r="S1173" s="30">
        <v>0</v>
      </c>
      <c r="T1173" s="30">
        <v>0</v>
      </c>
      <c r="U1173" s="30">
        <v>0</v>
      </c>
      <c r="V1173" s="30">
        <v>0</v>
      </c>
      <c r="W1173" s="30">
        <v>0</v>
      </c>
      <c r="X1173" s="30">
        <v>0</v>
      </c>
      <c r="Y1173" s="30">
        <v>0</v>
      </c>
      <c r="Z1173" s="30">
        <v>0</v>
      </c>
      <c r="AA1173" s="29">
        <v>0</v>
      </c>
      <c r="AB1173" s="29">
        <v>0</v>
      </c>
      <c r="AC1173" s="29">
        <f t="shared" si="225"/>
        <v>43698.080000000002</v>
      </c>
      <c r="AD1173" s="29">
        <v>150000</v>
      </c>
      <c r="AE1173" s="29">
        <v>0</v>
      </c>
      <c r="AF1173" s="32">
        <v>2022</v>
      </c>
      <c r="AG1173" s="32">
        <v>2022</v>
      </c>
      <c r="AH1173" s="33">
        <v>2022</v>
      </c>
      <c r="AT1173" s="18" t="e">
        <f>VLOOKUP(C1173,AW:AX,2,FALSE)</f>
        <v>#N/A</v>
      </c>
      <c r="BZ1173" s="61"/>
    </row>
    <row r="1174" spans="1:82" ht="61.5" x14ac:dyDescent="0.85">
      <c r="A1174" s="18">
        <v>1</v>
      </c>
      <c r="B1174" s="57">
        <f>SUBTOTAL(103,$A$1093:A1174)</f>
        <v>81</v>
      </c>
      <c r="C1174" s="22" t="s">
        <v>1682</v>
      </c>
      <c r="D1174" s="29">
        <f t="shared" si="224"/>
        <v>2564145.2799999998</v>
      </c>
      <c r="E1174" s="28">
        <v>0</v>
      </c>
      <c r="F1174" s="30">
        <v>0</v>
      </c>
      <c r="G1174" s="28">
        <v>0</v>
      </c>
      <c r="H1174" s="30">
        <v>0</v>
      </c>
      <c r="I1174" s="30">
        <v>0</v>
      </c>
      <c r="J1174" s="30">
        <v>0</v>
      </c>
      <c r="K1174" s="74">
        <v>0</v>
      </c>
      <c r="L1174" s="30">
        <v>0</v>
      </c>
      <c r="M1174" s="29">
        <v>375</v>
      </c>
      <c r="N1174" s="29">
        <v>2378468.2599999998</v>
      </c>
      <c r="O1174" s="30">
        <v>0</v>
      </c>
      <c r="P1174" s="30">
        <v>0</v>
      </c>
      <c r="Q1174" s="30">
        <v>0</v>
      </c>
      <c r="R1174" s="30">
        <v>0</v>
      </c>
      <c r="S1174" s="30">
        <v>0</v>
      </c>
      <c r="T1174" s="30">
        <v>0</v>
      </c>
      <c r="U1174" s="30">
        <v>0</v>
      </c>
      <c r="V1174" s="30">
        <v>0</v>
      </c>
      <c r="W1174" s="30">
        <v>0</v>
      </c>
      <c r="X1174" s="30">
        <v>0</v>
      </c>
      <c r="Y1174" s="30">
        <v>0</v>
      </c>
      <c r="Z1174" s="30">
        <v>0</v>
      </c>
      <c r="AA1174" s="29">
        <v>0</v>
      </c>
      <c r="AB1174" s="29">
        <v>0</v>
      </c>
      <c r="AC1174" s="29">
        <f t="shared" si="225"/>
        <v>35677.019999999997</v>
      </c>
      <c r="AD1174" s="29">
        <v>150000</v>
      </c>
      <c r="AE1174" s="29">
        <v>0</v>
      </c>
      <c r="AF1174" s="32">
        <v>2022</v>
      </c>
      <c r="AG1174" s="32">
        <v>2022</v>
      </c>
      <c r="AH1174" s="33">
        <v>2022</v>
      </c>
      <c r="AT1174" s="18" t="e">
        <f>VLOOKUP(C1174,AW:AX,2,FALSE)</f>
        <v>#N/A</v>
      </c>
      <c r="BZ1174" s="61"/>
    </row>
    <row r="1175" spans="1:82" ht="61.5" x14ac:dyDescent="0.85">
      <c r="A1175" s="18">
        <v>1</v>
      </c>
      <c r="B1175" s="57">
        <f>SUBTOTAL(103,$A$1093:A1175)</f>
        <v>82</v>
      </c>
      <c r="C1175" s="22" t="s">
        <v>475</v>
      </c>
      <c r="D1175" s="29">
        <f t="shared" si="224"/>
        <v>3110189.0700000003</v>
      </c>
      <c r="E1175" s="30">
        <v>0</v>
      </c>
      <c r="F1175" s="30">
        <v>0</v>
      </c>
      <c r="G1175" s="30">
        <v>0</v>
      </c>
      <c r="H1175" s="30">
        <v>0</v>
      </c>
      <c r="I1175" s="30">
        <v>0</v>
      </c>
      <c r="J1175" s="30">
        <v>0</v>
      </c>
      <c r="K1175" s="74">
        <v>0</v>
      </c>
      <c r="L1175" s="30">
        <v>0</v>
      </c>
      <c r="M1175" s="29">
        <v>547</v>
      </c>
      <c r="N1175" s="29">
        <f>2667213.48+249224.14+4.81</f>
        <v>2916442.43</v>
      </c>
      <c r="O1175" s="30">
        <v>0</v>
      </c>
      <c r="P1175" s="30">
        <v>0</v>
      </c>
      <c r="Q1175" s="30">
        <v>0</v>
      </c>
      <c r="R1175" s="30">
        <v>0</v>
      </c>
      <c r="S1175" s="30">
        <v>0</v>
      </c>
      <c r="T1175" s="29">
        <v>0</v>
      </c>
      <c r="U1175" s="30">
        <v>0</v>
      </c>
      <c r="V1175" s="30">
        <v>0</v>
      </c>
      <c r="W1175" s="30">
        <v>0</v>
      </c>
      <c r="X1175" s="30">
        <v>0</v>
      </c>
      <c r="Y1175" s="30">
        <v>0</v>
      </c>
      <c r="Z1175" s="30">
        <v>0</v>
      </c>
      <c r="AA1175" s="29">
        <v>0</v>
      </c>
      <c r="AB1175" s="29">
        <v>0</v>
      </c>
      <c r="AC1175" s="29">
        <f t="shared" si="225"/>
        <v>43746.64</v>
      </c>
      <c r="AD1175" s="29">
        <v>150000</v>
      </c>
      <c r="AE1175" s="29">
        <v>0</v>
      </c>
      <c r="AF1175" s="32">
        <v>2022</v>
      </c>
      <c r="AG1175" s="32">
        <v>2022</v>
      </c>
      <c r="AH1175" s="33">
        <v>2022</v>
      </c>
      <c r="AT1175" s="18" t="e">
        <f>VLOOKUP(C1175,AW:AX,2,FALSE)</f>
        <v>#N/A</v>
      </c>
      <c r="BZ1175" s="61"/>
    </row>
    <row r="1176" spans="1:82" ht="61.5" x14ac:dyDescent="0.85">
      <c r="A1176" s="18">
        <v>1</v>
      </c>
      <c r="B1176" s="57">
        <f>SUBTOTAL(103,$A$1093:A1176)</f>
        <v>83</v>
      </c>
      <c r="C1176" s="22" t="s">
        <v>476</v>
      </c>
      <c r="D1176" s="29">
        <f t="shared" si="224"/>
        <v>2521758.64</v>
      </c>
      <c r="E1176" s="30">
        <v>0</v>
      </c>
      <c r="F1176" s="30">
        <v>0</v>
      </c>
      <c r="G1176" s="30">
        <v>0</v>
      </c>
      <c r="H1176" s="30">
        <v>0</v>
      </c>
      <c r="I1176" s="30">
        <v>0</v>
      </c>
      <c r="J1176" s="30">
        <v>0</v>
      </c>
      <c r="K1176" s="74">
        <v>0</v>
      </c>
      <c r="L1176" s="30">
        <v>0</v>
      </c>
      <c r="M1176" s="29">
        <v>398.44</v>
      </c>
      <c r="N1176" s="29">
        <v>2366264.67</v>
      </c>
      <c r="O1176" s="30">
        <v>0</v>
      </c>
      <c r="P1176" s="30">
        <v>0</v>
      </c>
      <c r="Q1176" s="30">
        <v>0</v>
      </c>
      <c r="R1176" s="30">
        <v>0</v>
      </c>
      <c r="S1176" s="30">
        <v>0</v>
      </c>
      <c r="T1176" s="30">
        <v>0</v>
      </c>
      <c r="U1176" s="30">
        <v>0</v>
      </c>
      <c r="V1176" s="30">
        <v>0</v>
      </c>
      <c r="W1176" s="30">
        <v>0</v>
      </c>
      <c r="X1176" s="30">
        <v>0</v>
      </c>
      <c r="Y1176" s="30">
        <v>0</v>
      </c>
      <c r="Z1176" s="30">
        <v>0</v>
      </c>
      <c r="AA1176" s="29">
        <v>0</v>
      </c>
      <c r="AB1176" s="29">
        <v>0</v>
      </c>
      <c r="AC1176" s="29">
        <f>ROUND(N1176*1.5%,2)</f>
        <v>35493.97</v>
      </c>
      <c r="AD1176" s="29">
        <v>120000</v>
      </c>
      <c r="AE1176" s="29">
        <v>0</v>
      </c>
      <c r="AF1176" s="32">
        <v>2022</v>
      </c>
      <c r="AG1176" s="32">
        <v>2022</v>
      </c>
      <c r="AH1176" s="33">
        <v>2022</v>
      </c>
      <c r="AT1176" s="18" t="e">
        <f>VLOOKUP(C1176,AW:AX,2,FALSE)</f>
        <v>#N/A</v>
      </c>
      <c r="BZ1176" s="61"/>
    </row>
    <row r="1177" spans="1:82" ht="61.5" x14ac:dyDescent="0.85">
      <c r="A1177" s="18">
        <v>1</v>
      </c>
      <c r="B1177" s="57">
        <f>SUBTOTAL(103,$A$1093:A1177)</f>
        <v>84</v>
      </c>
      <c r="C1177" s="22" t="s">
        <v>1580</v>
      </c>
      <c r="D1177" s="29">
        <f t="shared" si="224"/>
        <v>2382311.33</v>
      </c>
      <c r="E1177" s="30">
        <v>0</v>
      </c>
      <c r="F1177" s="30">
        <v>0</v>
      </c>
      <c r="G1177" s="30">
        <v>0</v>
      </c>
      <c r="H1177" s="30">
        <v>0</v>
      </c>
      <c r="I1177" s="30">
        <v>0</v>
      </c>
      <c r="J1177" s="30">
        <v>0</v>
      </c>
      <c r="K1177" s="74">
        <v>0</v>
      </c>
      <c r="L1177" s="30">
        <v>0</v>
      </c>
      <c r="M1177" s="29">
        <v>404.2</v>
      </c>
      <c r="N1177" s="29">
        <v>2110651.56</v>
      </c>
      <c r="O1177" s="30">
        <v>0</v>
      </c>
      <c r="P1177" s="30">
        <v>0</v>
      </c>
      <c r="Q1177" s="30">
        <v>0</v>
      </c>
      <c r="R1177" s="30">
        <v>0</v>
      </c>
      <c r="S1177" s="30">
        <v>0</v>
      </c>
      <c r="T1177" s="30">
        <v>0</v>
      </c>
      <c r="U1177" s="30">
        <v>0</v>
      </c>
      <c r="V1177" s="30">
        <v>0</v>
      </c>
      <c r="W1177" s="30">
        <v>0</v>
      </c>
      <c r="X1177" s="30">
        <v>0</v>
      </c>
      <c r="Y1177" s="30">
        <v>0</v>
      </c>
      <c r="Z1177" s="30">
        <v>0</v>
      </c>
      <c r="AA1177" s="29">
        <v>0</v>
      </c>
      <c r="AB1177" s="29">
        <v>0</v>
      </c>
      <c r="AC1177" s="29">
        <f>ROUND(N1177*1.5%,2)</f>
        <v>31659.77</v>
      </c>
      <c r="AD1177" s="29">
        <v>120000</v>
      </c>
      <c r="AE1177" s="29">
        <v>120000</v>
      </c>
      <c r="AF1177" s="32">
        <v>2022</v>
      </c>
      <c r="AG1177" s="32">
        <v>2022</v>
      </c>
      <c r="AH1177" s="33">
        <v>2022</v>
      </c>
      <c r="BZ1177" s="61"/>
    </row>
    <row r="1178" spans="1:82" ht="61.5" x14ac:dyDescent="0.85">
      <c r="B1178" s="22" t="s">
        <v>749</v>
      </c>
      <c r="C1178" s="338"/>
      <c r="D1178" s="339">
        <f t="shared" ref="D1178:AE1178" si="226">SUM(D1179:D1202)</f>
        <v>79793906.129999995</v>
      </c>
      <c r="E1178" s="29">
        <f t="shared" si="226"/>
        <v>0</v>
      </c>
      <c r="F1178" s="29">
        <f t="shared" si="226"/>
        <v>501213.02</v>
      </c>
      <c r="G1178" s="29">
        <f t="shared" si="226"/>
        <v>2727709.55</v>
      </c>
      <c r="H1178" s="29">
        <f t="shared" si="226"/>
        <v>377747.66</v>
      </c>
      <c r="I1178" s="29">
        <f t="shared" si="226"/>
        <v>1074076.8500000001</v>
      </c>
      <c r="J1178" s="29">
        <f t="shared" si="226"/>
        <v>0</v>
      </c>
      <c r="K1178" s="31">
        <f t="shared" si="226"/>
        <v>0</v>
      </c>
      <c r="L1178" s="29">
        <f t="shared" si="226"/>
        <v>0</v>
      </c>
      <c r="M1178" s="29">
        <f t="shared" si="226"/>
        <v>13855</v>
      </c>
      <c r="N1178" s="29">
        <f t="shared" si="226"/>
        <v>64099835.609999999</v>
      </c>
      <c r="O1178" s="29">
        <f t="shared" si="226"/>
        <v>0</v>
      </c>
      <c r="P1178" s="29">
        <f t="shared" si="226"/>
        <v>0</v>
      </c>
      <c r="Q1178" s="29">
        <f t="shared" si="226"/>
        <v>1050</v>
      </c>
      <c r="R1178" s="29">
        <f t="shared" si="226"/>
        <v>5664975.3700000001</v>
      </c>
      <c r="S1178" s="29">
        <f t="shared" si="226"/>
        <v>19.07</v>
      </c>
      <c r="T1178" s="29">
        <f t="shared" si="226"/>
        <v>671457.14</v>
      </c>
      <c r="U1178" s="29">
        <f t="shared" si="226"/>
        <v>0</v>
      </c>
      <c r="V1178" s="29">
        <f t="shared" si="226"/>
        <v>0</v>
      </c>
      <c r="W1178" s="29">
        <f t="shared" si="226"/>
        <v>0</v>
      </c>
      <c r="X1178" s="29">
        <f t="shared" si="226"/>
        <v>0</v>
      </c>
      <c r="Y1178" s="29">
        <f t="shared" si="226"/>
        <v>0</v>
      </c>
      <c r="Z1178" s="29">
        <f t="shared" si="226"/>
        <v>0</v>
      </c>
      <c r="AA1178" s="29">
        <f t="shared" si="226"/>
        <v>0</v>
      </c>
      <c r="AB1178" s="29">
        <f t="shared" si="226"/>
        <v>0</v>
      </c>
      <c r="AC1178" s="29">
        <f t="shared" si="226"/>
        <v>1126755.2100000002</v>
      </c>
      <c r="AD1178" s="29">
        <f t="shared" si="226"/>
        <v>3430135.72</v>
      </c>
      <c r="AE1178" s="29">
        <f t="shared" si="226"/>
        <v>120000</v>
      </c>
      <c r="AF1178" s="62" t="s">
        <v>743</v>
      </c>
      <c r="AG1178" s="62" t="s">
        <v>743</v>
      </c>
      <c r="AH1178" s="77" t="s">
        <v>743</v>
      </c>
      <c r="AT1178" s="18" t="e">
        <f>VLOOKUP(C1178,AW:AX,2,FALSE)</f>
        <v>#N/A</v>
      </c>
      <c r="BZ1178" s="61">
        <v>91626897.959999993</v>
      </c>
    </row>
    <row r="1179" spans="1:82" ht="61.5" x14ac:dyDescent="0.85">
      <c r="A1179" s="18">
        <v>1</v>
      </c>
      <c r="B1179" s="57">
        <f>SUBTOTAL(103,$A$1093:A1179)</f>
        <v>85</v>
      </c>
      <c r="C1179" s="22" t="s">
        <v>421</v>
      </c>
      <c r="D1179" s="29">
        <f t="shared" ref="D1179:D1202" si="227">E1179+F1179+G1179+H1179+I1179+J1179+L1179+N1179+P1179+R1179+T1179+U1179+V1179+W1179+X1179+Y1179+Z1179+AA1179+AB1179+AC1179+AD1179+AE1179</f>
        <v>4487224.8899999997</v>
      </c>
      <c r="E1179" s="29">
        <v>0</v>
      </c>
      <c r="F1179" s="29">
        <v>0</v>
      </c>
      <c r="G1179" s="29">
        <v>0</v>
      </c>
      <c r="H1179" s="29">
        <v>0</v>
      </c>
      <c r="I1179" s="29">
        <v>0</v>
      </c>
      <c r="J1179" s="29">
        <v>0</v>
      </c>
      <c r="K1179" s="31">
        <v>0</v>
      </c>
      <c r="L1179" s="29">
        <v>0</v>
      </c>
      <c r="M1179" s="29">
        <v>930</v>
      </c>
      <c r="N1179" s="29">
        <v>4273127.97</v>
      </c>
      <c r="O1179" s="29">
        <v>0</v>
      </c>
      <c r="P1179" s="29">
        <v>0</v>
      </c>
      <c r="Q1179" s="29">
        <v>0</v>
      </c>
      <c r="R1179" s="29">
        <v>0</v>
      </c>
      <c r="S1179" s="29">
        <v>0</v>
      </c>
      <c r="T1179" s="29">
        <v>0</v>
      </c>
      <c r="U1179" s="29">
        <v>0</v>
      </c>
      <c r="V1179" s="29">
        <v>0</v>
      </c>
      <c r="W1179" s="29">
        <v>0</v>
      </c>
      <c r="X1179" s="29">
        <v>0</v>
      </c>
      <c r="Y1179" s="29">
        <v>0</v>
      </c>
      <c r="Z1179" s="29">
        <v>0</v>
      </c>
      <c r="AA1179" s="29">
        <v>0</v>
      </c>
      <c r="AB1179" s="29">
        <v>0</v>
      </c>
      <c r="AC1179" s="29">
        <f>ROUND(N1179*1.5%,2)</f>
        <v>64096.92</v>
      </c>
      <c r="AD1179" s="29">
        <v>150000</v>
      </c>
      <c r="AE1179" s="29">
        <v>0</v>
      </c>
      <c r="AF1179" s="32">
        <v>2022</v>
      </c>
      <c r="AG1179" s="32">
        <v>2022</v>
      </c>
      <c r="AH1179" s="33">
        <v>2022</v>
      </c>
      <c r="AT1179" s="18" t="e">
        <f>VLOOKUP(C1179,AW:AX,2,FALSE)</f>
        <v>#N/A</v>
      </c>
      <c r="BZ1179" s="61"/>
    </row>
    <row r="1180" spans="1:82" ht="61.5" x14ac:dyDescent="0.85">
      <c r="A1180" s="18">
        <v>1</v>
      </c>
      <c r="B1180" s="57">
        <f>SUBTOTAL(103,$A$1093:A1180)</f>
        <v>86</v>
      </c>
      <c r="C1180" s="22" t="s">
        <v>422</v>
      </c>
      <c r="D1180" s="29">
        <f t="shared" si="227"/>
        <v>3810770.28</v>
      </c>
      <c r="E1180" s="29">
        <v>0</v>
      </c>
      <c r="F1180" s="29">
        <v>501213.02</v>
      </c>
      <c r="G1180" s="29">
        <f>1795210.65+932498.9</f>
        <v>2727709.55</v>
      </c>
      <c r="H1180" s="29">
        <v>377747.66</v>
      </c>
      <c r="I1180" s="29">
        <v>0</v>
      </c>
      <c r="J1180" s="29">
        <v>0</v>
      </c>
      <c r="K1180" s="31">
        <v>0</v>
      </c>
      <c r="L1180" s="29">
        <v>0</v>
      </c>
      <c r="M1180" s="29">
        <v>0</v>
      </c>
      <c r="N1180" s="29">
        <v>0</v>
      </c>
      <c r="O1180" s="29">
        <v>0</v>
      </c>
      <c r="P1180" s="29">
        <v>0</v>
      </c>
      <c r="Q1180" s="29">
        <v>0</v>
      </c>
      <c r="R1180" s="29">
        <v>0</v>
      </c>
      <c r="S1180" s="29">
        <v>0</v>
      </c>
      <c r="T1180" s="29">
        <v>0</v>
      </c>
      <c r="U1180" s="29">
        <v>0</v>
      </c>
      <c r="V1180" s="29">
        <v>0</v>
      </c>
      <c r="W1180" s="29">
        <v>0</v>
      </c>
      <c r="X1180" s="29">
        <v>0</v>
      </c>
      <c r="Y1180" s="29">
        <v>0</v>
      </c>
      <c r="Z1180" s="29">
        <v>0</v>
      </c>
      <c r="AA1180" s="29">
        <v>0</v>
      </c>
      <c r="AB1180" s="29">
        <v>0</v>
      </c>
      <c r="AC1180" s="29">
        <f>ROUND((F1180+G1180+H1180)*1.5%,2)</f>
        <v>54100.05</v>
      </c>
      <c r="AD1180" s="29">
        <v>150000</v>
      </c>
      <c r="AE1180" s="29">
        <v>0</v>
      </c>
      <c r="AF1180" s="32">
        <v>2022</v>
      </c>
      <c r="AG1180" s="32">
        <v>2022</v>
      </c>
      <c r="AH1180" s="33">
        <v>2022</v>
      </c>
      <c r="AT1180" s="18" t="e">
        <f>VLOOKUP(C1180,AW:AX,2,FALSE)</f>
        <v>#N/A</v>
      </c>
      <c r="BZ1180" s="61"/>
    </row>
    <row r="1181" spans="1:82" ht="61.5" x14ac:dyDescent="0.85">
      <c r="A1181" s="18">
        <v>1</v>
      </c>
      <c r="B1181" s="57">
        <f>SUBTOTAL(103,$A$1093:A1181)</f>
        <v>87</v>
      </c>
      <c r="C1181" s="22" t="s">
        <v>423</v>
      </c>
      <c r="D1181" s="29">
        <f t="shared" si="227"/>
        <v>5394319.6899999995</v>
      </c>
      <c r="E1181" s="29">
        <v>0</v>
      </c>
      <c r="F1181" s="29">
        <v>0</v>
      </c>
      <c r="G1181" s="29">
        <v>0</v>
      </c>
      <c r="H1181" s="29">
        <v>0</v>
      </c>
      <c r="I1181" s="29">
        <v>0</v>
      </c>
      <c r="J1181" s="29">
        <v>0</v>
      </c>
      <c r="K1181" s="31">
        <v>0</v>
      </c>
      <c r="L1181" s="29">
        <v>0</v>
      </c>
      <c r="M1181" s="29">
        <v>1118</v>
      </c>
      <c r="N1181" s="29">
        <v>5137260.7799999993</v>
      </c>
      <c r="O1181" s="29">
        <v>0</v>
      </c>
      <c r="P1181" s="29">
        <v>0</v>
      </c>
      <c r="Q1181" s="29">
        <v>0</v>
      </c>
      <c r="R1181" s="29">
        <v>0</v>
      </c>
      <c r="S1181" s="29">
        <v>0</v>
      </c>
      <c r="T1181" s="29">
        <v>0</v>
      </c>
      <c r="U1181" s="29">
        <v>0</v>
      </c>
      <c r="V1181" s="29">
        <v>0</v>
      </c>
      <c r="W1181" s="29">
        <v>0</v>
      </c>
      <c r="X1181" s="29">
        <v>0</v>
      </c>
      <c r="Y1181" s="29">
        <v>0</v>
      </c>
      <c r="Z1181" s="29">
        <v>0</v>
      </c>
      <c r="AA1181" s="29">
        <v>0</v>
      </c>
      <c r="AB1181" s="29">
        <v>0</v>
      </c>
      <c r="AC1181" s="29">
        <f>ROUND(N1181*1.5%,2)</f>
        <v>77058.91</v>
      </c>
      <c r="AD1181" s="29">
        <v>180000</v>
      </c>
      <c r="AE1181" s="29">
        <v>0</v>
      </c>
      <c r="AF1181" s="32">
        <v>2022</v>
      </c>
      <c r="AG1181" s="32">
        <v>2022</v>
      </c>
      <c r="AH1181" s="33">
        <v>2022</v>
      </c>
      <c r="AT1181" s="18" t="e">
        <f>VLOOKUP(C1181,AW:AX,2,FALSE)</f>
        <v>#N/A</v>
      </c>
      <c r="BZ1181" s="61"/>
    </row>
    <row r="1182" spans="1:82" ht="61.5" x14ac:dyDescent="0.85">
      <c r="A1182" s="18">
        <v>1</v>
      </c>
      <c r="B1182" s="57">
        <f>SUBTOTAL(103,$A$1093:A1182)</f>
        <v>88</v>
      </c>
      <c r="C1182" s="22" t="s">
        <v>424</v>
      </c>
      <c r="D1182" s="29">
        <f t="shared" si="227"/>
        <v>5949950</v>
      </c>
      <c r="E1182" s="29">
        <v>0</v>
      </c>
      <c r="F1182" s="29">
        <v>0</v>
      </c>
      <c r="G1182" s="29">
        <v>0</v>
      </c>
      <c r="H1182" s="29">
        <v>0</v>
      </c>
      <c r="I1182" s="29">
        <v>0</v>
      </c>
      <c r="J1182" s="29">
        <v>0</v>
      </c>
      <c r="K1182" s="31">
        <v>0</v>
      </c>
      <c r="L1182" s="29">
        <v>0</v>
      </c>
      <c r="M1182" s="29">
        <v>0</v>
      </c>
      <c r="N1182" s="29">
        <v>0</v>
      </c>
      <c r="O1182" s="29">
        <v>0</v>
      </c>
      <c r="P1182" s="29">
        <v>0</v>
      </c>
      <c r="Q1182" s="29">
        <v>1050</v>
      </c>
      <c r="R1182" s="29">
        <v>5664975.3700000001</v>
      </c>
      <c r="S1182" s="29">
        <v>0</v>
      </c>
      <c r="T1182" s="29">
        <v>0</v>
      </c>
      <c r="U1182" s="29">
        <v>0</v>
      </c>
      <c r="V1182" s="29">
        <v>0</v>
      </c>
      <c r="W1182" s="29">
        <v>0</v>
      </c>
      <c r="X1182" s="29">
        <v>0</v>
      </c>
      <c r="Y1182" s="29">
        <v>0</v>
      </c>
      <c r="Z1182" s="29">
        <v>0</v>
      </c>
      <c r="AA1182" s="29">
        <v>0</v>
      </c>
      <c r="AB1182" s="29">
        <v>0</v>
      </c>
      <c r="AC1182" s="29">
        <f>ROUND(R1182*1.5%,2)</f>
        <v>84974.63</v>
      </c>
      <c r="AD1182" s="29">
        <v>200000</v>
      </c>
      <c r="AE1182" s="29">
        <v>0</v>
      </c>
      <c r="AF1182" s="32">
        <v>2022</v>
      </c>
      <c r="AG1182" s="32">
        <v>2022</v>
      </c>
      <c r="AH1182" s="33">
        <v>2022</v>
      </c>
      <c r="AT1182" s="18" t="e">
        <f>VLOOKUP(C1182,AW:AX,2,FALSE)</f>
        <v>#N/A</v>
      </c>
      <c r="BZ1182" s="61"/>
    </row>
    <row r="1183" spans="1:82" ht="61.5" x14ac:dyDescent="0.85">
      <c r="A1183" s="18">
        <v>1</v>
      </c>
      <c r="B1183" s="57">
        <f>SUBTOTAL(103,$A$1093:A1183)</f>
        <v>89</v>
      </c>
      <c r="C1183" s="22" t="s">
        <v>417</v>
      </c>
      <c r="D1183" s="29">
        <f t="shared" si="227"/>
        <v>2345314.9499999997</v>
      </c>
      <c r="E1183" s="29">
        <v>0</v>
      </c>
      <c r="F1183" s="29">
        <v>0</v>
      </c>
      <c r="G1183" s="29">
        <v>0</v>
      </c>
      <c r="H1183" s="29">
        <v>0</v>
      </c>
      <c r="I1183" s="29">
        <v>0</v>
      </c>
      <c r="J1183" s="29">
        <v>0</v>
      </c>
      <c r="K1183" s="64">
        <v>0</v>
      </c>
      <c r="L1183" s="29">
        <v>0</v>
      </c>
      <c r="M1183" s="29">
        <v>365</v>
      </c>
      <c r="N1183" s="29">
        <v>2074201.92</v>
      </c>
      <c r="O1183" s="29">
        <v>0</v>
      </c>
      <c r="P1183" s="29">
        <v>0</v>
      </c>
      <c r="Q1183" s="29">
        <v>0</v>
      </c>
      <c r="R1183" s="29">
        <v>0</v>
      </c>
      <c r="S1183" s="29">
        <v>0</v>
      </c>
      <c r="T1183" s="29">
        <v>0</v>
      </c>
      <c r="U1183" s="29">
        <v>0</v>
      </c>
      <c r="V1183" s="29">
        <v>0</v>
      </c>
      <c r="W1183" s="29">
        <v>0</v>
      </c>
      <c r="X1183" s="29">
        <v>0</v>
      </c>
      <c r="Y1183" s="29">
        <v>0</v>
      </c>
      <c r="Z1183" s="29">
        <v>0</v>
      </c>
      <c r="AA1183" s="29">
        <v>0</v>
      </c>
      <c r="AB1183" s="29">
        <v>0</v>
      </c>
      <c r="AC1183" s="29">
        <f>ROUND(N1183*1.5%,2)</f>
        <v>31113.03</v>
      </c>
      <c r="AD1183" s="29">
        <v>120000</v>
      </c>
      <c r="AE1183" s="29">
        <v>120000</v>
      </c>
      <c r="AF1183" s="32">
        <v>2022</v>
      </c>
      <c r="AG1183" s="32">
        <v>2022</v>
      </c>
      <c r="AH1183" s="32">
        <v>2022</v>
      </c>
      <c r="AT1183" s="18" t="e">
        <f>VLOOKUP(C1183,AW:AX,2,FALSE)</f>
        <v>#N/A</v>
      </c>
      <c r="BZ1183" s="61"/>
      <c r="CD1183" s="18" t="e">
        <f>VLOOKUP(C1183,CE:CF,2,FALSE)</f>
        <v>#N/A</v>
      </c>
    </row>
    <row r="1184" spans="1:82" ht="61.5" x14ac:dyDescent="0.85">
      <c r="A1184" s="18">
        <v>1</v>
      </c>
      <c r="B1184" s="57">
        <f>SUBTOTAL(103,$A$1093:A1184)</f>
        <v>90</v>
      </c>
      <c r="C1184" s="22" t="s">
        <v>426</v>
      </c>
      <c r="D1184" s="29">
        <f t="shared" si="227"/>
        <v>8270003.5300000003</v>
      </c>
      <c r="E1184" s="29">
        <v>0</v>
      </c>
      <c r="F1184" s="29">
        <v>0</v>
      </c>
      <c r="G1184" s="29">
        <v>0</v>
      </c>
      <c r="H1184" s="29">
        <v>0</v>
      </c>
      <c r="I1184" s="29">
        <v>0</v>
      </c>
      <c r="J1184" s="29">
        <v>0</v>
      </c>
      <c r="K1184" s="31">
        <v>0</v>
      </c>
      <c r="L1184" s="29">
        <v>0</v>
      </c>
      <c r="M1184" s="29">
        <v>1714</v>
      </c>
      <c r="N1184" s="29">
        <v>7970446.8300000001</v>
      </c>
      <c r="O1184" s="29">
        <v>0</v>
      </c>
      <c r="P1184" s="29">
        <v>0</v>
      </c>
      <c r="Q1184" s="29">
        <v>0</v>
      </c>
      <c r="R1184" s="29">
        <v>0</v>
      </c>
      <c r="S1184" s="29">
        <v>0</v>
      </c>
      <c r="T1184" s="29">
        <v>0</v>
      </c>
      <c r="U1184" s="29">
        <v>0</v>
      </c>
      <c r="V1184" s="29">
        <v>0</v>
      </c>
      <c r="W1184" s="29">
        <v>0</v>
      </c>
      <c r="X1184" s="29">
        <v>0</v>
      </c>
      <c r="Y1184" s="29">
        <v>0</v>
      </c>
      <c r="Z1184" s="29">
        <v>0</v>
      </c>
      <c r="AA1184" s="29">
        <v>0</v>
      </c>
      <c r="AB1184" s="29">
        <v>0</v>
      </c>
      <c r="AC1184" s="29">
        <f>ROUND(N1184*1.5%,2)</f>
        <v>119556.7</v>
      </c>
      <c r="AD1184" s="29">
        <v>180000</v>
      </c>
      <c r="AE1184" s="29">
        <v>0</v>
      </c>
      <c r="AF1184" s="32">
        <v>2022</v>
      </c>
      <c r="AG1184" s="32">
        <v>2022</v>
      </c>
      <c r="AH1184" s="33">
        <v>2022</v>
      </c>
      <c r="AT1184" s="18" t="e">
        <f>VLOOKUP(C1184,AW:AX,2,FALSE)</f>
        <v>#N/A</v>
      </c>
      <c r="BZ1184" s="61"/>
    </row>
    <row r="1185" spans="1:78" ht="61.5" x14ac:dyDescent="0.85">
      <c r="A1185" s="18">
        <v>1</v>
      </c>
      <c r="B1185" s="57">
        <f>SUBTOTAL(103,$A$1093:A1185)</f>
        <v>91</v>
      </c>
      <c r="C1185" s="22" t="s">
        <v>427</v>
      </c>
      <c r="D1185" s="29">
        <f t="shared" si="227"/>
        <v>2894983.73</v>
      </c>
      <c r="E1185" s="29">
        <v>0</v>
      </c>
      <c r="F1185" s="29">
        <v>0</v>
      </c>
      <c r="G1185" s="29">
        <v>0</v>
      </c>
      <c r="H1185" s="29">
        <v>0</v>
      </c>
      <c r="I1185" s="29">
        <v>0</v>
      </c>
      <c r="J1185" s="29">
        <v>0</v>
      </c>
      <c r="K1185" s="31">
        <v>0</v>
      </c>
      <c r="L1185" s="29">
        <v>0</v>
      </c>
      <c r="M1185" s="29">
        <v>600</v>
      </c>
      <c r="N1185" s="29">
        <v>2704417.47</v>
      </c>
      <c r="O1185" s="29">
        <v>0</v>
      </c>
      <c r="P1185" s="29">
        <v>0</v>
      </c>
      <c r="Q1185" s="29">
        <v>0</v>
      </c>
      <c r="R1185" s="29">
        <v>0</v>
      </c>
      <c r="S1185" s="29">
        <v>0</v>
      </c>
      <c r="T1185" s="29">
        <v>0</v>
      </c>
      <c r="U1185" s="29">
        <v>0</v>
      </c>
      <c r="V1185" s="29">
        <v>0</v>
      </c>
      <c r="W1185" s="29">
        <v>0</v>
      </c>
      <c r="X1185" s="29">
        <v>0</v>
      </c>
      <c r="Y1185" s="29">
        <v>0</v>
      </c>
      <c r="Z1185" s="29">
        <v>0</v>
      </c>
      <c r="AA1185" s="29">
        <v>0</v>
      </c>
      <c r="AB1185" s="29">
        <v>0</v>
      </c>
      <c r="AC1185" s="29">
        <f>ROUND(N1185*1.5%,2)</f>
        <v>40566.26</v>
      </c>
      <c r="AD1185" s="29">
        <v>150000</v>
      </c>
      <c r="AE1185" s="29">
        <v>0</v>
      </c>
      <c r="AF1185" s="32">
        <v>2022</v>
      </c>
      <c r="AG1185" s="32">
        <v>2022</v>
      </c>
      <c r="AH1185" s="33">
        <v>2022</v>
      </c>
      <c r="AT1185" s="18" t="e">
        <f>VLOOKUP(C1185,AW:AX,2,FALSE)</f>
        <v>#N/A</v>
      </c>
      <c r="BZ1185" s="61"/>
    </row>
    <row r="1186" spans="1:78" ht="61.5" x14ac:dyDescent="0.85">
      <c r="A1186" s="18">
        <v>1</v>
      </c>
      <c r="B1186" s="57">
        <f>SUBTOTAL(103,$A$1093:A1186)</f>
        <v>92</v>
      </c>
      <c r="C1186" s="22" t="s">
        <v>1685</v>
      </c>
      <c r="D1186" s="29">
        <f t="shared" si="227"/>
        <v>1688740.51</v>
      </c>
      <c r="E1186" s="29">
        <v>0</v>
      </c>
      <c r="F1186" s="29">
        <v>0</v>
      </c>
      <c r="G1186" s="29">
        <v>0</v>
      </c>
      <c r="H1186" s="29">
        <v>0</v>
      </c>
      <c r="I1186" s="29">
        <v>0</v>
      </c>
      <c r="J1186" s="29">
        <v>0</v>
      </c>
      <c r="K1186" s="31">
        <v>0</v>
      </c>
      <c r="L1186" s="29">
        <v>0</v>
      </c>
      <c r="M1186" s="29">
        <v>370</v>
      </c>
      <c r="N1186" s="29">
        <f>1545557.15-145.88</f>
        <v>1545411.27</v>
      </c>
      <c r="O1186" s="29">
        <v>0</v>
      </c>
      <c r="P1186" s="29">
        <v>0</v>
      </c>
      <c r="Q1186" s="29">
        <v>0</v>
      </c>
      <c r="R1186" s="29">
        <v>0</v>
      </c>
      <c r="S1186" s="29">
        <v>0</v>
      </c>
      <c r="T1186" s="29">
        <v>0</v>
      </c>
      <c r="U1186" s="29">
        <v>0</v>
      </c>
      <c r="V1186" s="29">
        <v>0</v>
      </c>
      <c r="W1186" s="29">
        <v>0</v>
      </c>
      <c r="X1186" s="29">
        <v>0</v>
      </c>
      <c r="Y1186" s="29">
        <v>0</v>
      </c>
      <c r="Z1186" s="29">
        <v>0</v>
      </c>
      <c r="AA1186" s="29">
        <v>0</v>
      </c>
      <c r="AB1186" s="29">
        <v>0</v>
      </c>
      <c r="AC1186" s="29">
        <f>ROUND(N1186*1.5%,2)</f>
        <v>23181.17</v>
      </c>
      <c r="AD1186" s="29">
        <v>120148.07</v>
      </c>
      <c r="AE1186" s="29">
        <v>0</v>
      </c>
      <c r="AF1186" s="32">
        <v>2022</v>
      </c>
      <c r="AG1186" s="32">
        <v>2022</v>
      </c>
      <c r="AH1186" s="33">
        <v>2022</v>
      </c>
      <c r="AT1186" s="18" t="e">
        <f>VLOOKUP(C1186,AW:AX,2,FALSE)</f>
        <v>#N/A</v>
      </c>
      <c r="BZ1186" s="61"/>
    </row>
    <row r="1187" spans="1:78" ht="61.5" x14ac:dyDescent="0.85">
      <c r="A1187" s="18">
        <v>1</v>
      </c>
      <c r="B1187" s="57">
        <f>SUBTOTAL(103,$A$1093:A1187)</f>
        <v>93</v>
      </c>
      <c r="C1187" s="22" t="s">
        <v>204</v>
      </c>
      <c r="D1187" s="29">
        <f t="shared" si="227"/>
        <v>4821497.92</v>
      </c>
      <c r="E1187" s="29">
        <v>0</v>
      </c>
      <c r="F1187" s="29">
        <v>0</v>
      </c>
      <c r="G1187" s="29">
        <v>0</v>
      </c>
      <c r="H1187" s="29">
        <v>0</v>
      </c>
      <c r="I1187" s="29">
        <v>0</v>
      </c>
      <c r="J1187" s="29">
        <v>0</v>
      </c>
      <c r="K1187" s="31">
        <v>0</v>
      </c>
      <c r="L1187" s="29">
        <v>0</v>
      </c>
      <c r="M1187" s="29">
        <v>999</v>
      </c>
      <c r="N1187" s="29">
        <v>4602461</v>
      </c>
      <c r="O1187" s="29">
        <v>0</v>
      </c>
      <c r="P1187" s="29">
        <v>0</v>
      </c>
      <c r="Q1187" s="29">
        <v>0</v>
      </c>
      <c r="R1187" s="29">
        <v>0</v>
      </c>
      <c r="S1187" s="29">
        <v>0</v>
      </c>
      <c r="T1187" s="29">
        <v>0</v>
      </c>
      <c r="U1187" s="29">
        <v>0</v>
      </c>
      <c r="V1187" s="29">
        <v>0</v>
      </c>
      <c r="W1187" s="29">
        <v>0</v>
      </c>
      <c r="X1187" s="29">
        <v>0</v>
      </c>
      <c r="Y1187" s="29">
        <v>0</v>
      </c>
      <c r="Z1187" s="29">
        <v>0</v>
      </c>
      <c r="AA1187" s="29">
        <v>0</v>
      </c>
      <c r="AB1187" s="29">
        <v>0</v>
      </c>
      <c r="AC1187" s="29">
        <f>ROUND(N1187*1.5%,2)</f>
        <v>69036.92</v>
      </c>
      <c r="AD1187" s="29">
        <v>150000</v>
      </c>
      <c r="AE1187" s="29">
        <v>0</v>
      </c>
      <c r="AF1187" s="32">
        <v>2022</v>
      </c>
      <c r="AG1187" s="32">
        <v>2022</v>
      </c>
      <c r="AH1187" s="33">
        <v>2022</v>
      </c>
      <c r="AT1187" s="18" t="e">
        <f>VLOOKUP(C1187,AW:AX,2,FALSE)</f>
        <v>#N/A</v>
      </c>
      <c r="BZ1187" s="61"/>
    </row>
    <row r="1188" spans="1:78" ht="61.5" x14ac:dyDescent="0.85">
      <c r="A1188" s="18">
        <v>1</v>
      </c>
      <c r="B1188" s="57">
        <f>SUBTOTAL(103,$A$1093:A1188)</f>
        <v>94</v>
      </c>
      <c r="C1188" s="22" t="s">
        <v>205</v>
      </c>
      <c r="D1188" s="29">
        <f t="shared" si="227"/>
        <v>527907</v>
      </c>
      <c r="E1188" s="29">
        <v>0</v>
      </c>
      <c r="F1188" s="29">
        <v>0</v>
      </c>
      <c r="G1188" s="29">
        <v>0</v>
      </c>
      <c r="H1188" s="29">
        <v>0</v>
      </c>
      <c r="I1188" s="29">
        <v>451139.9</v>
      </c>
      <c r="J1188" s="29">
        <v>0</v>
      </c>
      <c r="K1188" s="31">
        <v>0</v>
      </c>
      <c r="L1188" s="29">
        <v>0</v>
      </c>
      <c r="M1188" s="29">
        <v>0</v>
      </c>
      <c r="N1188" s="29">
        <v>0</v>
      </c>
      <c r="O1188" s="29">
        <v>0</v>
      </c>
      <c r="P1188" s="29">
        <v>0</v>
      </c>
      <c r="Q1188" s="29">
        <v>0</v>
      </c>
      <c r="R1188" s="29">
        <v>0</v>
      </c>
      <c r="S1188" s="29">
        <v>0</v>
      </c>
      <c r="T1188" s="29">
        <v>0</v>
      </c>
      <c r="U1188" s="29">
        <v>0</v>
      </c>
      <c r="V1188" s="29">
        <v>0</v>
      </c>
      <c r="W1188" s="29">
        <v>0</v>
      </c>
      <c r="X1188" s="29">
        <v>0</v>
      </c>
      <c r="Y1188" s="29">
        <v>0</v>
      </c>
      <c r="Z1188" s="29">
        <v>0</v>
      </c>
      <c r="AA1188" s="29">
        <v>0</v>
      </c>
      <c r="AB1188" s="29">
        <v>0</v>
      </c>
      <c r="AC1188" s="29">
        <f>ROUND((E1188+F1188+G1188+H1188+I1188+J1188)*1.5%,2)</f>
        <v>6767.1</v>
      </c>
      <c r="AD1188" s="29">
        <v>70000</v>
      </c>
      <c r="AE1188" s="29">
        <v>0</v>
      </c>
      <c r="AF1188" s="32">
        <v>2022</v>
      </c>
      <c r="AG1188" s="32">
        <v>2022</v>
      </c>
      <c r="AH1188" s="33">
        <v>2022</v>
      </c>
      <c r="AT1188" s="18" t="e">
        <f>VLOOKUP(C1188,AW:AX,2,FALSE)</f>
        <v>#N/A</v>
      </c>
      <c r="BZ1188" s="61"/>
    </row>
    <row r="1189" spans="1:78" ht="61.5" x14ac:dyDescent="0.85">
      <c r="A1189" s="18">
        <v>1</v>
      </c>
      <c r="B1189" s="57">
        <f>SUBTOTAL(103,$A$1093:A1189)</f>
        <v>95</v>
      </c>
      <c r="C1189" s="22" t="s">
        <v>206</v>
      </c>
      <c r="D1189" s="29">
        <f t="shared" si="227"/>
        <v>702281</v>
      </c>
      <c r="E1189" s="29">
        <v>0</v>
      </c>
      <c r="F1189" s="29">
        <v>0</v>
      </c>
      <c r="G1189" s="29">
        <v>0</v>
      </c>
      <c r="H1189" s="29">
        <v>0</v>
      </c>
      <c r="I1189" s="29">
        <v>622936.94999999995</v>
      </c>
      <c r="J1189" s="29">
        <v>0</v>
      </c>
      <c r="K1189" s="31">
        <v>0</v>
      </c>
      <c r="L1189" s="29">
        <v>0</v>
      </c>
      <c r="M1189" s="29">
        <v>0</v>
      </c>
      <c r="N1189" s="29">
        <v>0</v>
      </c>
      <c r="O1189" s="29">
        <v>0</v>
      </c>
      <c r="P1189" s="29">
        <v>0</v>
      </c>
      <c r="Q1189" s="29">
        <v>0</v>
      </c>
      <c r="R1189" s="29">
        <v>0</v>
      </c>
      <c r="S1189" s="29">
        <v>0</v>
      </c>
      <c r="T1189" s="29">
        <v>0</v>
      </c>
      <c r="U1189" s="29">
        <v>0</v>
      </c>
      <c r="V1189" s="29">
        <v>0</v>
      </c>
      <c r="W1189" s="29">
        <v>0</v>
      </c>
      <c r="X1189" s="29">
        <v>0</v>
      </c>
      <c r="Y1189" s="29">
        <v>0</v>
      </c>
      <c r="Z1189" s="29">
        <v>0</v>
      </c>
      <c r="AA1189" s="29">
        <v>0</v>
      </c>
      <c r="AB1189" s="29">
        <v>0</v>
      </c>
      <c r="AC1189" s="29">
        <f>ROUND((E1189+F1189+G1189+H1189+I1189+J1189)*1.5%,2)</f>
        <v>9344.0499999999993</v>
      </c>
      <c r="AD1189" s="29">
        <v>70000</v>
      </c>
      <c r="AE1189" s="29">
        <v>0</v>
      </c>
      <c r="AF1189" s="32">
        <v>2022</v>
      </c>
      <c r="AG1189" s="32">
        <v>2022</v>
      </c>
      <c r="AH1189" s="33">
        <v>2022</v>
      </c>
      <c r="AT1189" s="18" t="e">
        <f>VLOOKUP(C1189,AW:AX,2,FALSE)</f>
        <v>#N/A</v>
      </c>
      <c r="BZ1189" s="61"/>
    </row>
    <row r="1190" spans="1:78" ht="61.5" x14ac:dyDescent="0.85">
      <c r="A1190" s="18">
        <v>1</v>
      </c>
      <c r="B1190" s="57">
        <f>SUBTOTAL(103,$A$1093:A1190)</f>
        <v>96</v>
      </c>
      <c r="C1190" s="22" t="s">
        <v>207</v>
      </c>
      <c r="D1190" s="29">
        <f t="shared" si="227"/>
        <v>801529</v>
      </c>
      <c r="E1190" s="29">
        <v>0</v>
      </c>
      <c r="F1190" s="29">
        <v>0</v>
      </c>
      <c r="G1190" s="29">
        <v>0</v>
      </c>
      <c r="H1190" s="29">
        <v>0</v>
      </c>
      <c r="I1190" s="29">
        <v>0</v>
      </c>
      <c r="J1190" s="29">
        <v>0</v>
      </c>
      <c r="K1190" s="31">
        <v>0</v>
      </c>
      <c r="L1190" s="29">
        <v>0</v>
      </c>
      <c r="M1190" s="29">
        <v>0</v>
      </c>
      <c r="N1190" s="29">
        <v>0</v>
      </c>
      <c r="O1190" s="29">
        <v>0</v>
      </c>
      <c r="P1190" s="29">
        <v>0</v>
      </c>
      <c r="Q1190" s="29">
        <v>0</v>
      </c>
      <c r="R1190" s="29">
        <v>0</v>
      </c>
      <c r="S1190" s="29">
        <v>19.07</v>
      </c>
      <c r="T1190" s="29">
        <f>720718.23-49261.09</f>
        <v>671457.14</v>
      </c>
      <c r="U1190" s="29">
        <v>0</v>
      </c>
      <c r="V1190" s="29">
        <v>0</v>
      </c>
      <c r="W1190" s="29">
        <v>0</v>
      </c>
      <c r="X1190" s="29">
        <v>0</v>
      </c>
      <c r="Y1190" s="29">
        <v>0</v>
      </c>
      <c r="Z1190" s="29">
        <v>0</v>
      </c>
      <c r="AA1190" s="29">
        <v>0</v>
      </c>
      <c r="AB1190" s="29">
        <v>0</v>
      </c>
      <c r="AC1190" s="29">
        <f>ROUND(T1190*1.5%,2)</f>
        <v>10071.86</v>
      </c>
      <c r="AD1190" s="29">
        <v>120000</v>
      </c>
      <c r="AE1190" s="29">
        <v>0</v>
      </c>
      <c r="AF1190" s="32">
        <v>2022</v>
      </c>
      <c r="AG1190" s="32">
        <v>2022</v>
      </c>
      <c r="AH1190" s="33">
        <v>2022</v>
      </c>
      <c r="AT1190" s="18" t="e">
        <f>VLOOKUP(C1190,AW:AX,2,FALSE)</f>
        <v>#N/A</v>
      </c>
      <c r="BZ1190" s="61"/>
    </row>
    <row r="1191" spans="1:78" ht="61.5" x14ac:dyDescent="0.85">
      <c r="A1191" s="18">
        <v>1</v>
      </c>
      <c r="B1191" s="57">
        <f>SUBTOTAL(103,$A$1093:A1191)</f>
        <v>97</v>
      </c>
      <c r="C1191" s="22" t="s">
        <v>428</v>
      </c>
      <c r="D1191" s="29">
        <f t="shared" si="227"/>
        <v>4940772.24</v>
      </c>
      <c r="E1191" s="29">
        <v>0</v>
      </c>
      <c r="F1191" s="29">
        <v>0</v>
      </c>
      <c r="G1191" s="29">
        <v>0</v>
      </c>
      <c r="H1191" s="29">
        <v>0</v>
      </c>
      <c r="I1191" s="29">
        <v>0</v>
      </c>
      <c r="J1191" s="29">
        <v>0</v>
      </c>
      <c r="K1191" s="31">
        <v>0</v>
      </c>
      <c r="L1191" s="29">
        <v>0</v>
      </c>
      <c r="M1191" s="29">
        <v>1024</v>
      </c>
      <c r="N1191" s="29">
        <v>4690416</v>
      </c>
      <c r="O1191" s="29">
        <v>0</v>
      </c>
      <c r="P1191" s="29">
        <v>0</v>
      </c>
      <c r="Q1191" s="29">
        <v>0</v>
      </c>
      <c r="R1191" s="29">
        <v>0</v>
      </c>
      <c r="S1191" s="29">
        <v>0</v>
      </c>
      <c r="T1191" s="29">
        <v>0</v>
      </c>
      <c r="U1191" s="29">
        <v>0</v>
      </c>
      <c r="V1191" s="29">
        <v>0</v>
      </c>
      <c r="W1191" s="29">
        <v>0</v>
      </c>
      <c r="X1191" s="29">
        <v>0</v>
      </c>
      <c r="Y1191" s="29">
        <v>0</v>
      </c>
      <c r="Z1191" s="29">
        <v>0</v>
      </c>
      <c r="AA1191" s="29">
        <v>0</v>
      </c>
      <c r="AB1191" s="29">
        <v>0</v>
      </c>
      <c r="AC1191" s="29">
        <f>ROUND(N1191*1.5%,2)</f>
        <v>70356.240000000005</v>
      </c>
      <c r="AD1191" s="29">
        <v>180000</v>
      </c>
      <c r="AE1191" s="29">
        <v>0</v>
      </c>
      <c r="AF1191" s="32">
        <v>2022</v>
      </c>
      <c r="AG1191" s="32">
        <v>2022</v>
      </c>
      <c r="AH1191" s="33">
        <v>2022</v>
      </c>
      <c r="AT1191" s="18" t="e">
        <f>VLOOKUP(C1191,AW:AX,2,FALSE)</f>
        <v>#N/A</v>
      </c>
      <c r="BZ1191" s="61"/>
    </row>
    <row r="1192" spans="1:78" ht="61.5" x14ac:dyDescent="0.85">
      <c r="A1192" s="18">
        <v>1</v>
      </c>
      <c r="B1192" s="57">
        <f>SUBTOTAL(103,$A$1093:A1192)</f>
        <v>98</v>
      </c>
      <c r="C1192" s="22" t="s">
        <v>430</v>
      </c>
      <c r="D1192" s="29">
        <f t="shared" si="227"/>
        <v>2939948.7</v>
      </c>
      <c r="E1192" s="29">
        <v>0</v>
      </c>
      <c r="F1192" s="29">
        <v>0</v>
      </c>
      <c r="G1192" s="29">
        <v>0</v>
      </c>
      <c r="H1192" s="29">
        <v>0</v>
      </c>
      <c r="I1192" s="29">
        <v>0</v>
      </c>
      <c r="J1192" s="29">
        <v>0</v>
      </c>
      <c r="K1192" s="31">
        <v>0</v>
      </c>
      <c r="L1192" s="29">
        <v>0</v>
      </c>
      <c r="M1192" s="29">
        <v>600</v>
      </c>
      <c r="N1192" s="29">
        <v>2748717.93</v>
      </c>
      <c r="O1192" s="29">
        <v>0</v>
      </c>
      <c r="P1192" s="29">
        <v>0</v>
      </c>
      <c r="Q1192" s="29">
        <v>0</v>
      </c>
      <c r="R1192" s="29">
        <v>0</v>
      </c>
      <c r="S1192" s="29">
        <v>0</v>
      </c>
      <c r="T1192" s="29">
        <v>0</v>
      </c>
      <c r="U1192" s="29">
        <v>0</v>
      </c>
      <c r="V1192" s="29">
        <v>0</v>
      </c>
      <c r="W1192" s="29">
        <v>0</v>
      </c>
      <c r="X1192" s="29">
        <v>0</v>
      </c>
      <c r="Y1192" s="29">
        <v>0</v>
      </c>
      <c r="Z1192" s="29">
        <v>0</v>
      </c>
      <c r="AA1192" s="29">
        <v>0</v>
      </c>
      <c r="AB1192" s="29">
        <v>0</v>
      </c>
      <c r="AC1192" s="29">
        <f t="shared" ref="AC1192:AC1199" si="228">ROUND(N1192*1.5%,2)</f>
        <v>41230.769999999997</v>
      </c>
      <c r="AD1192" s="29">
        <v>150000</v>
      </c>
      <c r="AE1192" s="29">
        <v>0</v>
      </c>
      <c r="AF1192" s="32">
        <v>2022</v>
      </c>
      <c r="AG1192" s="32">
        <v>2022</v>
      </c>
      <c r="AH1192" s="33">
        <v>2022</v>
      </c>
      <c r="AT1192" s="18" t="e">
        <f>VLOOKUP(C1192,AW:AX,2,FALSE)</f>
        <v>#N/A</v>
      </c>
      <c r="BZ1192" s="61"/>
    </row>
    <row r="1193" spans="1:78" ht="61.5" x14ac:dyDescent="0.85">
      <c r="A1193" s="18">
        <v>1</v>
      </c>
      <c r="B1193" s="57">
        <f>SUBTOTAL(103,$A$1093:A1193)</f>
        <v>99</v>
      </c>
      <c r="C1193" s="22" t="s">
        <v>431</v>
      </c>
      <c r="D1193" s="29">
        <f t="shared" si="227"/>
        <v>3392314.75</v>
      </c>
      <c r="E1193" s="29">
        <v>0</v>
      </c>
      <c r="F1193" s="29">
        <v>0</v>
      </c>
      <c r="G1193" s="29">
        <v>0</v>
      </c>
      <c r="H1193" s="29">
        <v>0</v>
      </c>
      <c r="I1193" s="29">
        <v>0</v>
      </c>
      <c r="J1193" s="29">
        <v>0</v>
      </c>
      <c r="K1193" s="31">
        <v>0</v>
      </c>
      <c r="L1193" s="29">
        <v>0</v>
      </c>
      <c r="M1193" s="29">
        <v>747</v>
      </c>
      <c r="N1193" s="29">
        <v>3194398.77</v>
      </c>
      <c r="O1193" s="29">
        <v>0</v>
      </c>
      <c r="P1193" s="29">
        <v>0</v>
      </c>
      <c r="Q1193" s="29">
        <v>0</v>
      </c>
      <c r="R1193" s="29">
        <v>0</v>
      </c>
      <c r="S1193" s="29">
        <v>0</v>
      </c>
      <c r="T1193" s="29">
        <v>0</v>
      </c>
      <c r="U1193" s="29">
        <v>0</v>
      </c>
      <c r="V1193" s="29">
        <v>0</v>
      </c>
      <c r="W1193" s="29">
        <v>0</v>
      </c>
      <c r="X1193" s="29">
        <v>0</v>
      </c>
      <c r="Y1193" s="29">
        <v>0</v>
      </c>
      <c r="Z1193" s="29">
        <v>0</v>
      </c>
      <c r="AA1193" s="29">
        <v>0</v>
      </c>
      <c r="AB1193" s="29">
        <v>0</v>
      </c>
      <c r="AC1193" s="29">
        <f t="shared" si="228"/>
        <v>47915.98</v>
      </c>
      <c r="AD1193" s="29">
        <v>150000</v>
      </c>
      <c r="AE1193" s="29">
        <v>0</v>
      </c>
      <c r="AF1193" s="32">
        <v>2022</v>
      </c>
      <c r="AG1193" s="32">
        <v>2022</v>
      </c>
      <c r="AH1193" s="33">
        <v>2022</v>
      </c>
      <c r="AT1193" s="18" t="e">
        <f>VLOOKUP(C1193,AW:AX,2,FALSE)</f>
        <v>#N/A</v>
      </c>
      <c r="BZ1193" s="61"/>
    </row>
    <row r="1194" spans="1:78" ht="61.5" x14ac:dyDescent="0.85">
      <c r="A1194" s="18">
        <v>1</v>
      </c>
      <c r="B1194" s="57">
        <f>SUBTOTAL(103,$A$1093:A1194)</f>
        <v>100</v>
      </c>
      <c r="C1194" s="22" t="s">
        <v>432</v>
      </c>
      <c r="D1194" s="29">
        <f t="shared" si="227"/>
        <v>2330461.9000000004</v>
      </c>
      <c r="E1194" s="29">
        <v>0</v>
      </c>
      <c r="F1194" s="29">
        <v>0</v>
      </c>
      <c r="G1194" s="29">
        <v>0</v>
      </c>
      <c r="H1194" s="29">
        <v>0</v>
      </c>
      <c r="I1194" s="29">
        <v>0</v>
      </c>
      <c r="J1194" s="29">
        <v>0</v>
      </c>
      <c r="K1194" s="31">
        <v>0</v>
      </c>
      <c r="L1194" s="29">
        <v>0</v>
      </c>
      <c r="M1194" s="29">
        <v>483</v>
      </c>
      <c r="N1194" s="29">
        <v>2177794.9800000004</v>
      </c>
      <c r="O1194" s="29">
        <v>0</v>
      </c>
      <c r="P1194" s="29">
        <v>0</v>
      </c>
      <c r="Q1194" s="29">
        <v>0</v>
      </c>
      <c r="R1194" s="29">
        <v>0</v>
      </c>
      <c r="S1194" s="29">
        <v>0</v>
      </c>
      <c r="T1194" s="29">
        <v>0</v>
      </c>
      <c r="U1194" s="29">
        <v>0</v>
      </c>
      <c r="V1194" s="29">
        <v>0</v>
      </c>
      <c r="W1194" s="29">
        <v>0</v>
      </c>
      <c r="X1194" s="29">
        <v>0</v>
      </c>
      <c r="Y1194" s="29">
        <v>0</v>
      </c>
      <c r="Z1194" s="29">
        <v>0</v>
      </c>
      <c r="AA1194" s="29">
        <v>0</v>
      </c>
      <c r="AB1194" s="29">
        <v>0</v>
      </c>
      <c r="AC1194" s="29">
        <f t="shared" si="228"/>
        <v>32666.92</v>
      </c>
      <c r="AD1194" s="29">
        <v>120000</v>
      </c>
      <c r="AE1194" s="29">
        <v>0</v>
      </c>
      <c r="AF1194" s="32">
        <v>2022</v>
      </c>
      <c r="AG1194" s="32">
        <v>2022</v>
      </c>
      <c r="AH1194" s="33">
        <v>2022</v>
      </c>
      <c r="AT1194" s="18" t="e">
        <f>VLOOKUP(C1194,AW:AX,2,FALSE)</f>
        <v>#N/A</v>
      </c>
      <c r="BZ1194" s="61"/>
    </row>
    <row r="1195" spans="1:78" ht="61.5" x14ac:dyDescent="0.85">
      <c r="A1195" s="18">
        <v>1</v>
      </c>
      <c r="B1195" s="57">
        <f>SUBTOTAL(103,$A$1093:A1195)</f>
        <v>101</v>
      </c>
      <c r="C1195" s="22" t="s">
        <v>433</v>
      </c>
      <c r="D1195" s="29">
        <f t="shared" si="227"/>
        <v>7737284.3099999996</v>
      </c>
      <c r="E1195" s="29">
        <v>0</v>
      </c>
      <c r="F1195" s="29">
        <v>0</v>
      </c>
      <c r="G1195" s="29">
        <v>0</v>
      </c>
      <c r="H1195" s="29">
        <v>0</v>
      </c>
      <c r="I1195" s="29">
        <v>0</v>
      </c>
      <c r="J1195" s="29">
        <v>0</v>
      </c>
      <c r="K1195" s="31">
        <v>0</v>
      </c>
      <c r="L1195" s="29">
        <v>0</v>
      </c>
      <c r="M1195" s="29">
        <v>1501</v>
      </c>
      <c r="N1195" s="29">
        <v>7445600.3099999996</v>
      </c>
      <c r="O1195" s="29">
        <v>0</v>
      </c>
      <c r="P1195" s="29">
        <v>0</v>
      </c>
      <c r="Q1195" s="29">
        <v>0</v>
      </c>
      <c r="R1195" s="29">
        <v>0</v>
      </c>
      <c r="S1195" s="29">
        <v>0</v>
      </c>
      <c r="T1195" s="29">
        <v>0</v>
      </c>
      <c r="U1195" s="29">
        <v>0</v>
      </c>
      <c r="V1195" s="29">
        <v>0</v>
      </c>
      <c r="W1195" s="29">
        <v>0</v>
      </c>
      <c r="X1195" s="29">
        <v>0</v>
      </c>
      <c r="Y1195" s="29">
        <v>0</v>
      </c>
      <c r="Z1195" s="29">
        <v>0</v>
      </c>
      <c r="AA1195" s="29">
        <v>0</v>
      </c>
      <c r="AB1195" s="29">
        <v>0</v>
      </c>
      <c r="AC1195" s="29">
        <f t="shared" si="228"/>
        <v>111684</v>
      </c>
      <c r="AD1195" s="29">
        <v>180000</v>
      </c>
      <c r="AE1195" s="29">
        <v>0</v>
      </c>
      <c r="AF1195" s="32">
        <v>2022</v>
      </c>
      <c r="AG1195" s="32">
        <v>2022</v>
      </c>
      <c r="AH1195" s="33">
        <v>2022</v>
      </c>
      <c r="AT1195" s="18" t="e">
        <f>VLOOKUP(C1195,AW:AX,2,FALSE)</f>
        <v>#N/A</v>
      </c>
      <c r="BZ1195" s="61"/>
    </row>
    <row r="1196" spans="1:78" ht="61.5" x14ac:dyDescent="0.85">
      <c r="A1196" s="18">
        <v>1</v>
      </c>
      <c r="B1196" s="57">
        <f>SUBTOTAL(103,$A$1093:A1196)</f>
        <v>102</v>
      </c>
      <c r="C1196" s="22" t="s">
        <v>434</v>
      </c>
      <c r="D1196" s="29">
        <f t="shared" si="227"/>
        <v>3223377.74</v>
      </c>
      <c r="E1196" s="29">
        <v>0</v>
      </c>
      <c r="F1196" s="29">
        <v>0</v>
      </c>
      <c r="G1196" s="29">
        <v>0</v>
      </c>
      <c r="H1196" s="29">
        <v>0</v>
      </c>
      <c r="I1196" s="29">
        <v>0</v>
      </c>
      <c r="J1196" s="29">
        <v>0</v>
      </c>
      <c r="K1196" s="31">
        <v>0</v>
      </c>
      <c r="L1196" s="29">
        <v>0</v>
      </c>
      <c r="M1196" s="29">
        <v>600</v>
      </c>
      <c r="N1196" s="29">
        <v>3027958.3600000003</v>
      </c>
      <c r="O1196" s="29">
        <v>0</v>
      </c>
      <c r="P1196" s="29">
        <v>0</v>
      </c>
      <c r="Q1196" s="29">
        <v>0</v>
      </c>
      <c r="R1196" s="29">
        <v>0</v>
      </c>
      <c r="S1196" s="29">
        <v>0</v>
      </c>
      <c r="T1196" s="29">
        <v>0</v>
      </c>
      <c r="U1196" s="29">
        <v>0</v>
      </c>
      <c r="V1196" s="29">
        <v>0</v>
      </c>
      <c r="W1196" s="29">
        <v>0</v>
      </c>
      <c r="X1196" s="29">
        <v>0</v>
      </c>
      <c r="Y1196" s="29">
        <v>0</v>
      </c>
      <c r="Z1196" s="29">
        <v>0</v>
      </c>
      <c r="AA1196" s="29">
        <v>0</v>
      </c>
      <c r="AB1196" s="29">
        <v>0</v>
      </c>
      <c r="AC1196" s="29">
        <f t="shared" si="228"/>
        <v>45419.38</v>
      </c>
      <c r="AD1196" s="29">
        <v>150000</v>
      </c>
      <c r="AE1196" s="29">
        <v>0</v>
      </c>
      <c r="AF1196" s="32">
        <v>2022</v>
      </c>
      <c r="AG1196" s="32">
        <v>2022</v>
      </c>
      <c r="AH1196" s="33">
        <v>2022</v>
      </c>
      <c r="AT1196" s="18" t="e">
        <f>VLOOKUP(C1196,AW:AX,2,FALSE)</f>
        <v>#N/A</v>
      </c>
      <c r="BZ1196" s="61"/>
    </row>
    <row r="1197" spans="1:78" ht="61.5" x14ac:dyDescent="0.85">
      <c r="A1197" s="18">
        <v>1</v>
      </c>
      <c r="B1197" s="57">
        <f>SUBTOTAL(103,$A$1093:A1197)</f>
        <v>103</v>
      </c>
      <c r="C1197" s="22" t="s">
        <v>435</v>
      </c>
      <c r="D1197" s="29">
        <f t="shared" si="227"/>
        <v>1785415</v>
      </c>
      <c r="E1197" s="29">
        <v>0</v>
      </c>
      <c r="F1197" s="29">
        <v>0</v>
      </c>
      <c r="G1197" s="29">
        <v>0</v>
      </c>
      <c r="H1197" s="29">
        <v>0</v>
      </c>
      <c r="I1197" s="29">
        <v>0</v>
      </c>
      <c r="J1197" s="29">
        <v>0</v>
      </c>
      <c r="K1197" s="31">
        <v>0</v>
      </c>
      <c r="L1197" s="29">
        <v>0</v>
      </c>
      <c r="M1197" s="29">
        <v>369</v>
      </c>
      <c r="N1197" s="29">
        <v>1640802.96</v>
      </c>
      <c r="O1197" s="29">
        <v>0</v>
      </c>
      <c r="P1197" s="29">
        <v>0</v>
      </c>
      <c r="Q1197" s="29">
        <v>0</v>
      </c>
      <c r="R1197" s="29">
        <v>0</v>
      </c>
      <c r="S1197" s="29">
        <v>0</v>
      </c>
      <c r="T1197" s="29">
        <v>0</v>
      </c>
      <c r="U1197" s="29">
        <v>0</v>
      </c>
      <c r="V1197" s="29">
        <v>0</v>
      </c>
      <c r="W1197" s="29">
        <v>0</v>
      </c>
      <c r="X1197" s="29">
        <v>0</v>
      </c>
      <c r="Y1197" s="29">
        <v>0</v>
      </c>
      <c r="Z1197" s="29">
        <v>0</v>
      </c>
      <c r="AA1197" s="29">
        <v>0</v>
      </c>
      <c r="AB1197" s="29">
        <v>0</v>
      </c>
      <c r="AC1197" s="29">
        <f t="shared" si="228"/>
        <v>24612.04</v>
      </c>
      <c r="AD1197" s="29">
        <v>120000</v>
      </c>
      <c r="AE1197" s="29">
        <v>0</v>
      </c>
      <c r="AF1197" s="32">
        <v>2022</v>
      </c>
      <c r="AG1197" s="32">
        <v>2022</v>
      </c>
      <c r="AH1197" s="33">
        <v>2022</v>
      </c>
      <c r="AT1197" s="18" t="e">
        <f>VLOOKUP(C1197,AW:AX,2,FALSE)</f>
        <v>#N/A</v>
      </c>
      <c r="BZ1197" s="61"/>
    </row>
    <row r="1198" spans="1:78" ht="61.5" x14ac:dyDescent="0.85">
      <c r="A1198" s="18">
        <v>1</v>
      </c>
      <c r="B1198" s="57">
        <f>SUBTOTAL(103,$A$1093:A1198)</f>
        <v>104</v>
      </c>
      <c r="C1198" s="22" t="s">
        <v>209</v>
      </c>
      <c r="D1198" s="29">
        <f t="shared" si="227"/>
        <v>2534110.7700000005</v>
      </c>
      <c r="E1198" s="29">
        <v>0</v>
      </c>
      <c r="F1198" s="29">
        <v>0</v>
      </c>
      <c r="G1198" s="29">
        <v>0</v>
      </c>
      <c r="H1198" s="29">
        <v>0</v>
      </c>
      <c r="I1198" s="29">
        <v>0</v>
      </c>
      <c r="J1198" s="29">
        <v>0</v>
      </c>
      <c r="K1198" s="31">
        <v>0</v>
      </c>
      <c r="L1198" s="29">
        <v>0</v>
      </c>
      <c r="M1198" s="29">
        <v>525</v>
      </c>
      <c r="N1198" s="29">
        <v>2348877.6100000003</v>
      </c>
      <c r="O1198" s="29">
        <v>0</v>
      </c>
      <c r="P1198" s="29">
        <v>0</v>
      </c>
      <c r="Q1198" s="29">
        <v>0</v>
      </c>
      <c r="R1198" s="29">
        <v>0</v>
      </c>
      <c r="S1198" s="29">
        <v>0</v>
      </c>
      <c r="T1198" s="29">
        <v>0</v>
      </c>
      <c r="U1198" s="29">
        <v>0</v>
      </c>
      <c r="V1198" s="29">
        <v>0</v>
      </c>
      <c r="W1198" s="29">
        <v>0</v>
      </c>
      <c r="X1198" s="29">
        <v>0</v>
      </c>
      <c r="Y1198" s="29">
        <v>0</v>
      </c>
      <c r="Z1198" s="29">
        <v>0</v>
      </c>
      <c r="AA1198" s="29">
        <v>0</v>
      </c>
      <c r="AB1198" s="29">
        <v>0</v>
      </c>
      <c r="AC1198" s="29">
        <f t="shared" si="228"/>
        <v>35233.160000000003</v>
      </c>
      <c r="AD1198" s="29">
        <v>150000</v>
      </c>
      <c r="AE1198" s="29">
        <v>0</v>
      </c>
      <c r="AF1198" s="32">
        <v>2022</v>
      </c>
      <c r="AG1198" s="32">
        <v>2022</v>
      </c>
      <c r="AH1198" s="33">
        <v>2022</v>
      </c>
      <c r="AT1198" s="18" t="e">
        <f>VLOOKUP(C1198,AW:AX,2,FALSE)</f>
        <v>#N/A</v>
      </c>
      <c r="BZ1198" s="61"/>
    </row>
    <row r="1199" spans="1:78" ht="61.5" x14ac:dyDescent="0.85">
      <c r="A1199" s="18">
        <v>1</v>
      </c>
      <c r="B1199" s="57">
        <f>SUBTOTAL(103,$A$1093:A1199)</f>
        <v>105</v>
      </c>
      <c r="C1199" s="22" t="s">
        <v>208</v>
      </c>
      <c r="D1199" s="29">
        <f t="shared" si="227"/>
        <v>2967533.3499999996</v>
      </c>
      <c r="E1199" s="29">
        <v>0</v>
      </c>
      <c r="F1199" s="29">
        <v>0</v>
      </c>
      <c r="G1199" s="29">
        <v>0</v>
      </c>
      <c r="H1199" s="29">
        <v>0</v>
      </c>
      <c r="I1199" s="29">
        <v>0</v>
      </c>
      <c r="J1199" s="29">
        <v>0</v>
      </c>
      <c r="K1199" s="31">
        <v>0</v>
      </c>
      <c r="L1199" s="29">
        <v>0</v>
      </c>
      <c r="M1199" s="29">
        <v>614</v>
      </c>
      <c r="N1199" s="29">
        <v>2775894.9299999997</v>
      </c>
      <c r="O1199" s="29">
        <v>0</v>
      </c>
      <c r="P1199" s="29">
        <v>0</v>
      </c>
      <c r="Q1199" s="29">
        <v>0</v>
      </c>
      <c r="R1199" s="29">
        <v>0</v>
      </c>
      <c r="S1199" s="29">
        <v>0</v>
      </c>
      <c r="T1199" s="29">
        <v>0</v>
      </c>
      <c r="U1199" s="29">
        <v>0</v>
      </c>
      <c r="V1199" s="29">
        <v>0</v>
      </c>
      <c r="W1199" s="29">
        <v>0</v>
      </c>
      <c r="X1199" s="29">
        <v>0</v>
      </c>
      <c r="Y1199" s="29">
        <v>0</v>
      </c>
      <c r="Z1199" s="29">
        <v>0</v>
      </c>
      <c r="AA1199" s="29">
        <v>0</v>
      </c>
      <c r="AB1199" s="29">
        <v>0</v>
      </c>
      <c r="AC1199" s="29">
        <f t="shared" si="228"/>
        <v>41638.42</v>
      </c>
      <c r="AD1199" s="29">
        <v>150000</v>
      </c>
      <c r="AE1199" s="29">
        <v>0</v>
      </c>
      <c r="AF1199" s="32">
        <v>2022</v>
      </c>
      <c r="AG1199" s="32">
        <v>2022</v>
      </c>
      <c r="AH1199" s="33">
        <v>2022</v>
      </c>
      <c r="AT1199" s="18" t="e">
        <f>VLOOKUP(C1199,AW:AX,2,FALSE)</f>
        <v>#N/A</v>
      </c>
      <c r="BZ1199" s="61"/>
    </row>
    <row r="1200" spans="1:78" ht="61.5" x14ac:dyDescent="0.85">
      <c r="A1200" s="18">
        <v>1</v>
      </c>
      <c r="B1200" s="57">
        <f>SUBTOTAL(103,$A$1093:A1200)</f>
        <v>106</v>
      </c>
      <c r="C1200" s="22" t="s">
        <v>437</v>
      </c>
      <c r="D1200" s="29">
        <f t="shared" si="227"/>
        <v>1780239.97</v>
      </c>
      <c r="E1200" s="29">
        <v>0</v>
      </c>
      <c r="F1200" s="29">
        <v>0</v>
      </c>
      <c r="G1200" s="29">
        <v>0</v>
      </c>
      <c r="H1200" s="29">
        <v>0</v>
      </c>
      <c r="I1200" s="29">
        <v>0</v>
      </c>
      <c r="J1200" s="29">
        <v>0</v>
      </c>
      <c r="K1200" s="31">
        <v>0</v>
      </c>
      <c r="L1200" s="29">
        <v>0</v>
      </c>
      <c r="M1200" s="29">
        <v>370</v>
      </c>
      <c r="N1200" s="29">
        <v>1635704.4</v>
      </c>
      <c r="O1200" s="29">
        <v>0</v>
      </c>
      <c r="P1200" s="29">
        <v>0</v>
      </c>
      <c r="Q1200" s="29">
        <v>0</v>
      </c>
      <c r="R1200" s="29">
        <v>0</v>
      </c>
      <c r="S1200" s="29">
        <v>0</v>
      </c>
      <c r="T1200" s="29">
        <v>0</v>
      </c>
      <c r="U1200" s="29">
        <v>0</v>
      </c>
      <c r="V1200" s="29">
        <v>0</v>
      </c>
      <c r="W1200" s="29">
        <v>0</v>
      </c>
      <c r="X1200" s="29">
        <v>0</v>
      </c>
      <c r="Y1200" s="29">
        <v>0</v>
      </c>
      <c r="Z1200" s="29">
        <v>0</v>
      </c>
      <c r="AA1200" s="29">
        <v>0</v>
      </c>
      <c r="AB1200" s="29">
        <v>0</v>
      </c>
      <c r="AC1200" s="29">
        <f>ROUND(N1200*1.5%,2)</f>
        <v>24535.57</v>
      </c>
      <c r="AD1200" s="29">
        <v>120000</v>
      </c>
      <c r="AE1200" s="29">
        <v>0</v>
      </c>
      <c r="AF1200" s="32">
        <v>2022</v>
      </c>
      <c r="AG1200" s="32">
        <v>2022</v>
      </c>
      <c r="AH1200" s="33">
        <v>2022</v>
      </c>
      <c r="AT1200" s="18" t="e">
        <f>VLOOKUP(C1200,AW:AX,2,FALSE)</f>
        <v>#N/A</v>
      </c>
      <c r="BZ1200" s="61"/>
    </row>
    <row r="1201" spans="1:78" ht="61.5" x14ac:dyDescent="0.85">
      <c r="A1201" s="18">
        <v>1</v>
      </c>
      <c r="B1201" s="57">
        <f>SUBTOTAL(103,$A$1093:A1201)</f>
        <v>107</v>
      </c>
      <c r="C1201" s="22" t="s">
        <v>438</v>
      </c>
      <c r="D1201" s="29">
        <f t="shared" si="227"/>
        <v>2557235.63</v>
      </c>
      <c r="E1201" s="29">
        <v>0</v>
      </c>
      <c r="F1201" s="29">
        <v>0</v>
      </c>
      <c r="G1201" s="29">
        <v>0</v>
      </c>
      <c r="H1201" s="29">
        <v>0</v>
      </c>
      <c r="I1201" s="29">
        <v>0</v>
      </c>
      <c r="J1201" s="29">
        <v>0</v>
      </c>
      <c r="K1201" s="31">
        <v>0</v>
      </c>
      <c r="L1201" s="29">
        <v>0</v>
      </c>
      <c r="M1201" s="29">
        <v>530</v>
      </c>
      <c r="N1201" s="29">
        <v>2371660.7199999997</v>
      </c>
      <c r="O1201" s="29">
        <v>0</v>
      </c>
      <c r="P1201" s="29">
        <v>0</v>
      </c>
      <c r="Q1201" s="29">
        <v>0</v>
      </c>
      <c r="R1201" s="29">
        <v>0</v>
      </c>
      <c r="S1201" s="29">
        <v>0</v>
      </c>
      <c r="T1201" s="29">
        <v>0</v>
      </c>
      <c r="U1201" s="29">
        <v>0</v>
      </c>
      <c r="V1201" s="29">
        <v>0</v>
      </c>
      <c r="W1201" s="29">
        <v>0</v>
      </c>
      <c r="X1201" s="29">
        <v>0</v>
      </c>
      <c r="Y1201" s="29">
        <v>0</v>
      </c>
      <c r="Z1201" s="29">
        <v>0</v>
      </c>
      <c r="AA1201" s="29">
        <v>0</v>
      </c>
      <c r="AB1201" s="29">
        <v>0</v>
      </c>
      <c r="AC1201" s="29">
        <f>ROUND(N1201*1.5%,2)</f>
        <v>35574.910000000003</v>
      </c>
      <c r="AD1201" s="29">
        <v>150000</v>
      </c>
      <c r="AE1201" s="29">
        <v>0</v>
      </c>
      <c r="AF1201" s="32">
        <v>2022</v>
      </c>
      <c r="AG1201" s="32">
        <v>2022</v>
      </c>
      <c r="AH1201" s="33">
        <v>2022</v>
      </c>
      <c r="AT1201" s="18" t="e">
        <f>VLOOKUP(C1201,AW:AX,2,FALSE)</f>
        <v>#N/A</v>
      </c>
      <c r="BZ1201" s="61"/>
    </row>
    <row r="1202" spans="1:78" ht="61.5" x14ac:dyDescent="0.85">
      <c r="A1202" s="18">
        <v>1</v>
      </c>
      <c r="B1202" s="57">
        <f>SUBTOTAL(103,$A$1093:A1202)</f>
        <v>108</v>
      </c>
      <c r="C1202" s="22" t="s">
        <v>439</v>
      </c>
      <c r="D1202" s="29">
        <f t="shared" si="227"/>
        <v>1910689.2699999998</v>
      </c>
      <c r="E1202" s="29">
        <v>0</v>
      </c>
      <c r="F1202" s="29">
        <v>0</v>
      </c>
      <c r="G1202" s="29">
        <v>0</v>
      </c>
      <c r="H1202" s="29">
        <v>0</v>
      </c>
      <c r="I1202" s="29">
        <v>0</v>
      </c>
      <c r="J1202" s="29">
        <v>0</v>
      </c>
      <c r="K1202" s="31">
        <v>0</v>
      </c>
      <c r="L1202" s="29">
        <v>0</v>
      </c>
      <c r="M1202" s="29">
        <v>396</v>
      </c>
      <c r="N1202" s="29">
        <f>1764225.88-29544.48</f>
        <v>1734681.4</v>
      </c>
      <c r="O1202" s="29">
        <v>0</v>
      </c>
      <c r="P1202" s="29">
        <v>0</v>
      </c>
      <c r="Q1202" s="29">
        <v>0</v>
      </c>
      <c r="R1202" s="29">
        <v>0</v>
      </c>
      <c r="S1202" s="29">
        <v>0</v>
      </c>
      <c r="T1202" s="29">
        <v>0</v>
      </c>
      <c r="U1202" s="29">
        <v>0</v>
      </c>
      <c r="V1202" s="29">
        <v>0</v>
      </c>
      <c r="W1202" s="29">
        <v>0</v>
      </c>
      <c r="X1202" s="29">
        <v>0</v>
      </c>
      <c r="Y1202" s="29">
        <v>0</v>
      </c>
      <c r="Z1202" s="29">
        <v>0</v>
      </c>
      <c r="AA1202" s="29">
        <v>0</v>
      </c>
      <c r="AB1202" s="29">
        <v>0</v>
      </c>
      <c r="AC1202" s="29">
        <f>ROUND(N1202*1.5%,2)</f>
        <v>26020.22</v>
      </c>
      <c r="AD1202" s="29">
        <v>149987.65</v>
      </c>
      <c r="AE1202" s="29">
        <v>0</v>
      </c>
      <c r="AF1202" s="32">
        <v>2022</v>
      </c>
      <c r="AG1202" s="32">
        <v>2022</v>
      </c>
      <c r="AH1202" s="33">
        <v>2022</v>
      </c>
      <c r="AT1202" s="18" t="e">
        <f>VLOOKUP(C1202,AW:AX,2,FALSE)</f>
        <v>#N/A</v>
      </c>
      <c r="BZ1202" s="61"/>
    </row>
    <row r="1203" spans="1:78" ht="61.5" x14ac:dyDescent="0.85">
      <c r="B1203" s="22" t="s">
        <v>773</v>
      </c>
      <c r="C1203" s="22"/>
      <c r="D1203" s="339">
        <f t="shared" ref="D1203:AE1203" si="229">SUM(D1204:D1213)</f>
        <v>37956499.130000003</v>
      </c>
      <c r="E1203" s="29">
        <f t="shared" si="229"/>
        <v>0</v>
      </c>
      <c r="F1203" s="29">
        <f t="shared" si="229"/>
        <v>0</v>
      </c>
      <c r="G1203" s="29">
        <f t="shared" si="229"/>
        <v>0</v>
      </c>
      <c r="H1203" s="29">
        <f t="shared" si="229"/>
        <v>0</v>
      </c>
      <c r="I1203" s="29">
        <f t="shared" si="229"/>
        <v>0</v>
      </c>
      <c r="J1203" s="29">
        <f t="shared" si="229"/>
        <v>0</v>
      </c>
      <c r="K1203" s="31">
        <f t="shared" si="229"/>
        <v>0</v>
      </c>
      <c r="L1203" s="29">
        <f t="shared" si="229"/>
        <v>0</v>
      </c>
      <c r="M1203" s="29">
        <f t="shared" si="229"/>
        <v>7218.5</v>
      </c>
      <c r="N1203" s="29">
        <f t="shared" si="229"/>
        <v>34134436.520000003</v>
      </c>
      <c r="O1203" s="29">
        <f t="shared" si="229"/>
        <v>0</v>
      </c>
      <c r="P1203" s="29">
        <f t="shared" si="229"/>
        <v>0</v>
      </c>
      <c r="Q1203" s="29">
        <f t="shared" si="229"/>
        <v>360</v>
      </c>
      <c r="R1203" s="29">
        <f t="shared" si="229"/>
        <v>1883637.04</v>
      </c>
      <c r="S1203" s="29">
        <f t="shared" si="229"/>
        <v>0</v>
      </c>
      <c r="T1203" s="29">
        <f t="shared" si="229"/>
        <v>0</v>
      </c>
      <c r="U1203" s="29">
        <f t="shared" si="229"/>
        <v>0</v>
      </c>
      <c r="V1203" s="29">
        <f t="shared" si="229"/>
        <v>0</v>
      </c>
      <c r="W1203" s="29">
        <f t="shared" si="229"/>
        <v>0</v>
      </c>
      <c r="X1203" s="29">
        <f t="shared" si="229"/>
        <v>0</v>
      </c>
      <c r="Y1203" s="29">
        <f t="shared" si="229"/>
        <v>0</v>
      </c>
      <c r="Z1203" s="29">
        <f t="shared" si="229"/>
        <v>0</v>
      </c>
      <c r="AA1203" s="29">
        <f t="shared" si="229"/>
        <v>0</v>
      </c>
      <c r="AB1203" s="29">
        <f t="shared" si="229"/>
        <v>0</v>
      </c>
      <c r="AC1203" s="29">
        <f t="shared" si="229"/>
        <v>540271.11</v>
      </c>
      <c r="AD1203" s="29">
        <f t="shared" si="229"/>
        <v>1398154.46</v>
      </c>
      <c r="AE1203" s="29">
        <f t="shared" si="229"/>
        <v>0</v>
      </c>
      <c r="AF1203" s="32" t="s">
        <v>743</v>
      </c>
      <c r="AG1203" s="32" t="s">
        <v>743</v>
      </c>
      <c r="AH1203" s="33" t="s">
        <v>743</v>
      </c>
      <c r="AT1203" s="18" t="e">
        <f>VLOOKUP(C1203,AW:AX,2,FALSE)</f>
        <v>#N/A</v>
      </c>
      <c r="BZ1203" s="61">
        <v>46315599.309999995</v>
      </c>
    </row>
    <row r="1204" spans="1:78" ht="61.5" x14ac:dyDescent="0.85">
      <c r="A1204" s="18">
        <v>1</v>
      </c>
      <c r="B1204" s="57">
        <f>SUBTOTAL(103,$A$1093:A1204)</f>
        <v>109</v>
      </c>
      <c r="C1204" s="22" t="s">
        <v>774</v>
      </c>
      <c r="D1204" s="29">
        <f t="shared" ref="D1204:D1212" si="230">E1204+F1204+G1204+H1204+I1204+J1204+L1204+N1204+P1204+R1204+T1204+U1204+V1204+W1204+X1204+Y1204+Z1204+AA1204+AB1204+AC1204+AD1204+AE1204</f>
        <v>2642230.7999999998</v>
      </c>
      <c r="E1204" s="29">
        <v>0</v>
      </c>
      <c r="F1204" s="29">
        <v>0</v>
      </c>
      <c r="G1204" s="29">
        <v>0</v>
      </c>
      <c r="H1204" s="29">
        <v>0</v>
      </c>
      <c r="I1204" s="29">
        <v>0</v>
      </c>
      <c r="J1204" s="29">
        <v>0</v>
      </c>
      <c r="K1204" s="31">
        <v>0</v>
      </c>
      <c r="L1204" s="29">
        <v>0</v>
      </c>
      <c r="M1204" s="29">
        <v>506</v>
      </c>
      <c r="N1204" s="29">
        <v>2494808.67</v>
      </c>
      <c r="O1204" s="29">
        <v>0</v>
      </c>
      <c r="P1204" s="29">
        <v>0</v>
      </c>
      <c r="Q1204" s="29">
        <v>0</v>
      </c>
      <c r="R1204" s="29">
        <v>0</v>
      </c>
      <c r="S1204" s="29">
        <v>0</v>
      </c>
      <c r="T1204" s="29">
        <v>0</v>
      </c>
      <c r="U1204" s="29">
        <v>0</v>
      </c>
      <c r="V1204" s="29">
        <v>0</v>
      </c>
      <c r="W1204" s="29">
        <v>0</v>
      </c>
      <c r="X1204" s="29">
        <v>0</v>
      </c>
      <c r="Y1204" s="29">
        <v>0</v>
      </c>
      <c r="Z1204" s="29">
        <v>0</v>
      </c>
      <c r="AA1204" s="29">
        <v>0</v>
      </c>
      <c r="AB1204" s="29">
        <v>0</v>
      </c>
      <c r="AC1204" s="29">
        <f t="shared" ref="AC1204:AC1211" si="231">ROUND(N1204*1.5%,2)</f>
        <v>37422.129999999997</v>
      </c>
      <c r="AD1204" s="29">
        <v>110000</v>
      </c>
      <c r="AE1204" s="29">
        <v>0</v>
      </c>
      <c r="AF1204" s="32">
        <v>2022</v>
      </c>
      <c r="AG1204" s="32">
        <v>2022</v>
      </c>
      <c r="AH1204" s="33">
        <v>2022</v>
      </c>
      <c r="AT1204" s="18" t="e">
        <f>VLOOKUP(C1204,AW:AX,2,FALSE)</f>
        <v>#N/A</v>
      </c>
      <c r="BZ1204" s="61"/>
    </row>
    <row r="1205" spans="1:78" ht="61.5" x14ac:dyDescent="0.85">
      <c r="A1205" s="18">
        <v>1</v>
      </c>
      <c r="B1205" s="57">
        <f>SUBTOTAL(103,$A$1093:A1205)</f>
        <v>110</v>
      </c>
      <c r="C1205" s="22" t="s">
        <v>775</v>
      </c>
      <c r="D1205" s="29">
        <f t="shared" si="230"/>
        <v>2496020.4</v>
      </c>
      <c r="E1205" s="29">
        <v>0</v>
      </c>
      <c r="F1205" s="29">
        <v>0</v>
      </c>
      <c r="G1205" s="29">
        <v>0</v>
      </c>
      <c r="H1205" s="29">
        <v>0</v>
      </c>
      <c r="I1205" s="29">
        <v>0</v>
      </c>
      <c r="J1205" s="29">
        <v>0</v>
      </c>
      <c r="K1205" s="31">
        <v>0</v>
      </c>
      <c r="L1205" s="29">
        <v>0</v>
      </c>
      <c r="M1205" s="29">
        <v>478</v>
      </c>
      <c r="N1205" s="29">
        <v>2350759.0099999998</v>
      </c>
      <c r="O1205" s="29">
        <v>0</v>
      </c>
      <c r="P1205" s="29">
        <v>0</v>
      </c>
      <c r="Q1205" s="29">
        <v>0</v>
      </c>
      <c r="R1205" s="29">
        <v>0</v>
      </c>
      <c r="S1205" s="29">
        <v>0</v>
      </c>
      <c r="T1205" s="29">
        <v>0</v>
      </c>
      <c r="U1205" s="29">
        <v>0</v>
      </c>
      <c r="V1205" s="29">
        <v>0</v>
      </c>
      <c r="W1205" s="29">
        <v>0</v>
      </c>
      <c r="X1205" s="29">
        <v>0</v>
      </c>
      <c r="Y1205" s="29">
        <v>0</v>
      </c>
      <c r="Z1205" s="29">
        <v>0</v>
      </c>
      <c r="AA1205" s="29">
        <v>0</v>
      </c>
      <c r="AB1205" s="29">
        <v>0</v>
      </c>
      <c r="AC1205" s="29">
        <f t="shared" si="231"/>
        <v>35261.39</v>
      </c>
      <c r="AD1205" s="29">
        <v>110000</v>
      </c>
      <c r="AE1205" s="29">
        <v>0</v>
      </c>
      <c r="AF1205" s="32">
        <v>2022</v>
      </c>
      <c r="AG1205" s="32">
        <v>2022</v>
      </c>
      <c r="AH1205" s="33">
        <v>2022</v>
      </c>
      <c r="AT1205" s="18" t="e">
        <f>VLOOKUP(C1205,AW:AX,2,FALSE)</f>
        <v>#N/A</v>
      </c>
      <c r="BZ1205" s="61"/>
    </row>
    <row r="1206" spans="1:78" ht="61.5" x14ac:dyDescent="0.85">
      <c r="A1206" s="18">
        <v>1</v>
      </c>
      <c r="B1206" s="57">
        <f>SUBTOTAL(103,$A$1093:A1206)</f>
        <v>111</v>
      </c>
      <c r="C1206" s="22" t="s">
        <v>2258</v>
      </c>
      <c r="D1206" s="29">
        <f t="shared" si="230"/>
        <v>3160678.81</v>
      </c>
      <c r="E1206" s="29">
        <v>0</v>
      </c>
      <c r="F1206" s="29">
        <v>0</v>
      </c>
      <c r="G1206" s="29">
        <v>0</v>
      </c>
      <c r="H1206" s="29">
        <v>0</v>
      </c>
      <c r="I1206" s="29">
        <v>0</v>
      </c>
      <c r="J1206" s="29">
        <v>0</v>
      </c>
      <c r="K1206" s="31">
        <v>0</v>
      </c>
      <c r="L1206" s="29">
        <v>0</v>
      </c>
      <c r="M1206" s="29">
        <v>627</v>
      </c>
      <c r="N1206" s="29">
        <v>2965123.15</v>
      </c>
      <c r="O1206" s="29">
        <v>0</v>
      </c>
      <c r="P1206" s="29">
        <v>0</v>
      </c>
      <c r="Q1206" s="29">
        <v>0</v>
      </c>
      <c r="R1206" s="29">
        <v>0</v>
      </c>
      <c r="S1206" s="29">
        <v>0</v>
      </c>
      <c r="T1206" s="29">
        <v>0</v>
      </c>
      <c r="U1206" s="29">
        <v>0</v>
      </c>
      <c r="V1206" s="29">
        <v>0</v>
      </c>
      <c r="W1206" s="29">
        <v>0</v>
      </c>
      <c r="X1206" s="29">
        <v>0</v>
      </c>
      <c r="Y1206" s="29">
        <v>0</v>
      </c>
      <c r="Z1206" s="29">
        <v>0</v>
      </c>
      <c r="AA1206" s="29">
        <v>0</v>
      </c>
      <c r="AB1206" s="29">
        <v>0</v>
      </c>
      <c r="AC1206" s="29">
        <f t="shared" si="231"/>
        <v>44476.85</v>
      </c>
      <c r="AD1206" s="29">
        <v>151078.81</v>
      </c>
      <c r="AE1206" s="29">
        <v>0</v>
      </c>
      <c r="AF1206" s="32">
        <v>2022</v>
      </c>
      <c r="AG1206" s="32">
        <v>2022</v>
      </c>
      <c r="AH1206" s="33">
        <v>2022</v>
      </c>
      <c r="AT1206" s="18" t="e">
        <f>VLOOKUP(C1206,AW:AX,2,FALSE)</f>
        <v>#N/A</v>
      </c>
      <c r="BZ1206" s="61"/>
    </row>
    <row r="1207" spans="1:78" ht="61.5" x14ac:dyDescent="0.85">
      <c r="A1207" s="18">
        <v>1</v>
      </c>
      <c r="B1207" s="57">
        <f>SUBTOTAL(103,$A$1093:A1207)</f>
        <v>112</v>
      </c>
      <c r="C1207" s="22" t="s">
        <v>779</v>
      </c>
      <c r="D1207" s="29">
        <f t="shared" si="230"/>
        <v>7219360.3499999996</v>
      </c>
      <c r="E1207" s="29">
        <v>0</v>
      </c>
      <c r="F1207" s="29">
        <v>0</v>
      </c>
      <c r="G1207" s="29">
        <v>0</v>
      </c>
      <c r="H1207" s="29">
        <v>0</v>
      </c>
      <c r="I1207" s="29">
        <v>0</v>
      </c>
      <c r="J1207" s="29">
        <v>0</v>
      </c>
      <c r="K1207" s="31">
        <v>0</v>
      </c>
      <c r="L1207" s="29">
        <v>0</v>
      </c>
      <c r="M1207" s="29">
        <v>1360</v>
      </c>
      <c r="N1207" s="29">
        <v>6858766.5</v>
      </c>
      <c r="O1207" s="29">
        <v>0</v>
      </c>
      <c r="P1207" s="29">
        <v>0</v>
      </c>
      <c r="Q1207" s="29">
        <v>0</v>
      </c>
      <c r="R1207" s="29">
        <v>0</v>
      </c>
      <c r="S1207" s="29">
        <v>0</v>
      </c>
      <c r="T1207" s="29">
        <v>0</v>
      </c>
      <c r="U1207" s="29">
        <v>0</v>
      </c>
      <c r="V1207" s="29">
        <v>0</v>
      </c>
      <c r="W1207" s="29">
        <v>0</v>
      </c>
      <c r="X1207" s="29">
        <v>0</v>
      </c>
      <c r="Y1207" s="29">
        <v>0</v>
      </c>
      <c r="Z1207" s="29">
        <v>0</v>
      </c>
      <c r="AA1207" s="29">
        <v>0</v>
      </c>
      <c r="AB1207" s="29">
        <v>0</v>
      </c>
      <c r="AC1207" s="29">
        <f t="shared" si="231"/>
        <v>102881.5</v>
      </c>
      <c r="AD1207" s="29">
        <v>257712.35</v>
      </c>
      <c r="AE1207" s="29">
        <v>0</v>
      </c>
      <c r="AF1207" s="32">
        <v>2022</v>
      </c>
      <c r="AG1207" s="32">
        <v>2022</v>
      </c>
      <c r="AH1207" s="33">
        <v>2022</v>
      </c>
      <c r="AT1207" s="18">
        <f>VLOOKUP(C1207,AW:AX,2,FALSE)</f>
        <v>1</v>
      </c>
      <c r="BZ1207" s="61"/>
    </row>
    <row r="1208" spans="1:78" ht="61.5" x14ac:dyDescent="0.85">
      <c r="A1208" s="18">
        <v>1</v>
      </c>
      <c r="B1208" s="57">
        <f>SUBTOTAL(103,$A$1093:A1208)</f>
        <v>113</v>
      </c>
      <c r="C1208" s="22" t="s">
        <v>780</v>
      </c>
      <c r="D1208" s="29">
        <f t="shared" si="230"/>
        <v>3428311.4999999995</v>
      </c>
      <c r="E1208" s="29">
        <v>0</v>
      </c>
      <c r="F1208" s="29">
        <v>0</v>
      </c>
      <c r="G1208" s="29">
        <v>0</v>
      </c>
      <c r="H1208" s="29">
        <v>0</v>
      </c>
      <c r="I1208" s="29">
        <v>0</v>
      </c>
      <c r="J1208" s="29">
        <v>0</v>
      </c>
      <c r="K1208" s="31">
        <v>0</v>
      </c>
      <c r="L1208" s="29">
        <v>0</v>
      </c>
      <c r="M1208" s="29">
        <v>649</v>
      </c>
      <c r="N1208" s="29">
        <v>3230490.84</v>
      </c>
      <c r="O1208" s="29">
        <v>0</v>
      </c>
      <c r="P1208" s="29">
        <v>0</v>
      </c>
      <c r="Q1208" s="29">
        <v>0</v>
      </c>
      <c r="R1208" s="29">
        <v>0</v>
      </c>
      <c r="S1208" s="29">
        <v>0</v>
      </c>
      <c r="T1208" s="29">
        <v>0</v>
      </c>
      <c r="U1208" s="29">
        <v>0</v>
      </c>
      <c r="V1208" s="29">
        <v>0</v>
      </c>
      <c r="W1208" s="29">
        <v>0</v>
      </c>
      <c r="X1208" s="29">
        <v>0</v>
      </c>
      <c r="Y1208" s="29">
        <v>0</v>
      </c>
      <c r="Z1208" s="29">
        <v>0</v>
      </c>
      <c r="AA1208" s="29">
        <v>0</v>
      </c>
      <c r="AB1208" s="29">
        <v>0</v>
      </c>
      <c r="AC1208" s="29">
        <f t="shared" si="231"/>
        <v>48457.36</v>
      </c>
      <c r="AD1208" s="29">
        <v>149363.29999999999</v>
      </c>
      <c r="AE1208" s="29">
        <v>0</v>
      </c>
      <c r="AF1208" s="32">
        <v>2022</v>
      </c>
      <c r="AG1208" s="32">
        <v>2022</v>
      </c>
      <c r="AH1208" s="33">
        <v>2022</v>
      </c>
      <c r="AT1208" s="18" t="e">
        <f>VLOOKUP(C1208,AW:AX,2,FALSE)</f>
        <v>#N/A</v>
      </c>
      <c r="BZ1208" s="61"/>
    </row>
    <row r="1209" spans="1:78" ht="61.5" x14ac:dyDescent="0.85">
      <c r="A1209" s="18">
        <v>1</v>
      </c>
      <c r="B1209" s="57">
        <f>SUBTOTAL(103,$A$1093:A1209)</f>
        <v>114</v>
      </c>
      <c r="C1209" s="22" t="s">
        <v>781</v>
      </c>
      <c r="D1209" s="29">
        <f t="shared" si="230"/>
        <v>3446388</v>
      </c>
      <c r="E1209" s="29">
        <v>0</v>
      </c>
      <c r="F1209" s="29">
        <v>0</v>
      </c>
      <c r="G1209" s="29">
        <v>0</v>
      </c>
      <c r="H1209" s="29">
        <v>0</v>
      </c>
      <c r="I1209" s="29">
        <v>0</v>
      </c>
      <c r="J1209" s="29">
        <v>0</v>
      </c>
      <c r="K1209" s="31">
        <v>0</v>
      </c>
      <c r="L1209" s="29">
        <v>0</v>
      </c>
      <c r="M1209" s="29">
        <v>660</v>
      </c>
      <c r="N1209" s="29">
        <v>3287081.77</v>
      </c>
      <c r="O1209" s="29">
        <v>0</v>
      </c>
      <c r="P1209" s="29">
        <v>0</v>
      </c>
      <c r="Q1209" s="29">
        <v>0</v>
      </c>
      <c r="R1209" s="29">
        <v>0</v>
      </c>
      <c r="S1209" s="29">
        <v>0</v>
      </c>
      <c r="T1209" s="29">
        <v>0</v>
      </c>
      <c r="U1209" s="29">
        <v>0</v>
      </c>
      <c r="V1209" s="29">
        <v>0</v>
      </c>
      <c r="W1209" s="29">
        <v>0</v>
      </c>
      <c r="X1209" s="29">
        <v>0</v>
      </c>
      <c r="Y1209" s="29">
        <v>0</v>
      </c>
      <c r="Z1209" s="29">
        <v>0</v>
      </c>
      <c r="AA1209" s="29">
        <v>0</v>
      </c>
      <c r="AB1209" s="29">
        <v>0</v>
      </c>
      <c r="AC1209" s="29">
        <f t="shared" si="231"/>
        <v>49306.23</v>
      </c>
      <c r="AD1209" s="29">
        <v>110000</v>
      </c>
      <c r="AE1209" s="29">
        <v>0</v>
      </c>
      <c r="AF1209" s="32">
        <v>2022</v>
      </c>
      <c r="AG1209" s="32">
        <v>2022</v>
      </c>
      <c r="AH1209" s="33">
        <v>2022</v>
      </c>
      <c r="AT1209" s="18" t="e">
        <f>VLOOKUP(C1209,AW:AX,2,FALSE)</f>
        <v>#N/A</v>
      </c>
      <c r="BZ1209" s="61"/>
    </row>
    <row r="1210" spans="1:78" ht="61.5" x14ac:dyDescent="0.85">
      <c r="A1210" s="18">
        <v>1</v>
      </c>
      <c r="B1210" s="57">
        <f>SUBTOTAL(103,$A$1093:A1210)</f>
        <v>115</v>
      </c>
      <c r="C1210" s="22" t="s">
        <v>782</v>
      </c>
      <c r="D1210" s="29">
        <f t="shared" si="230"/>
        <v>2827058</v>
      </c>
      <c r="E1210" s="29">
        <v>0</v>
      </c>
      <c r="F1210" s="29">
        <v>0</v>
      </c>
      <c r="G1210" s="29">
        <v>0</v>
      </c>
      <c r="H1210" s="29">
        <v>0</v>
      </c>
      <c r="I1210" s="29">
        <v>0</v>
      </c>
      <c r="J1210" s="29">
        <v>0</v>
      </c>
      <c r="K1210" s="31">
        <v>0</v>
      </c>
      <c r="L1210" s="29">
        <v>0</v>
      </c>
      <c r="M1210" s="29">
        <v>511</v>
      </c>
      <c r="N1210" s="29">
        <f>M1210*5200</f>
        <v>2657200</v>
      </c>
      <c r="O1210" s="29">
        <v>0</v>
      </c>
      <c r="P1210" s="29">
        <v>0</v>
      </c>
      <c r="Q1210" s="29">
        <v>0</v>
      </c>
      <c r="R1210" s="29">
        <v>0</v>
      </c>
      <c r="S1210" s="29">
        <v>0</v>
      </c>
      <c r="T1210" s="29">
        <v>0</v>
      </c>
      <c r="U1210" s="29">
        <v>0</v>
      </c>
      <c r="V1210" s="29">
        <v>0</v>
      </c>
      <c r="W1210" s="29">
        <v>0</v>
      </c>
      <c r="X1210" s="29">
        <v>0</v>
      </c>
      <c r="Y1210" s="29">
        <v>0</v>
      </c>
      <c r="Z1210" s="29">
        <v>0</v>
      </c>
      <c r="AA1210" s="29">
        <v>0</v>
      </c>
      <c r="AB1210" s="29">
        <v>0</v>
      </c>
      <c r="AC1210" s="29">
        <f t="shared" si="231"/>
        <v>39858</v>
      </c>
      <c r="AD1210" s="29">
        <v>130000</v>
      </c>
      <c r="AE1210" s="29">
        <v>0</v>
      </c>
      <c r="AF1210" s="32">
        <v>2022</v>
      </c>
      <c r="AG1210" s="32">
        <v>2022</v>
      </c>
      <c r="AH1210" s="33">
        <v>2022</v>
      </c>
      <c r="AT1210" s="18" t="e">
        <f>VLOOKUP(C1210,AW:AX,2,FALSE)</f>
        <v>#N/A</v>
      </c>
      <c r="BZ1210" s="61"/>
    </row>
    <row r="1211" spans="1:78" ht="61.5" x14ac:dyDescent="0.85">
      <c r="A1211" s="18">
        <v>1</v>
      </c>
      <c r="B1211" s="57">
        <f>SUBTOTAL(103,$A$1093:A1211)</f>
        <v>116</v>
      </c>
      <c r="C1211" s="22" t="s">
        <v>783</v>
      </c>
      <c r="D1211" s="29">
        <f t="shared" si="230"/>
        <v>8660275.6699999981</v>
      </c>
      <c r="E1211" s="29">
        <v>0</v>
      </c>
      <c r="F1211" s="29">
        <v>0</v>
      </c>
      <c r="G1211" s="29">
        <v>0</v>
      </c>
      <c r="H1211" s="29">
        <v>0</v>
      </c>
      <c r="I1211" s="29">
        <v>0</v>
      </c>
      <c r="J1211" s="29">
        <v>0</v>
      </c>
      <c r="K1211" s="31">
        <v>0</v>
      </c>
      <c r="L1211" s="29">
        <v>0</v>
      </c>
      <c r="M1211" s="29">
        <v>2047.5</v>
      </c>
      <c r="N1211" s="29">
        <f>10533631.03-3411405.54+1213021.48</f>
        <v>8335246.9699999988</v>
      </c>
      <c r="O1211" s="29">
        <v>0</v>
      </c>
      <c r="P1211" s="29">
        <v>0</v>
      </c>
      <c r="Q1211" s="29">
        <v>0</v>
      </c>
      <c r="R1211" s="29">
        <v>0</v>
      </c>
      <c r="S1211" s="29">
        <v>0</v>
      </c>
      <c r="T1211" s="29">
        <v>0</v>
      </c>
      <c r="U1211" s="29">
        <v>0</v>
      </c>
      <c r="V1211" s="29">
        <v>0</v>
      </c>
      <c r="W1211" s="29">
        <v>0</v>
      </c>
      <c r="X1211" s="29">
        <v>0</v>
      </c>
      <c r="Y1211" s="29">
        <v>0</v>
      </c>
      <c r="Z1211" s="29">
        <v>0</v>
      </c>
      <c r="AA1211" s="29">
        <v>0</v>
      </c>
      <c r="AB1211" s="29">
        <v>0</v>
      </c>
      <c r="AC1211" s="29">
        <f t="shared" si="231"/>
        <v>125028.7</v>
      </c>
      <c r="AD1211" s="29">
        <v>200000</v>
      </c>
      <c r="AE1211" s="29">
        <v>0</v>
      </c>
      <c r="AF1211" s="32">
        <v>2022</v>
      </c>
      <c r="AG1211" s="32">
        <v>2022</v>
      </c>
      <c r="AH1211" s="33">
        <v>2022</v>
      </c>
      <c r="AT1211" s="18" t="e">
        <f>VLOOKUP(C1211,AW:AX,2,FALSE)</f>
        <v>#N/A</v>
      </c>
      <c r="BZ1211" s="61"/>
    </row>
    <row r="1212" spans="1:78" ht="61.5" x14ac:dyDescent="0.85">
      <c r="A1212" s="18">
        <v>1</v>
      </c>
      <c r="B1212" s="57">
        <f>SUBTOTAL(103,$A$1093:A1212)</f>
        <v>117</v>
      </c>
      <c r="C1212" s="22" t="s">
        <v>805</v>
      </c>
      <c r="D1212" s="29">
        <f t="shared" si="230"/>
        <v>1991891.6</v>
      </c>
      <c r="E1212" s="29">
        <v>0</v>
      </c>
      <c r="F1212" s="29">
        <v>0</v>
      </c>
      <c r="G1212" s="29">
        <v>0</v>
      </c>
      <c r="H1212" s="29">
        <v>0</v>
      </c>
      <c r="I1212" s="29">
        <v>0</v>
      </c>
      <c r="J1212" s="29">
        <v>0</v>
      </c>
      <c r="K1212" s="31">
        <v>0</v>
      </c>
      <c r="L1212" s="29">
        <v>0</v>
      </c>
      <c r="M1212" s="29">
        <v>0</v>
      </c>
      <c r="N1212" s="29">
        <v>0</v>
      </c>
      <c r="O1212" s="29">
        <v>0</v>
      </c>
      <c r="P1212" s="29">
        <v>0</v>
      </c>
      <c r="Q1212" s="29">
        <v>360</v>
      </c>
      <c r="R1212" s="29">
        <v>1883637.04</v>
      </c>
      <c r="S1212" s="29">
        <v>0</v>
      </c>
      <c r="T1212" s="29">
        <v>0</v>
      </c>
      <c r="U1212" s="29">
        <v>0</v>
      </c>
      <c r="V1212" s="29">
        <v>0</v>
      </c>
      <c r="W1212" s="29">
        <v>0</v>
      </c>
      <c r="X1212" s="29">
        <v>0</v>
      </c>
      <c r="Y1212" s="29">
        <v>0</v>
      </c>
      <c r="Z1212" s="29">
        <v>0</v>
      </c>
      <c r="AA1212" s="29">
        <v>0</v>
      </c>
      <c r="AB1212" s="29">
        <v>0</v>
      </c>
      <c r="AC1212" s="29">
        <f>ROUND(R1212*1.5%,2)</f>
        <v>28254.560000000001</v>
      </c>
      <c r="AD1212" s="29">
        <v>80000</v>
      </c>
      <c r="AE1212" s="29">
        <v>0</v>
      </c>
      <c r="AF1212" s="32">
        <v>2022</v>
      </c>
      <c r="AG1212" s="32">
        <v>2022</v>
      </c>
      <c r="AH1212" s="33">
        <v>2022</v>
      </c>
      <c r="AT1212" s="18">
        <f>VLOOKUP(C1212,AW:AX,2,FALSE)</f>
        <v>1</v>
      </c>
      <c r="BZ1212" s="61"/>
    </row>
    <row r="1213" spans="1:78" ht="61.5" x14ac:dyDescent="0.85">
      <c r="A1213" s="18">
        <v>1</v>
      </c>
      <c r="B1213" s="57">
        <f>SUBTOTAL(103,$A$1093:A1213)</f>
        <v>118</v>
      </c>
      <c r="C1213" s="22" t="s">
        <v>1590</v>
      </c>
      <c r="D1213" s="29">
        <f>E1213+F1213+G1213+H1213+I1213+J1213+L1213+N1213+P1213+R1213+T1213+U1213+V1213+W1213+X1213+Y1213+Z1213+AA1213+AB1213+AC1213+AD1213+AE1213</f>
        <v>2084284</v>
      </c>
      <c r="E1213" s="29">
        <v>0</v>
      </c>
      <c r="F1213" s="29">
        <v>0</v>
      </c>
      <c r="G1213" s="29">
        <v>0</v>
      </c>
      <c r="H1213" s="29">
        <v>0</v>
      </c>
      <c r="I1213" s="29">
        <v>0</v>
      </c>
      <c r="J1213" s="29">
        <v>0</v>
      </c>
      <c r="K1213" s="31">
        <v>0</v>
      </c>
      <c r="L1213" s="29">
        <v>0</v>
      </c>
      <c r="M1213" s="29">
        <v>380</v>
      </c>
      <c r="N1213" s="29">
        <v>1954959.61</v>
      </c>
      <c r="O1213" s="29">
        <v>0</v>
      </c>
      <c r="P1213" s="29">
        <v>0</v>
      </c>
      <c r="Q1213" s="29">
        <v>0</v>
      </c>
      <c r="R1213" s="29">
        <v>0</v>
      </c>
      <c r="S1213" s="29">
        <v>0</v>
      </c>
      <c r="T1213" s="29">
        <v>0</v>
      </c>
      <c r="U1213" s="29">
        <v>0</v>
      </c>
      <c r="V1213" s="29">
        <v>0</v>
      </c>
      <c r="W1213" s="29">
        <v>0</v>
      </c>
      <c r="X1213" s="29">
        <v>0</v>
      </c>
      <c r="Y1213" s="29">
        <v>0</v>
      </c>
      <c r="Z1213" s="29">
        <v>0</v>
      </c>
      <c r="AA1213" s="29">
        <v>0</v>
      </c>
      <c r="AB1213" s="29">
        <v>0</v>
      </c>
      <c r="AC1213" s="29">
        <f>ROUND(N1213*1.5%,2)</f>
        <v>29324.39</v>
      </c>
      <c r="AD1213" s="29">
        <v>100000</v>
      </c>
      <c r="AE1213" s="29">
        <v>0</v>
      </c>
      <c r="AF1213" s="32">
        <v>2022</v>
      </c>
      <c r="AG1213" s="32">
        <v>2022</v>
      </c>
      <c r="AH1213" s="33">
        <v>2022</v>
      </c>
      <c r="BZ1213" s="61"/>
    </row>
    <row r="1214" spans="1:78" ht="61.5" x14ac:dyDescent="0.85">
      <c r="B1214" s="22" t="s">
        <v>750</v>
      </c>
      <c r="C1214" s="338"/>
      <c r="D1214" s="339">
        <f>SUM(D1215:D1216)</f>
        <v>21856214.649999999</v>
      </c>
      <c r="E1214" s="29">
        <f t="shared" ref="E1214:AE1214" si="232">SUM(E1215:E1216)</f>
        <v>564251.4</v>
      </c>
      <c r="F1214" s="29">
        <f t="shared" si="232"/>
        <v>1368969.5</v>
      </c>
      <c r="G1214" s="29">
        <f t="shared" si="232"/>
        <v>1773880.4000000001</v>
      </c>
      <c r="H1214" s="29">
        <f t="shared" si="232"/>
        <v>1005360.8</v>
      </c>
      <c r="I1214" s="29">
        <f t="shared" si="232"/>
        <v>2430648.5</v>
      </c>
      <c r="J1214" s="29">
        <f t="shared" si="232"/>
        <v>0</v>
      </c>
      <c r="K1214" s="31">
        <f t="shared" si="232"/>
        <v>0</v>
      </c>
      <c r="L1214" s="29">
        <f t="shared" si="232"/>
        <v>0</v>
      </c>
      <c r="M1214" s="29">
        <f t="shared" si="232"/>
        <v>0</v>
      </c>
      <c r="N1214" s="29">
        <f t="shared" si="232"/>
        <v>0</v>
      </c>
      <c r="O1214" s="29">
        <f t="shared" si="232"/>
        <v>0</v>
      </c>
      <c r="P1214" s="29">
        <f t="shared" si="232"/>
        <v>0</v>
      </c>
      <c r="Q1214" s="29">
        <f t="shared" si="232"/>
        <v>7025.9</v>
      </c>
      <c r="R1214" s="29">
        <f t="shared" si="232"/>
        <v>13897494.970000001</v>
      </c>
      <c r="S1214" s="29">
        <f t="shared" si="232"/>
        <v>0</v>
      </c>
      <c r="T1214" s="29">
        <f t="shared" si="232"/>
        <v>0</v>
      </c>
      <c r="U1214" s="29">
        <f t="shared" si="232"/>
        <v>0</v>
      </c>
      <c r="V1214" s="29">
        <f t="shared" si="232"/>
        <v>0</v>
      </c>
      <c r="W1214" s="29">
        <f t="shared" si="232"/>
        <v>0</v>
      </c>
      <c r="X1214" s="29">
        <f t="shared" si="232"/>
        <v>0</v>
      </c>
      <c r="Y1214" s="29">
        <f t="shared" si="232"/>
        <v>0</v>
      </c>
      <c r="Z1214" s="29">
        <f t="shared" si="232"/>
        <v>0</v>
      </c>
      <c r="AA1214" s="29">
        <f t="shared" si="232"/>
        <v>0</v>
      </c>
      <c r="AB1214" s="29">
        <f t="shared" si="232"/>
        <v>0</v>
      </c>
      <c r="AC1214" s="29">
        <f t="shared" si="232"/>
        <v>315609.08</v>
      </c>
      <c r="AD1214" s="29">
        <f t="shared" si="232"/>
        <v>500000</v>
      </c>
      <c r="AE1214" s="29">
        <f t="shared" si="232"/>
        <v>0</v>
      </c>
      <c r="AF1214" s="62" t="s">
        <v>743</v>
      </c>
      <c r="AG1214" s="62" t="s">
        <v>743</v>
      </c>
      <c r="AH1214" s="77" t="s">
        <v>743</v>
      </c>
      <c r="AT1214" s="18" t="e">
        <f>VLOOKUP(C1214,AW:AX,2,FALSE)</f>
        <v>#N/A</v>
      </c>
      <c r="BZ1214" s="61">
        <v>21856214.649999999</v>
      </c>
    </row>
    <row r="1215" spans="1:78" ht="61.5" x14ac:dyDescent="0.85">
      <c r="A1215" s="18">
        <v>1</v>
      </c>
      <c r="B1215" s="57">
        <f>SUBTOTAL(103,$A$1093:A1215)</f>
        <v>119</v>
      </c>
      <c r="C1215" s="22" t="s">
        <v>382</v>
      </c>
      <c r="D1215" s="29">
        <f>E1215+F1215+G1215+H1215+I1215+J1215+L1215+N1215+P1215+R1215+T1215+U1215+V1215+W1215+X1215+Y1215+Z1215+AA1215+AB1215+AC1215+AD1215+AE1215</f>
        <v>7550257.2599999998</v>
      </c>
      <c r="E1215" s="29">
        <v>564251.4</v>
      </c>
      <c r="F1215" s="29">
        <v>1368969.5</v>
      </c>
      <c r="G1215" s="29">
        <v>1773880.4000000001</v>
      </c>
      <c r="H1215" s="29">
        <v>1005360.8</v>
      </c>
      <c r="I1215" s="29">
        <v>2430648.5</v>
      </c>
      <c r="J1215" s="29">
        <v>0</v>
      </c>
      <c r="K1215" s="31">
        <v>0</v>
      </c>
      <c r="L1215" s="29">
        <v>0</v>
      </c>
      <c r="M1215" s="29">
        <v>0</v>
      </c>
      <c r="N1215" s="29">
        <v>0</v>
      </c>
      <c r="O1215" s="29">
        <v>0</v>
      </c>
      <c r="P1215" s="29">
        <v>0</v>
      </c>
      <c r="Q1215" s="29">
        <v>0</v>
      </c>
      <c r="R1215" s="29">
        <v>0</v>
      </c>
      <c r="S1215" s="29">
        <v>0</v>
      </c>
      <c r="T1215" s="29">
        <v>0</v>
      </c>
      <c r="U1215" s="29">
        <v>0</v>
      </c>
      <c r="V1215" s="29">
        <v>0</v>
      </c>
      <c r="W1215" s="29">
        <v>0</v>
      </c>
      <c r="X1215" s="29">
        <v>0</v>
      </c>
      <c r="Y1215" s="29">
        <v>0</v>
      </c>
      <c r="Z1215" s="29">
        <v>0</v>
      </c>
      <c r="AA1215" s="29">
        <v>0</v>
      </c>
      <c r="AB1215" s="29">
        <v>0</v>
      </c>
      <c r="AC1215" s="29">
        <f>ROUND((E1215+F1215+G1215+H1215+I1215+J1215)*1.5%,2)</f>
        <v>107146.66</v>
      </c>
      <c r="AD1215" s="29">
        <v>300000</v>
      </c>
      <c r="AE1215" s="29">
        <v>0</v>
      </c>
      <c r="AF1215" s="32">
        <v>2022</v>
      </c>
      <c r="AG1215" s="32">
        <v>2022</v>
      </c>
      <c r="AH1215" s="33">
        <v>2022</v>
      </c>
      <c r="AT1215" s="18" t="e">
        <f>VLOOKUP(C1215,AW:AX,2,FALSE)</f>
        <v>#N/A</v>
      </c>
      <c r="BZ1215" s="61"/>
    </row>
    <row r="1216" spans="1:78" ht="61.5" x14ac:dyDescent="0.85">
      <c r="A1216" s="18">
        <v>1</v>
      </c>
      <c r="B1216" s="57">
        <f>SUBTOTAL(103,$A$1093:A1216)</f>
        <v>120</v>
      </c>
      <c r="C1216" s="22" t="s">
        <v>383</v>
      </c>
      <c r="D1216" s="29">
        <f>E1216+F1216+G1216+H1216+I1216+J1216+L1216+N1216+P1216+R1216+T1216+U1216+V1216+W1216+X1216+Y1216+Z1216+AA1216+AB1216+AC1216+AD1216+AE1216</f>
        <v>14305957.390000001</v>
      </c>
      <c r="E1216" s="29">
        <v>0</v>
      </c>
      <c r="F1216" s="29">
        <v>0</v>
      </c>
      <c r="G1216" s="29">
        <v>0</v>
      </c>
      <c r="H1216" s="29">
        <v>0</v>
      </c>
      <c r="I1216" s="29">
        <v>0</v>
      </c>
      <c r="J1216" s="29">
        <v>0</v>
      </c>
      <c r="K1216" s="31">
        <v>0</v>
      </c>
      <c r="L1216" s="29">
        <v>0</v>
      </c>
      <c r="M1216" s="29">
        <v>0</v>
      </c>
      <c r="N1216" s="29">
        <v>0</v>
      </c>
      <c r="O1216" s="29">
        <v>0</v>
      </c>
      <c r="P1216" s="29">
        <v>0</v>
      </c>
      <c r="Q1216" s="29">
        <v>7025.9</v>
      </c>
      <c r="R1216" s="29">
        <v>13897494.970000001</v>
      </c>
      <c r="S1216" s="29">
        <v>0</v>
      </c>
      <c r="T1216" s="29">
        <v>0</v>
      </c>
      <c r="U1216" s="29">
        <v>0</v>
      </c>
      <c r="V1216" s="29">
        <v>0</v>
      </c>
      <c r="W1216" s="29">
        <v>0</v>
      </c>
      <c r="X1216" s="29">
        <v>0</v>
      </c>
      <c r="Y1216" s="29">
        <v>0</v>
      </c>
      <c r="Z1216" s="29">
        <v>0</v>
      </c>
      <c r="AA1216" s="29">
        <v>0</v>
      </c>
      <c r="AB1216" s="29">
        <v>0</v>
      </c>
      <c r="AC1216" s="29">
        <f>ROUND(R1216*1.5%,2)</f>
        <v>208462.42</v>
      </c>
      <c r="AD1216" s="29">
        <v>200000</v>
      </c>
      <c r="AE1216" s="29">
        <v>0</v>
      </c>
      <c r="AF1216" s="32">
        <v>2022</v>
      </c>
      <c r="AG1216" s="32">
        <v>2022</v>
      </c>
      <c r="AH1216" s="33">
        <v>2022</v>
      </c>
      <c r="AT1216" s="18" t="e">
        <f>VLOOKUP(C1216,AW:AX,2,FALSE)</f>
        <v>#N/A</v>
      </c>
      <c r="BZ1216" s="61"/>
    </row>
    <row r="1217" spans="1:82" ht="61.5" x14ac:dyDescent="0.85">
      <c r="B1217" s="22" t="s">
        <v>807</v>
      </c>
      <c r="C1217" s="338"/>
      <c r="D1217" s="339">
        <f>SUM(D1218:D1225)</f>
        <v>51599396.32</v>
      </c>
      <c r="E1217" s="29">
        <f t="shared" ref="E1217:AE1217" si="233">SUM(E1218:E1225)</f>
        <v>0</v>
      </c>
      <c r="F1217" s="29">
        <f t="shared" si="233"/>
        <v>0</v>
      </c>
      <c r="G1217" s="29">
        <f t="shared" si="233"/>
        <v>0</v>
      </c>
      <c r="H1217" s="29">
        <f t="shared" si="233"/>
        <v>0</v>
      </c>
      <c r="I1217" s="29">
        <f t="shared" si="233"/>
        <v>0</v>
      </c>
      <c r="J1217" s="29">
        <f t="shared" si="233"/>
        <v>0</v>
      </c>
      <c r="K1217" s="31">
        <f t="shared" si="233"/>
        <v>0</v>
      </c>
      <c r="L1217" s="29">
        <f t="shared" si="233"/>
        <v>0</v>
      </c>
      <c r="M1217" s="29">
        <f t="shared" si="233"/>
        <v>8970.1</v>
      </c>
      <c r="N1217" s="29">
        <f t="shared" si="233"/>
        <v>42994075.339999996</v>
      </c>
      <c r="O1217" s="29">
        <f t="shared" si="233"/>
        <v>0</v>
      </c>
      <c r="P1217" s="29">
        <f t="shared" si="233"/>
        <v>0</v>
      </c>
      <c r="Q1217" s="29">
        <f t="shared" si="233"/>
        <v>0</v>
      </c>
      <c r="R1217" s="29">
        <f t="shared" si="233"/>
        <v>0</v>
      </c>
      <c r="S1217" s="29">
        <f t="shared" si="233"/>
        <v>209</v>
      </c>
      <c r="T1217" s="29">
        <f t="shared" si="233"/>
        <v>6571832.3700000001</v>
      </c>
      <c r="U1217" s="29">
        <f t="shared" si="233"/>
        <v>0</v>
      </c>
      <c r="V1217" s="29">
        <f t="shared" si="233"/>
        <v>0</v>
      </c>
      <c r="W1217" s="29">
        <f t="shared" si="233"/>
        <v>0</v>
      </c>
      <c r="X1217" s="29">
        <f t="shared" si="233"/>
        <v>0</v>
      </c>
      <c r="Y1217" s="29">
        <f t="shared" si="233"/>
        <v>0</v>
      </c>
      <c r="Z1217" s="29">
        <f t="shared" si="233"/>
        <v>0</v>
      </c>
      <c r="AA1217" s="29">
        <f t="shared" si="233"/>
        <v>0</v>
      </c>
      <c r="AB1217" s="29">
        <f t="shared" si="233"/>
        <v>0</v>
      </c>
      <c r="AC1217" s="29">
        <f t="shared" si="233"/>
        <v>743488.60999999987</v>
      </c>
      <c r="AD1217" s="29">
        <f t="shared" si="233"/>
        <v>1290000</v>
      </c>
      <c r="AE1217" s="29">
        <f t="shared" si="233"/>
        <v>0</v>
      </c>
      <c r="AF1217" s="62" t="s">
        <v>743</v>
      </c>
      <c r="AG1217" s="62" t="s">
        <v>743</v>
      </c>
      <c r="AH1217" s="77" t="s">
        <v>743</v>
      </c>
      <c r="AT1217" s="18" t="e">
        <f>VLOOKUP(C1217,AW:AX,2,FALSE)</f>
        <v>#N/A</v>
      </c>
      <c r="BZ1217" s="61">
        <v>51679396.32</v>
      </c>
    </row>
    <row r="1218" spans="1:82" ht="61.5" x14ac:dyDescent="0.85">
      <c r="A1218" s="18">
        <v>1</v>
      </c>
      <c r="B1218" s="57">
        <f>SUBTOTAL(103,$A$1093:A1218)</f>
        <v>121</v>
      </c>
      <c r="C1218" s="22" t="s">
        <v>600</v>
      </c>
      <c r="D1218" s="29">
        <f t="shared" ref="D1218:D1225" si="234">E1218+F1218+G1218+H1218+I1218+J1218+L1218+N1218+P1218+R1218+T1218+U1218+V1218+W1218+X1218+Y1218+Z1218+AA1218+AB1218+AC1218+AD1218+AE1218</f>
        <v>5121801</v>
      </c>
      <c r="E1218" s="36">
        <v>0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75">
        <v>0</v>
      </c>
      <c r="L1218" s="36">
        <v>0</v>
      </c>
      <c r="M1218" s="29">
        <v>981</v>
      </c>
      <c r="N1218" s="29">
        <v>4898326.1100000003</v>
      </c>
      <c r="O1218" s="29">
        <v>0</v>
      </c>
      <c r="P1218" s="29">
        <v>0</v>
      </c>
      <c r="Q1218" s="29">
        <v>0</v>
      </c>
      <c r="R1218" s="29">
        <v>0</v>
      </c>
      <c r="S1218" s="29">
        <v>0</v>
      </c>
      <c r="T1218" s="29">
        <v>0</v>
      </c>
      <c r="U1218" s="29">
        <v>0</v>
      </c>
      <c r="V1218" s="29">
        <v>0</v>
      </c>
      <c r="W1218" s="29">
        <v>0</v>
      </c>
      <c r="X1218" s="29">
        <v>0</v>
      </c>
      <c r="Y1218" s="29">
        <v>0</v>
      </c>
      <c r="Z1218" s="29">
        <v>0</v>
      </c>
      <c r="AA1218" s="29">
        <v>0</v>
      </c>
      <c r="AB1218" s="29">
        <v>0</v>
      </c>
      <c r="AC1218" s="29">
        <f>ROUND(N1218*1.5%,2)</f>
        <v>73474.89</v>
      </c>
      <c r="AD1218" s="29">
        <v>150000</v>
      </c>
      <c r="AE1218" s="29">
        <v>0</v>
      </c>
      <c r="AF1218" s="32">
        <v>2022</v>
      </c>
      <c r="AG1218" s="32">
        <v>2022</v>
      </c>
      <c r="AH1218" s="33">
        <v>2022</v>
      </c>
      <c r="AT1218" s="18" t="e">
        <f>VLOOKUP(C1218,AW:AX,2,FALSE)</f>
        <v>#N/A</v>
      </c>
      <c r="BZ1218" s="61"/>
    </row>
    <row r="1219" spans="1:82" ht="61.5" x14ac:dyDescent="0.85">
      <c r="A1219" s="18">
        <v>1</v>
      </c>
      <c r="B1219" s="57">
        <f>SUBTOTAL(103,$A$1093:A1219)</f>
        <v>122</v>
      </c>
      <c r="C1219" s="22" t="s">
        <v>601</v>
      </c>
      <c r="D1219" s="29">
        <f t="shared" si="234"/>
        <v>8124000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75">
        <v>0</v>
      </c>
      <c r="L1219" s="36">
        <v>0</v>
      </c>
      <c r="M1219" s="29">
        <v>1692.5</v>
      </c>
      <c r="N1219" s="29">
        <v>7826600.9900000002</v>
      </c>
      <c r="O1219" s="29">
        <v>0</v>
      </c>
      <c r="P1219" s="29">
        <v>0</v>
      </c>
      <c r="Q1219" s="29">
        <v>0</v>
      </c>
      <c r="R1219" s="29">
        <v>0</v>
      </c>
      <c r="S1219" s="29">
        <v>0</v>
      </c>
      <c r="T1219" s="29">
        <v>0</v>
      </c>
      <c r="U1219" s="29">
        <v>0</v>
      </c>
      <c r="V1219" s="29">
        <v>0</v>
      </c>
      <c r="W1219" s="29">
        <v>0</v>
      </c>
      <c r="X1219" s="29">
        <v>0</v>
      </c>
      <c r="Y1219" s="29">
        <v>0</v>
      </c>
      <c r="Z1219" s="29">
        <v>0</v>
      </c>
      <c r="AA1219" s="29">
        <v>0</v>
      </c>
      <c r="AB1219" s="29">
        <v>0</v>
      </c>
      <c r="AC1219" s="29">
        <f>ROUND(N1219*1.5%,2)</f>
        <v>117399.01</v>
      </c>
      <c r="AD1219" s="29">
        <v>180000</v>
      </c>
      <c r="AE1219" s="29">
        <v>0</v>
      </c>
      <c r="AF1219" s="32">
        <v>2022</v>
      </c>
      <c r="AG1219" s="32">
        <v>2022</v>
      </c>
      <c r="AH1219" s="33">
        <v>2022</v>
      </c>
      <c r="AT1219" s="18" t="e">
        <f>VLOOKUP(C1219,AW:AX,2,FALSE)</f>
        <v>#N/A</v>
      </c>
      <c r="BZ1219" s="61"/>
    </row>
    <row r="1220" spans="1:82" ht="61.5" x14ac:dyDescent="0.85">
      <c r="A1220" s="18">
        <v>1</v>
      </c>
      <c r="B1220" s="57">
        <f>SUBTOTAL(103,$A$1093:A1220)</f>
        <v>123</v>
      </c>
      <c r="C1220" s="22" t="s">
        <v>1670</v>
      </c>
      <c r="D1220" s="29">
        <f t="shared" si="234"/>
        <v>4662041.0599999996</v>
      </c>
      <c r="E1220" s="36">
        <v>0</v>
      </c>
      <c r="F1220" s="36">
        <v>0</v>
      </c>
      <c r="G1220" s="36">
        <v>0</v>
      </c>
      <c r="H1220" s="36">
        <v>0</v>
      </c>
      <c r="I1220" s="36">
        <v>0</v>
      </c>
      <c r="J1220" s="36">
        <v>0</v>
      </c>
      <c r="K1220" s="75">
        <v>0</v>
      </c>
      <c r="L1220" s="36">
        <v>0</v>
      </c>
      <c r="M1220" s="29">
        <v>650</v>
      </c>
      <c r="N1220" s="29">
        <f>4474917.3-29556.65</f>
        <v>4445360.6499999994</v>
      </c>
      <c r="O1220" s="29">
        <v>0</v>
      </c>
      <c r="P1220" s="29">
        <v>0</v>
      </c>
      <c r="Q1220" s="29">
        <v>0</v>
      </c>
      <c r="R1220" s="29">
        <v>0</v>
      </c>
      <c r="S1220" s="29">
        <v>0</v>
      </c>
      <c r="T1220" s="29">
        <v>0</v>
      </c>
      <c r="U1220" s="29">
        <v>0</v>
      </c>
      <c r="V1220" s="29">
        <v>0</v>
      </c>
      <c r="W1220" s="29">
        <v>0</v>
      </c>
      <c r="X1220" s="29">
        <v>0</v>
      </c>
      <c r="Y1220" s="29">
        <v>0</v>
      </c>
      <c r="Z1220" s="29">
        <v>0</v>
      </c>
      <c r="AA1220" s="29">
        <v>0</v>
      </c>
      <c r="AB1220" s="29">
        <v>0</v>
      </c>
      <c r="AC1220" s="29">
        <f>ROUND(N1220*1.5%,2)</f>
        <v>66680.41</v>
      </c>
      <c r="AD1220" s="29">
        <v>150000</v>
      </c>
      <c r="AE1220" s="29">
        <v>0</v>
      </c>
      <c r="AF1220" s="32">
        <v>2022</v>
      </c>
      <c r="AG1220" s="32">
        <v>2022</v>
      </c>
      <c r="AH1220" s="33">
        <v>2022</v>
      </c>
      <c r="AT1220" s="18" t="e">
        <f>VLOOKUP(C1220,AW:AX,2,FALSE)</f>
        <v>#N/A</v>
      </c>
      <c r="BZ1220" s="61"/>
    </row>
    <row r="1221" spans="1:82" ht="61.5" x14ac:dyDescent="0.85">
      <c r="A1221" s="18">
        <v>1</v>
      </c>
      <c r="B1221" s="57">
        <f>SUBTOTAL(103,$A$1093:A1221)</f>
        <v>124</v>
      </c>
      <c r="C1221" s="22" t="s">
        <v>605</v>
      </c>
      <c r="D1221" s="29">
        <f t="shared" si="234"/>
        <v>9052752</v>
      </c>
      <c r="E1221" s="36">
        <v>0</v>
      </c>
      <c r="F1221" s="36">
        <v>0</v>
      </c>
      <c r="G1221" s="36">
        <v>0</v>
      </c>
      <c r="H1221" s="36">
        <v>0</v>
      </c>
      <c r="I1221" s="36">
        <v>0</v>
      </c>
      <c r="J1221" s="36">
        <v>0</v>
      </c>
      <c r="K1221" s="75">
        <v>0</v>
      </c>
      <c r="L1221" s="36">
        <v>0</v>
      </c>
      <c r="M1221" s="29">
        <v>1812</v>
      </c>
      <c r="N1221" s="29">
        <v>8741627.5899999999</v>
      </c>
      <c r="O1221" s="29">
        <v>0</v>
      </c>
      <c r="P1221" s="29">
        <v>0</v>
      </c>
      <c r="Q1221" s="29">
        <v>0</v>
      </c>
      <c r="R1221" s="29">
        <v>0</v>
      </c>
      <c r="S1221" s="29">
        <v>0</v>
      </c>
      <c r="T1221" s="29">
        <v>0</v>
      </c>
      <c r="U1221" s="29">
        <v>0</v>
      </c>
      <c r="V1221" s="29">
        <v>0</v>
      </c>
      <c r="W1221" s="29">
        <v>0</v>
      </c>
      <c r="X1221" s="29">
        <v>0</v>
      </c>
      <c r="Y1221" s="29">
        <v>0</v>
      </c>
      <c r="Z1221" s="29">
        <v>0</v>
      </c>
      <c r="AA1221" s="29">
        <v>0</v>
      </c>
      <c r="AB1221" s="29">
        <v>0</v>
      </c>
      <c r="AC1221" s="29">
        <f>ROUND(N1221*1.5%,2)</f>
        <v>131124.41</v>
      </c>
      <c r="AD1221" s="29">
        <v>180000</v>
      </c>
      <c r="AE1221" s="29">
        <v>0</v>
      </c>
      <c r="AF1221" s="32">
        <v>2022</v>
      </c>
      <c r="AG1221" s="32">
        <v>2022</v>
      </c>
      <c r="AH1221" s="33">
        <v>2022</v>
      </c>
      <c r="AT1221" s="18" t="e">
        <f>VLOOKUP(C1221,AW:AX,2,FALSE)</f>
        <v>#N/A</v>
      </c>
      <c r="BZ1221" s="61"/>
    </row>
    <row r="1222" spans="1:82" ht="61.5" x14ac:dyDescent="0.85">
      <c r="A1222" s="18">
        <v>1</v>
      </c>
      <c r="B1222" s="57">
        <f>SUBTOTAL(103,$A$1093:A1222)</f>
        <v>125</v>
      </c>
      <c r="C1222" s="22" t="s">
        <v>618</v>
      </c>
      <c r="D1222" s="29">
        <f t="shared" si="234"/>
        <v>6820409.8600000003</v>
      </c>
      <c r="E1222" s="36">
        <v>0</v>
      </c>
      <c r="F1222" s="36">
        <v>0</v>
      </c>
      <c r="G1222" s="36">
        <v>0</v>
      </c>
      <c r="H1222" s="36">
        <v>0</v>
      </c>
      <c r="I1222" s="36">
        <v>0</v>
      </c>
      <c r="J1222" s="36">
        <v>0</v>
      </c>
      <c r="K1222" s="75">
        <v>0</v>
      </c>
      <c r="L1222" s="36">
        <v>0</v>
      </c>
      <c r="M1222" s="29">
        <v>0</v>
      </c>
      <c r="N1222" s="29">
        <v>0</v>
      </c>
      <c r="O1222" s="29">
        <v>0</v>
      </c>
      <c r="P1222" s="29">
        <v>0</v>
      </c>
      <c r="Q1222" s="29">
        <v>0</v>
      </c>
      <c r="R1222" s="29">
        <v>0</v>
      </c>
      <c r="S1222" s="29">
        <v>209</v>
      </c>
      <c r="T1222" s="29">
        <v>6571832.3700000001</v>
      </c>
      <c r="U1222" s="29">
        <v>0</v>
      </c>
      <c r="V1222" s="29">
        <v>0</v>
      </c>
      <c r="W1222" s="29">
        <v>0</v>
      </c>
      <c r="X1222" s="29">
        <v>0</v>
      </c>
      <c r="Y1222" s="29">
        <v>0</v>
      </c>
      <c r="Z1222" s="29">
        <v>0</v>
      </c>
      <c r="AA1222" s="29">
        <v>0</v>
      </c>
      <c r="AB1222" s="29">
        <v>0</v>
      </c>
      <c r="AC1222" s="29">
        <f>ROUND(T1222*1.5%,2)</f>
        <v>98577.49</v>
      </c>
      <c r="AD1222" s="29">
        <v>150000</v>
      </c>
      <c r="AE1222" s="29">
        <v>0</v>
      </c>
      <c r="AF1222" s="32">
        <v>2022</v>
      </c>
      <c r="AG1222" s="32">
        <v>2022</v>
      </c>
      <c r="AH1222" s="33">
        <v>2022</v>
      </c>
      <c r="AT1222" s="18" t="e">
        <f>VLOOKUP(C1222,AW:AX,2,FALSE)</f>
        <v>#N/A</v>
      </c>
      <c r="BZ1222" s="61"/>
    </row>
    <row r="1223" spans="1:82" ht="61.5" x14ac:dyDescent="0.85">
      <c r="A1223" s="18">
        <v>1</v>
      </c>
      <c r="B1223" s="57">
        <f>SUBTOTAL(103,$A$1093:A1223)</f>
        <v>126</v>
      </c>
      <c r="C1223" s="22" t="s">
        <v>622</v>
      </c>
      <c r="D1223" s="29">
        <f t="shared" si="234"/>
        <v>9102212.3999999985</v>
      </c>
      <c r="E1223" s="36">
        <v>0</v>
      </c>
      <c r="F1223" s="36">
        <v>0</v>
      </c>
      <c r="G1223" s="36">
        <v>0</v>
      </c>
      <c r="H1223" s="36">
        <v>0</v>
      </c>
      <c r="I1223" s="36">
        <v>0</v>
      </c>
      <c r="J1223" s="36">
        <v>0</v>
      </c>
      <c r="K1223" s="75">
        <v>0</v>
      </c>
      <c r="L1223" s="36">
        <v>0</v>
      </c>
      <c r="M1223" s="29">
        <f>1821.9+307.7</f>
        <v>2129.6</v>
      </c>
      <c r="N1223" s="29">
        <v>8790357.0399999991</v>
      </c>
      <c r="O1223" s="29">
        <v>0</v>
      </c>
      <c r="P1223" s="29">
        <v>0</v>
      </c>
      <c r="Q1223" s="29">
        <v>0</v>
      </c>
      <c r="R1223" s="29">
        <v>0</v>
      </c>
      <c r="S1223" s="29">
        <v>0</v>
      </c>
      <c r="T1223" s="29">
        <v>0</v>
      </c>
      <c r="U1223" s="29">
        <v>0</v>
      </c>
      <c r="V1223" s="29">
        <v>0</v>
      </c>
      <c r="W1223" s="29">
        <v>0</v>
      </c>
      <c r="X1223" s="29">
        <v>0</v>
      </c>
      <c r="Y1223" s="29">
        <v>0</v>
      </c>
      <c r="Z1223" s="29">
        <v>0</v>
      </c>
      <c r="AA1223" s="29">
        <v>0</v>
      </c>
      <c r="AB1223" s="29">
        <v>0</v>
      </c>
      <c r="AC1223" s="29">
        <f>ROUND(N1223*1.5%,2)</f>
        <v>131855.35999999999</v>
      </c>
      <c r="AD1223" s="29">
        <v>180000</v>
      </c>
      <c r="AE1223" s="29">
        <v>0</v>
      </c>
      <c r="AF1223" s="32">
        <v>2022</v>
      </c>
      <c r="AG1223" s="32">
        <v>2022</v>
      </c>
      <c r="AH1223" s="33">
        <v>2022</v>
      </c>
      <c r="AT1223" s="18" t="e">
        <f>VLOOKUP(C1223,AW:AX,2,FALSE)</f>
        <v>#N/A</v>
      </c>
      <c r="BZ1223" s="61"/>
    </row>
    <row r="1224" spans="1:82" ht="61.5" x14ac:dyDescent="0.85">
      <c r="A1224" s="18">
        <v>1</v>
      </c>
      <c r="B1224" s="57">
        <f>SUBTOTAL(103,$A$1093:A1224)</f>
        <v>127</v>
      </c>
      <c r="C1224" s="22" t="s">
        <v>626</v>
      </c>
      <c r="D1224" s="29">
        <f t="shared" si="234"/>
        <v>4594480</v>
      </c>
      <c r="E1224" s="36">
        <v>0</v>
      </c>
      <c r="F1224" s="36">
        <v>0</v>
      </c>
      <c r="G1224" s="36">
        <v>0</v>
      </c>
      <c r="H1224" s="36">
        <v>0</v>
      </c>
      <c r="I1224" s="36">
        <v>0</v>
      </c>
      <c r="J1224" s="36">
        <v>0</v>
      </c>
      <c r="K1224" s="75">
        <v>0</v>
      </c>
      <c r="L1224" s="36">
        <v>0</v>
      </c>
      <c r="M1224" s="29">
        <v>880</v>
      </c>
      <c r="N1224" s="29">
        <v>4378798.03</v>
      </c>
      <c r="O1224" s="29">
        <v>0</v>
      </c>
      <c r="P1224" s="29">
        <v>0</v>
      </c>
      <c r="Q1224" s="29">
        <v>0</v>
      </c>
      <c r="R1224" s="29">
        <v>0</v>
      </c>
      <c r="S1224" s="29">
        <v>0</v>
      </c>
      <c r="T1224" s="29">
        <v>0</v>
      </c>
      <c r="U1224" s="29">
        <v>0</v>
      </c>
      <c r="V1224" s="29">
        <v>0</v>
      </c>
      <c r="W1224" s="29">
        <v>0</v>
      </c>
      <c r="X1224" s="29">
        <v>0</v>
      </c>
      <c r="Y1224" s="29">
        <v>0</v>
      </c>
      <c r="Z1224" s="29">
        <v>0</v>
      </c>
      <c r="AA1224" s="29">
        <v>0</v>
      </c>
      <c r="AB1224" s="29">
        <v>0</v>
      </c>
      <c r="AC1224" s="29">
        <f>ROUND(N1224*1.5%,2)</f>
        <v>65681.97</v>
      </c>
      <c r="AD1224" s="29">
        <v>150000</v>
      </c>
      <c r="AE1224" s="29">
        <v>0</v>
      </c>
      <c r="AF1224" s="32">
        <v>2022</v>
      </c>
      <c r="AG1224" s="32">
        <v>2022</v>
      </c>
      <c r="AH1224" s="33">
        <v>2022</v>
      </c>
      <c r="AT1224" s="18" t="e">
        <f>VLOOKUP(C1224,AW:AX,2,FALSE)</f>
        <v>#N/A</v>
      </c>
      <c r="BZ1224" s="61"/>
    </row>
    <row r="1225" spans="1:82" ht="61.5" x14ac:dyDescent="0.85">
      <c r="A1225" s="18">
        <v>1</v>
      </c>
      <c r="B1225" s="57">
        <f>SUBTOTAL(103,$A$1093:A1225)</f>
        <v>128</v>
      </c>
      <c r="C1225" s="22" t="s">
        <v>625</v>
      </c>
      <c r="D1225" s="29">
        <f t="shared" si="234"/>
        <v>4121700</v>
      </c>
      <c r="E1225" s="36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75">
        <v>0</v>
      </c>
      <c r="L1225" s="36">
        <v>0</v>
      </c>
      <c r="M1225" s="29">
        <v>825</v>
      </c>
      <c r="N1225" s="29">
        <v>3913004.93</v>
      </c>
      <c r="O1225" s="29">
        <v>0</v>
      </c>
      <c r="P1225" s="29">
        <v>0</v>
      </c>
      <c r="Q1225" s="29">
        <v>0</v>
      </c>
      <c r="R1225" s="29">
        <v>0</v>
      </c>
      <c r="S1225" s="29">
        <v>0</v>
      </c>
      <c r="T1225" s="29">
        <v>0</v>
      </c>
      <c r="U1225" s="29">
        <v>0</v>
      </c>
      <c r="V1225" s="29">
        <v>0</v>
      </c>
      <c r="W1225" s="29">
        <v>0</v>
      </c>
      <c r="X1225" s="29">
        <v>0</v>
      </c>
      <c r="Y1225" s="29">
        <v>0</v>
      </c>
      <c r="Z1225" s="29">
        <v>0</v>
      </c>
      <c r="AA1225" s="29">
        <v>0</v>
      </c>
      <c r="AB1225" s="29">
        <v>0</v>
      </c>
      <c r="AC1225" s="29">
        <f>ROUND(N1225*1.5%,2)</f>
        <v>58695.07</v>
      </c>
      <c r="AD1225" s="29">
        <v>150000</v>
      </c>
      <c r="AE1225" s="29">
        <v>0</v>
      </c>
      <c r="AF1225" s="32">
        <v>2022</v>
      </c>
      <c r="AG1225" s="32">
        <v>2022</v>
      </c>
      <c r="AH1225" s="33">
        <v>2022</v>
      </c>
      <c r="AT1225" s="18" t="e">
        <f>VLOOKUP(C1225,AW:AX,2,FALSE)</f>
        <v>#N/A</v>
      </c>
      <c r="BZ1225" s="61"/>
    </row>
    <row r="1226" spans="1:82" ht="61.5" x14ac:dyDescent="0.85">
      <c r="B1226" s="22" t="s">
        <v>808</v>
      </c>
      <c r="C1226" s="22"/>
      <c r="D1226" s="339">
        <f t="shared" ref="D1226:AE1226" si="235">SUM(D1227:D1228)</f>
        <v>5663822.2999999998</v>
      </c>
      <c r="E1226" s="29">
        <f t="shared" si="235"/>
        <v>0</v>
      </c>
      <c r="F1226" s="29">
        <f t="shared" si="235"/>
        <v>0</v>
      </c>
      <c r="G1226" s="29">
        <f t="shared" si="235"/>
        <v>0</v>
      </c>
      <c r="H1226" s="29">
        <f t="shared" si="235"/>
        <v>0</v>
      </c>
      <c r="I1226" s="29">
        <f t="shared" si="235"/>
        <v>0</v>
      </c>
      <c r="J1226" s="29">
        <f t="shared" si="235"/>
        <v>0</v>
      </c>
      <c r="K1226" s="31">
        <f t="shared" si="235"/>
        <v>0</v>
      </c>
      <c r="L1226" s="29">
        <f t="shared" si="235"/>
        <v>0</v>
      </c>
      <c r="M1226" s="29">
        <f t="shared" si="235"/>
        <v>1121.3</v>
      </c>
      <c r="N1226" s="29">
        <f t="shared" si="235"/>
        <v>5314110.6400000006</v>
      </c>
      <c r="O1226" s="29">
        <f t="shared" si="235"/>
        <v>0</v>
      </c>
      <c r="P1226" s="29">
        <f t="shared" si="235"/>
        <v>0</v>
      </c>
      <c r="Q1226" s="29">
        <f t="shared" si="235"/>
        <v>0</v>
      </c>
      <c r="R1226" s="29">
        <f t="shared" si="235"/>
        <v>0</v>
      </c>
      <c r="S1226" s="29">
        <f t="shared" si="235"/>
        <v>0</v>
      </c>
      <c r="T1226" s="29">
        <f t="shared" si="235"/>
        <v>0</v>
      </c>
      <c r="U1226" s="29">
        <f t="shared" si="235"/>
        <v>0</v>
      </c>
      <c r="V1226" s="29">
        <f t="shared" si="235"/>
        <v>0</v>
      </c>
      <c r="W1226" s="29">
        <f t="shared" si="235"/>
        <v>0</v>
      </c>
      <c r="X1226" s="29">
        <f t="shared" si="235"/>
        <v>0</v>
      </c>
      <c r="Y1226" s="29">
        <f t="shared" si="235"/>
        <v>0</v>
      </c>
      <c r="Z1226" s="29">
        <f t="shared" si="235"/>
        <v>0</v>
      </c>
      <c r="AA1226" s="29">
        <f t="shared" si="235"/>
        <v>0</v>
      </c>
      <c r="AB1226" s="29">
        <f t="shared" si="235"/>
        <v>0</v>
      </c>
      <c r="AC1226" s="29">
        <f t="shared" si="235"/>
        <v>79711.66</v>
      </c>
      <c r="AD1226" s="29">
        <f t="shared" si="235"/>
        <v>270000</v>
      </c>
      <c r="AE1226" s="29">
        <f t="shared" si="235"/>
        <v>0</v>
      </c>
      <c r="AF1226" s="62" t="s">
        <v>743</v>
      </c>
      <c r="AG1226" s="62" t="s">
        <v>743</v>
      </c>
      <c r="AH1226" s="77" t="s">
        <v>743</v>
      </c>
      <c r="AT1226" s="18" t="e">
        <f>VLOOKUP(C1226,AW:AX,2,FALSE)</f>
        <v>#N/A</v>
      </c>
      <c r="BZ1226" s="61">
        <v>9890638.1399999987</v>
      </c>
    </row>
    <row r="1227" spans="1:82" ht="61.5" x14ac:dyDescent="0.85">
      <c r="A1227" s="18">
        <v>1</v>
      </c>
      <c r="B1227" s="57">
        <f>SUBTOTAL(103,$A$1093:A1227)</f>
        <v>129</v>
      </c>
      <c r="C1227" s="22" t="s">
        <v>631</v>
      </c>
      <c r="D1227" s="29">
        <f>E1227+F1227+G1227+H1227+I1227+J1227+L1227+N1227+P1227+R1227+T1227+U1227+V1227+W1227+X1227+Y1227+Z1227+AA1227+AB1227+AC1227+AD1227+AE1227</f>
        <v>4229613.5999999996</v>
      </c>
      <c r="E1227" s="36">
        <v>0</v>
      </c>
      <c r="F1227" s="36">
        <v>0</v>
      </c>
      <c r="G1227" s="36">
        <v>0</v>
      </c>
      <c r="H1227" s="36">
        <v>0</v>
      </c>
      <c r="I1227" s="36">
        <v>0</v>
      </c>
      <c r="J1227" s="36">
        <v>0</v>
      </c>
      <c r="K1227" s="75">
        <v>0</v>
      </c>
      <c r="L1227" s="36">
        <v>0</v>
      </c>
      <c r="M1227" s="29">
        <v>846.6</v>
      </c>
      <c r="N1227" s="29">
        <v>4019323.74</v>
      </c>
      <c r="O1227" s="29">
        <v>0</v>
      </c>
      <c r="P1227" s="29">
        <v>0</v>
      </c>
      <c r="Q1227" s="29">
        <v>0</v>
      </c>
      <c r="R1227" s="29">
        <v>0</v>
      </c>
      <c r="S1227" s="29">
        <v>0</v>
      </c>
      <c r="T1227" s="29">
        <v>0</v>
      </c>
      <c r="U1227" s="29">
        <v>0</v>
      </c>
      <c r="V1227" s="29">
        <v>0</v>
      </c>
      <c r="W1227" s="29">
        <v>0</v>
      </c>
      <c r="X1227" s="29">
        <v>0</v>
      </c>
      <c r="Y1227" s="29">
        <v>0</v>
      </c>
      <c r="Z1227" s="29">
        <v>0</v>
      </c>
      <c r="AA1227" s="29">
        <v>0</v>
      </c>
      <c r="AB1227" s="29">
        <v>0</v>
      </c>
      <c r="AC1227" s="29">
        <f>ROUND(N1227*1.5%,2)</f>
        <v>60289.86</v>
      </c>
      <c r="AD1227" s="29">
        <v>150000</v>
      </c>
      <c r="AE1227" s="29">
        <v>0</v>
      </c>
      <c r="AF1227" s="32">
        <v>2022</v>
      </c>
      <c r="AG1227" s="32">
        <v>2022</v>
      </c>
      <c r="AH1227" s="33">
        <v>2022</v>
      </c>
      <c r="AT1227" s="18" t="e">
        <f>VLOOKUP(C1227,AW:AX,2,FALSE)</f>
        <v>#N/A</v>
      </c>
      <c r="BZ1227" s="61"/>
    </row>
    <row r="1228" spans="1:82" ht="61.5" x14ac:dyDescent="0.85">
      <c r="A1228" s="18">
        <v>1</v>
      </c>
      <c r="B1228" s="57">
        <f>SUBTOTAL(103,$A$1093:A1228)</f>
        <v>130</v>
      </c>
      <c r="C1228" s="22" t="s">
        <v>629</v>
      </c>
      <c r="D1228" s="29">
        <f>E1228+F1228+G1228+H1228+I1228+J1228+L1228+N1228+P1228+R1228+T1228+U1228+V1228+W1228+X1228+Y1228+Z1228+AA1228+AB1228+AC1228+AD1228+AE1228</f>
        <v>1434208.7</v>
      </c>
      <c r="E1228" s="36">
        <v>0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75">
        <v>0</v>
      </c>
      <c r="L1228" s="36">
        <v>0</v>
      </c>
      <c r="M1228" s="29">
        <v>274.7</v>
      </c>
      <c r="N1228" s="29">
        <v>1294786.8999999999</v>
      </c>
      <c r="O1228" s="29">
        <v>0</v>
      </c>
      <c r="P1228" s="29">
        <v>0</v>
      </c>
      <c r="Q1228" s="29">
        <v>0</v>
      </c>
      <c r="R1228" s="29">
        <v>0</v>
      </c>
      <c r="S1228" s="29">
        <v>0</v>
      </c>
      <c r="T1228" s="29">
        <v>0</v>
      </c>
      <c r="U1228" s="29">
        <v>0</v>
      </c>
      <c r="V1228" s="29">
        <v>0</v>
      </c>
      <c r="W1228" s="29">
        <v>0</v>
      </c>
      <c r="X1228" s="29">
        <v>0</v>
      </c>
      <c r="Y1228" s="29">
        <v>0</v>
      </c>
      <c r="Z1228" s="29">
        <v>0</v>
      </c>
      <c r="AA1228" s="29">
        <v>0</v>
      </c>
      <c r="AB1228" s="29">
        <v>0</v>
      </c>
      <c r="AC1228" s="29">
        <f>ROUND(N1228*1.5%,2)</f>
        <v>19421.8</v>
      </c>
      <c r="AD1228" s="29">
        <v>120000</v>
      </c>
      <c r="AE1228" s="29">
        <v>0</v>
      </c>
      <c r="AF1228" s="32">
        <v>2022</v>
      </c>
      <c r="AG1228" s="32">
        <v>2022</v>
      </c>
      <c r="AH1228" s="33">
        <v>2022</v>
      </c>
      <c r="AT1228" s="18" t="e">
        <f>VLOOKUP(C1228,AW:AX,2,FALSE)</f>
        <v>#N/A</v>
      </c>
      <c r="BZ1228" s="61"/>
    </row>
    <row r="1229" spans="1:82" ht="61.5" x14ac:dyDescent="0.85">
      <c r="B1229" s="22" t="s">
        <v>809</v>
      </c>
      <c r="C1229" s="22"/>
      <c r="D1229" s="339">
        <f>SUM(D1230:D1232)</f>
        <v>7120486.3999999994</v>
      </c>
      <c r="E1229" s="29">
        <f t="shared" ref="E1229:AE1229" si="236">SUM(E1230:E1232)</f>
        <v>0</v>
      </c>
      <c r="F1229" s="29">
        <f t="shared" si="236"/>
        <v>0</v>
      </c>
      <c r="G1229" s="29">
        <f t="shared" si="236"/>
        <v>3881891.1399999997</v>
      </c>
      <c r="H1229" s="29">
        <f t="shared" si="236"/>
        <v>753664.01</v>
      </c>
      <c r="I1229" s="29">
        <f t="shared" si="236"/>
        <v>0</v>
      </c>
      <c r="J1229" s="29">
        <f t="shared" si="236"/>
        <v>0</v>
      </c>
      <c r="K1229" s="31">
        <f t="shared" si="236"/>
        <v>0</v>
      </c>
      <c r="L1229" s="29">
        <f t="shared" si="236"/>
        <v>0</v>
      </c>
      <c r="M1229" s="29">
        <f t="shared" si="236"/>
        <v>0</v>
      </c>
      <c r="N1229" s="29">
        <f t="shared" si="236"/>
        <v>0</v>
      </c>
      <c r="O1229" s="29">
        <f t="shared" si="236"/>
        <v>0</v>
      </c>
      <c r="P1229" s="29">
        <f t="shared" si="236"/>
        <v>0</v>
      </c>
      <c r="Q1229" s="29">
        <f t="shared" si="236"/>
        <v>0</v>
      </c>
      <c r="R1229" s="29">
        <f t="shared" si="236"/>
        <v>0</v>
      </c>
      <c r="S1229" s="29">
        <f t="shared" si="236"/>
        <v>86</v>
      </c>
      <c r="T1229" s="29">
        <f t="shared" si="236"/>
        <v>1837830.4600000002</v>
      </c>
      <c r="U1229" s="29">
        <f t="shared" si="236"/>
        <v>0</v>
      </c>
      <c r="V1229" s="29">
        <f t="shared" si="236"/>
        <v>0</v>
      </c>
      <c r="W1229" s="29">
        <f t="shared" si="236"/>
        <v>0</v>
      </c>
      <c r="X1229" s="29">
        <f t="shared" si="236"/>
        <v>0</v>
      </c>
      <c r="Y1229" s="29">
        <f t="shared" si="236"/>
        <v>0</v>
      </c>
      <c r="Z1229" s="29">
        <f t="shared" si="236"/>
        <v>0</v>
      </c>
      <c r="AA1229" s="29">
        <f t="shared" si="236"/>
        <v>0</v>
      </c>
      <c r="AB1229" s="29">
        <f t="shared" si="236"/>
        <v>0</v>
      </c>
      <c r="AC1229" s="29">
        <f t="shared" si="236"/>
        <v>97100.790000000008</v>
      </c>
      <c r="AD1229" s="29">
        <f t="shared" si="236"/>
        <v>550000</v>
      </c>
      <c r="AE1229" s="29">
        <f t="shared" si="236"/>
        <v>0</v>
      </c>
      <c r="AF1229" s="62" t="s">
        <v>743</v>
      </c>
      <c r="AG1229" s="62" t="s">
        <v>743</v>
      </c>
      <c r="AH1229" s="77" t="s">
        <v>743</v>
      </c>
      <c r="AT1229" s="18" t="e">
        <f>VLOOKUP(C1229,AW:AX,2,FALSE)</f>
        <v>#N/A</v>
      </c>
      <c r="BZ1229" s="61">
        <v>11422752.699999999</v>
      </c>
    </row>
    <row r="1230" spans="1:82" ht="61.5" x14ac:dyDescent="0.85">
      <c r="A1230" s="18">
        <v>1</v>
      </c>
      <c r="B1230" s="57">
        <f>SUBTOTAL(103,$A$1093:A1230)</f>
        <v>131</v>
      </c>
      <c r="C1230" s="22" t="s">
        <v>635</v>
      </c>
      <c r="D1230" s="29">
        <f>E1230+F1230+G1230+H1230+I1230+J1230+L1230+N1230+P1230+R1230+T1230+U1230+V1230+W1230+X1230+Y1230+Z1230+AA1230+AB1230+AC1230+AD1230+AE1230</f>
        <v>4240119.51</v>
      </c>
      <c r="E1230" s="36">
        <v>0</v>
      </c>
      <c r="F1230" s="36">
        <v>0</v>
      </c>
      <c r="G1230" s="29">
        <v>3881891.1399999997</v>
      </c>
      <c r="H1230" s="36">
        <v>0</v>
      </c>
      <c r="I1230" s="36">
        <v>0</v>
      </c>
      <c r="J1230" s="36">
        <v>0</v>
      </c>
      <c r="K1230" s="75">
        <v>0</v>
      </c>
      <c r="L1230" s="36">
        <v>0</v>
      </c>
      <c r="M1230" s="29">
        <v>0</v>
      </c>
      <c r="N1230" s="29">
        <v>0</v>
      </c>
      <c r="O1230" s="29">
        <v>0</v>
      </c>
      <c r="P1230" s="29">
        <v>0</v>
      </c>
      <c r="Q1230" s="29">
        <v>0</v>
      </c>
      <c r="R1230" s="29">
        <v>0</v>
      </c>
      <c r="S1230" s="29">
        <v>0</v>
      </c>
      <c r="T1230" s="29">
        <v>0</v>
      </c>
      <c r="U1230" s="29">
        <v>0</v>
      </c>
      <c r="V1230" s="29">
        <v>0</v>
      </c>
      <c r="W1230" s="29">
        <v>0</v>
      </c>
      <c r="X1230" s="29">
        <v>0</v>
      </c>
      <c r="Y1230" s="29">
        <v>0</v>
      </c>
      <c r="Z1230" s="29">
        <v>0</v>
      </c>
      <c r="AA1230" s="29">
        <v>0</v>
      </c>
      <c r="AB1230" s="29">
        <v>0</v>
      </c>
      <c r="AC1230" s="29">
        <f>ROUND((E1230+F1230+G1230+H1230+I1230+J1230)*1.5%,2)</f>
        <v>58228.37</v>
      </c>
      <c r="AD1230" s="29">
        <v>300000</v>
      </c>
      <c r="AE1230" s="29">
        <v>0</v>
      </c>
      <c r="AF1230" s="32">
        <v>2022</v>
      </c>
      <c r="AG1230" s="32">
        <v>2022</v>
      </c>
      <c r="AH1230" s="33">
        <v>2022</v>
      </c>
      <c r="AT1230" s="18" t="e">
        <f>VLOOKUP(C1230,AW:AX,2,FALSE)</f>
        <v>#N/A</v>
      </c>
      <c r="BZ1230" s="61"/>
    </row>
    <row r="1231" spans="1:82" ht="61.5" x14ac:dyDescent="0.85">
      <c r="A1231" s="18">
        <v>1</v>
      </c>
      <c r="B1231" s="57">
        <f>SUBTOTAL(103,$A$1093:A1231)</f>
        <v>132</v>
      </c>
      <c r="C1231" s="22" t="s">
        <v>1942</v>
      </c>
      <c r="D1231" s="29">
        <f>E1231+F1231+G1231+H1231+I1231+J1231+L1231+N1231+P1231+R1231+T1231+U1231+V1231+W1231+X1231+Y1231+Z1231+AA1231+AB1231+AC1231+AD1231+AE1231</f>
        <v>2015397.9200000002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64">
        <v>0</v>
      </c>
      <c r="L1231" s="29">
        <v>0</v>
      </c>
      <c r="M1231" s="29">
        <v>0</v>
      </c>
      <c r="N1231" s="29">
        <v>0</v>
      </c>
      <c r="O1231" s="29">
        <v>0</v>
      </c>
      <c r="P1231" s="29">
        <v>0</v>
      </c>
      <c r="Q1231" s="29">
        <v>0</v>
      </c>
      <c r="R1231" s="29">
        <v>0</v>
      </c>
      <c r="S1231" s="29">
        <v>86</v>
      </c>
      <c r="T1231" s="29">
        <f>2307415.7-469585.24</f>
        <v>1837830.4600000002</v>
      </c>
      <c r="U1231" s="29">
        <v>0</v>
      </c>
      <c r="V1231" s="29">
        <v>0</v>
      </c>
      <c r="W1231" s="29">
        <v>0</v>
      </c>
      <c r="X1231" s="29">
        <v>0</v>
      </c>
      <c r="Y1231" s="29">
        <v>0</v>
      </c>
      <c r="Z1231" s="29">
        <v>0</v>
      </c>
      <c r="AA1231" s="29">
        <v>0</v>
      </c>
      <c r="AB1231" s="29">
        <v>0</v>
      </c>
      <c r="AC1231" s="29">
        <f>ROUND(T1231*1.5%,2)</f>
        <v>27567.46</v>
      </c>
      <c r="AD1231" s="29">
        <v>150000</v>
      </c>
      <c r="AE1231" s="29">
        <v>0</v>
      </c>
      <c r="AF1231" s="32">
        <v>2022</v>
      </c>
      <c r="AG1231" s="32">
        <v>2022</v>
      </c>
      <c r="AH1231" s="33">
        <v>2022</v>
      </c>
      <c r="AT1231" s="18" t="e">
        <f>VLOOKUP(C1231,AW:AX,2,FALSE)</f>
        <v>#N/A</v>
      </c>
      <c r="BZ1231" s="61"/>
      <c r="CD1231" s="18" t="e">
        <f>VLOOKUP(C1231,CE:CF,2,FALSE)</f>
        <v>#N/A</v>
      </c>
    </row>
    <row r="1232" spans="1:82" ht="61.5" x14ac:dyDescent="0.85">
      <c r="A1232" s="18">
        <v>1</v>
      </c>
      <c r="B1232" s="57">
        <f>SUBTOTAL(103,$A$1093:A1232)</f>
        <v>133</v>
      </c>
      <c r="C1232" s="22" t="s">
        <v>2287</v>
      </c>
      <c r="D1232" s="29">
        <f>E1232+F1232+G1232+H1232+I1232+J1232+L1232+N1232+P1232+R1232+T1232+U1232+V1232+W1232+X1232+Y1232+Z1232+AA1232+AB1232+AC1232+AD1232+AE1232</f>
        <v>864968.97</v>
      </c>
      <c r="E1232" s="36">
        <v>0</v>
      </c>
      <c r="F1232" s="36">
        <v>0</v>
      </c>
      <c r="G1232" s="29">
        <v>0</v>
      </c>
      <c r="H1232" s="36">
        <f>257678.05+26400.72+469585.24</f>
        <v>753664.01</v>
      </c>
      <c r="I1232" s="36">
        <v>0</v>
      </c>
      <c r="J1232" s="36">
        <v>0</v>
      </c>
      <c r="K1232" s="75">
        <v>0</v>
      </c>
      <c r="L1232" s="36">
        <v>0</v>
      </c>
      <c r="M1232" s="29">
        <v>0</v>
      </c>
      <c r="N1232" s="29">
        <v>0</v>
      </c>
      <c r="O1232" s="29">
        <v>0</v>
      </c>
      <c r="P1232" s="29">
        <v>0</v>
      </c>
      <c r="Q1232" s="29">
        <v>0</v>
      </c>
      <c r="R1232" s="29">
        <v>0</v>
      </c>
      <c r="S1232" s="29">
        <v>0</v>
      </c>
      <c r="T1232" s="29">
        <v>0</v>
      </c>
      <c r="U1232" s="29">
        <v>0</v>
      </c>
      <c r="V1232" s="29">
        <v>0</v>
      </c>
      <c r="W1232" s="29">
        <v>0</v>
      </c>
      <c r="X1232" s="29">
        <v>0</v>
      </c>
      <c r="Y1232" s="29">
        <v>0</v>
      </c>
      <c r="Z1232" s="29">
        <v>0</v>
      </c>
      <c r="AA1232" s="29">
        <v>0</v>
      </c>
      <c r="AB1232" s="29">
        <v>0</v>
      </c>
      <c r="AC1232" s="29">
        <f>ROUND(H1232*1.5%,2)</f>
        <v>11304.96</v>
      </c>
      <c r="AD1232" s="29">
        <v>100000</v>
      </c>
      <c r="AE1232" s="29">
        <v>0</v>
      </c>
      <c r="AF1232" s="32">
        <v>2022</v>
      </c>
      <c r="AG1232" s="32">
        <v>2022</v>
      </c>
      <c r="AH1232" s="33">
        <v>2022</v>
      </c>
      <c r="AT1232" s="18" t="e">
        <f>VLOOKUP(C1232,AW:AX,2,FALSE)</f>
        <v>#N/A</v>
      </c>
      <c r="BZ1232" s="61"/>
      <c r="CD1232" s="18" t="e">
        <f>VLOOKUP(C1232,CE:CF,2,FALSE)</f>
        <v>#N/A</v>
      </c>
    </row>
    <row r="1233" spans="1:78" ht="61.5" x14ac:dyDescent="0.85">
      <c r="B1233" s="22" t="s">
        <v>810</v>
      </c>
      <c r="C1233" s="22"/>
      <c r="D1233" s="339">
        <f>D1234+D1235</f>
        <v>8756823</v>
      </c>
      <c r="E1233" s="29">
        <f t="shared" ref="E1233:AE1233" si="237">E1234+E1235</f>
        <v>0</v>
      </c>
      <c r="F1233" s="29">
        <f t="shared" si="237"/>
        <v>0</v>
      </c>
      <c r="G1233" s="29">
        <f t="shared" si="237"/>
        <v>0</v>
      </c>
      <c r="H1233" s="29">
        <f t="shared" si="237"/>
        <v>0</v>
      </c>
      <c r="I1233" s="29">
        <f t="shared" si="237"/>
        <v>0</v>
      </c>
      <c r="J1233" s="29">
        <f t="shared" si="237"/>
        <v>0</v>
      </c>
      <c r="K1233" s="31">
        <f t="shared" si="237"/>
        <v>0</v>
      </c>
      <c r="L1233" s="29">
        <f t="shared" si="237"/>
        <v>0</v>
      </c>
      <c r="M1233" s="29">
        <f t="shared" si="237"/>
        <v>1713</v>
      </c>
      <c r="N1233" s="29">
        <f t="shared" si="237"/>
        <v>8331845.3199999994</v>
      </c>
      <c r="O1233" s="29">
        <f t="shared" si="237"/>
        <v>0</v>
      </c>
      <c r="P1233" s="29">
        <f t="shared" si="237"/>
        <v>0</v>
      </c>
      <c r="Q1233" s="29">
        <f t="shared" si="237"/>
        <v>0</v>
      </c>
      <c r="R1233" s="29">
        <f t="shared" si="237"/>
        <v>0</v>
      </c>
      <c r="S1233" s="29">
        <f t="shared" si="237"/>
        <v>0</v>
      </c>
      <c r="T1233" s="29">
        <f t="shared" si="237"/>
        <v>0</v>
      </c>
      <c r="U1233" s="29">
        <f t="shared" si="237"/>
        <v>0</v>
      </c>
      <c r="V1233" s="29">
        <f t="shared" si="237"/>
        <v>0</v>
      </c>
      <c r="W1233" s="29">
        <f t="shared" si="237"/>
        <v>0</v>
      </c>
      <c r="X1233" s="29">
        <f t="shared" si="237"/>
        <v>0</v>
      </c>
      <c r="Y1233" s="29">
        <f t="shared" si="237"/>
        <v>0</v>
      </c>
      <c r="Z1233" s="29">
        <f t="shared" si="237"/>
        <v>0</v>
      </c>
      <c r="AA1233" s="29">
        <f t="shared" si="237"/>
        <v>0</v>
      </c>
      <c r="AB1233" s="29">
        <f t="shared" si="237"/>
        <v>0</v>
      </c>
      <c r="AC1233" s="29">
        <f t="shared" si="237"/>
        <v>124977.68</v>
      </c>
      <c r="AD1233" s="29">
        <f t="shared" si="237"/>
        <v>300000</v>
      </c>
      <c r="AE1233" s="29">
        <f t="shared" si="237"/>
        <v>0</v>
      </c>
      <c r="AF1233" s="62" t="s">
        <v>743</v>
      </c>
      <c r="AG1233" s="62" t="s">
        <v>743</v>
      </c>
      <c r="AH1233" s="77" t="s">
        <v>743</v>
      </c>
      <c r="AT1233" s="18" t="e">
        <f>VLOOKUP(C1233,AW:AX,2,FALSE)</f>
        <v>#N/A</v>
      </c>
      <c r="BZ1233" s="61">
        <v>8756823</v>
      </c>
    </row>
    <row r="1234" spans="1:78" ht="61.5" x14ac:dyDescent="0.85">
      <c r="A1234" s="18">
        <v>1</v>
      </c>
      <c r="B1234" s="57">
        <f>SUBTOTAL(103,$A$1093:A1234)</f>
        <v>134</v>
      </c>
      <c r="C1234" s="22" t="s">
        <v>643</v>
      </c>
      <c r="D1234" s="29">
        <f>E1234+F1234+G1234+H1234+I1234+J1234+L1234+N1234+P1234+R1234+T1234+U1234+V1234+W1234+X1234+Y1234+Z1234+AA1234+AB1234+AC1234+AD1234+AE1234</f>
        <v>4146680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75">
        <v>0</v>
      </c>
      <c r="L1234" s="36">
        <v>0</v>
      </c>
      <c r="M1234" s="29">
        <v>830</v>
      </c>
      <c r="N1234" s="29">
        <v>3937615.76</v>
      </c>
      <c r="O1234" s="29">
        <v>0</v>
      </c>
      <c r="P1234" s="29">
        <v>0</v>
      </c>
      <c r="Q1234" s="29">
        <v>0</v>
      </c>
      <c r="R1234" s="29">
        <v>0</v>
      </c>
      <c r="S1234" s="29">
        <v>0</v>
      </c>
      <c r="T1234" s="29">
        <v>0</v>
      </c>
      <c r="U1234" s="29">
        <v>0</v>
      </c>
      <c r="V1234" s="29">
        <v>0</v>
      </c>
      <c r="W1234" s="29">
        <v>0</v>
      </c>
      <c r="X1234" s="29">
        <v>0</v>
      </c>
      <c r="Y1234" s="29">
        <v>0</v>
      </c>
      <c r="Z1234" s="29">
        <v>0</v>
      </c>
      <c r="AA1234" s="29">
        <v>0</v>
      </c>
      <c r="AB1234" s="29">
        <v>0</v>
      </c>
      <c r="AC1234" s="29">
        <f>ROUND(N1234*1.5%,2)</f>
        <v>59064.24</v>
      </c>
      <c r="AD1234" s="29">
        <v>150000</v>
      </c>
      <c r="AE1234" s="29">
        <v>0</v>
      </c>
      <c r="AF1234" s="32">
        <v>2022</v>
      </c>
      <c r="AG1234" s="32">
        <v>2022</v>
      </c>
      <c r="AH1234" s="33">
        <v>2022</v>
      </c>
      <c r="AT1234" s="18" t="e">
        <f>VLOOKUP(C1234,AW:AX,2,FALSE)</f>
        <v>#N/A</v>
      </c>
      <c r="BZ1234" s="61"/>
    </row>
    <row r="1235" spans="1:78" ht="61.5" x14ac:dyDescent="0.85">
      <c r="A1235" s="18">
        <v>1</v>
      </c>
      <c r="B1235" s="57">
        <f>SUBTOTAL(103,$A$1093:A1235)</f>
        <v>135</v>
      </c>
      <c r="C1235" s="22" t="s">
        <v>646</v>
      </c>
      <c r="D1235" s="29">
        <f>E1235+F1235+G1235+H1235+I1235+J1235+L1235+N1235+P1235+R1235+T1235+U1235+V1235+W1235+X1235+Y1235+Z1235+AA1235+AB1235+AC1235+AD1235+AE1235</f>
        <v>4610143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1">
        <v>0</v>
      </c>
      <c r="L1235" s="29">
        <v>0</v>
      </c>
      <c r="M1235" s="29">
        <v>883</v>
      </c>
      <c r="N1235" s="29">
        <v>4394229.5599999996</v>
      </c>
      <c r="O1235" s="29">
        <v>0</v>
      </c>
      <c r="P1235" s="29">
        <v>0</v>
      </c>
      <c r="Q1235" s="29">
        <v>0</v>
      </c>
      <c r="R1235" s="29">
        <v>0</v>
      </c>
      <c r="S1235" s="29">
        <v>0</v>
      </c>
      <c r="T1235" s="29">
        <v>0</v>
      </c>
      <c r="U1235" s="29">
        <v>0</v>
      </c>
      <c r="V1235" s="29">
        <v>0</v>
      </c>
      <c r="W1235" s="29">
        <v>0</v>
      </c>
      <c r="X1235" s="29">
        <v>0</v>
      </c>
      <c r="Y1235" s="29">
        <v>0</v>
      </c>
      <c r="Z1235" s="29">
        <v>0</v>
      </c>
      <c r="AA1235" s="29">
        <v>0</v>
      </c>
      <c r="AB1235" s="29">
        <v>0</v>
      </c>
      <c r="AC1235" s="29">
        <f>ROUND(N1235*1.5%,2)</f>
        <v>65913.440000000002</v>
      </c>
      <c r="AD1235" s="29">
        <v>150000</v>
      </c>
      <c r="AE1235" s="29">
        <v>0</v>
      </c>
      <c r="AF1235" s="32">
        <v>2022</v>
      </c>
      <c r="AG1235" s="32">
        <v>2022</v>
      </c>
      <c r="AH1235" s="33">
        <v>2022</v>
      </c>
      <c r="AT1235" s="18" t="e">
        <f>VLOOKUP(C1235,AW:AX,2,FALSE)</f>
        <v>#N/A</v>
      </c>
      <c r="BZ1235" s="61"/>
    </row>
    <row r="1236" spans="1:78" ht="61.5" x14ac:dyDescent="0.85">
      <c r="B1236" s="22" t="s">
        <v>811</v>
      </c>
      <c r="C1236" s="338"/>
      <c r="D1236" s="339">
        <f>D1237</f>
        <v>4369866.08</v>
      </c>
      <c r="E1236" s="29">
        <f t="shared" ref="E1236:AE1236" si="238">E1237</f>
        <v>0</v>
      </c>
      <c r="F1236" s="29">
        <f t="shared" si="238"/>
        <v>0</v>
      </c>
      <c r="G1236" s="29">
        <f t="shared" si="238"/>
        <v>0</v>
      </c>
      <c r="H1236" s="29">
        <f t="shared" si="238"/>
        <v>0</v>
      </c>
      <c r="I1236" s="29">
        <f t="shared" si="238"/>
        <v>0</v>
      </c>
      <c r="J1236" s="29">
        <f t="shared" si="238"/>
        <v>0</v>
      </c>
      <c r="K1236" s="31">
        <f t="shared" si="238"/>
        <v>0</v>
      </c>
      <c r="L1236" s="29">
        <f t="shared" si="238"/>
        <v>0</v>
      </c>
      <c r="M1236" s="29">
        <f t="shared" si="238"/>
        <v>1203</v>
      </c>
      <c r="N1236" s="29">
        <f t="shared" si="238"/>
        <v>4127946.88</v>
      </c>
      <c r="O1236" s="29">
        <f t="shared" si="238"/>
        <v>0</v>
      </c>
      <c r="P1236" s="29">
        <f t="shared" si="238"/>
        <v>0</v>
      </c>
      <c r="Q1236" s="29">
        <f t="shared" si="238"/>
        <v>0</v>
      </c>
      <c r="R1236" s="29">
        <f t="shared" si="238"/>
        <v>0</v>
      </c>
      <c r="S1236" s="29">
        <f t="shared" si="238"/>
        <v>0</v>
      </c>
      <c r="T1236" s="29">
        <f t="shared" si="238"/>
        <v>0</v>
      </c>
      <c r="U1236" s="29">
        <f t="shared" si="238"/>
        <v>0</v>
      </c>
      <c r="V1236" s="29">
        <f t="shared" si="238"/>
        <v>0</v>
      </c>
      <c r="W1236" s="29">
        <f t="shared" si="238"/>
        <v>0</v>
      </c>
      <c r="X1236" s="29">
        <f t="shared" si="238"/>
        <v>0</v>
      </c>
      <c r="Y1236" s="29">
        <f t="shared" si="238"/>
        <v>0</v>
      </c>
      <c r="Z1236" s="29">
        <f t="shared" si="238"/>
        <v>0</v>
      </c>
      <c r="AA1236" s="29">
        <f t="shared" si="238"/>
        <v>0</v>
      </c>
      <c r="AB1236" s="29">
        <f t="shared" si="238"/>
        <v>0</v>
      </c>
      <c r="AC1236" s="29">
        <f t="shared" si="238"/>
        <v>61919.199999999997</v>
      </c>
      <c r="AD1236" s="29">
        <f t="shared" si="238"/>
        <v>180000</v>
      </c>
      <c r="AE1236" s="29">
        <f t="shared" si="238"/>
        <v>0</v>
      </c>
      <c r="AF1236" s="62" t="s">
        <v>743</v>
      </c>
      <c r="AG1236" s="62" t="s">
        <v>743</v>
      </c>
      <c r="AH1236" s="77" t="s">
        <v>743</v>
      </c>
      <c r="AT1236" s="18" t="e">
        <f>VLOOKUP(C1236,AW:AX,2,FALSE)</f>
        <v>#N/A</v>
      </c>
      <c r="BZ1236" s="61">
        <v>4369866.08</v>
      </c>
    </row>
    <row r="1237" spans="1:78" ht="61.5" x14ac:dyDescent="0.85">
      <c r="A1237" s="18">
        <v>1</v>
      </c>
      <c r="B1237" s="57">
        <f>SUBTOTAL(103,$A$1093:A1237)</f>
        <v>136</v>
      </c>
      <c r="C1237" s="91" t="s">
        <v>666</v>
      </c>
      <c r="D1237" s="29">
        <f>E1237+F1237+G1237+H1237+I1237+J1237+L1237+N1237+P1237+R1237+T1237+U1237+V1237+W1237+X1237+Y1237+Z1237+AA1237+AB1237+AC1237+AD1237+AE1237</f>
        <v>4369866.08</v>
      </c>
      <c r="E1237" s="29">
        <v>0</v>
      </c>
      <c r="F1237" s="29">
        <v>0</v>
      </c>
      <c r="G1237" s="29">
        <v>0</v>
      </c>
      <c r="H1237" s="29">
        <v>0</v>
      </c>
      <c r="I1237" s="29">
        <v>0</v>
      </c>
      <c r="J1237" s="29">
        <v>0</v>
      </c>
      <c r="K1237" s="31">
        <v>0</v>
      </c>
      <c r="L1237" s="29">
        <v>0</v>
      </c>
      <c r="M1237" s="29">
        <v>1203</v>
      </c>
      <c r="N1237" s="29">
        <v>4127946.88</v>
      </c>
      <c r="O1237" s="29">
        <v>0</v>
      </c>
      <c r="P1237" s="29">
        <v>0</v>
      </c>
      <c r="Q1237" s="29">
        <v>0</v>
      </c>
      <c r="R1237" s="29">
        <v>0</v>
      </c>
      <c r="S1237" s="29">
        <v>0</v>
      </c>
      <c r="T1237" s="29">
        <v>0</v>
      </c>
      <c r="U1237" s="29">
        <v>0</v>
      </c>
      <c r="V1237" s="29">
        <v>0</v>
      </c>
      <c r="W1237" s="29">
        <v>0</v>
      </c>
      <c r="X1237" s="29">
        <v>0</v>
      </c>
      <c r="Y1237" s="29">
        <v>0</v>
      </c>
      <c r="Z1237" s="29">
        <v>0</v>
      </c>
      <c r="AA1237" s="29">
        <v>0</v>
      </c>
      <c r="AB1237" s="29">
        <v>0</v>
      </c>
      <c r="AC1237" s="29">
        <f>ROUND(N1237*1.5%,2)</f>
        <v>61919.199999999997</v>
      </c>
      <c r="AD1237" s="29">
        <v>180000</v>
      </c>
      <c r="AE1237" s="29">
        <v>0</v>
      </c>
      <c r="AF1237" s="32">
        <v>2022</v>
      </c>
      <c r="AG1237" s="32">
        <v>2022</v>
      </c>
      <c r="AH1237" s="33">
        <v>2022</v>
      </c>
      <c r="AT1237" s="18" t="e">
        <f>VLOOKUP(C1237,AW:AX,2,FALSE)</f>
        <v>#N/A</v>
      </c>
      <c r="BZ1237" s="61"/>
    </row>
    <row r="1238" spans="1:78" ht="61.5" x14ac:dyDescent="0.85">
      <c r="B1238" s="22" t="s">
        <v>812</v>
      </c>
      <c r="C1238" s="22"/>
      <c r="D1238" s="339">
        <f>D1239</f>
        <v>2936950.21</v>
      </c>
      <c r="E1238" s="29">
        <f t="shared" ref="E1238:AE1238" si="239">E1239</f>
        <v>0</v>
      </c>
      <c r="F1238" s="29">
        <f t="shared" si="239"/>
        <v>0</v>
      </c>
      <c r="G1238" s="29">
        <f t="shared" si="239"/>
        <v>0</v>
      </c>
      <c r="H1238" s="29">
        <f t="shared" si="239"/>
        <v>0</v>
      </c>
      <c r="I1238" s="29">
        <f t="shared" si="239"/>
        <v>0</v>
      </c>
      <c r="J1238" s="29">
        <f t="shared" si="239"/>
        <v>0</v>
      </c>
      <c r="K1238" s="31">
        <f t="shared" si="239"/>
        <v>0</v>
      </c>
      <c r="L1238" s="29">
        <f t="shared" si="239"/>
        <v>0</v>
      </c>
      <c r="M1238" s="29">
        <f t="shared" si="239"/>
        <v>0</v>
      </c>
      <c r="N1238" s="29">
        <f t="shared" si="239"/>
        <v>0</v>
      </c>
      <c r="O1238" s="29">
        <f t="shared" si="239"/>
        <v>0</v>
      </c>
      <c r="P1238" s="29">
        <f t="shared" si="239"/>
        <v>0</v>
      </c>
      <c r="Q1238" s="29">
        <f t="shared" si="239"/>
        <v>787</v>
      </c>
      <c r="R1238" s="29">
        <f t="shared" si="239"/>
        <v>2765468.19</v>
      </c>
      <c r="S1238" s="29">
        <f t="shared" si="239"/>
        <v>0</v>
      </c>
      <c r="T1238" s="29">
        <f t="shared" si="239"/>
        <v>0</v>
      </c>
      <c r="U1238" s="29">
        <f t="shared" si="239"/>
        <v>0</v>
      </c>
      <c r="V1238" s="29">
        <f t="shared" si="239"/>
        <v>0</v>
      </c>
      <c r="W1238" s="29">
        <f t="shared" si="239"/>
        <v>0</v>
      </c>
      <c r="X1238" s="29">
        <f t="shared" si="239"/>
        <v>0</v>
      </c>
      <c r="Y1238" s="29">
        <f t="shared" si="239"/>
        <v>0</v>
      </c>
      <c r="Z1238" s="29">
        <f t="shared" si="239"/>
        <v>0</v>
      </c>
      <c r="AA1238" s="29">
        <f t="shared" si="239"/>
        <v>0</v>
      </c>
      <c r="AB1238" s="29">
        <f t="shared" si="239"/>
        <v>0</v>
      </c>
      <c r="AC1238" s="29">
        <f t="shared" si="239"/>
        <v>41482.019999999997</v>
      </c>
      <c r="AD1238" s="29">
        <f t="shared" si="239"/>
        <v>130000</v>
      </c>
      <c r="AE1238" s="29">
        <f t="shared" si="239"/>
        <v>0</v>
      </c>
      <c r="AF1238" s="62" t="s">
        <v>743</v>
      </c>
      <c r="AG1238" s="62" t="s">
        <v>743</v>
      </c>
      <c r="AH1238" s="77" t="s">
        <v>743</v>
      </c>
      <c r="AT1238" s="18" t="e">
        <f>VLOOKUP(C1238,AW:AX,2,FALSE)</f>
        <v>#N/A</v>
      </c>
      <c r="BZ1238" s="61">
        <v>2936950.21</v>
      </c>
    </row>
    <row r="1239" spans="1:78" ht="61.5" x14ac:dyDescent="0.85">
      <c r="A1239" s="18">
        <v>1</v>
      </c>
      <c r="B1239" s="57">
        <f>SUBTOTAL(103,$A$1093:A1239)</f>
        <v>137</v>
      </c>
      <c r="C1239" s="91" t="s">
        <v>680</v>
      </c>
      <c r="D1239" s="29">
        <f>E1239+F1239+G1239+H1239+I1239+J1239+L1239+N1239+P1239+R1239+T1239+U1239+V1239+W1239+X1239+Y1239+Z1239+AA1239+AB1239+AC1239+AD1239+AE1239</f>
        <v>2936950.21</v>
      </c>
      <c r="E1239" s="29">
        <v>0</v>
      </c>
      <c r="F1239" s="29">
        <v>0</v>
      </c>
      <c r="G1239" s="29">
        <v>0</v>
      </c>
      <c r="H1239" s="29">
        <v>0</v>
      </c>
      <c r="I1239" s="29">
        <v>0</v>
      </c>
      <c r="J1239" s="29">
        <v>0</v>
      </c>
      <c r="K1239" s="31">
        <v>0</v>
      </c>
      <c r="L1239" s="29">
        <v>0</v>
      </c>
      <c r="M1239" s="29">
        <v>0</v>
      </c>
      <c r="N1239" s="29">
        <v>0</v>
      </c>
      <c r="O1239" s="29">
        <v>0</v>
      </c>
      <c r="P1239" s="29">
        <v>0</v>
      </c>
      <c r="Q1239" s="29">
        <v>787</v>
      </c>
      <c r="R1239" s="29">
        <v>2765468.19</v>
      </c>
      <c r="S1239" s="29">
        <v>0</v>
      </c>
      <c r="T1239" s="29">
        <v>0</v>
      </c>
      <c r="U1239" s="29">
        <v>0</v>
      </c>
      <c r="V1239" s="29">
        <v>0</v>
      </c>
      <c r="W1239" s="29">
        <v>0</v>
      </c>
      <c r="X1239" s="29">
        <v>0</v>
      </c>
      <c r="Y1239" s="29">
        <v>0</v>
      </c>
      <c r="Z1239" s="29">
        <v>0</v>
      </c>
      <c r="AA1239" s="29">
        <v>0</v>
      </c>
      <c r="AB1239" s="29">
        <v>0</v>
      </c>
      <c r="AC1239" s="29">
        <f>ROUND(R1239*1.5%,2)</f>
        <v>41482.019999999997</v>
      </c>
      <c r="AD1239" s="29">
        <v>130000</v>
      </c>
      <c r="AE1239" s="29">
        <v>0</v>
      </c>
      <c r="AF1239" s="32">
        <v>2022</v>
      </c>
      <c r="AG1239" s="32">
        <v>2022</v>
      </c>
      <c r="AH1239" s="33">
        <v>2022</v>
      </c>
      <c r="AT1239" s="18" t="e">
        <f>VLOOKUP(C1239,AW:AX,2,FALSE)</f>
        <v>#N/A</v>
      </c>
      <c r="BZ1239" s="61"/>
    </row>
    <row r="1240" spans="1:78" ht="61.5" x14ac:dyDescent="0.85">
      <c r="B1240" s="22" t="s">
        <v>813</v>
      </c>
      <c r="C1240" s="22"/>
      <c r="D1240" s="339">
        <f>D1241+D1242</f>
        <v>2773728.46</v>
      </c>
      <c r="E1240" s="29">
        <f t="shared" ref="E1240:AE1240" si="240">E1241+E1242</f>
        <v>0</v>
      </c>
      <c r="F1240" s="29">
        <f t="shared" si="240"/>
        <v>0</v>
      </c>
      <c r="G1240" s="29">
        <f t="shared" si="240"/>
        <v>0</v>
      </c>
      <c r="H1240" s="29">
        <f t="shared" si="240"/>
        <v>0</v>
      </c>
      <c r="I1240" s="29">
        <f t="shared" si="240"/>
        <v>191760.14</v>
      </c>
      <c r="J1240" s="29">
        <f t="shared" si="240"/>
        <v>0</v>
      </c>
      <c r="K1240" s="31">
        <f t="shared" si="240"/>
        <v>0</v>
      </c>
      <c r="L1240" s="29">
        <f t="shared" si="240"/>
        <v>0</v>
      </c>
      <c r="M1240" s="29">
        <f t="shared" si="240"/>
        <v>628</v>
      </c>
      <c r="N1240" s="29">
        <f t="shared" si="240"/>
        <v>2353785.14</v>
      </c>
      <c r="O1240" s="29">
        <f t="shared" si="240"/>
        <v>0</v>
      </c>
      <c r="P1240" s="29">
        <f t="shared" si="240"/>
        <v>0</v>
      </c>
      <c r="Q1240" s="29">
        <f t="shared" si="240"/>
        <v>0</v>
      </c>
      <c r="R1240" s="29">
        <f t="shared" si="240"/>
        <v>0</v>
      </c>
      <c r="S1240" s="29">
        <f t="shared" si="240"/>
        <v>0</v>
      </c>
      <c r="T1240" s="29">
        <f t="shared" si="240"/>
        <v>0</v>
      </c>
      <c r="U1240" s="29">
        <f t="shared" si="240"/>
        <v>0</v>
      </c>
      <c r="V1240" s="29">
        <f t="shared" si="240"/>
        <v>0</v>
      </c>
      <c r="W1240" s="29">
        <f t="shared" si="240"/>
        <v>0</v>
      </c>
      <c r="X1240" s="29">
        <f t="shared" si="240"/>
        <v>0</v>
      </c>
      <c r="Y1240" s="29">
        <f t="shared" si="240"/>
        <v>0</v>
      </c>
      <c r="Z1240" s="29">
        <f t="shared" si="240"/>
        <v>0</v>
      </c>
      <c r="AA1240" s="29">
        <f t="shared" si="240"/>
        <v>0</v>
      </c>
      <c r="AB1240" s="29">
        <f t="shared" si="240"/>
        <v>0</v>
      </c>
      <c r="AC1240" s="29">
        <f t="shared" si="240"/>
        <v>38183.18</v>
      </c>
      <c r="AD1240" s="29">
        <f t="shared" si="240"/>
        <v>190000</v>
      </c>
      <c r="AE1240" s="29">
        <f t="shared" si="240"/>
        <v>0</v>
      </c>
      <c r="AF1240" s="62" t="s">
        <v>743</v>
      </c>
      <c r="AG1240" s="62" t="s">
        <v>743</v>
      </c>
      <c r="AH1240" s="77" t="s">
        <v>743</v>
      </c>
      <c r="AT1240" s="18" t="e">
        <f>VLOOKUP(C1240,AW:AX,2,FALSE)</f>
        <v>#N/A</v>
      </c>
      <c r="BZ1240" s="61">
        <v>2773728.46</v>
      </c>
    </row>
    <row r="1241" spans="1:78" ht="61.5" x14ac:dyDescent="0.85">
      <c r="A1241" s="18">
        <v>1</v>
      </c>
      <c r="B1241" s="57">
        <f>SUBTOTAL(103,$A$1093:A1241)</f>
        <v>138</v>
      </c>
      <c r="C1241" s="91" t="s">
        <v>673</v>
      </c>
      <c r="D1241" s="29">
        <f>E1241+F1241+G1241+H1241+I1241+J1241+L1241+N1241+P1241+R1241+T1241+U1241+V1241+W1241+X1241+Y1241+Z1241+AA1241+AB1241+AC1241+AD1241+AE1241</f>
        <v>2539091.92</v>
      </c>
      <c r="E1241" s="29">
        <v>0</v>
      </c>
      <c r="F1241" s="29">
        <v>0</v>
      </c>
      <c r="G1241" s="29">
        <v>0</v>
      </c>
      <c r="H1241" s="29">
        <v>0</v>
      </c>
      <c r="I1241" s="29">
        <v>0</v>
      </c>
      <c r="J1241" s="29">
        <v>0</v>
      </c>
      <c r="K1241" s="31">
        <v>0</v>
      </c>
      <c r="L1241" s="29">
        <v>0</v>
      </c>
      <c r="M1241" s="29">
        <v>628</v>
      </c>
      <c r="N1241" s="29">
        <v>2353785.14</v>
      </c>
      <c r="O1241" s="29">
        <v>0</v>
      </c>
      <c r="P1241" s="29">
        <v>0</v>
      </c>
      <c r="Q1241" s="29">
        <v>0</v>
      </c>
      <c r="R1241" s="29">
        <v>0</v>
      </c>
      <c r="S1241" s="29">
        <v>0</v>
      </c>
      <c r="T1241" s="29">
        <v>0</v>
      </c>
      <c r="U1241" s="29">
        <v>0</v>
      </c>
      <c r="V1241" s="29">
        <v>0</v>
      </c>
      <c r="W1241" s="29">
        <v>0</v>
      </c>
      <c r="X1241" s="29">
        <v>0</v>
      </c>
      <c r="Y1241" s="29">
        <v>0</v>
      </c>
      <c r="Z1241" s="29">
        <v>0</v>
      </c>
      <c r="AA1241" s="29">
        <v>0</v>
      </c>
      <c r="AB1241" s="29">
        <v>0</v>
      </c>
      <c r="AC1241" s="29">
        <f>ROUND(N1241*1.5%,2)</f>
        <v>35306.78</v>
      </c>
      <c r="AD1241" s="29">
        <v>150000</v>
      </c>
      <c r="AE1241" s="29">
        <v>0</v>
      </c>
      <c r="AF1241" s="32">
        <v>2022</v>
      </c>
      <c r="AG1241" s="32">
        <v>2022</v>
      </c>
      <c r="AH1241" s="33">
        <v>2022</v>
      </c>
      <c r="AT1241" s="18" t="e">
        <f>VLOOKUP(C1241,AW:AX,2,FALSE)</f>
        <v>#N/A</v>
      </c>
      <c r="BZ1241" s="61"/>
    </row>
    <row r="1242" spans="1:78" ht="61.5" x14ac:dyDescent="0.85">
      <c r="A1242" s="18">
        <v>1</v>
      </c>
      <c r="B1242" s="57">
        <f>SUBTOTAL(103,$A$1093:A1242)</f>
        <v>139</v>
      </c>
      <c r="C1242" s="91" t="s">
        <v>683</v>
      </c>
      <c r="D1242" s="29">
        <f>E1242+F1242+G1242+H1242+I1242+J1242+L1242+N1242+P1242+R1242+T1242+U1242+V1242+W1242+X1242+Y1242+Z1242+AA1242+AB1242+AC1242+AD1242+AE1242</f>
        <v>234636.54</v>
      </c>
      <c r="E1242" s="29">
        <v>0</v>
      </c>
      <c r="F1242" s="29">
        <v>0</v>
      </c>
      <c r="G1242" s="29">
        <v>0</v>
      </c>
      <c r="H1242" s="29">
        <v>0</v>
      </c>
      <c r="I1242" s="29">
        <v>191760.14</v>
      </c>
      <c r="J1242" s="29">
        <v>0</v>
      </c>
      <c r="K1242" s="31">
        <v>0</v>
      </c>
      <c r="L1242" s="29">
        <v>0</v>
      </c>
      <c r="M1242" s="29">
        <v>0</v>
      </c>
      <c r="N1242" s="29">
        <v>0</v>
      </c>
      <c r="O1242" s="29">
        <v>0</v>
      </c>
      <c r="P1242" s="29">
        <v>0</v>
      </c>
      <c r="Q1242" s="29">
        <v>0</v>
      </c>
      <c r="R1242" s="29">
        <v>0</v>
      </c>
      <c r="S1242" s="29">
        <v>0</v>
      </c>
      <c r="T1242" s="29">
        <v>0</v>
      </c>
      <c r="U1242" s="29">
        <v>0</v>
      </c>
      <c r="V1242" s="29">
        <v>0</v>
      </c>
      <c r="W1242" s="29">
        <v>0</v>
      </c>
      <c r="X1242" s="29">
        <v>0</v>
      </c>
      <c r="Y1242" s="29">
        <v>0</v>
      </c>
      <c r="Z1242" s="29">
        <v>0</v>
      </c>
      <c r="AA1242" s="29">
        <v>0</v>
      </c>
      <c r="AB1242" s="29">
        <v>0</v>
      </c>
      <c r="AC1242" s="29">
        <f>ROUND((E1242+F1242+G1242+H1242+I1242+J1242)*1.5%,2)</f>
        <v>2876.4</v>
      </c>
      <c r="AD1242" s="29">
        <v>40000</v>
      </c>
      <c r="AE1242" s="29">
        <v>0</v>
      </c>
      <c r="AF1242" s="32">
        <v>2022</v>
      </c>
      <c r="AG1242" s="32">
        <v>2022</v>
      </c>
      <c r="AH1242" s="33">
        <v>2022</v>
      </c>
      <c r="AT1242" s="18" t="e">
        <f>VLOOKUP(C1242,AW:AX,2,FALSE)</f>
        <v>#N/A</v>
      </c>
      <c r="BZ1242" s="61"/>
    </row>
    <row r="1243" spans="1:78" ht="61.5" x14ac:dyDescent="0.85">
      <c r="B1243" s="22" t="s">
        <v>876</v>
      </c>
      <c r="C1243" s="22"/>
      <c r="D1243" s="339">
        <f>D1244</f>
        <v>2158336.3499999996</v>
      </c>
      <c r="E1243" s="29">
        <f t="shared" ref="E1243:AE1243" si="241">E1244</f>
        <v>0</v>
      </c>
      <c r="F1243" s="29">
        <f t="shared" si="241"/>
        <v>0</v>
      </c>
      <c r="G1243" s="29">
        <f t="shared" si="241"/>
        <v>0</v>
      </c>
      <c r="H1243" s="29">
        <f t="shared" si="241"/>
        <v>0</v>
      </c>
      <c r="I1243" s="29">
        <f t="shared" si="241"/>
        <v>0</v>
      </c>
      <c r="J1243" s="29">
        <f t="shared" si="241"/>
        <v>0</v>
      </c>
      <c r="K1243" s="31">
        <f t="shared" si="241"/>
        <v>0</v>
      </c>
      <c r="L1243" s="29">
        <f t="shared" si="241"/>
        <v>0</v>
      </c>
      <c r="M1243" s="29">
        <f t="shared" si="241"/>
        <v>393</v>
      </c>
      <c r="N1243" s="29">
        <f t="shared" si="241"/>
        <v>2008213.15</v>
      </c>
      <c r="O1243" s="29">
        <f t="shared" si="241"/>
        <v>0</v>
      </c>
      <c r="P1243" s="29">
        <f t="shared" si="241"/>
        <v>0</v>
      </c>
      <c r="Q1243" s="29">
        <f t="shared" si="241"/>
        <v>0</v>
      </c>
      <c r="R1243" s="29">
        <f t="shared" si="241"/>
        <v>0</v>
      </c>
      <c r="S1243" s="29">
        <f t="shared" si="241"/>
        <v>0</v>
      </c>
      <c r="T1243" s="29">
        <f t="shared" si="241"/>
        <v>0</v>
      </c>
      <c r="U1243" s="29">
        <f t="shared" si="241"/>
        <v>0</v>
      </c>
      <c r="V1243" s="29">
        <f t="shared" si="241"/>
        <v>0</v>
      </c>
      <c r="W1243" s="29">
        <f t="shared" si="241"/>
        <v>0</v>
      </c>
      <c r="X1243" s="29">
        <f t="shared" si="241"/>
        <v>0</v>
      </c>
      <c r="Y1243" s="29">
        <f t="shared" si="241"/>
        <v>0</v>
      </c>
      <c r="Z1243" s="29">
        <f t="shared" si="241"/>
        <v>0</v>
      </c>
      <c r="AA1243" s="29">
        <f t="shared" si="241"/>
        <v>0</v>
      </c>
      <c r="AB1243" s="29">
        <f t="shared" si="241"/>
        <v>0</v>
      </c>
      <c r="AC1243" s="29">
        <f t="shared" si="241"/>
        <v>30123.200000000001</v>
      </c>
      <c r="AD1243" s="29">
        <f t="shared" si="241"/>
        <v>120000</v>
      </c>
      <c r="AE1243" s="29">
        <f t="shared" si="241"/>
        <v>0</v>
      </c>
      <c r="AF1243" s="62" t="s">
        <v>743</v>
      </c>
      <c r="AG1243" s="62" t="s">
        <v>743</v>
      </c>
      <c r="AH1243" s="77" t="s">
        <v>743</v>
      </c>
      <c r="AT1243" s="18" t="e">
        <f>VLOOKUP(C1243,AW:AX,2,FALSE)</f>
        <v>#N/A</v>
      </c>
      <c r="BZ1243" s="61">
        <v>2158336.3499999996</v>
      </c>
    </row>
    <row r="1244" spans="1:78" ht="61.5" x14ac:dyDescent="0.85">
      <c r="A1244" s="18">
        <v>1</v>
      </c>
      <c r="B1244" s="57">
        <f>SUBTOTAL(103,$A$1093:A1244)</f>
        <v>140</v>
      </c>
      <c r="C1244" s="91" t="s">
        <v>665</v>
      </c>
      <c r="D1244" s="29">
        <f>E1244+F1244+G1244+H1244+I1244+J1244+L1244+N1244+P1244+R1244+T1244+U1244+V1244+W1244+X1244+Y1244+Z1244+AA1244+AB1244+AC1244+AD1244+AE1244</f>
        <v>2158336.3499999996</v>
      </c>
      <c r="E1244" s="29">
        <v>0</v>
      </c>
      <c r="F1244" s="29">
        <v>0</v>
      </c>
      <c r="G1244" s="29">
        <v>0</v>
      </c>
      <c r="H1244" s="29">
        <v>0</v>
      </c>
      <c r="I1244" s="29">
        <v>0</v>
      </c>
      <c r="J1244" s="29">
        <v>0</v>
      </c>
      <c r="K1244" s="31">
        <v>0</v>
      </c>
      <c r="L1244" s="29">
        <v>0</v>
      </c>
      <c r="M1244" s="29">
        <v>393</v>
      </c>
      <c r="N1244" s="29">
        <v>2008213.15</v>
      </c>
      <c r="O1244" s="29">
        <v>0</v>
      </c>
      <c r="P1244" s="29">
        <v>0</v>
      </c>
      <c r="Q1244" s="29">
        <v>0</v>
      </c>
      <c r="R1244" s="29">
        <v>0</v>
      </c>
      <c r="S1244" s="29">
        <v>0</v>
      </c>
      <c r="T1244" s="29">
        <v>0</v>
      </c>
      <c r="U1244" s="29">
        <v>0</v>
      </c>
      <c r="V1244" s="29">
        <v>0</v>
      </c>
      <c r="W1244" s="29">
        <v>0</v>
      </c>
      <c r="X1244" s="29">
        <v>0</v>
      </c>
      <c r="Y1244" s="29">
        <v>0</v>
      </c>
      <c r="Z1244" s="29">
        <v>0</v>
      </c>
      <c r="AA1244" s="29">
        <v>0</v>
      </c>
      <c r="AB1244" s="29">
        <v>0</v>
      </c>
      <c r="AC1244" s="29">
        <f>ROUND(N1244*1.5%,2)</f>
        <v>30123.200000000001</v>
      </c>
      <c r="AD1244" s="29">
        <v>120000</v>
      </c>
      <c r="AE1244" s="29">
        <v>0</v>
      </c>
      <c r="AF1244" s="32">
        <v>2022</v>
      </c>
      <c r="AG1244" s="32">
        <v>2022</v>
      </c>
      <c r="AH1244" s="33">
        <v>2022</v>
      </c>
      <c r="AT1244" s="18" t="e">
        <f>VLOOKUP(C1244,AW:AX,2,FALSE)</f>
        <v>#N/A</v>
      </c>
      <c r="BZ1244" s="61"/>
    </row>
    <row r="1245" spans="1:78" ht="61.5" x14ac:dyDescent="0.85">
      <c r="B1245" s="22" t="s">
        <v>814</v>
      </c>
      <c r="C1245" s="22"/>
      <c r="D1245" s="339">
        <f>D1246</f>
        <v>2000000</v>
      </c>
      <c r="E1245" s="29">
        <f t="shared" ref="E1245:AE1245" si="242">E1246</f>
        <v>0</v>
      </c>
      <c r="F1245" s="29">
        <f t="shared" si="242"/>
        <v>0</v>
      </c>
      <c r="G1245" s="29">
        <f t="shared" si="242"/>
        <v>0</v>
      </c>
      <c r="H1245" s="29">
        <f t="shared" si="242"/>
        <v>0</v>
      </c>
      <c r="I1245" s="29">
        <f t="shared" si="242"/>
        <v>0</v>
      </c>
      <c r="J1245" s="29">
        <f t="shared" si="242"/>
        <v>0</v>
      </c>
      <c r="K1245" s="31">
        <f t="shared" si="242"/>
        <v>0</v>
      </c>
      <c r="L1245" s="29">
        <f t="shared" si="242"/>
        <v>0</v>
      </c>
      <c r="M1245" s="29">
        <f t="shared" si="242"/>
        <v>838.5</v>
      </c>
      <c r="N1245" s="29">
        <f t="shared" si="242"/>
        <v>1822660.1</v>
      </c>
      <c r="O1245" s="29">
        <f t="shared" si="242"/>
        <v>0</v>
      </c>
      <c r="P1245" s="29">
        <f t="shared" si="242"/>
        <v>0</v>
      </c>
      <c r="Q1245" s="29">
        <f t="shared" si="242"/>
        <v>0</v>
      </c>
      <c r="R1245" s="29">
        <f t="shared" si="242"/>
        <v>0</v>
      </c>
      <c r="S1245" s="29">
        <f t="shared" si="242"/>
        <v>0</v>
      </c>
      <c r="T1245" s="29">
        <f t="shared" si="242"/>
        <v>0</v>
      </c>
      <c r="U1245" s="29">
        <f t="shared" si="242"/>
        <v>0</v>
      </c>
      <c r="V1245" s="29">
        <f t="shared" si="242"/>
        <v>0</v>
      </c>
      <c r="W1245" s="29">
        <f t="shared" si="242"/>
        <v>0</v>
      </c>
      <c r="X1245" s="29">
        <f t="shared" si="242"/>
        <v>0</v>
      </c>
      <c r="Y1245" s="29">
        <f t="shared" si="242"/>
        <v>0</v>
      </c>
      <c r="Z1245" s="29">
        <f t="shared" si="242"/>
        <v>0</v>
      </c>
      <c r="AA1245" s="29">
        <f t="shared" si="242"/>
        <v>0</v>
      </c>
      <c r="AB1245" s="29">
        <f t="shared" si="242"/>
        <v>0</v>
      </c>
      <c r="AC1245" s="29">
        <f t="shared" si="242"/>
        <v>27339.9</v>
      </c>
      <c r="AD1245" s="29">
        <f t="shared" si="242"/>
        <v>150000</v>
      </c>
      <c r="AE1245" s="29">
        <f t="shared" si="242"/>
        <v>0</v>
      </c>
      <c r="AF1245" s="62" t="s">
        <v>743</v>
      </c>
      <c r="AG1245" s="62" t="s">
        <v>743</v>
      </c>
      <c r="AH1245" s="77" t="s">
        <v>743</v>
      </c>
      <c r="AT1245" s="18" t="e">
        <f>VLOOKUP(C1245,AW:AX,2,FALSE)</f>
        <v>#N/A</v>
      </c>
      <c r="BZ1245" s="61">
        <v>2000000</v>
      </c>
    </row>
    <row r="1246" spans="1:78" ht="61.5" x14ac:dyDescent="0.85">
      <c r="A1246" s="18">
        <v>1</v>
      </c>
      <c r="B1246" s="57">
        <f>SUBTOTAL(103,$A$1093:A1246)</f>
        <v>141</v>
      </c>
      <c r="C1246" s="22" t="s">
        <v>679</v>
      </c>
      <c r="D1246" s="29">
        <f>E1246+F1246+G1246+H1246+I1246+J1246+L1246+N1246+P1246+R1246+T1246+U1246+V1246+W1246+X1246+Y1246+Z1246+AA1246+AB1246+AC1246+AD1246+AE1246</f>
        <v>2000000</v>
      </c>
      <c r="E1246" s="29">
        <v>0</v>
      </c>
      <c r="F1246" s="29">
        <v>0</v>
      </c>
      <c r="G1246" s="29">
        <v>0</v>
      </c>
      <c r="H1246" s="29">
        <v>0</v>
      </c>
      <c r="I1246" s="29">
        <v>0</v>
      </c>
      <c r="J1246" s="29">
        <v>0</v>
      </c>
      <c r="K1246" s="31">
        <v>0</v>
      </c>
      <c r="L1246" s="29">
        <v>0</v>
      </c>
      <c r="M1246" s="29">
        <v>838.5</v>
      </c>
      <c r="N1246" s="29">
        <v>1822660.1</v>
      </c>
      <c r="O1246" s="29">
        <v>0</v>
      </c>
      <c r="P1246" s="29">
        <v>0</v>
      </c>
      <c r="Q1246" s="29">
        <v>0</v>
      </c>
      <c r="R1246" s="29">
        <v>0</v>
      </c>
      <c r="S1246" s="29">
        <v>0</v>
      </c>
      <c r="T1246" s="29">
        <v>0</v>
      </c>
      <c r="U1246" s="29">
        <v>0</v>
      </c>
      <c r="V1246" s="29">
        <v>0</v>
      </c>
      <c r="W1246" s="29">
        <v>0</v>
      </c>
      <c r="X1246" s="29">
        <v>0</v>
      </c>
      <c r="Y1246" s="29">
        <v>0</v>
      </c>
      <c r="Z1246" s="29">
        <v>0</v>
      </c>
      <c r="AA1246" s="29">
        <v>0</v>
      </c>
      <c r="AB1246" s="29">
        <v>0</v>
      </c>
      <c r="AC1246" s="29">
        <f>ROUND(N1246*1.5%,2)</f>
        <v>27339.9</v>
      </c>
      <c r="AD1246" s="29">
        <v>150000</v>
      </c>
      <c r="AE1246" s="29">
        <v>0</v>
      </c>
      <c r="AF1246" s="32">
        <v>2022</v>
      </c>
      <c r="AG1246" s="32">
        <v>2022</v>
      </c>
      <c r="AH1246" s="33">
        <v>2022</v>
      </c>
      <c r="AT1246" s="18" t="e">
        <f>VLOOKUP(C1246,AW:AX,2,FALSE)</f>
        <v>#N/A</v>
      </c>
      <c r="BZ1246" s="61"/>
    </row>
    <row r="1247" spans="1:78" ht="61.5" x14ac:dyDescent="0.85">
      <c r="B1247" s="22" t="s">
        <v>815</v>
      </c>
      <c r="C1247" s="22"/>
      <c r="D1247" s="339">
        <f t="shared" ref="D1247:AE1247" si="243">SUM(D1248:D1253)</f>
        <v>19139362.629999999</v>
      </c>
      <c r="E1247" s="29">
        <f t="shared" si="243"/>
        <v>0</v>
      </c>
      <c r="F1247" s="29">
        <f t="shared" si="243"/>
        <v>0</v>
      </c>
      <c r="G1247" s="29">
        <f t="shared" si="243"/>
        <v>0</v>
      </c>
      <c r="H1247" s="29">
        <f t="shared" si="243"/>
        <v>0</v>
      </c>
      <c r="I1247" s="29">
        <f t="shared" si="243"/>
        <v>0</v>
      </c>
      <c r="J1247" s="29">
        <f t="shared" si="243"/>
        <v>0</v>
      </c>
      <c r="K1247" s="31">
        <f t="shared" si="243"/>
        <v>0</v>
      </c>
      <c r="L1247" s="29">
        <f t="shared" si="243"/>
        <v>0</v>
      </c>
      <c r="M1247" s="29">
        <f t="shared" si="243"/>
        <v>3805.9999999999995</v>
      </c>
      <c r="N1247" s="29">
        <f t="shared" si="243"/>
        <v>18036748.050000001</v>
      </c>
      <c r="O1247" s="29">
        <f t="shared" si="243"/>
        <v>0</v>
      </c>
      <c r="P1247" s="29">
        <f t="shared" si="243"/>
        <v>0</v>
      </c>
      <c r="Q1247" s="29">
        <f t="shared" si="243"/>
        <v>0</v>
      </c>
      <c r="R1247" s="29">
        <f t="shared" si="243"/>
        <v>0</v>
      </c>
      <c r="S1247" s="29">
        <f t="shared" si="243"/>
        <v>0</v>
      </c>
      <c r="T1247" s="29">
        <f t="shared" si="243"/>
        <v>0</v>
      </c>
      <c r="U1247" s="29">
        <f t="shared" si="243"/>
        <v>0</v>
      </c>
      <c r="V1247" s="29">
        <f t="shared" si="243"/>
        <v>0</v>
      </c>
      <c r="W1247" s="29">
        <f t="shared" si="243"/>
        <v>0</v>
      </c>
      <c r="X1247" s="29">
        <f t="shared" si="243"/>
        <v>0</v>
      </c>
      <c r="Y1247" s="29">
        <f t="shared" si="243"/>
        <v>0</v>
      </c>
      <c r="Z1247" s="29">
        <f t="shared" si="243"/>
        <v>0</v>
      </c>
      <c r="AA1247" s="29">
        <f t="shared" si="243"/>
        <v>0</v>
      </c>
      <c r="AB1247" s="29">
        <f t="shared" si="243"/>
        <v>0</v>
      </c>
      <c r="AC1247" s="29">
        <f t="shared" si="243"/>
        <v>270551.23</v>
      </c>
      <c r="AD1247" s="29">
        <f t="shared" si="243"/>
        <v>832063.35000000009</v>
      </c>
      <c r="AE1247" s="29">
        <f t="shared" si="243"/>
        <v>0</v>
      </c>
      <c r="AF1247" s="62" t="s">
        <v>743</v>
      </c>
      <c r="AG1247" s="62" t="s">
        <v>743</v>
      </c>
      <c r="AH1247" s="77" t="s">
        <v>743</v>
      </c>
      <c r="AT1247" s="18" t="e">
        <f>VLOOKUP(C1247,AW:AX,2,FALSE)</f>
        <v>#N/A</v>
      </c>
      <c r="BZ1247" s="61">
        <v>23342011.919999998</v>
      </c>
    </row>
    <row r="1248" spans="1:78" ht="61.5" x14ac:dyDescent="0.85">
      <c r="A1248" s="18">
        <v>1</v>
      </c>
      <c r="B1248" s="57">
        <f>SUBTOTAL(103,$A$1093:A1248)</f>
        <v>142</v>
      </c>
      <c r="C1248" s="91" t="s">
        <v>652</v>
      </c>
      <c r="D1248" s="29">
        <f t="shared" ref="D1248:D1253" si="244">E1248+F1248+G1248+H1248+I1248+J1248+L1248+N1248+P1248+R1248+T1248+U1248+V1248+W1248+X1248+Y1248+Z1248+AA1248+AB1248+AC1248+AD1248+AE1248</f>
        <v>1358190.18</v>
      </c>
      <c r="E1248" s="29">
        <v>0</v>
      </c>
      <c r="F1248" s="29">
        <v>0</v>
      </c>
      <c r="G1248" s="29">
        <v>0</v>
      </c>
      <c r="H1248" s="29">
        <v>0</v>
      </c>
      <c r="I1248" s="29">
        <v>0</v>
      </c>
      <c r="J1248" s="29">
        <v>0</v>
      </c>
      <c r="K1248" s="31">
        <v>0</v>
      </c>
      <c r="L1248" s="29">
        <v>0</v>
      </c>
      <c r="M1248" s="29">
        <v>260.10000000000002</v>
      </c>
      <c r="N1248" s="29">
        <v>1219891.8</v>
      </c>
      <c r="O1248" s="29">
        <v>0</v>
      </c>
      <c r="P1248" s="29">
        <v>0</v>
      </c>
      <c r="Q1248" s="29">
        <v>0</v>
      </c>
      <c r="R1248" s="29">
        <v>0</v>
      </c>
      <c r="S1248" s="29">
        <v>0</v>
      </c>
      <c r="T1248" s="29">
        <v>0</v>
      </c>
      <c r="U1248" s="29">
        <v>0</v>
      </c>
      <c r="V1248" s="29">
        <v>0</v>
      </c>
      <c r="W1248" s="29">
        <v>0</v>
      </c>
      <c r="X1248" s="29">
        <v>0</v>
      </c>
      <c r="Y1248" s="29">
        <v>0</v>
      </c>
      <c r="Z1248" s="29">
        <v>0</v>
      </c>
      <c r="AA1248" s="29">
        <v>0</v>
      </c>
      <c r="AB1248" s="29">
        <v>0</v>
      </c>
      <c r="AC1248" s="29">
        <f t="shared" ref="AC1248:AC1253" si="245">ROUND(N1248*1.5%,2)</f>
        <v>18298.38</v>
      </c>
      <c r="AD1248" s="29">
        <v>120000</v>
      </c>
      <c r="AE1248" s="29">
        <v>0</v>
      </c>
      <c r="AF1248" s="32">
        <v>2022</v>
      </c>
      <c r="AG1248" s="32">
        <v>2022</v>
      </c>
      <c r="AH1248" s="33">
        <v>2022</v>
      </c>
      <c r="AT1248" s="18" t="e">
        <f>VLOOKUP(C1248,AW:AX,2,FALSE)</f>
        <v>#N/A</v>
      </c>
      <c r="BZ1248" s="61"/>
    </row>
    <row r="1249" spans="1:82" ht="61.5" x14ac:dyDescent="0.85">
      <c r="A1249" s="18">
        <v>1</v>
      </c>
      <c r="B1249" s="57">
        <f>SUBTOTAL(103,$A$1093:A1249)</f>
        <v>143</v>
      </c>
      <c r="C1249" s="91" t="s">
        <v>653</v>
      </c>
      <c r="D1249" s="29">
        <f t="shared" si="244"/>
        <v>3967182.94</v>
      </c>
      <c r="E1249" s="29">
        <v>0</v>
      </c>
      <c r="F1249" s="29">
        <v>0</v>
      </c>
      <c r="G1249" s="29">
        <v>0</v>
      </c>
      <c r="H1249" s="29">
        <v>0</v>
      </c>
      <c r="I1249" s="29">
        <v>0</v>
      </c>
      <c r="J1249" s="29">
        <v>0</v>
      </c>
      <c r="K1249" s="31">
        <v>0</v>
      </c>
      <c r="L1249" s="29">
        <v>0</v>
      </c>
      <c r="M1249" s="29">
        <v>868</v>
      </c>
      <c r="N1249" s="29">
        <v>3766822.66</v>
      </c>
      <c r="O1249" s="29">
        <v>0</v>
      </c>
      <c r="P1249" s="29">
        <v>0</v>
      </c>
      <c r="Q1249" s="29">
        <v>0</v>
      </c>
      <c r="R1249" s="29">
        <v>0</v>
      </c>
      <c r="S1249" s="29">
        <v>0</v>
      </c>
      <c r="T1249" s="29">
        <v>0</v>
      </c>
      <c r="U1249" s="29">
        <v>0</v>
      </c>
      <c r="V1249" s="29">
        <v>0</v>
      </c>
      <c r="W1249" s="29">
        <v>0</v>
      </c>
      <c r="X1249" s="29">
        <v>0</v>
      </c>
      <c r="Y1249" s="29">
        <v>0</v>
      </c>
      <c r="Z1249" s="29">
        <v>0</v>
      </c>
      <c r="AA1249" s="29">
        <v>0</v>
      </c>
      <c r="AB1249" s="29">
        <v>0</v>
      </c>
      <c r="AC1249" s="29">
        <f t="shared" si="245"/>
        <v>56502.34</v>
      </c>
      <c r="AD1249" s="29">
        <v>143857.94</v>
      </c>
      <c r="AE1249" s="29">
        <v>0</v>
      </c>
      <c r="AF1249" s="32">
        <v>2022</v>
      </c>
      <c r="AG1249" s="32">
        <v>2022</v>
      </c>
      <c r="AH1249" s="33">
        <v>2022</v>
      </c>
      <c r="AT1249" s="18" t="e">
        <f>VLOOKUP(C1249,AW:AX,2,FALSE)</f>
        <v>#N/A</v>
      </c>
      <c r="BZ1249" s="61"/>
    </row>
    <row r="1250" spans="1:82" ht="61.5" x14ac:dyDescent="0.85">
      <c r="A1250" s="18">
        <v>1</v>
      </c>
      <c r="B1250" s="57">
        <f>SUBTOTAL(103,$A$1093:A1250)</f>
        <v>144</v>
      </c>
      <c r="C1250" s="91" t="s">
        <v>2259</v>
      </c>
      <c r="D1250" s="29">
        <f t="shared" si="244"/>
        <v>2687908</v>
      </c>
      <c r="E1250" s="29">
        <v>0</v>
      </c>
      <c r="F1250" s="29">
        <v>0</v>
      </c>
      <c r="G1250" s="29">
        <v>0</v>
      </c>
      <c r="H1250" s="29">
        <v>0</v>
      </c>
      <c r="I1250" s="29">
        <v>0</v>
      </c>
      <c r="J1250" s="29">
        <v>0</v>
      </c>
      <c r="K1250" s="31">
        <v>0</v>
      </c>
      <c r="L1250" s="29">
        <v>0</v>
      </c>
      <c r="M1250" s="29">
        <v>550.5</v>
      </c>
      <c r="N1250" s="29">
        <v>2500401.9700000002</v>
      </c>
      <c r="O1250" s="29">
        <v>0</v>
      </c>
      <c r="P1250" s="29">
        <v>0</v>
      </c>
      <c r="Q1250" s="29">
        <v>0</v>
      </c>
      <c r="R1250" s="29">
        <v>0</v>
      </c>
      <c r="S1250" s="29">
        <v>0</v>
      </c>
      <c r="T1250" s="29">
        <v>0</v>
      </c>
      <c r="U1250" s="29">
        <v>0</v>
      </c>
      <c r="V1250" s="29">
        <v>0</v>
      </c>
      <c r="W1250" s="29">
        <v>0</v>
      </c>
      <c r="X1250" s="29">
        <v>0</v>
      </c>
      <c r="Y1250" s="29">
        <v>0</v>
      </c>
      <c r="Z1250" s="29">
        <v>0</v>
      </c>
      <c r="AA1250" s="29">
        <v>0</v>
      </c>
      <c r="AB1250" s="29">
        <v>0</v>
      </c>
      <c r="AC1250" s="29">
        <f t="shared" si="245"/>
        <v>37506.03</v>
      </c>
      <c r="AD1250" s="29">
        <v>150000</v>
      </c>
      <c r="AE1250" s="29">
        <v>0</v>
      </c>
      <c r="AF1250" s="32">
        <v>2022</v>
      </c>
      <c r="AG1250" s="32">
        <v>2022</v>
      </c>
      <c r="AH1250" s="33">
        <v>2022</v>
      </c>
      <c r="AT1250" s="18" t="e">
        <f>VLOOKUP(C1250,AW:AX,2,FALSE)</f>
        <v>#N/A</v>
      </c>
      <c r="BZ1250" s="61"/>
    </row>
    <row r="1251" spans="1:82" ht="61.5" x14ac:dyDescent="0.85">
      <c r="A1251" s="18">
        <v>1</v>
      </c>
      <c r="B1251" s="57">
        <f>SUBTOTAL(103,$A$1093:A1251)</f>
        <v>145</v>
      </c>
      <c r="C1251" s="91" t="s">
        <v>661</v>
      </c>
      <c r="D1251" s="29">
        <f t="shared" si="244"/>
        <v>5240859.63</v>
      </c>
      <c r="E1251" s="29">
        <v>0</v>
      </c>
      <c r="F1251" s="29">
        <v>0</v>
      </c>
      <c r="G1251" s="29">
        <v>0</v>
      </c>
      <c r="H1251" s="29">
        <v>0</v>
      </c>
      <c r="I1251" s="29">
        <v>0</v>
      </c>
      <c r="J1251" s="29">
        <v>0</v>
      </c>
      <c r="K1251" s="31">
        <v>0</v>
      </c>
      <c r="L1251" s="29">
        <v>0</v>
      </c>
      <c r="M1251" s="29">
        <v>908.3</v>
      </c>
      <c r="N1251" s="29">
        <v>5015633.8899999997</v>
      </c>
      <c r="O1251" s="29">
        <v>0</v>
      </c>
      <c r="P1251" s="29">
        <v>0</v>
      </c>
      <c r="Q1251" s="29">
        <v>0</v>
      </c>
      <c r="R1251" s="29">
        <v>0</v>
      </c>
      <c r="S1251" s="29">
        <v>0</v>
      </c>
      <c r="T1251" s="29">
        <v>0</v>
      </c>
      <c r="U1251" s="29">
        <v>0</v>
      </c>
      <c r="V1251" s="29">
        <v>0</v>
      </c>
      <c r="W1251" s="29">
        <v>0</v>
      </c>
      <c r="X1251" s="29">
        <v>0</v>
      </c>
      <c r="Y1251" s="29">
        <v>0</v>
      </c>
      <c r="Z1251" s="29">
        <v>0</v>
      </c>
      <c r="AA1251" s="29">
        <v>0</v>
      </c>
      <c r="AB1251" s="29">
        <v>0</v>
      </c>
      <c r="AC1251" s="29">
        <f t="shared" si="245"/>
        <v>75234.509999999995</v>
      </c>
      <c r="AD1251" s="29">
        <v>149991.23000000001</v>
      </c>
      <c r="AE1251" s="29">
        <v>0</v>
      </c>
      <c r="AF1251" s="32">
        <v>2022</v>
      </c>
      <c r="AG1251" s="32">
        <v>2022</v>
      </c>
      <c r="AH1251" s="33">
        <v>2022</v>
      </c>
      <c r="AT1251" s="18">
        <f>VLOOKUP(C1251,AW:AX,2,FALSE)</f>
        <v>1</v>
      </c>
      <c r="BZ1251" s="61"/>
    </row>
    <row r="1252" spans="1:82" ht="61.5" x14ac:dyDescent="0.85">
      <c r="A1252" s="18">
        <v>1</v>
      </c>
      <c r="B1252" s="57">
        <f>SUBTOTAL(103,$A$1093:A1252)</f>
        <v>146</v>
      </c>
      <c r="C1252" s="91" t="s">
        <v>1934</v>
      </c>
      <c r="D1252" s="29">
        <f>E1252+F1252+G1252+H1252+I1252+J1252+L1252+N1252+P1252+R1252+T1252+U1252+V1252+W1252+X1252+Y1252+Z1252+AA1252+AB1252+AC1252+AD1252+AE1252</f>
        <v>1382465.05</v>
      </c>
      <c r="E1252" s="29">
        <v>0</v>
      </c>
      <c r="F1252" s="29">
        <v>0</v>
      </c>
      <c r="G1252" s="29">
        <v>0</v>
      </c>
      <c r="H1252" s="29">
        <v>0</v>
      </c>
      <c r="I1252" s="29">
        <v>0</v>
      </c>
      <c r="J1252" s="29">
        <v>0</v>
      </c>
      <c r="K1252" s="31">
        <v>0</v>
      </c>
      <c r="L1252" s="29">
        <v>0</v>
      </c>
      <c r="M1252" s="29">
        <v>296</v>
      </c>
      <c r="N1252" s="29">
        <v>1243807.93</v>
      </c>
      <c r="O1252" s="29">
        <v>0</v>
      </c>
      <c r="P1252" s="29">
        <v>0</v>
      </c>
      <c r="Q1252" s="29">
        <v>0</v>
      </c>
      <c r="R1252" s="29">
        <v>0</v>
      </c>
      <c r="S1252" s="29">
        <v>0</v>
      </c>
      <c r="T1252" s="29">
        <v>0</v>
      </c>
      <c r="U1252" s="29">
        <v>0</v>
      </c>
      <c r="V1252" s="29">
        <v>0</v>
      </c>
      <c r="W1252" s="29">
        <v>0</v>
      </c>
      <c r="X1252" s="29">
        <v>0</v>
      </c>
      <c r="Y1252" s="29">
        <v>0</v>
      </c>
      <c r="Z1252" s="29">
        <v>0</v>
      </c>
      <c r="AA1252" s="29">
        <v>0</v>
      </c>
      <c r="AB1252" s="29">
        <v>0</v>
      </c>
      <c r="AC1252" s="29">
        <f t="shared" si="245"/>
        <v>18657.12</v>
      </c>
      <c r="AD1252" s="29">
        <v>120000</v>
      </c>
      <c r="AE1252" s="29">
        <v>0</v>
      </c>
      <c r="AF1252" s="32">
        <v>2022</v>
      </c>
      <c r="AG1252" s="32">
        <v>2022</v>
      </c>
      <c r="AH1252" s="33">
        <v>2022</v>
      </c>
      <c r="AT1252" s="18" t="e">
        <f>VLOOKUP(C1252,AW:AX,2,FALSE)</f>
        <v>#N/A</v>
      </c>
      <c r="BZ1252" s="61"/>
      <c r="CD1252" s="18" t="e">
        <f>VLOOKUP(C1252,CE:CF,2,FALSE)</f>
        <v>#N/A</v>
      </c>
    </row>
    <row r="1253" spans="1:82" ht="61.5" x14ac:dyDescent="0.85">
      <c r="A1253" s="18">
        <v>1</v>
      </c>
      <c r="B1253" s="57">
        <f>SUBTOTAL(103,$A$1093:A1253)</f>
        <v>147</v>
      </c>
      <c r="C1253" s="22" t="s">
        <v>2424</v>
      </c>
      <c r="D1253" s="29">
        <f t="shared" si="244"/>
        <v>4502756.8299999991</v>
      </c>
      <c r="E1253" s="34">
        <v>0</v>
      </c>
      <c r="F1253" s="34">
        <v>0</v>
      </c>
      <c r="G1253" s="34">
        <v>0</v>
      </c>
      <c r="H1253" s="34">
        <v>0</v>
      </c>
      <c r="I1253" s="34">
        <v>0</v>
      </c>
      <c r="J1253" s="34">
        <v>0</v>
      </c>
      <c r="K1253" s="31">
        <v>0</v>
      </c>
      <c r="L1253" s="29">
        <v>0</v>
      </c>
      <c r="M1253" s="29">
        <v>923.1</v>
      </c>
      <c r="N1253" s="29">
        <f>4311927.09-21737.29</f>
        <v>4290189.8</v>
      </c>
      <c r="O1253" s="29">
        <v>0</v>
      </c>
      <c r="P1253" s="29">
        <v>0</v>
      </c>
      <c r="Q1253" s="29">
        <v>0</v>
      </c>
      <c r="R1253" s="29">
        <v>0</v>
      </c>
      <c r="S1253" s="29">
        <v>0</v>
      </c>
      <c r="T1253" s="29">
        <v>0</v>
      </c>
      <c r="U1253" s="29">
        <v>0</v>
      </c>
      <c r="V1253" s="29">
        <v>0</v>
      </c>
      <c r="W1253" s="29">
        <v>0</v>
      </c>
      <c r="X1253" s="29">
        <v>0</v>
      </c>
      <c r="Y1253" s="29">
        <v>0</v>
      </c>
      <c r="Z1253" s="29">
        <v>0</v>
      </c>
      <c r="AA1253" s="29">
        <v>0</v>
      </c>
      <c r="AB1253" s="29">
        <v>0</v>
      </c>
      <c r="AC1253" s="29">
        <f t="shared" si="245"/>
        <v>64352.85</v>
      </c>
      <c r="AD1253" s="29">
        <v>148214.18</v>
      </c>
      <c r="AE1253" s="29">
        <v>0</v>
      </c>
      <c r="AF1253" s="32">
        <v>2022</v>
      </c>
      <c r="AG1253" s="32">
        <v>2022</v>
      </c>
      <c r="AH1253" s="33">
        <v>2022</v>
      </c>
      <c r="AT1253" s="18" t="e">
        <f>VLOOKUP(C1253,AW:AX,2,FALSE)</f>
        <v>#N/A</v>
      </c>
      <c r="BZ1253" s="61"/>
      <c r="CD1253" s="18" t="e">
        <f>VLOOKUP(C1253,CE:CF,2,FALSE)</f>
        <v>#N/A</v>
      </c>
    </row>
    <row r="1254" spans="1:82" ht="61.5" x14ac:dyDescent="0.85">
      <c r="B1254" s="22" t="s">
        <v>816</v>
      </c>
      <c r="C1254" s="338"/>
      <c r="D1254" s="339">
        <f>SUM(D1255:D1257)</f>
        <v>13813074.67</v>
      </c>
      <c r="E1254" s="29">
        <f t="shared" ref="E1254:AE1254" si="246">SUM(E1255:E1257)</f>
        <v>0</v>
      </c>
      <c r="F1254" s="29">
        <f t="shared" si="246"/>
        <v>0</v>
      </c>
      <c r="G1254" s="29">
        <f t="shared" si="246"/>
        <v>0</v>
      </c>
      <c r="H1254" s="29">
        <f t="shared" si="246"/>
        <v>0</v>
      </c>
      <c r="I1254" s="29">
        <f t="shared" si="246"/>
        <v>0</v>
      </c>
      <c r="J1254" s="29">
        <f t="shared" si="246"/>
        <v>0</v>
      </c>
      <c r="K1254" s="31">
        <f t="shared" si="246"/>
        <v>0</v>
      </c>
      <c r="L1254" s="29">
        <f t="shared" si="246"/>
        <v>0</v>
      </c>
      <c r="M1254" s="29">
        <f t="shared" si="246"/>
        <v>2469</v>
      </c>
      <c r="N1254" s="29">
        <f t="shared" si="246"/>
        <v>12080689.66</v>
      </c>
      <c r="O1254" s="29">
        <f t="shared" si="246"/>
        <v>0</v>
      </c>
      <c r="P1254" s="29">
        <f t="shared" si="246"/>
        <v>0</v>
      </c>
      <c r="Q1254" s="29">
        <f t="shared" si="246"/>
        <v>0</v>
      </c>
      <c r="R1254" s="29">
        <f t="shared" si="246"/>
        <v>0</v>
      </c>
      <c r="S1254" s="29">
        <f t="shared" si="246"/>
        <v>114</v>
      </c>
      <c r="T1254" s="29">
        <f t="shared" si="246"/>
        <v>966674.55</v>
      </c>
      <c r="U1254" s="29">
        <f t="shared" si="246"/>
        <v>0</v>
      </c>
      <c r="V1254" s="29">
        <f t="shared" si="246"/>
        <v>0</v>
      </c>
      <c r="W1254" s="29">
        <f t="shared" si="246"/>
        <v>0</v>
      </c>
      <c r="X1254" s="29">
        <f t="shared" si="246"/>
        <v>0</v>
      </c>
      <c r="Y1254" s="29">
        <f t="shared" si="246"/>
        <v>0</v>
      </c>
      <c r="Z1254" s="29">
        <f t="shared" si="246"/>
        <v>0</v>
      </c>
      <c r="AA1254" s="29">
        <f t="shared" si="246"/>
        <v>0</v>
      </c>
      <c r="AB1254" s="29">
        <f t="shared" si="246"/>
        <v>0</v>
      </c>
      <c r="AC1254" s="29">
        <f t="shared" si="246"/>
        <v>195710.46</v>
      </c>
      <c r="AD1254" s="29">
        <f t="shared" si="246"/>
        <v>450000</v>
      </c>
      <c r="AE1254" s="29">
        <f t="shared" si="246"/>
        <v>120000</v>
      </c>
      <c r="AF1254" s="62" t="s">
        <v>743</v>
      </c>
      <c r="AG1254" s="62" t="s">
        <v>743</v>
      </c>
      <c r="AH1254" s="77" t="s">
        <v>743</v>
      </c>
      <c r="AT1254" s="18" t="e">
        <f>VLOOKUP(C1254,AW:AX,2,FALSE)</f>
        <v>#N/A</v>
      </c>
      <c r="BZ1254" s="61">
        <v>12591900</v>
      </c>
    </row>
    <row r="1255" spans="1:82" ht="61.5" x14ac:dyDescent="0.85">
      <c r="A1255" s="18">
        <v>1</v>
      </c>
      <c r="B1255" s="57">
        <f>SUBTOTAL(103,$A$1093:A1255)</f>
        <v>148</v>
      </c>
      <c r="C1255" s="91" t="s">
        <v>234</v>
      </c>
      <c r="D1255" s="29">
        <f>E1255+F1255+G1255+H1255+I1255+J1255+L1255+N1255+P1255+R1255+T1255+U1255+V1255+W1255+X1255+Y1255+Z1255+AA1255+AB1255+AC1255+AD1255+AE1255</f>
        <v>4620600</v>
      </c>
      <c r="E1255" s="29">
        <v>0</v>
      </c>
      <c r="F1255" s="29">
        <v>0</v>
      </c>
      <c r="G1255" s="29">
        <v>0</v>
      </c>
      <c r="H1255" s="29">
        <v>0</v>
      </c>
      <c r="I1255" s="29">
        <v>0</v>
      </c>
      <c r="J1255" s="29">
        <v>0</v>
      </c>
      <c r="K1255" s="31">
        <v>0</v>
      </c>
      <c r="L1255" s="29">
        <v>0</v>
      </c>
      <c r="M1255" s="29">
        <v>906</v>
      </c>
      <c r="N1255" s="29">
        <v>4404532.0199999996</v>
      </c>
      <c r="O1255" s="29">
        <v>0</v>
      </c>
      <c r="P1255" s="29">
        <v>0</v>
      </c>
      <c r="Q1255" s="29">
        <v>0</v>
      </c>
      <c r="R1255" s="29">
        <v>0</v>
      </c>
      <c r="S1255" s="29">
        <v>0</v>
      </c>
      <c r="T1255" s="29">
        <v>0</v>
      </c>
      <c r="U1255" s="29">
        <v>0</v>
      </c>
      <c r="V1255" s="29">
        <v>0</v>
      </c>
      <c r="W1255" s="29">
        <v>0</v>
      </c>
      <c r="X1255" s="29">
        <v>0</v>
      </c>
      <c r="Y1255" s="29">
        <v>0</v>
      </c>
      <c r="Z1255" s="29">
        <v>0</v>
      </c>
      <c r="AA1255" s="29">
        <v>0</v>
      </c>
      <c r="AB1255" s="29">
        <v>0</v>
      </c>
      <c r="AC1255" s="29">
        <f>ROUND(N1255*1.5%,2)</f>
        <v>66067.98</v>
      </c>
      <c r="AD1255" s="29">
        <v>150000</v>
      </c>
      <c r="AE1255" s="29">
        <v>0</v>
      </c>
      <c r="AF1255" s="32">
        <v>2022</v>
      </c>
      <c r="AG1255" s="32">
        <v>2022</v>
      </c>
      <c r="AH1255" s="33">
        <v>2022</v>
      </c>
      <c r="AT1255" s="18" t="e">
        <f>VLOOKUP(C1255,AW:AX,2,FALSE)</f>
        <v>#N/A</v>
      </c>
      <c r="BZ1255" s="61"/>
    </row>
    <row r="1256" spans="1:82" ht="61.5" x14ac:dyDescent="0.85">
      <c r="A1256" s="18">
        <v>1</v>
      </c>
      <c r="B1256" s="57">
        <f>SUBTOTAL(103,$A$1093:A1256)</f>
        <v>149</v>
      </c>
      <c r="C1256" s="22" t="s">
        <v>1596</v>
      </c>
      <c r="D1256" s="29">
        <f>E1256+F1256+G1256+H1256+I1256+J1256+L1256+N1256+P1256+R1256+T1256+U1256+V1256+W1256+X1256+Y1256+Z1256+AA1256+AB1256+AC1256+AD1256+AE1256</f>
        <v>1221174.67</v>
      </c>
      <c r="E1256" s="29">
        <v>0</v>
      </c>
      <c r="F1256" s="29">
        <v>0</v>
      </c>
      <c r="G1256" s="29">
        <v>0</v>
      </c>
      <c r="H1256" s="29">
        <v>0</v>
      </c>
      <c r="I1256" s="29">
        <v>0</v>
      </c>
      <c r="J1256" s="29">
        <v>0</v>
      </c>
      <c r="K1256" s="64">
        <v>0</v>
      </c>
      <c r="L1256" s="29">
        <v>0</v>
      </c>
      <c r="M1256" s="29">
        <v>0</v>
      </c>
      <c r="N1256" s="29">
        <v>0</v>
      </c>
      <c r="O1256" s="29">
        <v>0</v>
      </c>
      <c r="P1256" s="29">
        <v>0</v>
      </c>
      <c r="Q1256" s="29">
        <v>0</v>
      </c>
      <c r="R1256" s="29">
        <v>0</v>
      </c>
      <c r="S1256" s="29">
        <v>114</v>
      </c>
      <c r="T1256" s="29">
        <v>966674.55</v>
      </c>
      <c r="U1256" s="29">
        <v>0</v>
      </c>
      <c r="V1256" s="29">
        <v>0</v>
      </c>
      <c r="W1256" s="29">
        <v>0</v>
      </c>
      <c r="X1256" s="29">
        <v>0</v>
      </c>
      <c r="Y1256" s="29">
        <v>0</v>
      </c>
      <c r="Z1256" s="29">
        <v>0</v>
      </c>
      <c r="AA1256" s="29">
        <v>0</v>
      </c>
      <c r="AB1256" s="29">
        <v>0</v>
      </c>
      <c r="AC1256" s="29">
        <f>ROUND(T1256*1.5%,2)</f>
        <v>14500.12</v>
      </c>
      <c r="AD1256" s="29">
        <v>120000</v>
      </c>
      <c r="AE1256" s="29">
        <v>120000</v>
      </c>
      <c r="AF1256" s="32">
        <v>2022</v>
      </c>
      <c r="AG1256" s="32">
        <v>2022</v>
      </c>
      <c r="AH1256" s="33">
        <v>2022</v>
      </c>
      <c r="BZ1256" s="61"/>
      <c r="CD1256" s="18" t="e">
        <f>VLOOKUP(C1256,CE:CF,2,FALSE)</f>
        <v>#N/A</v>
      </c>
    </row>
    <row r="1257" spans="1:82" ht="61.5" x14ac:dyDescent="0.85">
      <c r="A1257" s="18">
        <v>1</v>
      </c>
      <c r="B1257" s="57">
        <f>SUBTOTAL(103,$A$1093:A1257)</f>
        <v>150</v>
      </c>
      <c r="C1257" s="91" t="s">
        <v>238</v>
      </c>
      <c r="D1257" s="29">
        <f>E1257+F1257+G1257+H1257+I1257+J1257+L1257+N1257+P1257+R1257+T1257+U1257+V1257+W1257+X1257+Y1257+Z1257+AA1257+AB1257+AC1257+AD1257+AE1257</f>
        <v>7971300</v>
      </c>
      <c r="E1257" s="29">
        <v>0</v>
      </c>
      <c r="F1257" s="29">
        <v>0</v>
      </c>
      <c r="G1257" s="29">
        <v>0</v>
      </c>
      <c r="H1257" s="29">
        <v>0</v>
      </c>
      <c r="I1257" s="29">
        <v>0</v>
      </c>
      <c r="J1257" s="29">
        <v>0</v>
      </c>
      <c r="K1257" s="31">
        <v>0</v>
      </c>
      <c r="L1257" s="29">
        <v>0</v>
      </c>
      <c r="M1257" s="29">
        <v>1563</v>
      </c>
      <c r="N1257" s="29">
        <v>7676157.6399999997</v>
      </c>
      <c r="O1257" s="29">
        <v>0</v>
      </c>
      <c r="P1257" s="29">
        <v>0</v>
      </c>
      <c r="Q1257" s="29">
        <v>0</v>
      </c>
      <c r="R1257" s="29">
        <v>0</v>
      </c>
      <c r="S1257" s="29">
        <v>0</v>
      </c>
      <c r="T1257" s="29">
        <v>0</v>
      </c>
      <c r="U1257" s="29">
        <v>0</v>
      </c>
      <c r="V1257" s="29">
        <v>0</v>
      </c>
      <c r="W1257" s="29">
        <v>0</v>
      </c>
      <c r="X1257" s="29">
        <v>0</v>
      </c>
      <c r="Y1257" s="29">
        <v>0</v>
      </c>
      <c r="Z1257" s="29">
        <v>0</v>
      </c>
      <c r="AA1257" s="29">
        <v>0</v>
      </c>
      <c r="AB1257" s="29">
        <v>0</v>
      </c>
      <c r="AC1257" s="29">
        <f>ROUND(N1257*1.5%,2)</f>
        <v>115142.36</v>
      </c>
      <c r="AD1257" s="29">
        <v>180000</v>
      </c>
      <c r="AE1257" s="29">
        <v>0</v>
      </c>
      <c r="AF1257" s="32">
        <v>2022</v>
      </c>
      <c r="AG1257" s="32">
        <v>2022</v>
      </c>
      <c r="AH1257" s="33">
        <v>2022</v>
      </c>
      <c r="AT1257" s="18" t="e">
        <f>VLOOKUP(C1257,AW:AX,2,FALSE)</f>
        <v>#N/A</v>
      </c>
      <c r="BZ1257" s="61"/>
    </row>
    <row r="1258" spans="1:82" ht="61.5" x14ac:dyDescent="0.85">
      <c r="B1258" s="22" t="s">
        <v>817</v>
      </c>
      <c r="C1258" s="22"/>
      <c r="D1258" s="339">
        <f>D1259</f>
        <v>1724820</v>
      </c>
      <c r="E1258" s="29">
        <f t="shared" ref="E1258:AE1258" si="247">E1259</f>
        <v>0</v>
      </c>
      <c r="F1258" s="29">
        <f t="shared" si="247"/>
        <v>0</v>
      </c>
      <c r="G1258" s="29">
        <f t="shared" si="247"/>
        <v>0</v>
      </c>
      <c r="H1258" s="29">
        <f t="shared" si="247"/>
        <v>0</v>
      </c>
      <c r="I1258" s="29">
        <f t="shared" si="247"/>
        <v>0</v>
      </c>
      <c r="J1258" s="29">
        <f t="shared" si="247"/>
        <v>0</v>
      </c>
      <c r="K1258" s="31">
        <f t="shared" si="247"/>
        <v>0</v>
      </c>
      <c r="L1258" s="29">
        <f t="shared" si="247"/>
        <v>0</v>
      </c>
      <c r="M1258" s="29">
        <f t="shared" si="247"/>
        <v>338.2</v>
      </c>
      <c r="N1258" s="29">
        <f t="shared" si="247"/>
        <v>1581103.45</v>
      </c>
      <c r="O1258" s="29">
        <f t="shared" si="247"/>
        <v>0</v>
      </c>
      <c r="P1258" s="29">
        <f t="shared" si="247"/>
        <v>0</v>
      </c>
      <c r="Q1258" s="29">
        <f t="shared" si="247"/>
        <v>0</v>
      </c>
      <c r="R1258" s="29">
        <f t="shared" si="247"/>
        <v>0</v>
      </c>
      <c r="S1258" s="29">
        <f t="shared" si="247"/>
        <v>0</v>
      </c>
      <c r="T1258" s="29">
        <f t="shared" si="247"/>
        <v>0</v>
      </c>
      <c r="U1258" s="29">
        <f t="shared" si="247"/>
        <v>0</v>
      </c>
      <c r="V1258" s="29">
        <f t="shared" si="247"/>
        <v>0</v>
      </c>
      <c r="W1258" s="29">
        <f t="shared" si="247"/>
        <v>0</v>
      </c>
      <c r="X1258" s="29">
        <f t="shared" si="247"/>
        <v>0</v>
      </c>
      <c r="Y1258" s="29">
        <f t="shared" si="247"/>
        <v>0</v>
      </c>
      <c r="Z1258" s="29">
        <f t="shared" si="247"/>
        <v>0</v>
      </c>
      <c r="AA1258" s="29">
        <f t="shared" si="247"/>
        <v>0</v>
      </c>
      <c r="AB1258" s="29">
        <f t="shared" si="247"/>
        <v>0</v>
      </c>
      <c r="AC1258" s="29">
        <f t="shared" si="247"/>
        <v>23716.55</v>
      </c>
      <c r="AD1258" s="29">
        <f t="shared" si="247"/>
        <v>120000</v>
      </c>
      <c r="AE1258" s="29">
        <f t="shared" si="247"/>
        <v>0</v>
      </c>
      <c r="AF1258" s="62" t="s">
        <v>743</v>
      </c>
      <c r="AG1258" s="62" t="s">
        <v>743</v>
      </c>
      <c r="AH1258" s="77" t="s">
        <v>743</v>
      </c>
      <c r="AT1258" s="18" t="e">
        <f>VLOOKUP(C1258,AW:AX,2,FALSE)</f>
        <v>#N/A</v>
      </c>
      <c r="BZ1258" s="61">
        <v>1724820</v>
      </c>
    </row>
    <row r="1259" spans="1:82" ht="61.5" x14ac:dyDescent="0.85">
      <c r="A1259" s="18">
        <v>1</v>
      </c>
      <c r="B1259" s="57">
        <f>SUBTOTAL(103,$A$1093:A1259)</f>
        <v>151</v>
      </c>
      <c r="C1259" s="91" t="s">
        <v>243</v>
      </c>
      <c r="D1259" s="29">
        <f>E1259+F1259+G1259+H1259+I1259+J1259+L1259+N1259+P1259+R1259+T1259+U1259+V1259+W1259+X1259+Y1259+Z1259+AA1259+AB1259+AC1259+AD1259+AE1259</f>
        <v>1724820</v>
      </c>
      <c r="E1259" s="29">
        <v>0</v>
      </c>
      <c r="F1259" s="29">
        <v>0</v>
      </c>
      <c r="G1259" s="29">
        <v>0</v>
      </c>
      <c r="H1259" s="29">
        <v>0</v>
      </c>
      <c r="I1259" s="29">
        <v>0</v>
      </c>
      <c r="J1259" s="29">
        <v>0</v>
      </c>
      <c r="K1259" s="31">
        <v>0</v>
      </c>
      <c r="L1259" s="29">
        <v>0</v>
      </c>
      <c r="M1259" s="29">
        <v>338.2</v>
      </c>
      <c r="N1259" s="29">
        <v>1581103.45</v>
      </c>
      <c r="O1259" s="29">
        <v>0</v>
      </c>
      <c r="P1259" s="29">
        <v>0</v>
      </c>
      <c r="Q1259" s="29">
        <v>0</v>
      </c>
      <c r="R1259" s="29">
        <v>0</v>
      </c>
      <c r="S1259" s="29">
        <v>0</v>
      </c>
      <c r="T1259" s="29">
        <v>0</v>
      </c>
      <c r="U1259" s="29">
        <v>0</v>
      </c>
      <c r="V1259" s="29">
        <v>0</v>
      </c>
      <c r="W1259" s="29">
        <v>0</v>
      </c>
      <c r="X1259" s="29">
        <v>0</v>
      </c>
      <c r="Y1259" s="29">
        <v>0</v>
      </c>
      <c r="Z1259" s="29">
        <v>0</v>
      </c>
      <c r="AA1259" s="29">
        <v>0</v>
      </c>
      <c r="AB1259" s="29">
        <v>0</v>
      </c>
      <c r="AC1259" s="29">
        <f>ROUND(N1259*1.5%,2)</f>
        <v>23716.55</v>
      </c>
      <c r="AD1259" s="29">
        <v>120000</v>
      </c>
      <c r="AE1259" s="29">
        <v>0</v>
      </c>
      <c r="AF1259" s="32">
        <v>2022</v>
      </c>
      <c r="AG1259" s="32">
        <v>2022</v>
      </c>
      <c r="AH1259" s="33">
        <v>2022</v>
      </c>
      <c r="AT1259" s="18" t="e">
        <f>VLOOKUP(C1259,AW:AX,2,FALSE)</f>
        <v>#N/A</v>
      </c>
      <c r="BZ1259" s="61"/>
    </row>
    <row r="1260" spans="1:82" ht="61.5" x14ac:dyDescent="0.85">
      <c r="B1260" s="22" t="s">
        <v>818</v>
      </c>
      <c r="C1260" s="22"/>
      <c r="D1260" s="339">
        <f>D1261</f>
        <v>1739107.3499999999</v>
      </c>
      <c r="E1260" s="29">
        <f t="shared" ref="E1260:AE1260" si="248">E1261</f>
        <v>0</v>
      </c>
      <c r="F1260" s="29">
        <f t="shared" si="248"/>
        <v>0</v>
      </c>
      <c r="G1260" s="29">
        <f t="shared" si="248"/>
        <v>0</v>
      </c>
      <c r="H1260" s="29">
        <f t="shared" si="248"/>
        <v>0</v>
      </c>
      <c r="I1260" s="29">
        <f t="shared" si="248"/>
        <v>0</v>
      </c>
      <c r="J1260" s="29">
        <f t="shared" si="248"/>
        <v>0</v>
      </c>
      <c r="K1260" s="31">
        <f t="shared" si="248"/>
        <v>0</v>
      </c>
      <c r="L1260" s="29">
        <f t="shared" si="248"/>
        <v>0</v>
      </c>
      <c r="M1260" s="29">
        <f t="shared" si="248"/>
        <v>0</v>
      </c>
      <c r="N1260" s="29">
        <f t="shared" si="248"/>
        <v>0</v>
      </c>
      <c r="O1260" s="29">
        <f t="shared" si="248"/>
        <v>0</v>
      </c>
      <c r="P1260" s="29">
        <f t="shared" si="248"/>
        <v>0</v>
      </c>
      <c r="Q1260" s="29">
        <f t="shared" si="248"/>
        <v>568.70000000000005</v>
      </c>
      <c r="R1260" s="29">
        <f t="shared" si="248"/>
        <v>1585327.44</v>
      </c>
      <c r="S1260" s="29">
        <f t="shared" si="248"/>
        <v>0</v>
      </c>
      <c r="T1260" s="29">
        <f t="shared" si="248"/>
        <v>0</v>
      </c>
      <c r="U1260" s="29">
        <f t="shared" si="248"/>
        <v>0</v>
      </c>
      <c r="V1260" s="29">
        <f t="shared" si="248"/>
        <v>0</v>
      </c>
      <c r="W1260" s="29">
        <f t="shared" si="248"/>
        <v>0</v>
      </c>
      <c r="X1260" s="29">
        <f t="shared" si="248"/>
        <v>0</v>
      </c>
      <c r="Y1260" s="29">
        <f t="shared" si="248"/>
        <v>0</v>
      </c>
      <c r="Z1260" s="29">
        <f t="shared" si="248"/>
        <v>0</v>
      </c>
      <c r="AA1260" s="29">
        <f t="shared" si="248"/>
        <v>0</v>
      </c>
      <c r="AB1260" s="29">
        <f t="shared" si="248"/>
        <v>0</v>
      </c>
      <c r="AC1260" s="29">
        <f t="shared" si="248"/>
        <v>23779.91</v>
      </c>
      <c r="AD1260" s="29">
        <f t="shared" si="248"/>
        <v>130000</v>
      </c>
      <c r="AE1260" s="29">
        <f t="shared" si="248"/>
        <v>0</v>
      </c>
      <c r="AF1260" s="62" t="s">
        <v>743</v>
      </c>
      <c r="AG1260" s="62" t="s">
        <v>743</v>
      </c>
      <c r="AH1260" s="77" t="s">
        <v>743</v>
      </c>
      <c r="AT1260" s="18" t="e">
        <f>VLOOKUP(C1260,AW:AX,2,FALSE)</f>
        <v>#N/A</v>
      </c>
      <c r="BZ1260" s="61">
        <v>1739107.3499999999</v>
      </c>
    </row>
    <row r="1261" spans="1:82" ht="61.5" x14ac:dyDescent="0.85">
      <c r="A1261" s="18">
        <v>1</v>
      </c>
      <c r="B1261" s="57">
        <f>SUBTOTAL(103,$A$1093:A1261)</f>
        <v>152</v>
      </c>
      <c r="C1261" s="91" t="s">
        <v>245</v>
      </c>
      <c r="D1261" s="29">
        <f>E1261+F1261+G1261+H1261+I1261+J1261+L1261+N1261+P1261+R1261+T1261+U1261+V1261+W1261+X1261+Y1261+Z1261+AA1261+AB1261+AC1261+AD1261+AE1261</f>
        <v>1739107.3499999999</v>
      </c>
      <c r="E1261" s="29">
        <v>0</v>
      </c>
      <c r="F1261" s="29">
        <v>0</v>
      </c>
      <c r="G1261" s="29">
        <v>0</v>
      </c>
      <c r="H1261" s="29">
        <v>0</v>
      </c>
      <c r="I1261" s="29">
        <v>0</v>
      </c>
      <c r="J1261" s="29">
        <v>0</v>
      </c>
      <c r="K1261" s="31">
        <v>0</v>
      </c>
      <c r="L1261" s="29">
        <v>0</v>
      </c>
      <c r="M1261" s="29">
        <v>0</v>
      </c>
      <c r="N1261" s="29">
        <v>0</v>
      </c>
      <c r="O1261" s="29">
        <v>0</v>
      </c>
      <c r="P1261" s="29">
        <v>0</v>
      </c>
      <c r="Q1261" s="29">
        <v>568.70000000000005</v>
      </c>
      <c r="R1261" s="29">
        <v>1585327.44</v>
      </c>
      <c r="S1261" s="29">
        <v>0</v>
      </c>
      <c r="T1261" s="29">
        <v>0</v>
      </c>
      <c r="U1261" s="29">
        <v>0</v>
      </c>
      <c r="V1261" s="29">
        <v>0</v>
      </c>
      <c r="W1261" s="29">
        <v>0</v>
      </c>
      <c r="X1261" s="29">
        <v>0</v>
      </c>
      <c r="Y1261" s="29">
        <v>0</v>
      </c>
      <c r="Z1261" s="29">
        <v>0</v>
      </c>
      <c r="AA1261" s="29">
        <v>0</v>
      </c>
      <c r="AB1261" s="29">
        <v>0</v>
      </c>
      <c r="AC1261" s="29">
        <f>ROUND(R1261*1.5%,2)</f>
        <v>23779.91</v>
      </c>
      <c r="AD1261" s="29">
        <v>130000</v>
      </c>
      <c r="AE1261" s="29">
        <v>0</v>
      </c>
      <c r="AF1261" s="32">
        <v>2022</v>
      </c>
      <c r="AG1261" s="32">
        <v>2022</v>
      </c>
      <c r="AH1261" s="33">
        <v>2022</v>
      </c>
      <c r="AT1261" s="18" t="e">
        <f>VLOOKUP(C1261,AW:AX,2,FALSE)</f>
        <v>#N/A</v>
      </c>
      <c r="BZ1261" s="61"/>
    </row>
    <row r="1262" spans="1:82" ht="61.5" x14ac:dyDescent="0.85">
      <c r="B1262" s="22" t="s">
        <v>877</v>
      </c>
      <c r="C1262" s="343"/>
      <c r="D1262" s="339">
        <f>D1263</f>
        <v>3373804.98</v>
      </c>
      <c r="E1262" s="29">
        <f t="shared" ref="E1262:AE1262" si="249">E1263</f>
        <v>0</v>
      </c>
      <c r="F1262" s="29">
        <f t="shared" si="249"/>
        <v>0</v>
      </c>
      <c r="G1262" s="29">
        <f t="shared" si="249"/>
        <v>0</v>
      </c>
      <c r="H1262" s="29">
        <f t="shared" si="249"/>
        <v>0</v>
      </c>
      <c r="I1262" s="29">
        <f t="shared" si="249"/>
        <v>0</v>
      </c>
      <c r="J1262" s="29">
        <f t="shared" si="249"/>
        <v>0</v>
      </c>
      <c r="K1262" s="31">
        <f t="shared" si="249"/>
        <v>0</v>
      </c>
      <c r="L1262" s="29">
        <f t="shared" si="249"/>
        <v>0</v>
      </c>
      <c r="M1262" s="29">
        <f t="shared" si="249"/>
        <v>646.1</v>
      </c>
      <c r="N1262" s="29">
        <f t="shared" si="249"/>
        <v>3176162.54</v>
      </c>
      <c r="O1262" s="29">
        <f t="shared" si="249"/>
        <v>0</v>
      </c>
      <c r="P1262" s="29">
        <f t="shared" si="249"/>
        <v>0</v>
      </c>
      <c r="Q1262" s="29">
        <f t="shared" si="249"/>
        <v>0</v>
      </c>
      <c r="R1262" s="29">
        <f t="shared" si="249"/>
        <v>0</v>
      </c>
      <c r="S1262" s="29">
        <f t="shared" si="249"/>
        <v>0</v>
      </c>
      <c r="T1262" s="29">
        <f t="shared" si="249"/>
        <v>0</v>
      </c>
      <c r="U1262" s="29">
        <f t="shared" si="249"/>
        <v>0</v>
      </c>
      <c r="V1262" s="29">
        <f t="shared" si="249"/>
        <v>0</v>
      </c>
      <c r="W1262" s="29">
        <f t="shared" si="249"/>
        <v>0</v>
      </c>
      <c r="X1262" s="29">
        <f t="shared" si="249"/>
        <v>0</v>
      </c>
      <c r="Y1262" s="29">
        <f t="shared" si="249"/>
        <v>0</v>
      </c>
      <c r="Z1262" s="29">
        <f t="shared" si="249"/>
        <v>0</v>
      </c>
      <c r="AA1262" s="29">
        <f t="shared" si="249"/>
        <v>0</v>
      </c>
      <c r="AB1262" s="29">
        <f t="shared" si="249"/>
        <v>0</v>
      </c>
      <c r="AC1262" s="29">
        <f t="shared" si="249"/>
        <v>47642.44</v>
      </c>
      <c r="AD1262" s="29">
        <f t="shared" si="249"/>
        <v>150000</v>
      </c>
      <c r="AE1262" s="29">
        <f t="shared" si="249"/>
        <v>0</v>
      </c>
      <c r="AF1262" s="62" t="s">
        <v>743</v>
      </c>
      <c r="AG1262" s="62" t="s">
        <v>743</v>
      </c>
      <c r="AH1262" s="77" t="s">
        <v>743</v>
      </c>
      <c r="AT1262" s="18" t="e">
        <f>VLOOKUP(C1262,AW:AX,2,FALSE)</f>
        <v>#N/A</v>
      </c>
      <c r="BZ1262" s="61">
        <v>3373804.98</v>
      </c>
    </row>
    <row r="1263" spans="1:82" ht="61.5" x14ac:dyDescent="0.85">
      <c r="A1263" s="18">
        <v>1</v>
      </c>
      <c r="B1263" s="57">
        <f>SUBTOTAL(103,$A$1093:A1263)</f>
        <v>153</v>
      </c>
      <c r="C1263" s="91" t="s">
        <v>4</v>
      </c>
      <c r="D1263" s="29">
        <f>E1263+F1263+G1263+H1263+I1263+J1263+L1263+N1263+P1263+R1263+T1263+U1263+V1263+W1263+X1263+Y1263+Z1263+AA1263+AB1263+AC1263+AD1263+AE1263</f>
        <v>3373804.98</v>
      </c>
      <c r="E1263" s="29">
        <v>0</v>
      </c>
      <c r="F1263" s="29">
        <v>0</v>
      </c>
      <c r="G1263" s="29">
        <v>0</v>
      </c>
      <c r="H1263" s="29">
        <v>0</v>
      </c>
      <c r="I1263" s="29">
        <v>0</v>
      </c>
      <c r="J1263" s="29">
        <v>0</v>
      </c>
      <c r="K1263" s="31">
        <v>0</v>
      </c>
      <c r="L1263" s="29">
        <v>0</v>
      </c>
      <c r="M1263" s="29">
        <v>646.1</v>
      </c>
      <c r="N1263" s="29">
        <v>3176162.54</v>
      </c>
      <c r="O1263" s="29">
        <v>0</v>
      </c>
      <c r="P1263" s="29">
        <v>0</v>
      </c>
      <c r="Q1263" s="29">
        <v>0</v>
      </c>
      <c r="R1263" s="29">
        <v>0</v>
      </c>
      <c r="S1263" s="29">
        <v>0</v>
      </c>
      <c r="T1263" s="29">
        <v>0</v>
      </c>
      <c r="U1263" s="29">
        <v>0</v>
      </c>
      <c r="V1263" s="29">
        <v>0</v>
      </c>
      <c r="W1263" s="29">
        <v>0</v>
      </c>
      <c r="X1263" s="29">
        <v>0</v>
      </c>
      <c r="Y1263" s="29">
        <v>0</v>
      </c>
      <c r="Z1263" s="29">
        <v>0</v>
      </c>
      <c r="AA1263" s="29">
        <v>0</v>
      </c>
      <c r="AB1263" s="29">
        <v>0</v>
      </c>
      <c r="AC1263" s="29">
        <f>ROUND(N1263*1.5%,2)</f>
        <v>47642.44</v>
      </c>
      <c r="AD1263" s="29">
        <v>150000</v>
      </c>
      <c r="AE1263" s="29">
        <v>0</v>
      </c>
      <c r="AF1263" s="32">
        <v>2022</v>
      </c>
      <c r="AG1263" s="32">
        <v>2022</v>
      </c>
      <c r="AH1263" s="33">
        <v>2022</v>
      </c>
      <c r="AT1263" s="18" t="e">
        <f>VLOOKUP(C1263,AW:AX,2,FALSE)</f>
        <v>#N/A</v>
      </c>
      <c r="BZ1263" s="61"/>
    </row>
    <row r="1264" spans="1:82" ht="61.5" x14ac:dyDescent="0.85">
      <c r="B1264" s="22" t="s">
        <v>878</v>
      </c>
      <c r="C1264" s="23"/>
      <c r="D1264" s="339">
        <f>SUM(D1265:D1266)</f>
        <v>3916350</v>
      </c>
      <c r="E1264" s="29">
        <f t="shared" ref="E1264:AE1264" si="250">SUM(E1265:E1266)</f>
        <v>0</v>
      </c>
      <c r="F1264" s="29">
        <f t="shared" si="250"/>
        <v>0</v>
      </c>
      <c r="G1264" s="29">
        <f t="shared" si="250"/>
        <v>0</v>
      </c>
      <c r="H1264" s="29">
        <f t="shared" si="250"/>
        <v>0</v>
      </c>
      <c r="I1264" s="29">
        <f t="shared" si="250"/>
        <v>0</v>
      </c>
      <c r="J1264" s="29">
        <f t="shared" si="250"/>
        <v>0</v>
      </c>
      <c r="K1264" s="31">
        <f t="shared" si="250"/>
        <v>0</v>
      </c>
      <c r="L1264" s="29">
        <f t="shared" si="250"/>
        <v>0</v>
      </c>
      <c r="M1264" s="29">
        <f t="shared" si="250"/>
        <v>897</v>
      </c>
      <c r="N1264" s="29">
        <f t="shared" si="250"/>
        <v>3562906.4</v>
      </c>
      <c r="O1264" s="29">
        <f t="shared" si="250"/>
        <v>0</v>
      </c>
      <c r="P1264" s="29">
        <f t="shared" si="250"/>
        <v>0</v>
      </c>
      <c r="Q1264" s="29">
        <f t="shared" si="250"/>
        <v>0</v>
      </c>
      <c r="R1264" s="29">
        <f t="shared" si="250"/>
        <v>0</v>
      </c>
      <c r="S1264" s="29">
        <f t="shared" si="250"/>
        <v>0</v>
      </c>
      <c r="T1264" s="29">
        <f t="shared" si="250"/>
        <v>0</v>
      </c>
      <c r="U1264" s="29">
        <f t="shared" si="250"/>
        <v>0</v>
      </c>
      <c r="V1264" s="29">
        <f t="shared" si="250"/>
        <v>0</v>
      </c>
      <c r="W1264" s="29">
        <f t="shared" si="250"/>
        <v>0</v>
      </c>
      <c r="X1264" s="29">
        <f t="shared" si="250"/>
        <v>0</v>
      </c>
      <c r="Y1264" s="29">
        <f t="shared" si="250"/>
        <v>0</v>
      </c>
      <c r="Z1264" s="29">
        <f t="shared" si="250"/>
        <v>0</v>
      </c>
      <c r="AA1264" s="29">
        <f t="shared" si="250"/>
        <v>0</v>
      </c>
      <c r="AB1264" s="29">
        <f t="shared" si="250"/>
        <v>0</v>
      </c>
      <c r="AC1264" s="29">
        <f t="shared" si="250"/>
        <v>53443.600000000006</v>
      </c>
      <c r="AD1264" s="29">
        <f t="shared" si="250"/>
        <v>300000</v>
      </c>
      <c r="AE1264" s="29">
        <f t="shared" si="250"/>
        <v>0</v>
      </c>
      <c r="AF1264" s="62" t="s">
        <v>743</v>
      </c>
      <c r="AG1264" s="62" t="s">
        <v>743</v>
      </c>
      <c r="AH1264" s="77" t="s">
        <v>743</v>
      </c>
      <c r="AT1264" s="18" t="e">
        <f>VLOOKUP(C1264,AW:AX,2,FALSE)</f>
        <v>#N/A</v>
      </c>
      <c r="BZ1264" s="61">
        <v>3916350</v>
      </c>
    </row>
    <row r="1265" spans="1:80" ht="61.5" x14ac:dyDescent="0.85">
      <c r="A1265" s="18">
        <v>1</v>
      </c>
      <c r="B1265" s="57">
        <f>SUBTOTAL(103,$A$1093:A1265)</f>
        <v>154</v>
      </c>
      <c r="C1265" s="91" t="s">
        <v>1679</v>
      </c>
      <c r="D1265" s="29">
        <f>E1265+F1265+G1265+H1265+I1265+J1265+L1265+N1265+P1265+R1265+T1265+U1265+V1265+W1265+X1265+Y1265+Z1265+AA1265+AB1265+AC1265+AD1265+AE1265</f>
        <v>2035617.4</v>
      </c>
      <c r="E1265" s="29">
        <v>0</v>
      </c>
      <c r="F1265" s="29">
        <v>0</v>
      </c>
      <c r="G1265" s="29">
        <v>0</v>
      </c>
      <c r="H1265" s="29">
        <v>0</v>
      </c>
      <c r="I1265" s="29">
        <v>0</v>
      </c>
      <c r="J1265" s="29">
        <v>0</v>
      </c>
      <c r="K1265" s="31">
        <v>0</v>
      </c>
      <c r="L1265" s="29">
        <v>0</v>
      </c>
      <c r="M1265" s="29">
        <v>468</v>
      </c>
      <c r="N1265" s="29">
        <v>1857751.13</v>
      </c>
      <c r="O1265" s="29">
        <v>0</v>
      </c>
      <c r="P1265" s="29">
        <v>0</v>
      </c>
      <c r="Q1265" s="29">
        <v>0</v>
      </c>
      <c r="R1265" s="29">
        <v>0</v>
      </c>
      <c r="S1265" s="29">
        <v>0</v>
      </c>
      <c r="T1265" s="29">
        <v>0</v>
      </c>
      <c r="U1265" s="29">
        <v>0</v>
      </c>
      <c r="V1265" s="29">
        <v>0</v>
      </c>
      <c r="W1265" s="29">
        <v>0</v>
      </c>
      <c r="X1265" s="29">
        <v>0</v>
      </c>
      <c r="Y1265" s="29">
        <v>0</v>
      </c>
      <c r="Z1265" s="29">
        <v>0</v>
      </c>
      <c r="AA1265" s="29">
        <v>0</v>
      </c>
      <c r="AB1265" s="29">
        <v>0</v>
      </c>
      <c r="AC1265" s="29">
        <f>ROUND(N1265*1.5%,2)</f>
        <v>27866.27</v>
      </c>
      <c r="AD1265" s="29">
        <v>150000</v>
      </c>
      <c r="AE1265" s="29">
        <v>0</v>
      </c>
      <c r="AF1265" s="32">
        <v>2022</v>
      </c>
      <c r="AG1265" s="32">
        <v>2022</v>
      </c>
      <c r="AH1265" s="33">
        <v>2022</v>
      </c>
      <c r="AT1265" s="18" t="e">
        <f>VLOOKUP(C1265,AW:AX,2,FALSE)</f>
        <v>#N/A</v>
      </c>
      <c r="BZ1265" s="61"/>
    </row>
    <row r="1266" spans="1:80" ht="61.5" x14ac:dyDescent="0.85">
      <c r="A1266" s="18">
        <v>1</v>
      </c>
      <c r="B1266" s="57">
        <f>SUBTOTAL(103,$A$1093:A1266)</f>
        <v>155</v>
      </c>
      <c r="C1266" s="91" t="s">
        <v>1680</v>
      </c>
      <c r="D1266" s="29">
        <f>E1266+F1266+G1266+H1266+I1266+J1266+L1266+N1266+P1266+R1266+T1266+U1266+V1266+W1266+X1266+Y1266+Z1266+AA1266+AB1266+AC1266+AD1266+AE1266</f>
        <v>1880732.6</v>
      </c>
      <c r="E1266" s="29">
        <v>0</v>
      </c>
      <c r="F1266" s="29">
        <v>0</v>
      </c>
      <c r="G1266" s="29">
        <v>0</v>
      </c>
      <c r="H1266" s="29">
        <v>0</v>
      </c>
      <c r="I1266" s="29">
        <v>0</v>
      </c>
      <c r="J1266" s="29">
        <v>0</v>
      </c>
      <c r="K1266" s="31">
        <v>0</v>
      </c>
      <c r="L1266" s="29">
        <v>0</v>
      </c>
      <c r="M1266" s="29">
        <v>429</v>
      </c>
      <c r="N1266" s="29">
        <f>1702938.53+2216.74</f>
        <v>1705155.27</v>
      </c>
      <c r="O1266" s="29">
        <v>0</v>
      </c>
      <c r="P1266" s="29">
        <v>0</v>
      </c>
      <c r="Q1266" s="29">
        <v>0</v>
      </c>
      <c r="R1266" s="29">
        <v>0</v>
      </c>
      <c r="S1266" s="29">
        <v>0</v>
      </c>
      <c r="T1266" s="29">
        <v>0</v>
      </c>
      <c r="U1266" s="29">
        <v>0</v>
      </c>
      <c r="V1266" s="29">
        <v>0</v>
      </c>
      <c r="W1266" s="29">
        <v>0</v>
      </c>
      <c r="X1266" s="29">
        <v>0</v>
      </c>
      <c r="Y1266" s="29">
        <v>0</v>
      </c>
      <c r="Z1266" s="29">
        <v>0</v>
      </c>
      <c r="AA1266" s="29">
        <v>0</v>
      </c>
      <c r="AB1266" s="29">
        <v>0</v>
      </c>
      <c r="AC1266" s="29">
        <f>ROUND(N1266*1.5%,2)</f>
        <v>25577.33</v>
      </c>
      <c r="AD1266" s="29">
        <v>150000</v>
      </c>
      <c r="AE1266" s="29">
        <v>0</v>
      </c>
      <c r="AF1266" s="32">
        <v>2022</v>
      </c>
      <c r="AG1266" s="32">
        <v>2022</v>
      </c>
      <c r="AH1266" s="33">
        <v>2022</v>
      </c>
      <c r="AT1266" s="18" t="e">
        <f>VLOOKUP(C1266,AW:AX,2,FALSE)</f>
        <v>#N/A</v>
      </c>
      <c r="BZ1266" s="61"/>
    </row>
    <row r="1267" spans="1:80" ht="61.5" x14ac:dyDescent="0.85">
      <c r="B1267" s="22" t="s">
        <v>820</v>
      </c>
      <c r="C1267" s="338"/>
      <c r="D1267" s="339">
        <f>D1268+D1269</f>
        <v>3516578.96</v>
      </c>
      <c r="E1267" s="29">
        <f t="shared" ref="E1267:AE1267" si="251">E1268+E1269</f>
        <v>0</v>
      </c>
      <c r="F1267" s="29">
        <f t="shared" si="251"/>
        <v>0</v>
      </c>
      <c r="G1267" s="29">
        <f t="shared" si="251"/>
        <v>0</v>
      </c>
      <c r="H1267" s="29">
        <f t="shared" si="251"/>
        <v>0</v>
      </c>
      <c r="I1267" s="29">
        <f t="shared" si="251"/>
        <v>0</v>
      </c>
      <c r="J1267" s="29">
        <f t="shared" si="251"/>
        <v>0</v>
      </c>
      <c r="K1267" s="31">
        <f t="shared" si="251"/>
        <v>0</v>
      </c>
      <c r="L1267" s="29">
        <f t="shared" si="251"/>
        <v>0</v>
      </c>
      <c r="M1267" s="29">
        <f t="shared" si="251"/>
        <v>856</v>
      </c>
      <c r="N1267" s="29">
        <f t="shared" si="251"/>
        <v>3228156.6100000003</v>
      </c>
      <c r="O1267" s="29">
        <f t="shared" si="251"/>
        <v>0</v>
      </c>
      <c r="P1267" s="29">
        <f t="shared" si="251"/>
        <v>0</v>
      </c>
      <c r="Q1267" s="29">
        <f t="shared" si="251"/>
        <v>0</v>
      </c>
      <c r="R1267" s="29">
        <f t="shared" si="251"/>
        <v>0</v>
      </c>
      <c r="S1267" s="29">
        <f t="shared" si="251"/>
        <v>0</v>
      </c>
      <c r="T1267" s="29">
        <f t="shared" si="251"/>
        <v>0</v>
      </c>
      <c r="U1267" s="29">
        <f t="shared" si="251"/>
        <v>0</v>
      </c>
      <c r="V1267" s="29">
        <f t="shared" si="251"/>
        <v>0</v>
      </c>
      <c r="W1267" s="29">
        <f t="shared" si="251"/>
        <v>0</v>
      </c>
      <c r="X1267" s="29">
        <f t="shared" si="251"/>
        <v>0</v>
      </c>
      <c r="Y1267" s="29">
        <f t="shared" si="251"/>
        <v>0</v>
      </c>
      <c r="Z1267" s="29">
        <f t="shared" si="251"/>
        <v>0</v>
      </c>
      <c r="AA1267" s="29">
        <f t="shared" si="251"/>
        <v>0</v>
      </c>
      <c r="AB1267" s="29">
        <f t="shared" si="251"/>
        <v>0</v>
      </c>
      <c r="AC1267" s="29">
        <f t="shared" si="251"/>
        <v>48422.350000000006</v>
      </c>
      <c r="AD1267" s="29">
        <f t="shared" si="251"/>
        <v>240000</v>
      </c>
      <c r="AE1267" s="29">
        <f t="shared" si="251"/>
        <v>0</v>
      </c>
      <c r="AF1267" s="62" t="s">
        <v>743</v>
      </c>
      <c r="AG1267" s="62" t="s">
        <v>743</v>
      </c>
      <c r="AH1267" s="77" t="s">
        <v>743</v>
      </c>
      <c r="AT1267" s="18" t="e">
        <f>VLOOKUP(C1267,AW:AX,2,FALSE)</f>
        <v>#N/A</v>
      </c>
      <c r="BZ1267" s="61">
        <v>3516578.96</v>
      </c>
    </row>
    <row r="1268" spans="1:80" ht="61.5" x14ac:dyDescent="0.85">
      <c r="A1268" s="18">
        <v>1</v>
      </c>
      <c r="B1268" s="57">
        <f>SUBTOTAL(103,$A$1093:A1268)</f>
        <v>156</v>
      </c>
      <c r="C1268" s="91" t="s">
        <v>687</v>
      </c>
      <c r="D1268" s="29">
        <f>E1268+F1268+G1268+H1268+I1268+J1268+L1268+N1268+P1268+R1268+T1268+U1268+V1268+W1268+X1268+Y1268+Z1268+AA1268+AB1268+AC1268+AD1268+AE1268</f>
        <v>1923529.37</v>
      </c>
      <c r="E1268" s="29">
        <v>0</v>
      </c>
      <c r="F1268" s="29">
        <v>0</v>
      </c>
      <c r="G1268" s="29">
        <v>0</v>
      </c>
      <c r="H1268" s="29">
        <v>0</v>
      </c>
      <c r="I1268" s="29">
        <v>0</v>
      </c>
      <c r="J1268" s="29">
        <v>0</v>
      </c>
      <c r="K1268" s="31">
        <v>0</v>
      </c>
      <c r="L1268" s="29">
        <v>0</v>
      </c>
      <c r="M1268" s="29">
        <v>440</v>
      </c>
      <c r="N1268" s="29">
        <v>1767024.01</v>
      </c>
      <c r="O1268" s="29">
        <v>0</v>
      </c>
      <c r="P1268" s="29">
        <v>0</v>
      </c>
      <c r="Q1268" s="29">
        <v>0</v>
      </c>
      <c r="R1268" s="29">
        <v>0</v>
      </c>
      <c r="S1268" s="29">
        <v>0</v>
      </c>
      <c r="T1268" s="29">
        <v>0</v>
      </c>
      <c r="U1268" s="29">
        <v>0</v>
      </c>
      <c r="V1268" s="29">
        <v>0</v>
      </c>
      <c r="W1268" s="29">
        <v>0</v>
      </c>
      <c r="X1268" s="29">
        <v>0</v>
      </c>
      <c r="Y1268" s="29">
        <v>0</v>
      </c>
      <c r="Z1268" s="29">
        <v>0</v>
      </c>
      <c r="AA1268" s="29">
        <v>0</v>
      </c>
      <c r="AB1268" s="29">
        <v>0</v>
      </c>
      <c r="AC1268" s="29">
        <f>ROUND(N1268*1.5%,2)</f>
        <v>26505.360000000001</v>
      </c>
      <c r="AD1268" s="29">
        <v>130000</v>
      </c>
      <c r="AE1268" s="29">
        <v>0</v>
      </c>
      <c r="AF1268" s="32">
        <v>2022</v>
      </c>
      <c r="AG1268" s="32">
        <v>2022</v>
      </c>
      <c r="AH1268" s="33">
        <v>2022</v>
      </c>
      <c r="AT1268" s="18" t="e">
        <f>VLOOKUP(C1268,AW:AX,2,FALSE)</f>
        <v>#N/A</v>
      </c>
      <c r="BZ1268" s="61"/>
    </row>
    <row r="1269" spans="1:80" ht="61.5" x14ac:dyDescent="0.85">
      <c r="A1269" s="18">
        <v>1</v>
      </c>
      <c r="B1269" s="57">
        <f>SUBTOTAL(103,$A$1093:A1269)</f>
        <v>157</v>
      </c>
      <c r="C1269" s="91" t="s">
        <v>685</v>
      </c>
      <c r="D1269" s="29">
        <f>E1269+F1269+G1269+H1269+I1269+J1269+L1269+N1269+P1269+R1269+T1269+U1269+V1269+W1269+X1269+Y1269+Z1269+AA1269+AB1269+AC1269+AD1269+AE1269</f>
        <v>1593049.59</v>
      </c>
      <c r="E1269" s="29">
        <v>0</v>
      </c>
      <c r="F1269" s="29">
        <v>0</v>
      </c>
      <c r="G1269" s="29">
        <v>0</v>
      </c>
      <c r="H1269" s="29">
        <v>0</v>
      </c>
      <c r="I1269" s="29">
        <v>0</v>
      </c>
      <c r="J1269" s="29">
        <v>0</v>
      </c>
      <c r="K1269" s="31">
        <v>0</v>
      </c>
      <c r="L1269" s="29">
        <v>0</v>
      </c>
      <c r="M1269" s="29">
        <v>416</v>
      </c>
      <c r="N1269" s="29">
        <v>1461132.6</v>
      </c>
      <c r="O1269" s="29">
        <v>0</v>
      </c>
      <c r="P1269" s="29">
        <v>0</v>
      </c>
      <c r="Q1269" s="29">
        <v>0</v>
      </c>
      <c r="R1269" s="29">
        <v>0</v>
      </c>
      <c r="S1269" s="29">
        <v>0</v>
      </c>
      <c r="T1269" s="29">
        <v>0</v>
      </c>
      <c r="U1269" s="29">
        <v>0</v>
      </c>
      <c r="V1269" s="29">
        <v>0</v>
      </c>
      <c r="W1269" s="29">
        <v>0</v>
      </c>
      <c r="X1269" s="29">
        <v>0</v>
      </c>
      <c r="Y1269" s="29">
        <v>0</v>
      </c>
      <c r="Z1269" s="29">
        <v>0</v>
      </c>
      <c r="AA1269" s="29">
        <v>0</v>
      </c>
      <c r="AB1269" s="29">
        <v>0</v>
      </c>
      <c r="AC1269" s="29">
        <f>ROUND(N1269*1.5%,2)</f>
        <v>21916.99</v>
      </c>
      <c r="AD1269" s="29">
        <v>110000</v>
      </c>
      <c r="AE1269" s="29">
        <v>0</v>
      </c>
      <c r="AF1269" s="32">
        <v>2022</v>
      </c>
      <c r="AG1269" s="32">
        <v>2022</v>
      </c>
      <c r="AH1269" s="33">
        <v>2022</v>
      </c>
      <c r="AT1269" s="18" t="e">
        <f>VLOOKUP(C1269,AW:AX,2,FALSE)</f>
        <v>#N/A</v>
      </c>
      <c r="BZ1269" s="61"/>
    </row>
    <row r="1270" spans="1:80" ht="61.5" x14ac:dyDescent="0.85">
      <c r="B1270" s="22" t="s">
        <v>862</v>
      </c>
      <c r="C1270" s="22"/>
      <c r="D1270" s="339">
        <f>D1271</f>
        <v>3598749.4899999998</v>
      </c>
      <c r="E1270" s="29">
        <f t="shared" ref="E1270:AE1270" si="252">E1271</f>
        <v>0</v>
      </c>
      <c r="F1270" s="29">
        <f t="shared" si="252"/>
        <v>0</v>
      </c>
      <c r="G1270" s="29">
        <f t="shared" si="252"/>
        <v>0</v>
      </c>
      <c r="H1270" s="29">
        <f t="shared" si="252"/>
        <v>0</v>
      </c>
      <c r="I1270" s="29">
        <f t="shared" si="252"/>
        <v>0</v>
      </c>
      <c r="J1270" s="29">
        <f t="shared" si="252"/>
        <v>0</v>
      </c>
      <c r="K1270" s="31">
        <f t="shared" si="252"/>
        <v>0</v>
      </c>
      <c r="L1270" s="29">
        <f t="shared" si="252"/>
        <v>0</v>
      </c>
      <c r="M1270" s="29">
        <f t="shared" si="252"/>
        <v>975.8</v>
      </c>
      <c r="N1270" s="29">
        <f t="shared" si="252"/>
        <v>3427339.4</v>
      </c>
      <c r="O1270" s="29">
        <f t="shared" si="252"/>
        <v>0</v>
      </c>
      <c r="P1270" s="29">
        <f t="shared" si="252"/>
        <v>0</v>
      </c>
      <c r="Q1270" s="29">
        <f t="shared" si="252"/>
        <v>0</v>
      </c>
      <c r="R1270" s="29">
        <f t="shared" si="252"/>
        <v>0</v>
      </c>
      <c r="S1270" s="29">
        <f t="shared" si="252"/>
        <v>0</v>
      </c>
      <c r="T1270" s="29">
        <f t="shared" si="252"/>
        <v>0</v>
      </c>
      <c r="U1270" s="29">
        <f t="shared" si="252"/>
        <v>0</v>
      </c>
      <c r="V1270" s="29">
        <f t="shared" si="252"/>
        <v>0</v>
      </c>
      <c r="W1270" s="29">
        <f t="shared" si="252"/>
        <v>0</v>
      </c>
      <c r="X1270" s="29">
        <f t="shared" si="252"/>
        <v>0</v>
      </c>
      <c r="Y1270" s="29">
        <f t="shared" si="252"/>
        <v>0</v>
      </c>
      <c r="Z1270" s="29">
        <f t="shared" si="252"/>
        <v>0</v>
      </c>
      <c r="AA1270" s="29">
        <f t="shared" si="252"/>
        <v>0</v>
      </c>
      <c r="AB1270" s="29">
        <f t="shared" si="252"/>
        <v>0</v>
      </c>
      <c r="AC1270" s="29">
        <f t="shared" si="252"/>
        <v>51410.09</v>
      </c>
      <c r="AD1270" s="29">
        <f t="shared" si="252"/>
        <v>120000</v>
      </c>
      <c r="AE1270" s="29">
        <f t="shared" si="252"/>
        <v>0</v>
      </c>
      <c r="AF1270" s="62" t="s">
        <v>743</v>
      </c>
      <c r="AG1270" s="62" t="s">
        <v>743</v>
      </c>
      <c r="AH1270" s="77" t="s">
        <v>743</v>
      </c>
      <c r="AT1270" s="18" t="e">
        <f>VLOOKUP(C1270,AW:AX,2,FALSE)</f>
        <v>#N/A</v>
      </c>
      <c r="BZ1270" s="61">
        <v>3598749.4899999998</v>
      </c>
    </row>
    <row r="1271" spans="1:80" ht="61.5" x14ac:dyDescent="0.85">
      <c r="A1271" s="18">
        <v>1</v>
      </c>
      <c r="B1271" s="57">
        <f>SUBTOTAL(103,$A$1093:A1271)</f>
        <v>158</v>
      </c>
      <c r="C1271" s="91" t="s">
        <v>693</v>
      </c>
      <c r="D1271" s="29">
        <f>E1271+F1271+G1271+H1271+I1271+J1271+L1271+N1271+P1271+R1271+T1271+U1271+V1271+W1271+X1271+Y1271+Z1271+AA1271+AB1271+AC1271+AD1271+AE1271</f>
        <v>3598749.4899999998</v>
      </c>
      <c r="E1271" s="29">
        <v>0</v>
      </c>
      <c r="F1271" s="29">
        <v>0</v>
      </c>
      <c r="G1271" s="29">
        <v>0</v>
      </c>
      <c r="H1271" s="29">
        <v>0</v>
      </c>
      <c r="I1271" s="29">
        <v>0</v>
      </c>
      <c r="J1271" s="29">
        <v>0</v>
      </c>
      <c r="K1271" s="31">
        <v>0</v>
      </c>
      <c r="L1271" s="29">
        <v>0</v>
      </c>
      <c r="M1271" s="29">
        <v>975.8</v>
      </c>
      <c r="N1271" s="29">
        <v>3427339.4</v>
      </c>
      <c r="O1271" s="29">
        <v>0</v>
      </c>
      <c r="P1271" s="29">
        <v>0</v>
      </c>
      <c r="Q1271" s="29">
        <v>0</v>
      </c>
      <c r="R1271" s="29">
        <v>0</v>
      </c>
      <c r="S1271" s="29">
        <v>0</v>
      </c>
      <c r="T1271" s="29">
        <v>0</v>
      </c>
      <c r="U1271" s="29">
        <v>0</v>
      </c>
      <c r="V1271" s="29">
        <v>0</v>
      </c>
      <c r="W1271" s="29">
        <v>0</v>
      </c>
      <c r="X1271" s="29">
        <v>0</v>
      </c>
      <c r="Y1271" s="29">
        <v>0</v>
      </c>
      <c r="Z1271" s="29">
        <v>0</v>
      </c>
      <c r="AA1271" s="29">
        <v>0</v>
      </c>
      <c r="AB1271" s="29">
        <v>0</v>
      </c>
      <c r="AC1271" s="29">
        <f>ROUND(N1271*1.5%,2)</f>
        <v>51410.09</v>
      </c>
      <c r="AD1271" s="29">
        <v>120000</v>
      </c>
      <c r="AE1271" s="29">
        <v>0</v>
      </c>
      <c r="AF1271" s="32">
        <v>2022</v>
      </c>
      <c r="AG1271" s="32">
        <v>2022</v>
      </c>
      <c r="AH1271" s="33">
        <v>2022</v>
      </c>
      <c r="AT1271" s="18" t="e">
        <f>VLOOKUP(C1271,AW:AX,2,FALSE)</f>
        <v>#N/A</v>
      </c>
      <c r="BZ1271" s="61"/>
    </row>
    <row r="1272" spans="1:80" ht="61.5" x14ac:dyDescent="0.85">
      <c r="B1272" s="22" t="s">
        <v>822</v>
      </c>
      <c r="C1272" s="22"/>
      <c r="D1272" s="339">
        <f>D1273</f>
        <v>1925593.0499999998</v>
      </c>
      <c r="E1272" s="29">
        <f t="shared" ref="E1272:AE1272" si="253">E1273</f>
        <v>0</v>
      </c>
      <c r="F1272" s="29">
        <f t="shared" si="253"/>
        <v>0</v>
      </c>
      <c r="G1272" s="29">
        <f t="shared" si="253"/>
        <v>0</v>
      </c>
      <c r="H1272" s="29">
        <f t="shared" si="253"/>
        <v>0</v>
      </c>
      <c r="I1272" s="29">
        <f t="shared" si="253"/>
        <v>0</v>
      </c>
      <c r="J1272" s="29">
        <f t="shared" si="253"/>
        <v>0</v>
      </c>
      <c r="K1272" s="31">
        <f t="shared" si="253"/>
        <v>0</v>
      </c>
      <c r="L1272" s="29">
        <f t="shared" si="253"/>
        <v>0</v>
      </c>
      <c r="M1272" s="29">
        <f t="shared" si="253"/>
        <v>280</v>
      </c>
      <c r="N1272" s="29">
        <f t="shared" si="253"/>
        <v>1778909.41</v>
      </c>
      <c r="O1272" s="29">
        <f t="shared" si="253"/>
        <v>0</v>
      </c>
      <c r="P1272" s="29">
        <f t="shared" si="253"/>
        <v>0</v>
      </c>
      <c r="Q1272" s="29">
        <f t="shared" si="253"/>
        <v>0</v>
      </c>
      <c r="R1272" s="29">
        <f t="shared" si="253"/>
        <v>0</v>
      </c>
      <c r="S1272" s="29">
        <f t="shared" si="253"/>
        <v>0</v>
      </c>
      <c r="T1272" s="29">
        <f t="shared" si="253"/>
        <v>0</v>
      </c>
      <c r="U1272" s="29">
        <f t="shared" si="253"/>
        <v>0</v>
      </c>
      <c r="V1272" s="29">
        <f t="shared" si="253"/>
        <v>0</v>
      </c>
      <c r="W1272" s="29">
        <f t="shared" si="253"/>
        <v>0</v>
      </c>
      <c r="X1272" s="29">
        <f t="shared" si="253"/>
        <v>0</v>
      </c>
      <c r="Y1272" s="29">
        <f t="shared" si="253"/>
        <v>0</v>
      </c>
      <c r="Z1272" s="29">
        <f t="shared" si="253"/>
        <v>0</v>
      </c>
      <c r="AA1272" s="29">
        <f t="shared" si="253"/>
        <v>0</v>
      </c>
      <c r="AB1272" s="29">
        <f t="shared" si="253"/>
        <v>0</v>
      </c>
      <c r="AC1272" s="29">
        <f t="shared" si="253"/>
        <v>26683.64</v>
      </c>
      <c r="AD1272" s="29">
        <f t="shared" si="253"/>
        <v>120000</v>
      </c>
      <c r="AE1272" s="29">
        <f t="shared" si="253"/>
        <v>0</v>
      </c>
      <c r="AF1272" s="62" t="s">
        <v>743</v>
      </c>
      <c r="AG1272" s="62" t="s">
        <v>743</v>
      </c>
      <c r="AH1272" s="77" t="s">
        <v>743</v>
      </c>
      <c r="AT1272" s="18" t="e">
        <f>VLOOKUP(C1272,AW:AX,2,FALSE)</f>
        <v>#N/A</v>
      </c>
      <c r="BZ1272" s="61">
        <v>3488946.79</v>
      </c>
    </row>
    <row r="1273" spans="1:80" ht="61.5" x14ac:dyDescent="0.85">
      <c r="A1273" s="18">
        <v>1</v>
      </c>
      <c r="B1273" s="57">
        <f>SUBTOTAL(103,$A$1093:A1273)</f>
        <v>159</v>
      </c>
      <c r="C1273" s="91" t="s">
        <v>691</v>
      </c>
      <c r="D1273" s="29">
        <f>E1273+F1273+G1273+H1273+I1273+J1273+L1273+N1273+P1273+R1273+T1273+U1273+V1273+W1273+X1273+Y1273+Z1273+AA1273+AB1273+AC1273+AD1273+AE1273</f>
        <v>1925593.0499999998</v>
      </c>
      <c r="E1273" s="29">
        <v>0</v>
      </c>
      <c r="F1273" s="29">
        <v>0</v>
      </c>
      <c r="G1273" s="29">
        <v>0</v>
      </c>
      <c r="H1273" s="29">
        <v>0</v>
      </c>
      <c r="I1273" s="29">
        <v>0</v>
      </c>
      <c r="J1273" s="29">
        <v>0</v>
      </c>
      <c r="K1273" s="31">
        <v>0</v>
      </c>
      <c r="L1273" s="29">
        <v>0</v>
      </c>
      <c r="M1273" s="29">
        <v>280</v>
      </c>
      <c r="N1273" s="29">
        <f>3319159.4-1540249.99</f>
        <v>1778909.41</v>
      </c>
      <c r="O1273" s="29">
        <v>0</v>
      </c>
      <c r="P1273" s="29">
        <v>0</v>
      </c>
      <c r="Q1273" s="29">
        <v>0</v>
      </c>
      <c r="R1273" s="29">
        <v>0</v>
      </c>
      <c r="S1273" s="29">
        <v>0</v>
      </c>
      <c r="T1273" s="29">
        <v>0</v>
      </c>
      <c r="U1273" s="29">
        <v>0</v>
      </c>
      <c r="V1273" s="29">
        <v>0</v>
      </c>
      <c r="W1273" s="29">
        <v>0</v>
      </c>
      <c r="X1273" s="29">
        <v>0</v>
      </c>
      <c r="Y1273" s="29">
        <v>0</v>
      </c>
      <c r="Z1273" s="29">
        <v>0</v>
      </c>
      <c r="AA1273" s="29">
        <v>0</v>
      </c>
      <c r="AB1273" s="29">
        <v>0</v>
      </c>
      <c r="AC1273" s="29">
        <f>ROUND(N1273*1.5%,2)</f>
        <v>26683.64</v>
      </c>
      <c r="AD1273" s="29">
        <v>120000</v>
      </c>
      <c r="AE1273" s="29">
        <v>0</v>
      </c>
      <c r="AF1273" s="32">
        <v>2022</v>
      </c>
      <c r="AG1273" s="32">
        <v>2022</v>
      </c>
      <c r="AH1273" s="33">
        <v>2022</v>
      </c>
      <c r="AT1273" s="18" t="e">
        <f>VLOOKUP(C1273,AW:AX,2,FALSE)</f>
        <v>#N/A</v>
      </c>
      <c r="BZ1273" s="61"/>
    </row>
    <row r="1274" spans="1:80" ht="61.5" x14ac:dyDescent="0.85">
      <c r="B1274" s="22" t="s">
        <v>879</v>
      </c>
      <c r="C1274" s="22"/>
      <c r="D1274" s="339">
        <f>D1275</f>
        <v>1538879.17</v>
      </c>
      <c r="E1274" s="29">
        <f t="shared" ref="E1274:AE1274" si="254">E1275</f>
        <v>0</v>
      </c>
      <c r="F1274" s="29">
        <f t="shared" si="254"/>
        <v>0</v>
      </c>
      <c r="G1274" s="29">
        <f t="shared" si="254"/>
        <v>0</v>
      </c>
      <c r="H1274" s="29">
        <f t="shared" si="254"/>
        <v>0</v>
      </c>
      <c r="I1274" s="29">
        <f t="shared" si="254"/>
        <v>0</v>
      </c>
      <c r="J1274" s="29">
        <f t="shared" si="254"/>
        <v>0</v>
      </c>
      <c r="K1274" s="31">
        <f t="shared" si="254"/>
        <v>0</v>
      </c>
      <c r="L1274" s="29">
        <f t="shared" si="254"/>
        <v>0</v>
      </c>
      <c r="M1274" s="29">
        <f t="shared" si="254"/>
        <v>315.89999999999998</v>
      </c>
      <c r="N1274" s="29">
        <f t="shared" si="254"/>
        <v>1397910.51</v>
      </c>
      <c r="O1274" s="29">
        <f t="shared" si="254"/>
        <v>0</v>
      </c>
      <c r="P1274" s="29">
        <f t="shared" si="254"/>
        <v>0</v>
      </c>
      <c r="Q1274" s="29">
        <f t="shared" si="254"/>
        <v>0</v>
      </c>
      <c r="R1274" s="29">
        <f t="shared" si="254"/>
        <v>0</v>
      </c>
      <c r="S1274" s="29">
        <f t="shared" si="254"/>
        <v>0</v>
      </c>
      <c r="T1274" s="29">
        <f t="shared" si="254"/>
        <v>0</v>
      </c>
      <c r="U1274" s="29">
        <f t="shared" si="254"/>
        <v>0</v>
      </c>
      <c r="V1274" s="29">
        <f t="shared" si="254"/>
        <v>0</v>
      </c>
      <c r="W1274" s="29">
        <f t="shared" si="254"/>
        <v>0</v>
      </c>
      <c r="X1274" s="29">
        <f t="shared" si="254"/>
        <v>0</v>
      </c>
      <c r="Y1274" s="29">
        <f t="shared" si="254"/>
        <v>0</v>
      </c>
      <c r="Z1274" s="29">
        <f t="shared" si="254"/>
        <v>0</v>
      </c>
      <c r="AA1274" s="29">
        <f t="shared" si="254"/>
        <v>0</v>
      </c>
      <c r="AB1274" s="29">
        <f t="shared" si="254"/>
        <v>0</v>
      </c>
      <c r="AC1274" s="29">
        <f t="shared" si="254"/>
        <v>20968.66</v>
      </c>
      <c r="AD1274" s="29">
        <f t="shared" si="254"/>
        <v>120000</v>
      </c>
      <c r="AE1274" s="29">
        <f t="shared" si="254"/>
        <v>0</v>
      </c>
      <c r="AF1274" s="62" t="s">
        <v>743</v>
      </c>
      <c r="AG1274" s="62" t="s">
        <v>743</v>
      </c>
      <c r="AH1274" s="77" t="s">
        <v>743</v>
      </c>
      <c r="AT1274" s="18" t="e">
        <f>VLOOKUP(C1274,AW:AX,2,FALSE)</f>
        <v>#N/A</v>
      </c>
      <c r="BZ1274" s="61">
        <v>1538879.17</v>
      </c>
    </row>
    <row r="1275" spans="1:80" ht="61.5" x14ac:dyDescent="0.85">
      <c r="A1275" s="18">
        <v>1</v>
      </c>
      <c r="B1275" s="57">
        <f>SUBTOTAL(103,$A$1093:A1275)</f>
        <v>160</v>
      </c>
      <c r="C1275" s="91" t="s">
        <v>688</v>
      </c>
      <c r="D1275" s="29">
        <f>E1275+F1275+G1275+H1275+I1275+J1275+L1275+N1275+P1275+R1275+T1275+U1275+V1275+W1275+X1275+Y1275+Z1275+AA1275+AB1275+AC1275+AD1275+AE1275</f>
        <v>1538879.17</v>
      </c>
      <c r="E1275" s="29">
        <v>0</v>
      </c>
      <c r="F1275" s="29">
        <v>0</v>
      </c>
      <c r="G1275" s="29">
        <v>0</v>
      </c>
      <c r="H1275" s="29">
        <v>0</v>
      </c>
      <c r="I1275" s="29">
        <v>0</v>
      </c>
      <c r="J1275" s="29">
        <v>0</v>
      </c>
      <c r="K1275" s="31">
        <v>0</v>
      </c>
      <c r="L1275" s="29">
        <v>0</v>
      </c>
      <c r="M1275" s="29">
        <v>315.89999999999998</v>
      </c>
      <c r="N1275" s="29">
        <v>1397910.51</v>
      </c>
      <c r="O1275" s="29">
        <v>0</v>
      </c>
      <c r="P1275" s="29">
        <v>0</v>
      </c>
      <c r="Q1275" s="29">
        <v>0</v>
      </c>
      <c r="R1275" s="29">
        <v>0</v>
      </c>
      <c r="S1275" s="29">
        <v>0</v>
      </c>
      <c r="T1275" s="29">
        <v>0</v>
      </c>
      <c r="U1275" s="29">
        <v>0</v>
      </c>
      <c r="V1275" s="29">
        <v>0</v>
      </c>
      <c r="W1275" s="29">
        <v>0</v>
      </c>
      <c r="X1275" s="29">
        <v>0</v>
      </c>
      <c r="Y1275" s="29">
        <v>0</v>
      </c>
      <c r="Z1275" s="29">
        <v>0</v>
      </c>
      <c r="AA1275" s="29">
        <v>0</v>
      </c>
      <c r="AB1275" s="29">
        <v>0</v>
      </c>
      <c r="AC1275" s="29">
        <f>ROUND(N1275*1.5%,2)</f>
        <v>20968.66</v>
      </c>
      <c r="AD1275" s="29">
        <v>120000</v>
      </c>
      <c r="AE1275" s="29">
        <v>0</v>
      </c>
      <c r="AF1275" s="32">
        <v>2022</v>
      </c>
      <c r="AG1275" s="32">
        <v>2022</v>
      </c>
      <c r="AH1275" s="33">
        <v>2022</v>
      </c>
      <c r="AT1275" s="18" t="e">
        <f>VLOOKUP(C1275,AW:AX,2,FALSE)</f>
        <v>#N/A</v>
      </c>
      <c r="BZ1275" s="61"/>
    </row>
    <row r="1276" spans="1:80" ht="61.5" x14ac:dyDescent="0.85">
      <c r="B1276" s="22" t="s">
        <v>823</v>
      </c>
      <c r="C1276" s="338"/>
      <c r="D1276" s="339">
        <f>SUM(D1277:D1282)</f>
        <v>29402856.009999998</v>
      </c>
      <c r="E1276" s="29">
        <f t="shared" ref="E1276:AE1276" si="255">SUM(E1277:E1282)</f>
        <v>0</v>
      </c>
      <c r="F1276" s="29">
        <f t="shared" si="255"/>
        <v>0</v>
      </c>
      <c r="G1276" s="29">
        <f t="shared" si="255"/>
        <v>0</v>
      </c>
      <c r="H1276" s="29">
        <f t="shared" si="255"/>
        <v>0</v>
      </c>
      <c r="I1276" s="29">
        <f t="shared" si="255"/>
        <v>0</v>
      </c>
      <c r="J1276" s="29">
        <f t="shared" si="255"/>
        <v>0</v>
      </c>
      <c r="K1276" s="31">
        <f t="shared" si="255"/>
        <v>0</v>
      </c>
      <c r="L1276" s="29">
        <f t="shared" si="255"/>
        <v>0</v>
      </c>
      <c r="M1276" s="29">
        <f t="shared" si="255"/>
        <v>3779.6</v>
      </c>
      <c r="N1276" s="29">
        <f t="shared" si="255"/>
        <v>20270395.52</v>
      </c>
      <c r="O1276" s="29">
        <f t="shared" si="255"/>
        <v>0</v>
      </c>
      <c r="P1276" s="29">
        <f t="shared" si="255"/>
        <v>0</v>
      </c>
      <c r="Q1276" s="29">
        <f t="shared" si="255"/>
        <v>0</v>
      </c>
      <c r="R1276" s="29">
        <f t="shared" si="255"/>
        <v>0</v>
      </c>
      <c r="S1276" s="29">
        <f t="shared" si="255"/>
        <v>0</v>
      </c>
      <c r="T1276" s="29">
        <f t="shared" si="255"/>
        <v>0</v>
      </c>
      <c r="U1276" s="29">
        <f t="shared" si="255"/>
        <v>7702861.6199999992</v>
      </c>
      <c r="V1276" s="29">
        <f t="shared" si="255"/>
        <v>0</v>
      </c>
      <c r="W1276" s="29">
        <f t="shared" si="255"/>
        <v>0</v>
      </c>
      <c r="X1276" s="29">
        <f t="shared" si="255"/>
        <v>0</v>
      </c>
      <c r="Y1276" s="29">
        <f t="shared" si="255"/>
        <v>0</v>
      </c>
      <c r="Z1276" s="29">
        <f t="shared" si="255"/>
        <v>0</v>
      </c>
      <c r="AA1276" s="29">
        <f t="shared" si="255"/>
        <v>0</v>
      </c>
      <c r="AB1276" s="29">
        <f t="shared" si="255"/>
        <v>0</v>
      </c>
      <c r="AC1276" s="29">
        <f t="shared" si="255"/>
        <v>419598.87</v>
      </c>
      <c r="AD1276" s="29">
        <f t="shared" si="255"/>
        <v>1010000</v>
      </c>
      <c r="AE1276" s="29">
        <f t="shared" si="255"/>
        <v>0</v>
      </c>
      <c r="AF1276" s="62" t="s">
        <v>743</v>
      </c>
      <c r="AG1276" s="62" t="s">
        <v>743</v>
      </c>
      <c r="AH1276" s="77" t="s">
        <v>743</v>
      </c>
      <c r="AT1276" s="18" t="e">
        <f>VLOOKUP(C1276,AW:AX,2,FALSE)</f>
        <v>#N/A</v>
      </c>
      <c r="BZ1276" s="29">
        <v>28415186.599999998</v>
      </c>
      <c r="CA1276" s="29"/>
      <c r="CB1276" s="29">
        <f>BZ1276-D1276</f>
        <v>-987669.41000000015</v>
      </c>
    </row>
    <row r="1277" spans="1:80" ht="61.5" x14ac:dyDescent="0.85">
      <c r="A1277" s="18">
        <v>1</v>
      </c>
      <c r="B1277" s="57">
        <f>SUBTOTAL(103,$A$1093:A1277)</f>
        <v>161</v>
      </c>
      <c r="C1277" s="91" t="s">
        <v>134</v>
      </c>
      <c r="D1277" s="29">
        <f t="shared" ref="D1277:D1282" si="256">E1277+F1277+G1277+H1277+I1277+J1277+L1277+N1277+P1277+R1277+T1277+U1277+V1277+W1277+X1277+Y1277+Z1277+AA1277+AB1277+AC1277+AD1277+AE1277</f>
        <v>6567458.7600000007</v>
      </c>
      <c r="E1277" s="29">
        <v>0</v>
      </c>
      <c r="F1277" s="29">
        <v>0</v>
      </c>
      <c r="G1277" s="29">
        <v>0</v>
      </c>
      <c r="H1277" s="29">
        <v>0</v>
      </c>
      <c r="I1277" s="29">
        <v>0</v>
      </c>
      <c r="J1277" s="29">
        <v>0</v>
      </c>
      <c r="K1277" s="31">
        <v>0</v>
      </c>
      <c r="L1277" s="29">
        <v>0</v>
      </c>
      <c r="M1277" s="29">
        <v>1175</v>
      </c>
      <c r="N1277" s="29">
        <f>5610837.44+648799.75+33425.63</f>
        <v>6293062.8200000003</v>
      </c>
      <c r="O1277" s="29">
        <v>0</v>
      </c>
      <c r="P1277" s="29">
        <v>0</v>
      </c>
      <c r="Q1277" s="29">
        <v>0</v>
      </c>
      <c r="R1277" s="29">
        <v>0</v>
      </c>
      <c r="S1277" s="29">
        <v>0</v>
      </c>
      <c r="T1277" s="29">
        <v>0</v>
      </c>
      <c r="U1277" s="29">
        <v>0</v>
      </c>
      <c r="V1277" s="29">
        <v>0</v>
      </c>
      <c r="W1277" s="29">
        <v>0</v>
      </c>
      <c r="X1277" s="29">
        <v>0</v>
      </c>
      <c r="Y1277" s="29">
        <v>0</v>
      </c>
      <c r="Z1277" s="29">
        <v>0</v>
      </c>
      <c r="AA1277" s="29">
        <v>0</v>
      </c>
      <c r="AB1277" s="29">
        <v>0</v>
      </c>
      <c r="AC1277" s="29">
        <f>ROUND(N1277*1.5%,2)</f>
        <v>94395.94</v>
      </c>
      <c r="AD1277" s="29">
        <v>180000</v>
      </c>
      <c r="AE1277" s="29">
        <v>0</v>
      </c>
      <c r="AF1277" s="32">
        <v>2022</v>
      </c>
      <c r="AG1277" s="32">
        <v>2022</v>
      </c>
      <c r="AH1277" s="33">
        <v>2022</v>
      </c>
      <c r="AT1277" s="18" t="e">
        <f>VLOOKUP(C1277,AW:AX,2,FALSE)</f>
        <v>#N/A</v>
      </c>
      <c r="BZ1277" s="61"/>
    </row>
    <row r="1278" spans="1:80" ht="61.5" x14ac:dyDescent="0.85">
      <c r="A1278" s="18">
        <v>1</v>
      </c>
      <c r="B1278" s="57">
        <f>SUBTOTAL(103,$A$1093:A1278)</f>
        <v>162</v>
      </c>
      <c r="C1278" s="91" t="s">
        <v>131</v>
      </c>
      <c r="D1278" s="29">
        <f t="shared" si="256"/>
        <v>5163742.3999999994</v>
      </c>
      <c r="E1278" s="29">
        <v>0</v>
      </c>
      <c r="F1278" s="29">
        <v>0</v>
      </c>
      <c r="G1278" s="29">
        <v>0</v>
      </c>
      <c r="H1278" s="29">
        <v>0</v>
      </c>
      <c r="I1278" s="29">
        <v>0</v>
      </c>
      <c r="J1278" s="29">
        <v>0</v>
      </c>
      <c r="K1278" s="31">
        <v>0</v>
      </c>
      <c r="L1278" s="29">
        <v>0</v>
      </c>
      <c r="M1278" s="29">
        <v>0</v>
      </c>
      <c r="N1278" s="29">
        <v>0</v>
      </c>
      <c r="O1278" s="29">
        <v>0</v>
      </c>
      <c r="P1278" s="29">
        <v>0</v>
      </c>
      <c r="Q1278" s="29">
        <v>0</v>
      </c>
      <c r="R1278" s="29">
        <v>0</v>
      </c>
      <c r="S1278" s="29">
        <v>0</v>
      </c>
      <c r="T1278" s="29">
        <v>0</v>
      </c>
      <c r="U1278" s="29">
        <v>4890386.5999999996</v>
      </c>
      <c r="V1278" s="29">
        <v>0</v>
      </c>
      <c r="W1278" s="29">
        <v>0</v>
      </c>
      <c r="X1278" s="29">
        <v>0</v>
      </c>
      <c r="Y1278" s="29">
        <v>0</v>
      </c>
      <c r="Z1278" s="29">
        <v>0</v>
      </c>
      <c r="AA1278" s="29">
        <v>0</v>
      </c>
      <c r="AB1278" s="29">
        <v>0</v>
      </c>
      <c r="AC1278" s="29">
        <f>ROUND(U1278*1.5%,2)</f>
        <v>73355.8</v>
      </c>
      <c r="AD1278" s="29">
        <v>200000</v>
      </c>
      <c r="AE1278" s="29">
        <v>0</v>
      </c>
      <c r="AF1278" s="32">
        <v>2022</v>
      </c>
      <c r="AG1278" s="32">
        <v>2022</v>
      </c>
      <c r="AH1278" s="33">
        <v>2022</v>
      </c>
      <c r="AT1278" s="18" t="e">
        <f>VLOOKUP(C1278,AW:AX,2,FALSE)</f>
        <v>#N/A</v>
      </c>
      <c r="BZ1278" s="61"/>
    </row>
    <row r="1279" spans="1:80" ht="61.5" x14ac:dyDescent="0.85">
      <c r="A1279" s="18">
        <v>1</v>
      </c>
      <c r="B1279" s="57">
        <f>SUBTOTAL(103,$A$1093:A1279)</f>
        <v>163</v>
      </c>
      <c r="C1279" s="91" t="s">
        <v>136</v>
      </c>
      <c r="D1279" s="29">
        <f t="shared" si="256"/>
        <v>4587373.3600000003</v>
      </c>
      <c r="E1279" s="29">
        <v>0</v>
      </c>
      <c r="F1279" s="29">
        <v>0</v>
      </c>
      <c r="G1279" s="29">
        <v>0</v>
      </c>
      <c r="H1279" s="29">
        <v>0</v>
      </c>
      <c r="I1279" s="29">
        <v>0</v>
      </c>
      <c r="J1279" s="29">
        <v>0</v>
      </c>
      <c r="K1279" s="31">
        <v>0</v>
      </c>
      <c r="L1279" s="29">
        <v>0</v>
      </c>
      <c r="M1279" s="29">
        <v>825</v>
      </c>
      <c r="N1279" s="29">
        <f>3916256.16+455540.25</f>
        <v>4371796.41</v>
      </c>
      <c r="O1279" s="29">
        <v>0</v>
      </c>
      <c r="P1279" s="29">
        <v>0</v>
      </c>
      <c r="Q1279" s="29">
        <v>0</v>
      </c>
      <c r="R1279" s="29">
        <v>0</v>
      </c>
      <c r="S1279" s="29">
        <v>0</v>
      </c>
      <c r="T1279" s="29">
        <v>0</v>
      </c>
      <c r="U1279" s="29">
        <v>0</v>
      </c>
      <c r="V1279" s="29">
        <v>0</v>
      </c>
      <c r="W1279" s="29">
        <v>0</v>
      </c>
      <c r="X1279" s="29">
        <v>0</v>
      </c>
      <c r="Y1279" s="29">
        <v>0</v>
      </c>
      <c r="Z1279" s="29">
        <v>0</v>
      </c>
      <c r="AA1279" s="29">
        <v>0</v>
      </c>
      <c r="AB1279" s="29">
        <v>0</v>
      </c>
      <c r="AC1279" s="29">
        <f>ROUND(N1279*1.5%,2)</f>
        <v>65576.95</v>
      </c>
      <c r="AD1279" s="29">
        <v>150000</v>
      </c>
      <c r="AE1279" s="29">
        <v>0</v>
      </c>
      <c r="AF1279" s="32">
        <v>2022</v>
      </c>
      <c r="AG1279" s="32">
        <v>2022</v>
      </c>
      <c r="AH1279" s="33">
        <v>2022</v>
      </c>
      <c r="AT1279" s="18" t="e">
        <f>VLOOKUP(C1279,AW:AX,2,FALSE)</f>
        <v>#N/A</v>
      </c>
      <c r="BZ1279" s="61"/>
    </row>
    <row r="1280" spans="1:80" ht="61.5" x14ac:dyDescent="0.85">
      <c r="A1280" s="18">
        <v>1</v>
      </c>
      <c r="B1280" s="57">
        <f>SUBTOTAL(103,$A$1093:A1280)</f>
        <v>164</v>
      </c>
      <c r="C1280" s="91" t="s">
        <v>132</v>
      </c>
      <c r="D1280" s="29">
        <f t="shared" si="256"/>
        <v>5599375.7199999997</v>
      </c>
      <c r="E1280" s="29">
        <v>0</v>
      </c>
      <c r="F1280" s="29">
        <v>0</v>
      </c>
      <c r="G1280" s="29">
        <v>0</v>
      </c>
      <c r="H1280" s="29">
        <v>0</v>
      </c>
      <c r="I1280" s="29">
        <v>0</v>
      </c>
      <c r="J1280" s="29">
        <v>0</v>
      </c>
      <c r="K1280" s="31">
        <v>0</v>
      </c>
      <c r="L1280" s="29">
        <v>0</v>
      </c>
      <c r="M1280" s="29">
        <v>1007</v>
      </c>
      <c r="N1280" s="29">
        <f>4783251.23+556035.19</f>
        <v>5339286.42</v>
      </c>
      <c r="O1280" s="29">
        <v>0</v>
      </c>
      <c r="P1280" s="29">
        <v>0</v>
      </c>
      <c r="Q1280" s="29">
        <v>0</v>
      </c>
      <c r="R1280" s="29">
        <v>0</v>
      </c>
      <c r="S1280" s="29">
        <v>0</v>
      </c>
      <c r="T1280" s="29">
        <v>0</v>
      </c>
      <c r="U1280" s="29">
        <v>0</v>
      </c>
      <c r="V1280" s="29">
        <v>0</v>
      </c>
      <c r="W1280" s="29">
        <v>0</v>
      </c>
      <c r="X1280" s="29">
        <v>0</v>
      </c>
      <c r="Y1280" s="29">
        <v>0</v>
      </c>
      <c r="Z1280" s="29">
        <v>0</v>
      </c>
      <c r="AA1280" s="29">
        <v>0</v>
      </c>
      <c r="AB1280" s="29">
        <v>0</v>
      </c>
      <c r="AC1280" s="29">
        <f>ROUND(N1280*1.5%,2)</f>
        <v>80089.3</v>
      </c>
      <c r="AD1280" s="29">
        <v>180000</v>
      </c>
      <c r="AE1280" s="29">
        <v>0</v>
      </c>
      <c r="AF1280" s="32">
        <v>2022</v>
      </c>
      <c r="AG1280" s="32">
        <v>2022</v>
      </c>
      <c r="AH1280" s="33">
        <v>2022</v>
      </c>
      <c r="AT1280" s="18" t="e">
        <f>VLOOKUP(C1280,AW:AX,2,FALSE)</f>
        <v>#N/A</v>
      </c>
      <c r="BZ1280" s="61"/>
    </row>
    <row r="1281" spans="1:78" ht="61.5" x14ac:dyDescent="0.85">
      <c r="A1281" s="18">
        <v>1</v>
      </c>
      <c r="B1281" s="57">
        <f>SUBTOTAL(103,$A$1093:A1281)</f>
        <v>165</v>
      </c>
      <c r="C1281" s="91" t="s">
        <v>133</v>
      </c>
      <c r="D1281" s="29">
        <f t="shared" si="256"/>
        <v>4480243.62</v>
      </c>
      <c r="E1281" s="29">
        <v>0</v>
      </c>
      <c r="F1281" s="29">
        <v>0</v>
      </c>
      <c r="G1281" s="29">
        <v>0</v>
      </c>
      <c r="H1281" s="29">
        <v>0</v>
      </c>
      <c r="I1281" s="29">
        <v>0</v>
      </c>
      <c r="J1281" s="29">
        <v>0</v>
      </c>
      <c r="K1281" s="31">
        <v>0</v>
      </c>
      <c r="L1281" s="29">
        <v>0</v>
      </c>
      <c r="M1281" s="29">
        <v>772.6</v>
      </c>
      <c r="N1281" s="29">
        <f>3201418.72+426606.54+638224.61</f>
        <v>4266249.87</v>
      </c>
      <c r="O1281" s="29">
        <v>0</v>
      </c>
      <c r="P1281" s="29">
        <v>0</v>
      </c>
      <c r="Q1281" s="29">
        <v>0</v>
      </c>
      <c r="R1281" s="29">
        <v>0</v>
      </c>
      <c r="S1281" s="29">
        <v>0</v>
      </c>
      <c r="T1281" s="29">
        <v>0</v>
      </c>
      <c r="U1281" s="29">
        <v>0</v>
      </c>
      <c r="V1281" s="29">
        <v>0</v>
      </c>
      <c r="W1281" s="29">
        <v>0</v>
      </c>
      <c r="X1281" s="29">
        <v>0</v>
      </c>
      <c r="Y1281" s="29">
        <v>0</v>
      </c>
      <c r="Z1281" s="29">
        <v>0</v>
      </c>
      <c r="AA1281" s="29">
        <v>0</v>
      </c>
      <c r="AB1281" s="29">
        <v>0</v>
      </c>
      <c r="AC1281" s="29">
        <f>ROUND(N1281*1.5%,2)</f>
        <v>63993.75</v>
      </c>
      <c r="AD1281" s="29">
        <v>150000</v>
      </c>
      <c r="AE1281" s="29">
        <v>0</v>
      </c>
      <c r="AF1281" s="32">
        <v>2022</v>
      </c>
      <c r="AG1281" s="32">
        <v>2022</v>
      </c>
      <c r="AH1281" s="33">
        <v>2022</v>
      </c>
      <c r="AT1281" s="18" t="e">
        <f>VLOOKUP(C1281,AW:AX,2,FALSE)</f>
        <v>#N/A</v>
      </c>
      <c r="BZ1281" s="61"/>
    </row>
    <row r="1282" spans="1:78" ht="61.5" x14ac:dyDescent="0.85">
      <c r="A1282" s="18">
        <v>1</v>
      </c>
      <c r="B1282" s="57">
        <f>SUBTOTAL(103,$A$1093:A1282)</f>
        <v>166</v>
      </c>
      <c r="C1282" s="91" t="s">
        <v>1582</v>
      </c>
      <c r="D1282" s="29">
        <f t="shared" si="256"/>
        <v>3004662.15</v>
      </c>
      <c r="E1282" s="29">
        <v>0</v>
      </c>
      <c r="F1282" s="29">
        <v>0</v>
      </c>
      <c r="G1282" s="29">
        <v>0</v>
      </c>
      <c r="H1282" s="29">
        <v>0</v>
      </c>
      <c r="I1282" s="29">
        <v>0</v>
      </c>
      <c r="J1282" s="29">
        <v>0</v>
      </c>
      <c r="K1282" s="31">
        <v>0</v>
      </c>
      <c r="L1282" s="29">
        <v>0</v>
      </c>
      <c r="M1282" s="29">
        <v>0</v>
      </c>
      <c r="N1282" s="29">
        <v>0</v>
      </c>
      <c r="O1282" s="29">
        <v>0</v>
      </c>
      <c r="P1282" s="29">
        <v>0</v>
      </c>
      <c r="Q1282" s="29">
        <v>0</v>
      </c>
      <c r="R1282" s="29">
        <v>0</v>
      </c>
      <c r="S1282" s="29">
        <v>0</v>
      </c>
      <c r="T1282" s="29">
        <v>0</v>
      </c>
      <c r="U1282" s="29">
        <f>2786886.72+25588.3</f>
        <v>2812475.02</v>
      </c>
      <c r="V1282" s="29">
        <v>0</v>
      </c>
      <c r="W1282" s="29">
        <v>0</v>
      </c>
      <c r="X1282" s="29">
        <v>0</v>
      </c>
      <c r="Y1282" s="29">
        <v>0</v>
      </c>
      <c r="Z1282" s="29">
        <v>0</v>
      </c>
      <c r="AA1282" s="29">
        <v>0</v>
      </c>
      <c r="AB1282" s="29">
        <v>0</v>
      </c>
      <c r="AC1282" s="29">
        <f>ROUND(U1282*1.5%,2)</f>
        <v>42187.13</v>
      </c>
      <c r="AD1282" s="29">
        <v>150000</v>
      </c>
      <c r="AE1282" s="29">
        <v>0</v>
      </c>
      <c r="AF1282" s="32">
        <v>2022</v>
      </c>
      <c r="AG1282" s="32">
        <v>2022</v>
      </c>
      <c r="AH1282" s="33">
        <v>2022</v>
      </c>
      <c r="BZ1282" s="61"/>
    </row>
    <row r="1283" spans="1:78" ht="61.5" x14ac:dyDescent="0.85">
      <c r="B1283" s="22" t="s">
        <v>829</v>
      </c>
      <c r="C1283" s="338"/>
      <c r="D1283" s="339">
        <f>D1284+D1285</f>
        <v>5380655.7999999998</v>
      </c>
      <c r="E1283" s="29">
        <f t="shared" ref="E1283:AE1283" si="257">E1284+E1285</f>
        <v>0</v>
      </c>
      <c r="F1283" s="29">
        <f t="shared" si="257"/>
        <v>0</v>
      </c>
      <c r="G1283" s="29">
        <f t="shared" si="257"/>
        <v>0</v>
      </c>
      <c r="H1283" s="29">
        <f t="shared" si="257"/>
        <v>0</v>
      </c>
      <c r="I1283" s="29">
        <f t="shared" si="257"/>
        <v>0</v>
      </c>
      <c r="J1283" s="29">
        <f t="shared" si="257"/>
        <v>0</v>
      </c>
      <c r="K1283" s="31">
        <f t="shared" si="257"/>
        <v>0</v>
      </c>
      <c r="L1283" s="29">
        <f t="shared" si="257"/>
        <v>0</v>
      </c>
      <c r="M1283" s="29">
        <f t="shared" si="257"/>
        <v>630</v>
      </c>
      <c r="N1283" s="29">
        <f t="shared" si="257"/>
        <v>3258269.85</v>
      </c>
      <c r="O1283" s="29">
        <f t="shared" si="257"/>
        <v>0</v>
      </c>
      <c r="P1283" s="29">
        <f t="shared" si="257"/>
        <v>0</v>
      </c>
      <c r="Q1283" s="29">
        <f t="shared" si="257"/>
        <v>437</v>
      </c>
      <c r="R1283" s="29">
        <f t="shared" si="257"/>
        <v>1800000</v>
      </c>
      <c r="S1283" s="29">
        <f t="shared" si="257"/>
        <v>0</v>
      </c>
      <c r="T1283" s="29">
        <f t="shared" si="257"/>
        <v>0</v>
      </c>
      <c r="U1283" s="29">
        <f t="shared" si="257"/>
        <v>0</v>
      </c>
      <c r="V1283" s="29">
        <f t="shared" si="257"/>
        <v>0</v>
      </c>
      <c r="W1283" s="29">
        <f t="shared" si="257"/>
        <v>0</v>
      </c>
      <c r="X1283" s="29">
        <f t="shared" si="257"/>
        <v>0</v>
      </c>
      <c r="Y1283" s="29">
        <f t="shared" si="257"/>
        <v>0</v>
      </c>
      <c r="Z1283" s="29">
        <f t="shared" si="257"/>
        <v>0</v>
      </c>
      <c r="AA1283" s="29">
        <f t="shared" si="257"/>
        <v>0</v>
      </c>
      <c r="AB1283" s="29">
        <f t="shared" si="257"/>
        <v>0</v>
      </c>
      <c r="AC1283" s="29">
        <f t="shared" si="257"/>
        <v>75874.05</v>
      </c>
      <c r="AD1283" s="29">
        <f t="shared" si="257"/>
        <v>246511.9</v>
      </c>
      <c r="AE1283" s="29">
        <f t="shared" si="257"/>
        <v>0</v>
      </c>
      <c r="AF1283" s="346" t="s">
        <v>743</v>
      </c>
      <c r="AG1283" s="346" t="s">
        <v>743</v>
      </c>
      <c r="AH1283" s="347" t="s">
        <v>743</v>
      </c>
      <c r="AT1283" s="18" t="e">
        <f>VLOOKUP(C1283,AW:AX,2,FALSE)</f>
        <v>#N/A</v>
      </c>
      <c r="BZ1283" s="61">
        <v>5777967.8699999992</v>
      </c>
    </row>
    <row r="1284" spans="1:78" ht="61.5" x14ac:dyDescent="0.85">
      <c r="A1284" s="18">
        <v>1</v>
      </c>
      <c r="B1284" s="57">
        <f>SUBTOTAL(103,$A$1093:A1284)</f>
        <v>167</v>
      </c>
      <c r="C1284" s="91" t="s">
        <v>178</v>
      </c>
      <c r="D1284" s="29">
        <f>E1284+F1284+G1284+H1284+I1284+J1284+L1284+N1284+P1284+R1284+T1284+U1284+V1284+W1284+X1284+Y1284+Z1284+AA1284+AB1284+AC1284+AD1284+AE1284</f>
        <v>3457143.9</v>
      </c>
      <c r="E1284" s="29">
        <v>0</v>
      </c>
      <c r="F1284" s="29">
        <v>0</v>
      </c>
      <c r="G1284" s="29">
        <v>0</v>
      </c>
      <c r="H1284" s="29">
        <v>0</v>
      </c>
      <c r="I1284" s="29">
        <v>0</v>
      </c>
      <c r="J1284" s="29">
        <v>0</v>
      </c>
      <c r="K1284" s="31">
        <v>0</v>
      </c>
      <c r="L1284" s="29">
        <v>0</v>
      </c>
      <c r="M1284" s="29">
        <v>630</v>
      </c>
      <c r="N1284" s="29">
        <v>3258269.85</v>
      </c>
      <c r="O1284" s="29">
        <v>0</v>
      </c>
      <c r="P1284" s="29">
        <v>0</v>
      </c>
      <c r="Q1284" s="29">
        <v>0</v>
      </c>
      <c r="R1284" s="29">
        <v>0</v>
      </c>
      <c r="S1284" s="29">
        <v>0</v>
      </c>
      <c r="T1284" s="29">
        <v>0</v>
      </c>
      <c r="U1284" s="29">
        <v>0</v>
      </c>
      <c r="V1284" s="29">
        <v>0</v>
      </c>
      <c r="W1284" s="29">
        <v>0</v>
      </c>
      <c r="X1284" s="29">
        <v>0</v>
      </c>
      <c r="Y1284" s="29">
        <v>0</v>
      </c>
      <c r="Z1284" s="29">
        <v>0</v>
      </c>
      <c r="AA1284" s="29">
        <v>0</v>
      </c>
      <c r="AB1284" s="29">
        <v>0</v>
      </c>
      <c r="AC1284" s="29">
        <f>ROUND(N1284*1.5%,2)</f>
        <v>48874.05</v>
      </c>
      <c r="AD1284" s="29">
        <v>150000</v>
      </c>
      <c r="AE1284" s="29">
        <v>0</v>
      </c>
      <c r="AF1284" s="32">
        <v>2022</v>
      </c>
      <c r="AG1284" s="32">
        <v>2022</v>
      </c>
      <c r="AH1284" s="33">
        <v>2022</v>
      </c>
      <c r="AT1284" s="18" t="e">
        <f>VLOOKUP(C1284,AW:AX,2,FALSE)</f>
        <v>#N/A</v>
      </c>
      <c r="BZ1284" s="61"/>
    </row>
    <row r="1285" spans="1:78" ht="61.5" x14ac:dyDescent="0.85">
      <c r="A1285" s="18">
        <v>1</v>
      </c>
      <c r="B1285" s="57">
        <f>SUBTOTAL(103,$A$1093:A1285)</f>
        <v>168</v>
      </c>
      <c r="C1285" s="91" t="s">
        <v>179</v>
      </c>
      <c r="D1285" s="29">
        <f>E1285+F1285+G1285+H1285+I1285+J1285+L1285+N1285+P1285+R1285+T1285+U1285+V1285+W1285+X1285+Y1285+Z1285+AA1285+AB1285+AC1285+AD1285+AE1285</f>
        <v>1923511.9</v>
      </c>
      <c r="E1285" s="29">
        <v>0</v>
      </c>
      <c r="F1285" s="29">
        <v>0</v>
      </c>
      <c r="G1285" s="29">
        <v>0</v>
      </c>
      <c r="H1285" s="29">
        <v>0</v>
      </c>
      <c r="I1285" s="29">
        <v>0</v>
      </c>
      <c r="J1285" s="29">
        <v>0</v>
      </c>
      <c r="K1285" s="31">
        <v>0</v>
      </c>
      <c r="L1285" s="29">
        <v>0</v>
      </c>
      <c r="M1285" s="29">
        <v>0</v>
      </c>
      <c r="N1285" s="29">
        <v>0</v>
      </c>
      <c r="O1285" s="29">
        <v>0</v>
      </c>
      <c r="P1285" s="29">
        <v>0</v>
      </c>
      <c r="Q1285" s="29">
        <v>437</v>
      </c>
      <c r="R1285" s="29">
        <v>1800000</v>
      </c>
      <c r="S1285" s="29">
        <v>0</v>
      </c>
      <c r="T1285" s="29">
        <v>0</v>
      </c>
      <c r="U1285" s="29">
        <v>0</v>
      </c>
      <c r="V1285" s="29">
        <v>0</v>
      </c>
      <c r="W1285" s="29">
        <v>0</v>
      </c>
      <c r="X1285" s="29">
        <v>0</v>
      </c>
      <c r="Y1285" s="29">
        <v>0</v>
      </c>
      <c r="Z1285" s="29">
        <v>0</v>
      </c>
      <c r="AA1285" s="29">
        <v>0</v>
      </c>
      <c r="AB1285" s="29">
        <v>0</v>
      </c>
      <c r="AC1285" s="29">
        <f>ROUND(R1285*1.5%,2)</f>
        <v>27000</v>
      </c>
      <c r="AD1285" s="29">
        <f>100000-3488.1</f>
        <v>96511.9</v>
      </c>
      <c r="AE1285" s="29">
        <v>0</v>
      </c>
      <c r="AF1285" s="32">
        <v>2022</v>
      </c>
      <c r="AG1285" s="32">
        <v>2022</v>
      </c>
      <c r="AH1285" s="33">
        <v>2022</v>
      </c>
      <c r="AT1285" s="18" t="e">
        <f>VLOOKUP(C1285,AW:AX,2,FALSE)</f>
        <v>#N/A</v>
      </c>
      <c r="BZ1285" s="61"/>
    </row>
    <row r="1286" spans="1:78" ht="61.5" x14ac:dyDescent="0.85">
      <c r="B1286" s="22" t="s">
        <v>826</v>
      </c>
      <c r="C1286" s="22"/>
      <c r="D1286" s="339">
        <f>D1287+D1288+D1289</f>
        <v>5206292.58</v>
      </c>
      <c r="E1286" s="29">
        <f t="shared" ref="E1286:AE1286" si="258">E1287+E1288+E1289</f>
        <v>0</v>
      </c>
      <c r="F1286" s="29">
        <f t="shared" si="258"/>
        <v>0</v>
      </c>
      <c r="G1286" s="29">
        <f t="shared" si="258"/>
        <v>0</v>
      </c>
      <c r="H1286" s="29">
        <f t="shared" si="258"/>
        <v>0</v>
      </c>
      <c r="I1286" s="29">
        <f t="shared" si="258"/>
        <v>0</v>
      </c>
      <c r="J1286" s="29">
        <f t="shared" si="258"/>
        <v>0</v>
      </c>
      <c r="K1286" s="31">
        <f t="shared" si="258"/>
        <v>0</v>
      </c>
      <c r="L1286" s="29">
        <f t="shared" si="258"/>
        <v>0</v>
      </c>
      <c r="M1286" s="29">
        <f t="shared" si="258"/>
        <v>543</v>
      </c>
      <c r="N1286" s="29">
        <f t="shared" si="258"/>
        <v>3221379.17</v>
      </c>
      <c r="O1286" s="29">
        <f t="shared" si="258"/>
        <v>0</v>
      </c>
      <c r="P1286" s="29">
        <f t="shared" si="258"/>
        <v>0</v>
      </c>
      <c r="Q1286" s="29">
        <f t="shared" si="258"/>
        <v>322</v>
      </c>
      <c r="R1286" s="29">
        <f t="shared" si="258"/>
        <v>1666593.81</v>
      </c>
      <c r="S1286" s="29">
        <f t="shared" si="258"/>
        <v>0</v>
      </c>
      <c r="T1286" s="29">
        <f t="shared" si="258"/>
        <v>0</v>
      </c>
      <c r="U1286" s="29">
        <f t="shared" si="258"/>
        <v>0</v>
      </c>
      <c r="V1286" s="29">
        <f t="shared" si="258"/>
        <v>0</v>
      </c>
      <c r="W1286" s="29">
        <f t="shared" si="258"/>
        <v>0</v>
      </c>
      <c r="X1286" s="29">
        <f t="shared" si="258"/>
        <v>0</v>
      </c>
      <c r="Y1286" s="29">
        <f t="shared" si="258"/>
        <v>0</v>
      </c>
      <c r="Z1286" s="29">
        <f t="shared" si="258"/>
        <v>0</v>
      </c>
      <c r="AA1286" s="29">
        <f t="shared" si="258"/>
        <v>0</v>
      </c>
      <c r="AB1286" s="29">
        <f t="shared" si="258"/>
        <v>0</v>
      </c>
      <c r="AC1286" s="29">
        <f t="shared" si="258"/>
        <v>73319.600000000006</v>
      </c>
      <c r="AD1286" s="29">
        <f t="shared" si="258"/>
        <v>245000</v>
      </c>
      <c r="AE1286" s="29">
        <f t="shared" si="258"/>
        <v>0</v>
      </c>
      <c r="AF1286" s="346" t="s">
        <v>743</v>
      </c>
      <c r="AG1286" s="346" t="s">
        <v>743</v>
      </c>
      <c r="AH1286" s="347" t="s">
        <v>743</v>
      </c>
      <c r="AT1286" s="18" t="e">
        <f>VLOOKUP(C1286,AW:AX,2,FALSE)</f>
        <v>#N/A</v>
      </c>
      <c r="BZ1286" s="61">
        <v>4715781.71</v>
      </c>
    </row>
    <row r="1287" spans="1:78" ht="61.5" x14ac:dyDescent="0.85">
      <c r="A1287" s="18">
        <v>1</v>
      </c>
      <c r="B1287" s="57">
        <f>SUBTOTAL(103,$A$1093:A1287)</f>
        <v>169</v>
      </c>
      <c r="C1287" s="91" t="s">
        <v>784</v>
      </c>
      <c r="D1287" s="29">
        <f>E1287+F1287+G1287+H1287+I1287+J1287+L1287+N1287+P1287+R1287+T1287+U1287+V1287+W1287+X1287+Y1287+Z1287+AA1287+AB1287+AC1287+AD1287+AE1287</f>
        <v>1776592.72</v>
      </c>
      <c r="E1287" s="29">
        <v>0</v>
      </c>
      <c r="F1287" s="29">
        <v>0</v>
      </c>
      <c r="G1287" s="29">
        <v>0</v>
      </c>
      <c r="H1287" s="29">
        <v>0</v>
      </c>
      <c r="I1287" s="29">
        <v>0</v>
      </c>
      <c r="J1287" s="29">
        <v>0</v>
      </c>
      <c r="K1287" s="31">
        <v>0</v>
      </c>
      <c r="L1287" s="29">
        <v>0</v>
      </c>
      <c r="M1287" s="29">
        <v>0</v>
      </c>
      <c r="N1287" s="29">
        <v>0</v>
      </c>
      <c r="O1287" s="29">
        <v>0</v>
      </c>
      <c r="P1287" s="29">
        <v>0</v>
      </c>
      <c r="Q1287" s="29">
        <v>322</v>
      </c>
      <c r="R1287" s="29">
        <f>1586286.52+80307.29</f>
        <v>1666593.81</v>
      </c>
      <c r="S1287" s="29">
        <v>0</v>
      </c>
      <c r="T1287" s="29">
        <v>0</v>
      </c>
      <c r="U1287" s="29">
        <v>0</v>
      </c>
      <c r="V1287" s="29">
        <v>0</v>
      </c>
      <c r="W1287" s="29">
        <v>0</v>
      </c>
      <c r="X1287" s="29">
        <v>0</v>
      </c>
      <c r="Y1287" s="29">
        <v>0</v>
      </c>
      <c r="Z1287" s="29">
        <v>0</v>
      </c>
      <c r="AA1287" s="29">
        <v>0</v>
      </c>
      <c r="AB1287" s="29">
        <v>0</v>
      </c>
      <c r="AC1287" s="29">
        <f>ROUND(R1287*1.5%,2)</f>
        <v>24998.91</v>
      </c>
      <c r="AD1287" s="29">
        <v>85000</v>
      </c>
      <c r="AE1287" s="29">
        <v>0</v>
      </c>
      <c r="AF1287" s="32">
        <v>2022</v>
      </c>
      <c r="AG1287" s="32">
        <v>2022</v>
      </c>
      <c r="AH1287" s="33">
        <v>2022</v>
      </c>
      <c r="AT1287" s="18" t="e">
        <f>VLOOKUP(C1287,AW:AX,2,FALSE)</f>
        <v>#N/A</v>
      </c>
      <c r="BZ1287" s="61"/>
    </row>
    <row r="1288" spans="1:78" ht="61.5" x14ac:dyDescent="0.85">
      <c r="A1288" s="18">
        <v>1</v>
      </c>
      <c r="B1288" s="57">
        <f>SUBTOTAL(103,$A$1093:A1288)</f>
        <v>170</v>
      </c>
      <c r="C1288" s="91" t="s">
        <v>182</v>
      </c>
      <c r="D1288" s="29">
        <f>E1288+F1288+G1288+H1288+I1288+J1288+L1288+N1288+P1288+R1288+T1288+U1288+V1288+W1288+X1288+Y1288+Z1288+AA1288+AB1288+AC1288+AD1288+AE1288</f>
        <v>1689555.1300000001</v>
      </c>
      <c r="E1288" s="29">
        <v>0</v>
      </c>
      <c r="F1288" s="29">
        <v>0</v>
      </c>
      <c r="G1288" s="29">
        <v>0</v>
      </c>
      <c r="H1288" s="29">
        <v>0</v>
      </c>
      <c r="I1288" s="29">
        <v>0</v>
      </c>
      <c r="J1288" s="29">
        <v>0</v>
      </c>
      <c r="K1288" s="31">
        <v>0</v>
      </c>
      <c r="L1288" s="29">
        <v>0</v>
      </c>
      <c r="M1288" s="29">
        <v>260</v>
      </c>
      <c r="N1288" s="29">
        <v>1585768.6</v>
      </c>
      <c r="O1288" s="29">
        <v>0</v>
      </c>
      <c r="P1288" s="29">
        <v>0</v>
      </c>
      <c r="Q1288" s="29">
        <v>0</v>
      </c>
      <c r="R1288" s="29">
        <v>0</v>
      </c>
      <c r="S1288" s="29">
        <v>0</v>
      </c>
      <c r="T1288" s="29">
        <v>0</v>
      </c>
      <c r="U1288" s="29">
        <v>0</v>
      </c>
      <c r="V1288" s="29">
        <v>0</v>
      </c>
      <c r="W1288" s="29">
        <v>0</v>
      </c>
      <c r="X1288" s="29">
        <v>0</v>
      </c>
      <c r="Y1288" s="29">
        <v>0</v>
      </c>
      <c r="Z1288" s="29">
        <v>0</v>
      </c>
      <c r="AA1288" s="29">
        <v>0</v>
      </c>
      <c r="AB1288" s="29">
        <v>0</v>
      </c>
      <c r="AC1288" s="29">
        <f>ROUND(N1288*1.5%,2)</f>
        <v>23786.53</v>
      </c>
      <c r="AD1288" s="29">
        <v>80000</v>
      </c>
      <c r="AE1288" s="29">
        <v>0</v>
      </c>
      <c r="AF1288" s="32">
        <v>2022</v>
      </c>
      <c r="AG1288" s="32">
        <v>2022</v>
      </c>
      <c r="AH1288" s="33">
        <v>2022</v>
      </c>
      <c r="AT1288" s="18" t="e">
        <f>VLOOKUP(C1288,AW:AX,2,FALSE)</f>
        <v>#N/A</v>
      </c>
      <c r="BZ1288" s="61"/>
    </row>
    <row r="1289" spans="1:78" ht="61.5" x14ac:dyDescent="0.85">
      <c r="A1289" s="18">
        <v>1</v>
      </c>
      <c r="B1289" s="57">
        <f>SUBTOTAL(103,$A$1093:A1289)</f>
        <v>171</v>
      </c>
      <c r="C1289" s="91" t="s">
        <v>180</v>
      </c>
      <c r="D1289" s="29">
        <f>E1289+F1289+G1289+H1289+I1289+J1289+L1289+N1289+P1289+R1289+T1289+U1289+V1289+W1289+X1289+Y1289+Z1289+AA1289+AB1289+AC1289+AD1289+AE1289</f>
        <v>1740144.7299999997</v>
      </c>
      <c r="E1289" s="29">
        <v>0</v>
      </c>
      <c r="F1289" s="29">
        <v>0</v>
      </c>
      <c r="G1289" s="29">
        <v>0</v>
      </c>
      <c r="H1289" s="29">
        <v>0</v>
      </c>
      <c r="I1289" s="29">
        <v>0</v>
      </c>
      <c r="J1289" s="29">
        <v>0</v>
      </c>
      <c r="K1289" s="31">
        <v>0</v>
      </c>
      <c r="L1289" s="29">
        <v>0</v>
      </c>
      <c r="M1289" s="29">
        <v>283</v>
      </c>
      <c r="N1289" s="29">
        <f>1726048.13-90437.56</f>
        <v>1635610.5699999998</v>
      </c>
      <c r="O1289" s="29">
        <v>0</v>
      </c>
      <c r="P1289" s="29">
        <v>0</v>
      </c>
      <c r="Q1289" s="29">
        <v>0</v>
      </c>
      <c r="R1289" s="29">
        <v>0</v>
      </c>
      <c r="S1289" s="29">
        <v>0</v>
      </c>
      <c r="T1289" s="29">
        <v>0</v>
      </c>
      <c r="U1289" s="29">
        <v>0</v>
      </c>
      <c r="V1289" s="29">
        <v>0</v>
      </c>
      <c r="W1289" s="29">
        <v>0</v>
      </c>
      <c r="X1289" s="29">
        <v>0</v>
      </c>
      <c r="Y1289" s="29">
        <v>0</v>
      </c>
      <c r="Z1289" s="29">
        <v>0</v>
      </c>
      <c r="AA1289" s="29">
        <v>0</v>
      </c>
      <c r="AB1289" s="29">
        <v>0</v>
      </c>
      <c r="AC1289" s="29">
        <f>ROUND(N1289*1.5%,2)</f>
        <v>24534.16</v>
      </c>
      <c r="AD1289" s="29">
        <v>80000</v>
      </c>
      <c r="AE1289" s="29">
        <v>0</v>
      </c>
      <c r="AF1289" s="32">
        <v>2022</v>
      </c>
      <c r="AG1289" s="32">
        <v>2022</v>
      </c>
      <c r="AH1289" s="33">
        <v>2022</v>
      </c>
      <c r="AT1289" s="18" t="e">
        <f>VLOOKUP(C1289,AW:AX,2,FALSE)</f>
        <v>#N/A</v>
      </c>
      <c r="BZ1289" s="61"/>
    </row>
    <row r="1290" spans="1:78" ht="61.5" x14ac:dyDescent="0.85">
      <c r="B1290" s="22" t="s">
        <v>827</v>
      </c>
      <c r="C1290" s="22"/>
      <c r="D1290" s="339">
        <f>D1291+D1292</f>
        <v>2957426.2299999995</v>
      </c>
      <c r="E1290" s="29">
        <f t="shared" ref="E1290:AE1290" si="259">E1291+E1292</f>
        <v>0</v>
      </c>
      <c r="F1290" s="29">
        <f t="shared" si="259"/>
        <v>0</v>
      </c>
      <c r="G1290" s="29">
        <f t="shared" si="259"/>
        <v>0</v>
      </c>
      <c r="H1290" s="29">
        <f t="shared" si="259"/>
        <v>0</v>
      </c>
      <c r="I1290" s="29">
        <f t="shared" si="259"/>
        <v>0</v>
      </c>
      <c r="J1290" s="29">
        <f t="shared" si="259"/>
        <v>0</v>
      </c>
      <c r="K1290" s="31">
        <f t="shared" si="259"/>
        <v>0</v>
      </c>
      <c r="L1290" s="29">
        <f t="shared" si="259"/>
        <v>0</v>
      </c>
      <c r="M1290" s="29">
        <f t="shared" si="259"/>
        <v>472</v>
      </c>
      <c r="N1290" s="29">
        <f t="shared" si="259"/>
        <v>2785641.5999999996</v>
      </c>
      <c r="O1290" s="29">
        <f t="shared" si="259"/>
        <v>0</v>
      </c>
      <c r="P1290" s="29">
        <f t="shared" si="259"/>
        <v>0</v>
      </c>
      <c r="Q1290" s="29">
        <f t="shared" si="259"/>
        <v>0</v>
      </c>
      <c r="R1290" s="29">
        <f t="shared" si="259"/>
        <v>0</v>
      </c>
      <c r="S1290" s="29">
        <f t="shared" si="259"/>
        <v>0</v>
      </c>
      <c r="T1290" s="29">
        <f t="shared" si="259"/>
        <v>0</v>
      </c>
      <c r="U1290" s="29">
        <f t="shared" si="259"/>
        <v>0</v>
      </c>
      <c r="V1290" s="29">
        <f t="shared" si="259"/>
        <v>0</v>
      </c>
      <c r="W1290" s="29">
        <f t="shared" si="259"/>
        <v>0</v>
      </c>
      <c r="X1290" s="29">
        <f t="shared" si="259"/>
        <v>0</v>
      </c>
      <c r="Y1290" s="29">
        <f t="shared" si="259"/>
        <v>0</v>
      </c>
      <c r="Z1290" s="29">
        <f t="shared" si="259"/>
        <v>0</v>
      </c>
      <c r="AA1290" s="29">
        <f t="shared" si="259"/>
        <v>0</v>
      </c>
      <c r="AB1290" s="29">
        <f t="shared" si="259"/>
        <v>0</v>
      </c>
      <c r="AC1290" s="29">
        <f t="shared" si="259"/>
        <v>41784.630000000005</v>
      </c>
      <c r="AD1290" s="29">
        <f t="shared" si="259"/>
        <v>130000</v>
      </c>
      <c r="AE1290" s="29">
        <f t="shared" si="259"/>
        <v>0</v>
      </c>
      <c r="AF1290" s="346" t="s">
        <v>743</v>
      </c>
      <c r="AG1290" s="346" t="s">
        <v>743</v>
      </c>
      <c r="AH1290" s="347" t="s">
        <v>743</v>
      </c>
      <c r="AT1290" s="18" t="e">
        <f>VLOOKUP(C1290,AW:AX,2,FALSE)</f>
        <v>#N/A</v>
      </c>
      <c r="BZ1290" s="61">
        <v>2590114.16</v>
      </c>
    </row>
    <row r="1291" spans="1:78" ht="61.5" x14ac:dyDescent="0.85">
      <c r="A1291" s="18">
        <v>1</v>
      </c>
      <c r="B1291" s="57">
        <f>SUBTOTAL(103,$A$1093:A1291)</f>
        <v>172</v>
      </c>
      <c r="C1291" s="91" t="s">
        <v>1681</v>
      </c>
      <c r="D1291" s="29">
        <f>E1291+F1291+G1291+H1291+I1291+J1291+L1291+N1291+P1291+R1291+T1291+U1291+V1291+W1291+X1291+Y1291+Z1291+AA1291+AB1291+AC1291+AD1291+AE1291</f>
        <v>1276754.0999999999</v>
      </c>
      <c r="E1291" s="29">
        <v>0</v>
      </c>
      <c r="F1291" s="29">
        <v>0</v>
      </c>
      <c r="G1291" s="29">
        <v>0</v>
      </c>
      <c r="H1291" s="29">
        <v>0</v>
      </c>
      <c r="I1291" s="29">
        <v>0</v>
      </c>
      <c r="J1291" s="29">
        <v>0</v>
      </c>
      <c r="K1291" s="31">
        <v>0</v>
      </c>
      <c r="L1291" s="29">
        <v>0</v>
      </c>
      <c r="M1291" s="29">
        <v>230</v>
      </c>
      <c r="N1291" s="29">
        <v>1193846.3999999999</v>
      </c>
      <c r="O1291" s="29">
        <v>0</v>
      </c>
      <c r="P1291" s="29">
        <v>0</v>
      </c>
      <c r="Q1291" s="29">
        <v>0</v>
      </c>
      <c r="R1291" s="29">
        <v>0</v>
      </c>
      <c r="S1291" s="29">
        <v>0</v>
      </c>
      <c r="T1291" s="29">
        <v>0</v>
      </c>
      <c r="U1291" s="29">
        <v>0</v>
      </c>
      <c r="V1291" s="29">
        <v>0</v>
      </c>
      <c r="W1291" s="29">
        <v>0</v>
      </c>
      <c r="X1291" s="29">
        <v>0</v>
      </c>
      <c r="Y1291" s="29">
        <v>0</v>
      </c>
      <c r="Z1291" s="29">
        <v>0</v>
      </c>
      <c r="AA1291" s="29">
        <v>0</v>
      </c>
      <c r="AB1291" s="29">
        <v>0</v>
      </c>
      <c r="AC1291" s="29">
        <f>ROUND(N1291*1.5%,2)</f>
        <v>17907.7</v>
      </c>
      <c r="AD1291" s="29">
        <v>65000</v>
      </c>
      <c r="AE1291" s="29">
        <v>0</v>
      </c>
      <c r="AF1291" s="32">
        <v>2022</v>
      </c>
      <c r="AG1291" s="32">
        <v>2022</v>
      </c>
      <c r="AH1291" s="33">
        <v>2022</v>
      </c>
      <c r="AT1291" s="18" t="e">
        <f>VLOOKUP(C1291,AW:AX,2,FALSE)</f>
        <v>#N/A</v>
      </c>
      <c r="BZ1291" s="61"/>
    </row>
    <row r="1292" spans="1:78" ht="61.5" x14ac:dyDescent="0.85">
      <c r="A1292" s="18">
        <v>1</v>
      </c>
      <c r="B1292" s="57">
        <f>SUBTOTAL(103,$A$1093:A1292)</f>
        <v>173</v>
      </c>
      <c r="C1292" s="91" t="s">
        <v>177</v>
      </c>
      <c r="D1292" s="29">
        <f>E1292+F1292+G1292+H1292+I1292+J1292+L1292+N1292+P1292+R1292+T1292+U1292+V1292+W1292+X1292+Y1292+Z1292+AA1292+AB1292+AC1292+AD1292+AE1292</f>
        <v>1680672.13</v>
      </c>
      <c r="E1292" s="29">
        <v>0</v>
      </c>
      <c r="F1292" s="29">
        <v>0</v>
      </c>
      <c r="G1292" s="29">
        <v>0</v>
      </c>
      <c r="H1292" s="29">
        <v>0</v>
      </c>
      <c r="I1292" s="29">
        <v>0</v>
      </c>
      <c r="J1292" s="29">
        <v>0</v>
      </c>
      <c r="K1292" s="31">
        <v>0</v>
      </c>
      <c r="L1292" s="29">
        <v>0</v>
      </c>
      <c r="M1292" s="29">
        <v>242</v>
      </c>
      <c r="N1292" s="29">
        <v>1591795.2</v>
      </c>
      <c r="O1292" s="29">
        <v>0</v>
      </c>
      <c r="P1292" s="29">
        <v>0</v>
      </c>
      <c r="Q1292" s="29">
        <v>0</v>
      </c>
      <c r="R1292" s="29">
        <v>0</v>
      </c>
      <c r="S1292" s="29">
        <v>0</v>
      </c>
      <c r="T1292" s="29">
        <v>0</v>
      </c>
      <c r="U1292" s="29">
        <v>0</v>
      </c>
      <c r="V1292" s="29">
        <v>0</v>
      </c>
      <c r="W1292" s="29">
        <v>0</v>
      </c>
      <c r="X1292" s="29">
        <v>0</v>
      </c>
      <c r="Y1292" s="29">
        <v>0</v>
      </c>
      <c r="Z1292" s="29">
        <v>0</v>
      </c>
      <c r="AA1292" s="29">
        <v>0</v>
      </c>
      <c r="AB1292" s="29">
        <v>0</v>
      </c>
      <c r="AC1292" s="29">
        <f>ROUND(N1292*1.5%,2)</f>
        <v>23876.93</v>
      </c>
      <c r="AD1292" s="29">
        <v>65000</v>
      </c>
      <c r="AE1292" s="29">
        <v>0</v>
      </c>
      <c r="AF1292" s="32">
        <v>2022</v>
      </c>
      <c r="AG1292" s="32">
        <v>2022</v>
      </c>
      <c r="AH1292" s="33">
        <v>2022</v>
      </c>
      <c r="AT1292" s="18" t="e">
        <f>VLOOKUP(C1292,AW:AX,2,FALSE)</f>
        <v>#N/A</v>
      </c>
      <c r="BZ1292" s="61"/>
    </row>
    <row r="1293" spans="1:78" ht="61.5" x14ac:dyDescent="0.85">
      <c r="B1293" s="22" t="s">
        <v>828</v>
      </c>
      <c r="C1293" s="22"/>
      <c r="D1293" s="339">
        <f>D1294</f>
        <v>1486533.11</v>
      </c>
      <c r="E1293" s="29">
        <f t="shared" ref="E1293:AE1293" si="260">E1294</f>
        <v>0</v>
      </c>
      <c r="F1293" s="29">
        <f t="shared" si="260"/>
        <v>0</v>
      </c>
      <c r="G1293" s="29">
        <f t="shared" si="260"/>
        <v>0</v>
      </c>
      <c r="H1293" s="29">
        <f t="shared" si="260"/>
        <v>0</v>
      </c>
      <c r="I1293" s="29">
        <f t="shared" si="260"/>
        <v>0</v>
      </c>
      <c r="J1293" s="29">
        <f t="shared" si="260"/>
        <v>0</v>
      </c>
      <c r="K1293" s="31">
        <f t="shared" si="260"/>
        <v>0</v>
      </c>
      <c r="L1293" s="29">
        <f t="shared" si="260"/>
        <v>0</v>
      </c>
      <c r="M1293" s="29">
        <f t="shared" si="260"/>
        <v>280</v>
      </c>
      <c r="N1293" s="29">
        <f t="shared" si="260"/>
        <v>1356190.26</v>
      </c>
      <c r="O1293" s="29">
        <f t="shared" si="260"/>
        <v>0</v>
      </c>
      <c r="P1293" s="29">
        <f t="shared" si="260"/>
        <v>0</v>
      </c>
      <c r="Q1293" s="29">
        <f t="shared" si="260"/>
        <v>0</v>
      </c>
      <c r="R1293" s="29">
        <f t="shared" si="260"/>
        <v>0</v>
      </c>
      <c r="S1293" s="29">
        <f t="shared" si="260"/>
        <v>0</v>
      </c>
      <c r="T1293" s="29">
        <f t="shared" si="260"/>
        <v>0</v>
      </c>
      <c r="U1293" s="29">
        <f t="shared" si="260"/>
        <v>0</v>
      </c>
      <c r="V1293" s="29">
        <f t="shared" si="260"/>
        <v>0</v>
      </c>
      <c r="W1293" s="29">
        <f t="shared" si="260"/>
        <v>0</v>
      </c>
      <c r="X1293" s="29">
        <f t="shared" si="260"/>
        <v>0</v>
      </c>
      <c r="Y1293" s="29">
        <f t="shared" si="260"/>
        <v>0</v>
      </c>
      <c r="Z1293" s="29">
        <f t="shared" si="260"/>
        <v>0</v>
      </c>
      <c r="AA1293" s="29">
        <f t="shared" si="260"/>
        <v>0</v>
      </c>
      <c r="AB1293" s="29">
        <f t="shared" si="260"/>
        <v>0</v>
      </c>
      <c r="AC1293" s="29">
        <f t="shared" si="260"/>
        <v>20342.849999999999</v>
      </c>
      <c r="AD1293" s="29">
        <f t="shared" si="260"/>
        <v>110000</v>
      </c>
      <c r="AE1293" s="29">
        <f t="shared" si="260"/>
        <v>0</v>
      </c>
      <c r="AF1293" s="346" t="s">
        <v>743</v>
      </c>
      <c r="AG1293" s="346" t="s">
        <v>743</v>
      </c>
      <c r="AH1293" s="347" t="s">
        <v>743</v>
      </c>
      <c r="AT1293" s="18" t="e">
        <f>VLOOKUP(C1293,AW:AX,2,FALSE)</f>
        <v>#N/A</v>
      </c>
      <c r="BZ1293" s="61">
        <v>1456533.11</v>
      </c>
    </row>
    <row r="1294" spans="1:78" ht="61.5" x14ac:dyDescent="0.85">
      <c r="A1294" s="18">
        <v>1</v>
      </c>
      <c r="B1294" s="57">
        <f>SUBTOTAL(103,$A$1093:A1294)</f>
        <v>174</v>
      </c>
      <c r="C1294" s="91" t="s">
        <v>785</v>
      </c>
      <c r="D1294" s="29">
        <f>E1294+F1294+G1294+H1294+I1294+J1294+L1294+N1294+P1294+R1294+T1294+U1294+V1294+W1294+X1294+Y1294+Z1294+AA1294+AB1294+AC1294+AD1294+AE1294</f>
        <v>1486533.11</v>
      </c>
      <c r="E1294" s="29">
        <v>0</v>
      </c>
      <c r="F1294" s="29">
        <v>0</v>
      </c>
      <c r="G1294" s="29">
        <v>0</v>
      </c>
      <c r="H1294" s="29">
        <v>0</v>
      </c>
      <c r="I1294" s="29">
        <v>0</v>
      </c>
      <c r="J1294" s="29">
        <v>0</v>
      </c>
      <c r="K1294" s="31">
        <v>0</v>
      </c>
      <c r="L1294" s="29">
        <v>0</v>
      </c>
      <c r="M1294" s="29">
        <v>280</v>
      </c>
      <c r="N1294" s="29">
        <v>1356190.26</v>
      </c>
      <c r="O1294" s="29">
        <v>0</v>
      </c>
      <c r="P1294" s="29">
        <v>0</v>
      </c>
      <c r="Q1294" s="29">
        <v>0</v>
      </c>
      <c r="R1294" s="29">
        <v>0</v>
      </c>
      <c r="S1294" s="29">
        <v>0</v>
      </c>
      <c r="T1294" s="29">
        <v>0</v>
      </c>
      <c r="U1294" s="29">
        <v>0</v>
      </c>
      <c r="V1294" s="29">
        <v>0</v>
      </c>
      <c r="W1294" s="29">
        <v>0</v>
      </c>
      <c r="X1294" s="29">
        <v>0</v>
      </c>
      <c r="Y1294" s="29">
        <v>0</v>
      </c>
      <c r="Z1294" s="29">
        <v>0</v>
      </c>
      <c r="AA1294" s="29">
        <v>0</v>
      </c>
      <c r="AB1294" s="29">
        <v>0</v>
      </c>
      <c r="AC1294" s="29">
        <f>ROUND(N1294*1.5%,2)</f>
        <v>20342.849999999999</v>
      </c>
      <c r="AD1294" s="29">
        <v>110000</v>
      </c>
      <c r="AE1294" s="29">
        <v>0</v>
      </c>
      <c r="AF1294" s="32">
        <v>2022</v>
      </c>
      <c r="AG1294" s="32">
        <v>2022</v>
      </c>
      <c r="AH1294" s="33">
        <v>2022</v>
      </c>
      <c r="AT1294" s="18" t="e">
        <f>VLOOKUP(C1294,AW:AX,2,FALSE)</f>
        <v>#N/A</v>
      </c>
      <c r="BZ1294" s="61"/>
    </row>
    <row r="1295" spans="1:78" ht="61.5" x14ac:dyDescent="0.85">
      <c r="B1295" s="22" t="s">
        <v>830</v>
      </c>
      <c r="C1295" s="338"/>
      <c r="D1295" s="339">
        <f>D1296+D1297+D1298</f>
        <v>10290828.25</v>
      </c>
      <c r="E1295" s="29">
        <f t="shared" ref="E1295:AE1295" si="261">E1296+E1297+E1298</f>
        <v>0</v>
      </c>
      <c r="F1295" s="29">
        <f t="shared" si="261"/>
        <v>0</v>
      </c>
      <c r="G1295" s="29">
        <f t="shared" si="261"/>
        <v>0</v>
      </c>
      <c r="H1295" s="29">
        <f t="shared" si="261"/>
        <v>0</v>
      </c>
      <c r="I1295" s="29">
        <f t="shared" si="261"/>
        <v>0</v>
      </c>
      <c r="J1295" s="29">
        <f t="shared" si="261"/>
        <v>0</v>
      </c>
      <c r="K1295" s="31">
        <f t="shared" si="261"/>
        <v>0</v>
      </c>
      <c r="L1295" s="29">
        <f t="shared" si="261"/>
        <v>0</v>
      </c>
      <c r="M1295" s="29">
        <f t="shared" si="261"/>
        <v>1825</v>
      </c>
      <c r="N1295" s="29">
        <f t="shared" si="261"/>
        <v>9695397.290000001</v>
      </c>
      <c r="O1295" s="29">
        <f t="shared" si="261"/>
        <v>0</v>
      </c>
      <c r="P1295" s="29">
        <f t="shared" si="261"/>
        <v>0</v>
      </c>
      <c r="Q1295" s="29">
        <f t="shared" si="261"/>
        <v>0</v>
      </c>
      <c r="R1295" s="29">
        <f t="shared" si="261"/>
        <v>0</v>
      </c>
      <c r="S1295" s="29">
        <f t="shared" si="261"/>
        <v>0</v>
      </c>
      <c r="T1295" s="29">
        <f t="shared" si="261"/>
        <v>0</v>
      </c>
      <c r="U1295" s="29">
        <f t="shared" si="261"/>
        <v>0</v>
      </c>
      <c r="V1295" s="29">
        <f t="shared" si="261"/>
        <v>0</v>
      </c>
      <c r="W1295" s="29">
        <f t="shared" si="261"/>
        <v>0</v>
      </c>
      <c r="X1295" s="29">
        <f t="shared" si="261"/>
        <v>0</v>
      </c>
      <c r="Y1295" s="29">
        <f t="shared" si="261"/>
        <v>0</v>
      </c>
      <c r="Z1295" s="29">
        <f t="shared" si="261"/>
        <v>0</v>
      </c>
      <c r="AA1295" s="29">
        <f t="shared" si="261"/>
        <v>0</v>
      </c>
      <c r="AB1295" s="29">
        <f t="shared" si="261"/>
        <v>0</v>
      </c>
      <c r="AC1295" s="29">
        <f t="shared" si="261"/>
        <v>145430.96</v>
      </c>
      <c r="AD1295" s="29">
        <f t="shared" si="261"/>
        <v>450000</v>
      </c>
      <c r="AE1295" s="29">
        <f t="shared" si="261"/>
        <v>0</v>
      </c>
      <c r="AF1295" s="346" t="s">
        <v>743</v>
      </c>
      <c r="AG1295" s="346" t="s">
        <v>743</v>
      </c>
      <c r="AH1295" s="347" t="s">
        <v>743</v>
      </c>
      <c r="AT1295" s="18" t="e">
        <f>VLOOKUP(C1295,AW:AX,2,FALSE)</f>
        <v>#N/A</v>
      </c>
      <c r="BZ1295" s="61">
        <v>10290828.25</v>
      </c>
    </row>
    <row r="1296" spans="1:78" ht="61.5" x14ac:dyDescent="0.85">
      <c r="A1296" s="18">
        <v>1</v>
      </c>
      <c r="B1296" s="57">
        <f>SUBTOTAL(103,$A$1093:A1296)</f>
        <v>175</v>
      </c>
      <c r="C1296" s="91" t="s">
        <v>85</v>
      </c>
      <c r="D1296" s="29">
        <f>E1296+F1296+G1296+H1296+I1296+J1296+L1296+N1296+P1296+R1296+T1296+U1296+V1296+W1296+X1296+Y1296+Z1296+AA1296+AB1296+AC1296+AD1296+AE1296</f>
        <v>3665226.5</v>
      </c>
      <c r="E1296" s="29">
        <v>0</v>
      </c>
      <c r="F1296" s="29">
        <v>0</v>
      </c>
      <c r="G1296" s="29">
        <v>0</v>
      </c>
      <c r="H1296" s="29">
        <v>0</v>
      </c>
      <c r="I1296" s="29">
        <v>0</v>
      </c>
      <c r="J1296" s="29">
        <v>0</v>
      </c>
      <c r="K1296" s="31">
        <v>0</v>
      </c>
      <c r="L1296" s="29">
        <v>0</v>
      </c>
      <c r="M1296" s="29">
        <v>650</v>
      </c>
      <c r="N1296" s="29">
        <v>3463277.34</v>
      </c>
      <c r="O1296" s="29">
        <v>0</v>
      </c>
      <c r="P1296" s="29">
        <v>0</v>
      </c>
      <c r="Q1296" s="29">
        <v>0</v>
      </c>
      <c r="R1296" s="29">
        <v>0</v>
      </c>
      <c r="S1296" s="29">
        <v>0</v>
      </c>
      <c r="T1296" s="29">
        <v>0</v>
      </c>
      <c r="U1296" s="29">
        <v>0</v>
      </c>
      <c r="V1296" s="29">
        <v>0</v>
      </c>
      <c r="W1296" s="29">
        <v>0</v>
      </c>
      <c r="X1296" s="29">
        <v>0</v>
      </c>
      <c r="Y1296" s="29">
        <v>0</v>
      </c>
      <c r="Z1296" s="29">
        <v>0</v>
      </c>
      <c r="AA1296" s="29">
        <v>0</v>
      </c>
      <c r="AB1296" s="29">
        <v>0</v>
      </c>
      <c r="AC1296" s="29">
        <f>ROUND(N1296*1.5%,2)</f>
        <v>51949.16</v>
      </c>
      <c r="AD1296" s="29">
        <v>150000</v>
      </c>
      <c r="AE1296" s="29">
        <v>0</v>
      </c>
      <c r="AF1296" s="32">
        <v>2022</v>
      </c>
      <c r="AG1296" s="32">
        <v>2022</v>
      </c>
      <c r="AH1296" s="33">
        <v>2022</v>
      </c>
      <c r="AT1296" s="18" t="e">
        <f>VLOOKUP(C1296,AW:AX,2,FALSE)</f>
        <v>#N/A</v>
      </c>
      <c r="BZ1296" s="61"/>
    </row>
    <row r="1297" spans="1:78" ht="61.5" x14ac:dyDescent="0.85">
      <c r="A1297" s="18">
        <v>1</v>
      </c>
      <c r="B1297" s="57">
        <f>SUBTOTAL(103,$A$1093:A1297)</f>
        <v>176</v>
      </c>
      <c r="C1297" s="91" t="s">
        <v>86</v>
      </c>
      <c r="D1297" s="29">
        <f>E1297+F1297+G1297+H1297+I1297+J1297+L1297+N1297+P1297+R1297+T1297+U1297+V1297+W1297+X1297+Y1297+Z1297+AA1297+AB1297+AC1297+AD1297+AE1297</f>
        <v>3185927.6500000004</v>
      </c>
      <c r="E1297" s="29">
        <v>0</v>
      </c>
      <c r="F1297" s="29">
        <v>0</v>
      </c>
      <c r="G1297" s="29">
        <v>0</v>
      </c>
      <c r="H1297" s="29">
        <v>0</v>
      </c>
      <c r="I1297" s="29">
        <v>0</v>
      </c>
      <c r="J1297" s="29">
        <v>0</v>
      </c>
      <c r="K1297" s="31">
        <v>0</v>
      </c>
      <c r="L1297" s="29">
        <v>0</v>
      </c>
      <c r="M1297" s="29">
        <v>565</v>
      </c>
      <c r="N1297" s="29">
        <v>2991061.72</v>
      </c>
      <c r="O1297" s="29">
        <v>0</v>
      </c>
      <c r="P1297" s="29">
        <v>0</v>
      </c>
      <c r="Q1297" s="29">
        <v>0</v>
      </c>
      <c r="R1297" s="29">
        <v>0</v>
      </c>
      <c r="S1297" s="29">
        <v>0</v>
      </c>
      <c r="T1297" s="29">
        <v>0</v>
      </c>
      <c r="U1297" s="29">
        <v>0</v>
      </c>
      <c r="V1297" s="29">
        <v>0</v>
      </c>
      <c r="W1297" s="29">
        <v>0</v>
      </c>
      <c r="X1297" s="29">
        <v>0</v>
      </c>
      <c r="Y1297" s="29">
        <v>0</v>
      </c>
      <c r="Z1297" s="29">
        <v>0</v>
      </c>
      <c r="AA1297" s="29">
        <v>0</v>
      </c>
      <c r="AB1297" s="29">
        <v>0</v>
      </c>
      <c r="AC1297" s="29">
        <f>ROUND(N1297*1.5%,2)</f>
        <v>44865.93</v>
      </c>
      <c r="AD1297" s="29">
        <v>150000</v>
      </c>
      <c r="AE1297" s="29">
        <v>0</v>
      </c>
      <c r="AF1297" s="32">
        <v>2022</v>
      </c>
      <c r="AG1297" s="32">
        <v>2022</v>
      </c>
      <c r="AH1297" s="33">
        <v>2022</v>
      </c>
      <c r="AT1297" s="18" t="e">
        <f>VLOOKUP(C1297,AW:AX,2,FALSE)</f>
        <v>#N/A</v>
      </c>
      <c r="BZ1297" s="61"/>
    </row>
    <row r="1298" spans="1:78" ht="61.5" x14ac:dyDescent="0.85">
      <c r="A1298" s="18">
        <v>1</v>
      </c>
      <c r="B1298" s="57">
        <f>SUBTOTAL(103,$A$1093:A1298)</f>
        <v>177</v>
      </c>
      <c r="C1298" s="91" t="s">
        <v>84</v>
      </c>
      <c r="D1298" s="29">
        <f>E1298+F1298+G1298+H1298+I1298+J1298+L1298+N1298+P1298+R1298+T1298+U1298+V1298+W1298+X1298+Y1298+Z1298+AA1298+AB1298+AC1298+AD1298+AE1298</f>
        <v>3439674.1</v>
      </c>
      <c r="E1298" s="29">
        <v>0</v>
      </c>
      <c r="F1298" s="29">
        <v>0</v>
      </c>
      <c r="G1298" s="29">
        <v>0</v>
      </c>
      <c r="H1298" s="29">
        <v>0</v>
      </c>
      <c r="I1298" s="29">
        <v>0</v>
      </c>
      <c r="J1298" s="29">
        <v>0</v>
      </c>
      <c r="K1298" s="31">
        <v>0</v>
      </c>
      <c r="L1298" s="29">
        <v>0</v>
      </c>
      <c r="M1298" s="29">
        <v>610</v>
      </c>
      <c r="N1298" s="29">
        <v>3241058.23</v>
      </c>
      <c r="O1298" s="29">
        <v>0</v>
      </c>
      <c r="P1298" s="29">
        <v>0</v>
      </c>
      <c r="Q1298" s="29">
        <v>0</v>
      </c>
      <c r="R1298" s="29">
        <v>0</v>
      </c>
      <c r="S1298" s="29">
        <v>0</v>
      </c>
      <c r="T1298" s="29">
        <v>0</v>
      </c>
      <c r="U1298" s="29">
        <v>0</v>
      </c>
      <c r="V1298" s="29">
        <v>0</v>
      </c>
      <c r="W1298" s="29">
        <v>0</v>
      </c>
      <c r="X1298" s="29">
        <v>0</v>
      </c>
      <c r="Y1298" s="29">
        <v>0</v>
      </c>
      <c r="Z1298" s="29">
        <v>0</v>
      </c>
      <c r="AA1298" s="29">
        <v>0</v>
      </c>
      <c r="AB1298" s="29">
        <v>0</v>
      </c>
      <c r="AC1298" s="29">
        <f>ROUND(N1298*1.5%,2)</f>
        <v>48615.87</v>
      </c>
      <c r="AD1298" s="29">
        <v>150000</v>
      </c>
      <c r="AE1298" s="29">
        <v>0</v>
      </c>
      <c r="AF1298" s="32">
        <v>2022</v>
      </c>
      <c r="AG1298" s="32">
        <v>2022</v>
      </c>
      <c r="AH1298" s="33">
        <v>2022</v>
      </c>
      <c r="AT1298" s="18" t="e">
        <f>VLOOKUP(C1298,AW:AX,2,FALSE)</f>
        <v>#N/A</v>
      </c>
      <c r="BZ1298" s="61"/>
    </row>
    <row r="1299" spans="1:78" ht="61.5" x14ac:dyDescent="0.85">
      <c r="B1299" s="22" t="s">
        <v>831</v>
      </c>
      <c r="C1299" s="22"/>
      <c r="D1299" s="339">
        <f>D1300</f>
        <v>3013803.8600000003</v>
      </c>
      <c r="E1299" s="29">
        <f t="shared" ref="E1299:AE1299" si="262">E1300</f>
        <v>0</v>
      </c>
      <c r="F1299" s="29">
        <f t="shared" si="262"/>
        <v>0</v>
      </c>
      <c r="G1299" s="29">
        <f t="shared" si="262"/>
        <v>0</v>
      </c>
      <c r="H1299" s="29">
        <f t="shared" si="262"/>
        <v>0</v>
      </c>
      <c r="I1299" s="29">
        <f t="shared" si="262"/>
        <v>0</v>
      </c>
      <c r="J1299" s="29">
        <f t="shared" si="262"/>
        <v>0</v>
      </c>
      <c r="K1299" s="31">
        <f t="shared" si="262"/>
        <v>0</v>
      </c>
      <c r="L1299" s="29">
        <f t="shared" si="262"/>
        <v>0</v>
      </c>
      <c r="M1299" s="29">
        <f t="shared" si="262"/>
        <v>586</v>
      </c>
      <c r="N1299" s="29">
        <f t="shared" si="262"/>
        <v>2821481.64</v>
      </c>
      <c r="O1299" s="29">
        <f t="shared" si="262"/>
        <v>0</v>
      </c>
      <c r="P1299" s="29">
        <f t="shared" si="262"/>
        <v>0</v>
      </c>
      <c r="Q1299" s="29">
        <f t="shared" si="262"/>
        <v>0</v>
      </c>
      <c r="R1299" s="29">
        <f t="shared" si="262"/>
        <v>0</v>
      </c>
      <c r="S1299" s="29">
        <f t="shared" si="262"/>
        <v>0</v>
      </c>
      <c r="T1299" s="29">
        <f t="shared" si="262"/>
        <v>0</v>
      </c>
      <c r="U1299" s="29">
        <f t="shared" si="262"/>
        <v>0</v>
      </c>
      <c r="V1299" s="29">
        <f t="shared" si="262"/>
        <v>0</v>
      </c>
      <c r="W1299" s="29">
        <f t="shared" si="262"/>
        <v>0</v>
      </c>
      <c r="X1299" s="29">
        <f t="shared" si="262"/>
        <v>0</v>
      </c>
      <c r="Y1299" s="29">
        <f t="shared" si="262"/>
        <v>0</v>
      </c>
      <c r="Z1299" s="29">
        <f t="shared" si="262"/>
        <v>0</v>
      </c>
      <c r="AA1299" s="29">
        <f t="shared" si="262"/>
        <v>0</v>
      </c>
      <c r="AB1299" s="29">
        <f t="shared" si="262"/>
        <v>0</v>
      </c>
      <c r="AC1299" s="29">
        <f t="shared" si="262"/>
        <v>42322.22</v>
      </c>
      <c r="AD1299" s="29">
        <f t="shared" si="262"/>
        <v>150000</v>
      </c>
      <c r="AE1299" s="29">
        <f t="shared" si="262"/>
        <v>0</v>
      </c>
      <c r="AF1299" s="346" t="s">
        <v>743</v>
      </c>
      <c r="AG1299" s="346" t="s">
        <v>743</v>
      </c>
      <c r="AH1299" s="347" t="s">
        <v>743</v>
      </c>
      <c r="AT1299" s="18" t="e">
        <f>VLOOKUP(C1299,AW:AX,2,FALSE)</f>
        <v>#N/A</v>
      </c>
      <c r="BZ1299" s="61">
        <v>3013803.8600000003</v>
      </c>
    </row>
    <row r="1300" spans="1:78" ht="61.5" x14ac:dyDescent="0.85">
      <c r="A1300" s="18">
        <v>1</v>
      </c>
      <c r="B1300" s="57">
        <f>SUBTOTAL(103,$A$1093:A1300)</f>
        <v>178</v>
      </c>
      <c r="C1300" s="91" t="s">
        <v>88</v>
      </c>
      <c r="D1300" s="29">
        <f>E1300+F1300+G1300+H1300+I1300+J1300+L1300+N1300+P1300+R1300+T1300+U1300+V1300+W1300+X1300+Y1300+Z1300+AA1300+AB1300+AC1300+AD1300+AE1300</f>
        <v>3013803.8600000003</v>
      </c>
      <c r="E1300" s="29">
        <v>0</v>
      </c>
      <c r="F1300" s="29">
        <v>0</v>
      </c>
      <c r="G1300" s="29">
        <v>0</v>
      </c>
      <c r="H1300" s="29">
        <v>0</v>
      </c>
      <c r="I1300" s="29">
        <v>0</v>
      </c>
      <c r="J1300" s="29">
        <v>0</v>
      </c>
      <c r="K1300" s="31">
        <v>0</v>
      </c>
      <c r="L1300" s="29">
        <v>0</v>
      </c>
      <c r="M1300" s="29">
        <v>586</v>
      </c>
      <c r="N1300" s="29">
        <v>2821481.64</v>
      </c>
      <c r="O1300" s="29">
        <v>0</v>
      </c>
      <c r="P1300" s="29">
        <v>0</v>
      </c>
      <c r="Q1300" s="29">
        <v>0</v>
      </c>
      <c r="R1300" s="29">
        <v>0</v>
      </c>
      <c r="S1300" s="29">
        <v>0</v>
      </c>
      <c r="T1300" s="29">
        <v>0</v>
      </c>
      <c r="U1300" s="29">
        <v>0</v>
      </c>
      <c r="V1300" s="29">
        <v>0</v>
      </c>
      <c r="W1300" s="29">
        <v>0</v>
      </c>
      <c r="X1300" s="29">
        <v>0</v>
      </c>
      <c r="Y1300" s="29">
        <v>0</v>
      </c>
      <c r="Z1300" s="29">
        <v>0</v>
      </c>
      <c r="AA1300" s="29">
        <v>0</v>
      </c>
      <c r="AB1300" s="29">
        <v>0</v>
      </c>
      <c r="AC1300" s="29">
        <f>ROUND(N1300*1.5%,2)</f>
        <v>42322.22</v>
      </c>
      <c r="AD1300" s="29">
        <v>150000</v>
      </c>
      <c r="AE1300" s="29">
        <v>0</v>
      </c>
      <c r="AF1300" s="32">
        <v>2022</v>
      </c>
      <c r="AG1300" s="32">
        <v>2022</v>
      </c>
      <c r="AH1300" s="33">
        <v>2022</v>
      </c>
      <c r="AT1300" s="18" t="e">
        <f>VLOOKUP(C1300,AW:AX,2,FALSE)</f>
        <v>#N/A</v>
      </c>
      <c r="BZ1300" s="61"/>
    </row>
    <row r="1301" spans="1:78" ht="61.5" x14ac:dyDescent="0.85">
      <c r="B1301" s="22" t="s">
        <v>880</v>
      </c>
      <c r="C1301" s="22"/>
      <c r="D1301" s="339">
        <f>D1302</f>
        <v>2036502</v>
      </c>
      <c r="E1301" s="29">
        <f t="shared" ref="E1301:AE1301" si="263">E1302</f>
        <v>0</v>
      </c>
      <c r="F1301" s="29">
        <f t="shared" si="263"/>
        <v>0</v>
      </c>
      <c r="G1301" s="29">
        <f t="shared" si="263"/>
        <v>0</v>
      </c>
      <c r="H1301" s="29">
        <f t="shared" si="263"/>
        <v>0</v>
      </c>
      <c r="I1301" s="29">
        <f t="shared" si="263"/>
        <v>0</v>
      </c>
      <c r="J1301" s="29">
        <f t="shared" si="263"/>
        <v>0</v>
      </c>
      <c r="K1301" s="31">
        <f t="shared" si="263"/>
        <v>0</v>
      </c>
      <c r="L1301" s="29">
        <f t="shared" si="263"/>
        <v>0</v>
      </c>
      <c r="M1301" s="29">
        <f t="shared" si="263"/>
        <v>390</v>
      </c>
      <c r="N1301" s="29">
        <f t="shared" si="263"/>
        <v>1888179.31</v>
      </c>
      <c r="O1301" s="29">
        <f t="shared" si="263"/>
        <v>0</v>
      </c>
      <c r="P1301" s="29">
        <f t="shared" si="263"/>
        <v>0</v>
      </c>
      <c r="Q1301" s="29">
        <f t="shared" si="263"/>
        <v>0</v>
      </c>
      <c r="R1301" s="29">
        <f t="shared" si="263"/>
        <v>0</v>
      </c>
      <c r="S1301" s="29">
        <f t="shared" si="263"/>
        <v>0</v>
      </c>
      <c r="T1301" s="29">
        <f t="shared" si="263"/>
        <v>0</v>
      </c>
      <c r="U1301" s="29">
        <f t="shared" si="263"/>
        <v>0</v>
      </c>
      <c r="V1301" s="29">
        <f t="shared" si="263"/>
        <v>0</v>
      </c>
      <c r="W1301" s="29">
        <f t="shared" si="263"/>
        <v>0</v>
      </c>
      <c r="X1301" s="29">
        <f t="shared" si="263"/>
        <v>0</v>
      </c>
      <c r="Y1301" s="29">
        <f t="shared" si="263"/>
        <v>0</v>
      </c>
      <c r="Z1301" s="29">
        <f t="shared" si="263"/>
        <v>0</v>
      </c>
      <c r="AA1301" s="29">
        <f t="shared" si="263"/>
        <v>0</v>
      </c>
      <c r="AB1301" s="29">
        <f t="shared" si="263"/>
        <v>0</v>
      </c>
      <c r="AC1301" s="29">
        <f t="shared" si="263"/>
        <v>28322.69</v>
      </c>
      <c r="AD1301" s="29">
        <f t="shared" si="263"/>
        <v>120000</v>
      </c>
      <c r="AE1301" s="29">
        <f t="shared" si="263"/>
        <v>0</v>
      </c>
      <c r="AF1301" s="346" t="s">
        <v>743</v>
      </c>
      <c r="AG1301" s="346" t="s">
        <v>743</v>
      </c>
      <c r="AH1301" s="347" t="s">
        <v>743</v>
      </c>
      <c r="AT1301" s="18" t="e">
        <f>VLOOKUP(C1301,AW:AX,2,FALSE)</f>
        <v>#N/A</v>
      </c>
      <c r="BZ1301" s="61">
        <v>2036502</v>
      </c>
    </row>
    <row r="1302" spans="1:78" ht="61.5" x14ac:dyDescent="0.85">
      <c r="A1302" s="18">
        <v>1</v>
      </c>
      <c r="B1302" s="57">
        <f>SUBTOTAL(103,$A$1093:A1302)</f>
        <v>179</v>
      </c>
      <c r="C1302" s="91" t="s">
        <v>87</v>
      </c>
      <c r="D1302" s="29">
        <f>E1302+F1302+G1302+H1302+I1302+J1302+L1302+N1302+P1302+R1302+T1302+U1302+V1302+W1302+X1302+Y1302+Z1302+AA1302+AB1302+AC1302+AD1302+AE1302</f>
        <v>2036502</v>
      </c>
      <c r="E1302" s="29">
        <v>0</v>
      </c>
      <c r="F1302" s="29">
        <v>0</v>
      </c>
      <c r="G1302" s="29">
        <v>0</v>
      </c>
      <c r="H1302" s="29">
        <v>0</v>
      </c>
      <c r="I1302" s="29">
        <v>0</v>
      </c>
      <c r="J1302" s="29">
        <v>0</v>
      </c>
      <c r="K1302" s="31">
        <v>0</v>
      </c>
      <c r="L1302" s="29">
        <v>0</v>
      </c>
      <c r="M1302" s="29">
        <v>390</v>
      </c>
      <c r="N1302" s="29">
        <v>1888179.31</v>
      </c>
      <c r="O1302" s="29">
        <v>0</v>
      </c>
      <c r="P1302" s="29">
        <v>0</v>
      </c>
      <c r="Q1302" s="29">
        <v>0</v>
      </c>
      <c r="R1302" s="29">
        <v>0</v>
      </c>
      <c r="S1302" s="29">
        <v>0</v>
      </c>
      <c r="T1302" s="29">
        <v>0</v>
      </c>
      <c r="U1302" s="29">
        <v>0</v>
      </c>
      <c r="V1302" s="29">
        <v>0</v>
      </c>
      <c r="W1302" s="29">
        <v>0</v>
      </c>
      <c r="X1302" s="29">
        <v>0</v>
      </c>
      <c r="Y1302" s="29">
        <v>0</v>
      </c>
      <c r="Z1302" s="29">
        <v>0</v>
      </c>
      <c r="AA1302" s="29">
        <v>0</v>
      </c>
      <c r="AB1302" s="29">
        <v>0</v>
      </c>
      <c r="AC1302" s="29">
        <f>ROUND(N1302*1.5%,2)</f>
        <v>28322.69</v>
      </c>
      <c r="AD1302" s="29">
        <v>120000</v>
      </c>
      <c r="AE1302" s="29">
        <v>0</v>
      </c>
      <c r="AF1302" s="32">
        <v>2022</v>
      </c>
      <c r="AG1302" s="32">
        <v>2022</v>
      </c>
      <c r="AH1302" s="33">
        <v>2022</v>
      </c>
      <c r="AT1302" s="18" t="e">
        <f>VLOOKUP(C1302,AW:AX,2,FALSE)</f>
        <v>#N/A</v>
      </c>
      <c r="BZ1302" s="61"/>
    </row>
    <row r="1303" spans="1:78" ht="61.5" x14ac:dyDescent="0.85">
      <c r="B1303" s="22" t="s">
        <v>832</v>
      </c>
      <c r="C1303" s="338"/>
      <c r="D1303" s="339">
        <f>D1304</f>
        <v>3592598.4</v>
      </c>
      <c r="E1303" s="29">
        <f t="shared" ref="E1303:AE1303" si="264">E1304</f>
        <v>0</v>
      </c>
      <c r="F1303" s="29">
        <f t="shared" si="264"/>
        <v>0</v>
      </c>
      <c r="G1303" s="29">
        <f t="shared" si="264"/>
        <v>0</v>
      </c>
      <c r="H1303" s="29">
        <f t="shared" si="264"/>
        <v>0</v>
      </c>
      <c r="I1303" s="29">
        <f t="shared" si="264"/>
        <v>0</v>
      </c>
      <c r="J1303" s="29">
        <f t="shared" si="264"/>
        <v>0</v>
      </c>
      <c r="K1303" s="31">
        <f t="shared" si="264"/>
        <v>0</v>
      </c>
      <c r="L1303" s="29">
        <f t="shared" si="264"/>
        <v>0</v>
      </c>
      <c r="M1303" s="29">
        <f t="shared" si="264"/>
        <v>688</v>
      </c>
      <c r="N1303" s="29">
        <f t="shared" si="264"/>
        <v>3391722.56</v>
      </c>
      <c r="O1303" s="29">
        <f t="shared" si="264"/>
        <v>0</v>
      </c>
      <c r="P1303" s="29">
        <f t="shared" si="264"/>
        <v>0</v>
      </c>
      <c r="Q1303" s="29">
        <f t="shared" si="264"/>
        <v>0</v>
      </c>
      <c r="R1303" s="29">
        <f t="shared" si="264"/>
        <v>0</v>
      </c>
      <c r="S1303" s="29">
        <f t="shared" si="264"/>
        <v>0</v>
      </c>
      <c r="T1303" s="29">
        <f t="shared" si="264"/>
        <v>0</v>
      </c>
      <c r="U1303" s="29">
        <f t="shared" si="264"/>
        <v>0</v>
      </c>
      <c r="V1303" s="29">
        <f t="shared" si="264"/>
        <v>0</v>
      </c>
      <c r="W1303" s="29">
        <f t="shared" si="264"/>
        <v>0</v>
      </c>
      <c r="X1303" s="29">
        <f t="shared" si="264"/>
        <v>0</v>
      </c>
      <c r="Y1303" s="29">
        <f t="shared" si="264"/>
        <v>0</v>
      </c>
      <c r="Z1303" s="29">
        <f t="shared" si="264"/>
        <v>0</v>
      </c>
      <c r="AA1303" s="29">
        <f t="shared" si="264"/>
        <v>0</v>
      </c>
      <c r="AB1303" s="29">
        <f t="shared" si="264"/>
        <v>0</v>
      </c>
      <c r="AC1303" s="29">
        <f t="shared" si="264"/>
        <v>50875.839999999997</v>
      </c>
      <c r="AD1303" s="29">
        <f t="shared" si="264"/>
        <v>150000</v>
      </c>
      <c r="AE1303" s="29">
        <f t="shared" si="264"/>
        <v>0</v>
      </c>
      <c r="AF1303" s="346" t="s">
        <v>743</v>
      </c>
      <c r="AG1303" s="346" t="s">
        <v>743</v>
      </c>
      <c r="AH1303" s="347" t="s">
        <v>743</v>
      </c>
      <c r="AT1303" s="18" t="e">
        <f>VLOOKUP(C1303,AW:AX,2,FALSE)</f>
        <v>#N/A</v>
      </c>
      <c r="BZ1303" s="61">
        <v>3592598.4</v>
      </c>
    </row>
    <row r="1304" spans="1:78" ht="61.5" x14ac:dyDescent="0.85">
      <c r="A1304" s="18">
        <v>1</v>
      </c>
      <c r="B1304" s="57">
        <f>SUBTOTAL(103,$A$1093:A1304)</f>
        <v>180</v>
      </c>
      <c r="C1304" s="91" t="s">
        <v>108</v>
      </c>
      <c r="D1304" s="29">
        <f>E1304+F1304+G1304+H1304+I1304+J1304+L1304+N1304+P1304+R1304+T1304+U1304+V1304+W1304+X1304+Y1304+Z1304+AA1304+AB1304+AC1304+AD1304+AE1304</f>
        <v>3592598.4</v>
      </c>
      <c r="E1304" s="29">
        <v>0</v>
      </c>
      <c r="F1304" s="29">
        <v>0</v>
      </c>
      <c r="G1304" s="29">
        <v>0</v>
      </c>
      <c r="H1304" s="29">
        <v>0</v>
      </c>
      <c r="I1304" s="29">
        <v>0</v>
      </c>
      <c r="J1304" s="29">
        <v>0</v>
      </c>
      <c r="K1304" s="31">
        <v>0</v>
      </c>
      <c r="L1304" s="29">
        <v>0</v>
      </c>
      <c r="M1304" s="29">
        <v>688</v>
      </c>
      <c r="N1304" s="29">
        <v>3391722.56</v>
      </c>
      <c r="O1304" s="29">
        <v>0</v>
      </c>
      <c r="P1304" s="29">
        <v>0</v>
      </c>
      <c r="Q1304" s="29">
        <v>0</v>
      </c>
      <c r="R1304" s="29">
        <v>0</v>
      </c>
      <c r="S1304" s="29">
        <v>0</v>
      </c>
      <c r="T1304" s="29">
        <v>0</v>
      </c>
      <c r="U1304" s="29">
        <v>0</v>
      </c>
      <c r="V1304" s="29">
        <v>0</v>
      </c>
      <c r="W1304" s="29">
        <v>0</v>
      </c>
      <c r="X1304" s="29">
        <v>0</v>
      </c>
      <c r="Y1304" s="29">
        <v>0</v>
      </c>
      <c r="Z1304" s="29">
        <v>0</v>
      </c>
      <c r="AA1304" s="29">
        <v>0</v>
      </c>
      <c r="AB1304" s="29">
        <v>0</v>
      </c>
      <c r="AC1304" s="29">
        <f>ROUND(N1304*1.5%,2)</f>
        <v>50875.839999999997</v>
      </c>
      <c r="AD1304" s="29">
        <v>150000</v>
      </c>
      <c r="AE1304" s="29">
        <v>0</v>
      </c>
      <c r="AF1304" s="32">
        <v>2022</v>
      </c>
      <c r="AG1304" s="32">
        <v>2022</v>
      </c>
      <c r="AH1304" s="33">
        <v>2022</v>
      </c>
      <c r="AT1304" s="18" t="e">
        <f>VLOOKUP(C1304,AW:AX,2,FALSE)</f>
        <v>#N/A</v>
      </c>
      <c r="BZ1304" s="61"/>
    </row>
    <row r="1305" spans="1:78" ht="61.5" x14ac:dyDescent="0.85">
      <c r="B1305" s="22" t="s">
        <v>867</v>
      </c>
      <c r="C1305" s="22"/>
      <c r="D1305" s="339">
        <f>D1306</f>
        <v>4454195.3999999994</v>
      </c>
      <c r="E1305" s="29">
        <f t="shared" ref="E1305:AE1305" si="265">E1306</f>
        <v>0</v>
      </c>
      <c r="F1305" s="29">
        <f t="shared" si="265"/>
        <v>0</v>
      </c>
      <c r="G1305" s="29">
        <f t="shared" si="265"/>
        <v>0</v>
      </c>
      <c r="H1305" s="29">
        <f t="shared" si="265"/>
        <v>0</v>
      </c>
      <c r="I1305" s="29">
        <f t="shared" si="265"/>
        <v>0</v>
      </c>
      <c r="J1305" s="29">
        <f t="shared" si="265"/>
        <v>0</v>
      </c>
      <c r="K1305" s="31">
        <f t="shared" si="265"/>
        <v>0</v>
      </c>
      <c r="L1305" s="29">
        <f t="shared" si="265"/>
        <v>0</v>
      </c>
      <c r="M1305" s="29">
        <f t="shared" si="265"/>
        <v>853</v>
      </c>
      <c r="N1305" s="29">
        <f t="shared" si="265"/>
        <v>4240586.5999999996</v>
      </c>
      <c r="O1305" s="29">
        <f t="shared" si="265"/>
        <v>0</v>
      </c>
      <c r="P1305" s="29">
        <f t="shared" si="265"/>
        <v>0</v>
      </c>
      <c r="Q1305" s="29">
        <f t="shared" si="265"/>
        <v>0</v>
      </c>
      <c r="R1305" s="29">
        <f t="shared" si="265"/>
        <v>0</v>
      </c>
      <c r="S1305" s="29">
        <f t="shared" si="265"/>
        <v>0</v>
      </c>
      <c r="T1305" s="29">
        <f t="shared" si="265"/>
        <v>0</v>
      </c>
      <c r="U1305" s="29">
        <f t="shared" si="265"/>
        <v>0</v>
      </c>
      <c r="V1305" s="29">
        <f t="shared" si="265"/>
        <v>0</v>
      </c>
      <c r="W1305" s="29">
        <f t="shared" si="265"/>
        <v>0</v>
      </c>
      <c r="X1305" s="29">
        <f t="shared" si="265"/>
        <v>0</v>
      </c>
      <c r="Y1305" s="29">
        <f t="shared" si="265"/>
        <v>0</v>
      </c>
      <c r="Z1305" s="29">
        <f t="shared" si="265"/>
        <v>0</v>
      </c>
      <c r="AA1305" s="29">
        <f t="shared" si="265"/>
        <v>0</v>
      </c>
      <c r="AB1305" s="29">
        <f t="shared" si="265"/>
        <v>0</v>
      </c>
      <c r="AC1305" s="29">
        <f t="shared" si="265"/>
        <v>63608.800000000003</v>
      </c>
      <c r="AD1305" s="29">
        <f t="shared" si="265"/>
        <v>150000</v>
      </c>
      <c r="AE1305" s="29">
        <f t="shared" si="265"/>
        <v>0</v>
      </c>
      <c r="AF1305" s="346" t="s">
        <v>743</v>
      </c>
      <c r="AG1305" s="346" t="s">
        <v>743</v>
      </c>
      <c r="AH1305" s="347" t="s">
        <v>743</v>
      </c>
      <c r="AT1305" s="18" t="e">
        <f>VLOOKUP(C1305,AW:AX,2,FALSE)</f>
        <v>#N/A</v>
      </c>
      <c r="BZ1305" s="61">
        <v>4454195.3999999994</v>
      </c>
    </row>
    <row r="1306" spans="1:78" ht="61.5" x14ac:dyDescent="0.85">
      <c r="A1306" s="18">
        <v>1</v>
      </c>
      <c r="B1306" s="57">
        <f>SUBTOTAL(103,$A$1093:A1306)</f>
        <v>181</v>
      </c>
      <c r="C1306" s="91" t="s">
        <v>110</v>
      </c>
      <c r="D1306" s="29">
        <f>E1306+F1306+G1306+H1306+I1306+J1306+L1306+N1306+P1306+R1306+T1306+U1306+V1306+W1306+X1306+Y1306+Z1306+AA1306+AB1306+AC1306+AD1306+AE1306</f>
        <v>4454195.3999999994</v>
      </c>
      <c r="E1306" s="29">
        <v>0</v>
      </c>
      <c r="F1306" s="29">
        <v>0</v>
      </c>
      <c r="G1306" s="29">
        <v>0</v>
      </c>
      <c r="H1306" s="29">
        <v>0</v>
      </c>
      <c r="I1306" s="29">
        <v>0</v>
      </c>
      <c r="J1306" s="29">
        <v>0</v>
      </c>
      <c r="K1306" s="31">
        <v>0</v>
      </c>
      <c r="L1306" s="29">
        <v>0</v>
      </c>
      <c r="M1306" s="29">
        <v>853</v>
      </c>
      <c r="N1306" s="29">
        <v>4240586.5999999996</v>
      </c>
      <c r="O1306" s="29">
        <v>0</v>
      </c>
      <c r="P1306" s="29">
        <v>0</v>
      </c>
      <c r="Q1306" s="29">
        <v>0</v>
      </c>
      <c r="R1306" s="29">
        <v>0</v>
      </c>
      <c r="S1306" s="29">
        <v>0</v>
      </c>
      <c r="T1306" s="29">
        <v>0</v>
      </c>
      <c r="U1306" s="29">
        <v>0</v>
      </c>
      <c r="V1306" s="29">
        <v>0</v>
      </c>
      <c r="W1306" s="29">
        <v>0</v>
      </c>
      <c r="X1306" s="29">
        <v>0</v>
      </c>
      <c r="Y1306" s="29">
        <v>0</v>
      </c>
      <c r="Z1306" s="29">
        <v>0</v>
      </c>
      <c r="AA1306" s="29">
        <v>0</v>
      </c>
      <c r="AB1306" s="29">
        <v>0</v>
      </c>
      <c r="AC1306" s="29">
        <f>ROUND(N1306*1.5%,2)</f>
        <v>63608.800000000003</v>
      </c>
      <c r="AD1306" s="29">
        <v>150000</v>
      </c>
      <c r="AE1306" s="29">
        <v>0</v>
      </c>
      <c r="AF1306" s="32">
        <v>2022</v>
      </c>
      <c r="AG1306" s="32">
        <v>2022</v>
      </c>
      <c r="AH1306" s="33">
        <v>2022</v>
      </c>
      <c r="AT1306" s="18" t="e">
        <f>VLOOKUP(C1306,AW:AX,2,FALSE)</f>
        <v>#N/A</v>
      </c>
      <c r="BZ1306" s="61"/>
    </row>
    <row r="1307" spans="1:78" ht="61.5" x14ac:dyDescent="0.85">
      <c r="B1307" s="22" t="s">
        <v>881</v>
      </c>
      <c r="C1307" s="338"/>
      <c r="D1307" s="339">
        <f>D1308</f>
        <v>5304624.57</v>
      </c>
      <c r="E1307" s="29">
        <f t="shared" ref="E1307:AE1307" si="266">E1308</f>
        <v>0</v>
      </c>
      <c r="F1307" s="29">
        <f t="shared" si="266"/>
        <v>0</v>
      </c>
      <c r="G1307" s="29">
        <f t="shared" si="266"/>
        <v>0</v>
      </c>
      <c r="H1307" s="29">
        <f t="shared" si="266"/>
        <v>0</v>
      </c>
      <c r="I1307" s="29">
        <f t="shared" si="266"/>
        <v>0</v>
      </c>
      <c r="J1307" s="29">
        <f t="shared" si="266"/>
        <v>0</v>
      </c>
      <c r="K1307" s="31">
        <f t="shared" si="266"/>
        <v>0</v>
      </c>
      <c r="L1307" s="29">
        <f t="shared" si="266"/>
        <v>0</v>
      </c>
      <c r="M1307" s="29">
        <f t="shared" si="266"/>
        <v>926.83</v>
      </c>
      <c r="N1307" s="29">
        <f t="shared" si="266"/>
        <v>5078447.8500000006</v>
      </c>
      <c r="O1307" s="29">
        <f t="shared" si="266"/>
        <v>0</v>
      </c>
      <c r="P1307" s="29">
        <f t="shared" si="266"/>
        <v>0</v>
      </c>
      <c r="Q1307" s="29">
        <f t="shared" si="266"/>
        <v>0</v>
      </c>
      <c r="R1307" s="29">
        <f t="shared" si="266"/>
        <v>0</v>
      </c>
      <c r="S1307" s="29">
        <f t="shared" si="266"/>
        <v>0</v>
      </c>
      <c r="T1307" s="29">
        <f t="shared" si="266"/>
        <v>0</v>
      </c>
      <c r="U1307" s="29">
        <f t="shared" si="266"/>
        <v>0</v>
      </c>
      <c r="V1307" s="29">
        <f t="shared" si="266"/>
        <v>0</v>
      </c>
      <c r="W1307" s="29">
        <f t="shared" si="266"/>
        <v>0</v>
      </c>
      <c r="X1307" s="29">
        <f t="shared" si="266"/>
        <v>0</v>
      </c>
      <c r="Y1307" s="29">
        <f t="shared" si="266"/>
        <v>0</v>
      </c>
      <c r="Z1307" s="29">
        <f t="shared" si="266"/>
        <v>0</v>
      </c>
      <c r="AA1307" s="29">
        <f t="shared" si="266"/>
        <v>0</v>
      </c>
      <c r="AB1307" s="29">
        <f t="shared" si="266"/>
        <v>0</v>
      </c>
      <c r="AC1307" s="29">
        <f t="shared" si="266"/>
        <v>76176.72</v>
      </c>
      <c r="AD1307" s="29">
        <f t="shared" si="266"/>
        <v>150000</v>
      </c>
      <c r="AE1307" s="29">
        <f t="shared" si="266"/>
        <v>0</v>
      </c>
      <c r="AF1307" s="346" t="s">
        <v>743</v>
      </c>
      <c r="AG1307" s="346" t="s">
        <v>743</v>
      </c>
      <c r="AH1307" s="347" t="s">
        <v>743</v>
      </c>
      <c r="AT1307" s="18" t="e">
        <f>VLOOKUP(C1307,AW:AX,2,FALSE)</f>
        <v>#N/A</v>
      </c>
      <c r="BZ1307" s="61">
        <v>4839701.7600000007</v>
      </c>
    </row>
    <row r="1308" spans="1:78" ht="61.5" x14ac:dyDescent="0.85">
      <c r="A1308" s="18">
        <v>1</v>
      </c>
      <c r="B1308" s="57">
        <f>SUBTOTAL(103,$A$1093:A1308)</f>
        <v>182</v>
      </c>
      <c r="C1308" s="91" t="s">
        <v>210</v>
      </c>
      <c r="D1308" s="29">
        <f>E1308+F1308+G1308+H1308+I1308+J1308+L1308+N1308+P1308+R1308+T1308+U1308+V1308+W1308+X1308+Y1308+Z1308+AA1308+AB1308+AC1308+AD1308+AE1308</f>
        <v>5304624.57</v>
      </c>
      <c r="E1308" s="29">
        <v>0</v>
      </c>
      <c r="F1308" s="29">
        <v>0</v>
      </c>
      <c r="G1308" s="29">
        <v>0</v>
      </c>
      <c r="H1308" s="29">
        <v>0</v>
      </c>
      <c r="I1308" s="29">
        <v>0</v>
      </c>
      <c r="J1308" s="29">
        <v>0</v>
      </c>
      <c r="K1308" s="31">
        <v>0</v>
      </c>
      <c r="L1308" s="29">
        <v>0</v>
      </c>
      <c r="M1308" s="29">
        <v>926.83</v>
      </c>
      <c r="N1308" s="29">
        <f>4620395.82+ROUND(464922.81/101.5*100,2)</f>
        <v>5078447.8500000006</v>
      </c>
      <c r="O1308" s="29">
        <v>0</v>
      </c>
      <c r="P1308" s="29">
        <v>0</v>
      </c>
      <c r="Q1308" s="29">
        <v>0</v>
      </c>
      <c r="R1308" s="29">
        <v>0</v>
      </c>
      <c r="S1308" s="29">
        <v>0</v>
      </c>
      <c r="T1308" s="29">
        <v>0</v>
      </c>
      <c r="U1308" s="29">
        <v>0</v>
      </c>
      <c r="V1308" s="29">
        <v>0</v>
      </c>
      <c r="W1308" s="29">
        <v>0</v>
      </c>
      <c r="X1308" s="29">
        <v>0</v>
      </c>
      <c r="Y1308" s="29">
        <v>0</v>
      </c>
      <c r="Z1308" s="29">
        <v>0</v>
      </c>
      <c r="AA1308" s="29">
        <v>0</v>
      </c>
      <c r="AB1308" s="29">
        <v>0</v>
      </c>
      <c r="AC1308" s="29">
        <f>ROUND(N1308*1.5%,2)</f>
        <v>76176.72</v>
      </c>
      <c r="AD1308" s="29">
        <v>150000</v>
      </c>
      <c r="AE1308" s="29">
        <v>0</v>
      </c>
      <c r="AF1308" s="32">
        <v>2022</v>
      </c>
      <c r="AG1308" s="32">
        <v>2022</v>
      </c>
      <c r="AH1308" s="33">
        <v>2022</v>
      </c>
      <c r="AT1308" s="18" t="e">
        <f>VLOOKUP(C1308,AW:AX,2,FALSE)</f>
        <v>#N/A</v>
      </c>
      <c r="BZ1308" s="61"/>
    </row>
    <row r="1309" spans="1:78" ht="61.5" x14ac:dyDescent="0.85">
      <c r="B1309" s="22" t="s">
        <v>833</v>
      </c>
      <c r="C1309" s="338"/>
      <c r="D1309" s="339">
        <f>D1310</f>
        <v>3231458.3</v>
      </c>
      <c r="E1309" s="29">
        <f t="shared" ref="E1309:AE1309" si="267">E1310</f>
        <v>0</v>
      </c>
      <c r="F1309" s="29">
        <f t="shared" si="267"/>
        <v>0</v>
      </c>
      <c r="G1309" s="29">
        <f t="shared" si="267"/>
        <v>0</v>
      </c>
      <c r="H1309" s="29">
        <f t="shared" si="267"/>
        <v>0</v>
      </c>
      <c r="I1309" s="29">
        <f t="shared" si="267"/>
        <v>0</v>
      </c>
      <c r="J1309" s="29">
        <f t="shared" si="267"/>
        <v>0</v>
      </c>
      <c r="K1309" s="31">
        <f t="shared" si="267"/>
        <v>0</v>
      </c>
      <c r="L1309" s="29">
        <f t="shared" si="267"/>
        <v>0</v>
      </c>
      <c r="M1309" s="29">
        <f t="shared" si="267"/>
        <v>0</v>
      </c>
      <c r="N1309" s="29">
        <f t="shared" si="267"/>
        <v>0</v>
      </c>
      <c r="O1309" s="29">
        <f t="shared" si="267"/>
        <v>0</v>
      </c>
      <c r="P1309" s="29">
        <f t="shared" si="267"/>
        <v>0</v>
      </c>
      <c r="Q1309" s="29">
        <f t="shared" si="267"/>
        <v>670.8</v>
      </c>
      <c r="R1309" s="29">
        <f t="shared" si="267"/>
        <v>3035919.51</v>
      </c>
      <c r="S1309" s="29">
        <f t="shared" si="267"/>
        <v>0</v>
      </c>
      <c r="T1309" s="29">
        <f t="shared" si="267"/>
        <v>0</v>
      </c>
      <c r="U1309" s="29">
        <f t="shared" si="267"/>
        <v>0</v>
      </c>
      <c r="V1309" s="29">
        <f t="shared" si="267"/>
        <v>0</v>
      </c>
      <c r="W1309" s="29">
        <f t="shared" si="267"/>
        <v>0</v>
      </c>
      <c r="X1309" s="29">
        <f t="shared" si="267"/>
        <v>0</v>
      </c>
      <c r="Y1309" s="29">
        <f t="shared" si="267"/>
        <v>0</v>
      </c>
      <c r="Z1309" s="29">
        <f t="shared" si="267"/>
        <v>0</v>
      </c>
      <c r="AA1309" s="29">
        <f t="shared" si="267"/>
        <v>0</v>
      </c>
      <c r="AB1309" s="29">
        <f t="shared" si="267"/>
        <v>0</v>
      </c>
      <c r="AC1309" s="29">
        <f t="shared" si="267"/>
        <v>45538.79</v>
      </c>
      <c r="AD1309" s="29">
        <f t="shared" si="267"/>
        <v>150000</v>
      </c>
      <c r="AE1309" s="29">
        <f t="shared" si="267"/>
        <v>0</v>
      </c>
      <c r="AF1309" s="346" t="s">
        <v>743</v>
      </c>
      <c r="AG1309" s="346" t="s">
        <v>743</v>
      </c>
      <c r="AH1309" s="347" t="s">
        <v>743</v>
      </c>
      <c r="AT1309" s="18" t="e">
        <f>VLOOKUP(C1309,AW:AX,2,FALSE)</f>
        <v>#N/A</v>
      </c>
      <c r="BZ1309" s="61">
        <v>3231458.3</v>
      </c>
    </row>
    <row r="1310" spans="1:78" ht="61.5" x14ac:dyDescent="0.85">
      <c r="A1310" s="18">
        <v>1</v>
      </c>
      <c r="B1310" s="57">
        <f>SUBTOTAL(103,$A$1093:A1310)</f>
        <v>183</v>
      </c>
      <c r="C1310" s="91" t="s">
        <v>66</v>
      </c>
      <c r="D1310" s="29">
        <f>E1310+F1310+G1310+H1310+I1310+J1310+L1310+N1310+P1310+R1310+T1310+U1310+V1310+W1310+X1310+Y1310+Z1310+AA1310+AB1310+AC1310+AD1310+AE1310</f>
        <v>3231458.3</v>
      </c>
      <c r="E1310" s="29">
        <v>0</v>
      </c>
      <c r="F1310" s="29">
        <v>0</v>
      </c>
      <c r="G1310" s="29">
        <v>0</v>
      </c>
      <c r="H1310" s="29">
        <v>0</v>
      </c>
      <c r="I1310" s="29">
        <v>0</v>
      </c>
      <c r="J1310" s="29">
        <v>0</v>
      </c>
      <c r="K1310" s="31">
        <v>0</v>
      </c>
      <c r="L1310" s="29">
        <v>0</v>
      </c>
      <c r="M1310" s="29">
        <v>0</v>
      </c>
      <c r="N1310" s="29">
        <v>0</v>
      </c>
      <c r="O1310" s="29">
        <v>0</v>
      </c>
      <c r="P1310" s="29">
        <v>0</v>
      </c>
      <c r="Q1310" s="29">
        <v>670.8</v>
      </c>
      <c r="R1310" s="29">
        <v>3035919.51</v>
      </c>
      <c r="S1310" s="29">
        <v>0</v>
      </c>
      <c r="T1310" s="29">
        <v>0</v>
      </c>
      <c r="U1310" s="29">
        <v>0</v>
      </c>
      <c r="V1310" s="29">
        <v>0</v>
      </c>
      <c r="W1310" s="29">
        <v>0</v>
      </c>
      <c r="X1310" s="29">
        <v>0</v>
      </c>
      <c r="Y1310" s="29">
        <v>0</v>
      </c>
      <c r="Z1310" s="29">
        <v>0</v>
      </c>
      <c r="AA1310" s="29">
        <v>0</v>
      </c>
      <c r="AB1310" s="29">
        <v>0</v>
      </c>
      <c r="AC1310" s="29">
        <f>ROUND(R1310*1.5%,2)</f>
        <v>45538.79</v>
      </c>
      <c r="AD1310" s="29">
        <v>150000</v>
      </c>
      <c r="AE1310" s="29">
        <v>0</v>
      </c>
      <c r="AF1310" s="32">
        <v>2022</v>
      </c>
      <c r="AG1310" s="32">
        <v>2022</v>
      </c>
      <c r="AH1310" s="33">
        <v>2022</v>
      </c>
      <c r="AT1310" s="18" t="e">
        <f>VLOOKUP(C1310,AW:AX,2,FALSE)</f>
        <v>#N/A</v>
      </c>
      <c r="BZ1310" s="61"/>
    </row>
    <row r="1311" spans="1:78" ht="61.5" x14ac:dyDescent="0.85">
      <c r="B1311" s="22" t="s">
        <v>835</v>
      </c>
      <c r="C1311" s="22"/>
      <c r="D1311" s="339">
        <f>SUM(D1312:D1315)</f>
        <v>21660267.710000001</v>
      </c>
      <c r="E1311" s="29">
        <f t="shared" ref="E1311:AE1311" si="268">SUM(E1312:E1315)</f>
        <v>451170.83</v>
      </c>
      <c r="F1311" s="29">
        <f t="shared" si="268"/>
        <v>885201.84</v>
      </c>
      <c r="G1311" s="29">
        <f t="shared" si="268"/>
        <v>1880858.0000000002</v>
      </c>
      <c r="H1311" s="29">
        <f t="shared" si="268"/>
        <v>667182.5</v>
      </c>
      <c r="I1311" s="29">
        <f t="shared" si="268"/>
        <v>0</v>
      </c>
      <c r="J1311" s="29">
        <f t="shared" si="268"/>
        <v>0</v>
      </c>
      <c r="K1311" s="31">
        <f t="shared" si="268"/>
        <v>0</v>
      </c>
      <c r="L1311" s="29">
        <f t="shared" si="268"/>
        <v>0</v>
      </c>
      <c r="M1311" s="29">
        <f t="shared" si="268"/>
        <v>3087.9</v>
      </c>
      <c r="N1311" s="29">
        <f t="shared" si="268"/>
        <v>16628165.850000001</v>
      </c>
      <c r="O1311" s="29">
        <f t="shared" si="268"/>
        <v>0</v>
      </c>
      <c r="P1311" s="29">
        <f t="shared" si="268"/>
        <v>0</v>
      </c>
      <c r="Q1311" s="29">
        <f t="shared" si="268"/>
        <v>0</v>
      </c>
      <c r="R1311" s="29">
        <f t="shared" si="268"/>
        <v>0</v>
      </c>
      <c r="S1311" s="29">
        <f t="shared" si="268"/>
        <v>0</v>
      </c>
      <c r="T1311" s="29">
        <f t="shared" si="268"/>
        <v>0</v>
      </c>
      <c r="U1311" s="29">
        <f t="shared" si="268"/>
        <v>0</v>
      </c>
      <c r="V1311" s="29">
        <f t="shared" si="268"/>
        <v>0</v>
      </c>
      <c r="W1311" s="29">
        <f t="shared" si="268"/>
        <v>0</v>
      </c>
      <c r="X1311" s="29">
        <f t="shared" si="268"/>
        <v>0</v>
      </c>
      <c r="Y1311" s="29">
        <f t="shared" si="268"/>
        <v>0</v>
      </c>
      <c r="Z1311" s="29">
        <f t="shared" si="268"/>
        <v>0</v>
      </c>
      <c r="AA1311" s="29">
        <f t="shared" si="268"/>
        <v>0</v>
      </c>
      <c r="AB1311" s="29">
        <f t="shared" si="268"/>
        <v>0</v>
      </c>
      <c r="AC1311" s="29">
        <f t="shared" si="268"/>
        <v>307688.69</v>
      </c>
      <c r="AD1311" s="29">
        <f t="shared" si="268"/>
        <v>840000</v>
      </c>
      <c r="AE1311" s="29">
        <f t="shared" si="268"/>
        <v>0</v>
      </c>
      <c r="AF1311" s="346" t="s">
        <v>743</v>
      </c>
      <c r="AG1311" s="346" t="s">
        <v>743</v>
      </c>
      <c r="AH1311" s="347" t="s">
        <v>743</v>
      </c>
      <c r="AT1311" s="18" t="e">
        <f>VLOOKUP(C1311,AW:AX,2,FALSE)</f>
        <v>#N/A</v>
      </c>
      <c r="BZ1311" s="61">
        <v>16849360.93</v>
      </c>
    </row>
    <row r="1312" spans="1:78" ht="61.5" x14ac:dyDescent="0.85">
      <c r="A1312" s="18">
        <v>1</v>
      </c>
      <c r="B1312" s="57">
        <f>SUBTOTAL(103,$A$1093:A1312)</f>
        <v>184</v>
      </c>
      <c r="C1312" s="91" t="s">
        <v>69</v>
      </c>
      <c r="D1312" s="29">
        <f>E1312+F1312+G1312+H1312+I1312+J1312+L1312+N1312+P1312+R1312+T1312+U1312+V1312+W1312+X1312+Y1312+Z1312+AA1312+AB1312+AC1312+AD1312+AE1312</f>
        <v>5782944.25</v>
      </c>
      <c r="E1312" s="29">
        <v>0</v>
      </c>
      <c r="F1312" s="29">
        <v>0</v>
      </c>
      <c r="G1312" s="29">
        <v>0</v>
      </c>
      <c r="H1312" s="29">
        <v>0</v>
      </c>
      <c r="I1312" s="29">
        <v>0</v>
      </c>
      <c r="J1312" s="29">
        <v>0</v>
      </c>
      <c r="K1312" s="31">
        <v>0</v>
      </c>
      <c r="L1312" s="29">
        <v>0</v>
      </c>
      <c r="M1312" s="29">
        <v>1047.5999999999999</v>
      </c>
      <c r="N1312" s="29">
        <v>5520142.1200000001</v>
      </c>
      <c r="O1312" s="29">
        <v>0</v>
      </c>
      <c r="P1312" s="29">
        <v>0</v>
      </c>
      <c r="Q1312" s="29">
        <v>0</v>
      </c>
      <c r="R1312" s="29">
        <v>0</v>
      </c>
      <c r="S1312" s="29">
        <v>0</v>
      </c>
      <c r="T1312" s="29">
        <v>0</v>
      </c>
      <c r="U1312" s="29">
        <v>0</v>
      </c>
      <c r="V1312" s="29">
        <v>0</v>
      </c>
      <c r="W1312" s="29">
        <v>0</v>
      </c>
      <c r="X1312" s="29">
        <v>0</v>
      </c>
      <c r="Y1312" s="29">
        <v>0</v>
      </c>
      <c r="Z1312" s="29">
        <v>0</v>
      </c>
      <c r="AA1312" s="29">
        <v>0</v>
      </c>
      <c r="AB1312" s="29">
        <v>0</v>
      </c>
      <c r="AC1312" s="29">
        <f>ROUND(N1312*1.5%,2)</f>
        <v>82802.13</v>
      </c>
      <c r="AD1312" s="29">
        <v>180000</v>
      </c>
      <c r="AE1312" s="29">
        <v>0</v>
      </c>
      <c r="AF1312" s="32">
        <v>2022</v>
      </c>
      <c r="AG1312" s="32">
        <v>2022</v>
      </c>
      <c r="AH1312" s="33">
        <v>2022</v>
      </c>
      <c r="AT1312" s="18" t="e">
        <f>VLOOKUP(C1312,AW:AX,2,FALSE)</f>
        <v>#N/A</v>
      </c>
      <c r="BZ1312" s="61"/>
    </row>
    <row r="1313" spans="1:78" ht="61.5" x14ac:dyDescent="0.85">
      <c r="A1313" s="18">
        <v>1</v>
      </c>
      <c r="B1313" s="57">
        <f>SUBTOTAL(103,$A$1093:A1313)</f>
        <v>185</v>
      </c>
      <c r="C1313" s="91" t="s">
        <v>68</v>
      </c>
      <c r="D1313" s="29">
        <f>E1313+F1313+G1313+H1313+I1313+J1313+L1313+N1313+P1313+R1313+T1313+U1313+V1313+W1313+X1313+Y1313+Z1313+AA1313+AB1313+AC1313+AD1313+AE1313</f>
        <v>6823737.3099999996</v>
      </c>
      <c r="E1313" s="29">
        <v>0</v>
      </c>
      <c r="F1313" s="29">
        <v>0</v>
      </c>
      <c r="G1313" s="29">
        <v>0</v>
      </c>
      <c r="H1313" s="29">
        <v>0</v>
      </c>
      <c r="I1313" s="29">
        <v>0</v>
      </c>
      <c r="J1313" s="29">
        <v>0</v>
      </c>
      <c r="K1313" s="31">
        <v>0</v>
      </c>
      <c r="L1313" s="29">
        <v>0</v>
      </c>
      <c r="M1313" s="29">
        <v>1238.9000000000001</v>
      </c>
      <c r="N1313" s="29">
        <v>6545554</v>
      </c>
      <c r="O1313" s="29">
        <v>0</v>
      </c>
      <c r="P1313" s="29">
        <v>0</v>
      </c>
      <c r="Q1313" s="29">
        <v>0</v>
      </c>
      <c r="R1313" s="29">
        <v>0</v>
      </c>
      <c r="S1313" s="29">
        <v>0</v>
      </c>
      <c r="T1313" s="29">
        <v>0</v>
      </c>
      <c r="U1313" s="29">
        <v>0</v>
      </c>
      <c r="V1313" s="29">
        <v>0</v>
      </c>
      <c r="W1313" s="29">
        <v>0</v>
      </c>
      <c r="X1313" s="29">
        <v>0</v>
      </c>
      <c r="Y1313" s="29">
        <v>0</v>
      </c>
      <c r="Z1313" s="29">
        <v>0</v>
      </c>
      <c r="AA1313" s="29">
        <v>0</v>
      </c>
      <c r="AB1313" s="29">
        <v>0</v>
      </c>
      <c r="AC1313" s="29">
        <f>ROUND(N1313*1.5%,2)</f>
        <v>98183.31</v>
      </c>
      <c r="AD1313" s="29">
        <v>180000</v>
      </c>
      <c r="AE1313" s="29">
        <v>0</v>
      </c>
      <c r="AF1313" s="32">
        <v>2022</v>
      </c>
      <c r="AG1313" s="32">
        <v>2022</v>
      </c>
      <c r="AH1313" s="33">
        <v>2022</v>
      </c>
      <c r="AT1313" s="18" t="e">
        <f>VLOOKUP(C1313,AW:AX,2,FALSE)</f>
        <v>#N/A</v>
      </c>
      <c r="BZ1313" s="61"/>
    </row>
    <row r="1314" spans="1:78" ht="61.5" x14ac:dyDescent="0.85">
      <c r="A1314" s="18">
        <v>1</v>
      </c>
      <c r="B1314" s="57">
        <f>SUBTOTAL(103,$A$1093:A1314)</f>
        <v>186</v>
      </c>
      <c r="C1314" s="91" t="s">
        <v>67</v>
      </c>
      <c r="D1314" s="29">
        <f>E1314+F1314+G1314+H1314+I1314+J1314+L1314+N1314+P1314+R1314+T1314+U1314+V1314+W1314+X1314+Y1314+Z1314+AA1314+AB1314+AC1314+AD1314+AE1314</f>
        <v>4242679.37</v>
      </c>
      <c r="E1314" s="29">
        <v>451170.83</v>
      </c>
      <c r="F1314" s="29">
        <v>885201.84</v>
      </c>
      <c r="G1314" s="29">
        <v>1880858.0000000002</v>
      </c>
      <c r="H1314" s="29">
        <v>667182.5</v>
      </c>
      <c r="I1314" s="29">
        <v>0</v>
      </c>
      <c r="J1314" s="29">
        <v>0</v>
      </c>
      <c r="K1314" s="31">
        <v>0</v>
      </c>
      <c r="L1314" s="29">
        <v>0</v>
      </c>
      <c r="M1314" s="29">
        <v>0</v>
      </c>
      <c r="N1314" s="29">
        <v>0</v>
      </c>
      <c r="O1314" s="29">
        <v>0</v>
      </c>
      <c r="P1314" s="29">
        <v>0</v>
      </c>
      <c r="Q1314" s="29">
        <v>0</v>
      </c>
      <c r="R1314" s="29">
        <v>0</v>
      </c>
      <c r="S1314" s="29">
        <v>0</v>
      </c>
      <c r="T1314" s="29">
        <v>0</v>
      </c>
      <c r="U1314" s="29">
        <v>0</v>
      </c>
      <c r="V1314" s="29">
        <v>0</v>
      </c>
      <c r="W1314" s="29">
        <v>0</v>
      </c>
      <c r="X1314" s="29">
        <v>0</v>
      </c>
      <c r="Y1314" s="29">
        <v>0</v>
      </c>
      <c r="Z1314" s="29">
        <v>0</v>
      </c>
      <c r="AA1314" s="29">
        <v>0</v>
      </c>
      <c r="AB1314" s="29">
        <v>0</v>
      </c>
      <c r="AC1314" s="29">
        <f>ROUND((E1314+F1314+G1314+H1314+I1314+J1314)*1.5%,2)</f>
        <v>58266.2</v>
      </c>
      <c r="AD1314" s="29">
        <v>300000</v>
      </c>
      <c r="AE1314" s="29">
        <v>0</v>
      </c>
      <c r="AF1314" s="32">
        <v>2022</v>
      </c>
      <c r="AG1314" s="32">
        <v>2022</v>
      </c>
      <c r="AH1314" s="33">
        <v>2022</v>
      </c>
      <c r="AT1314" s="18" t="e">
        <f>VLOOKUP(C1314,AW:AX,2,FALSE)</f>
        <v>#N/A</v>
      </c>
      <c r="BZ1314" s="61"/>
    </row>
    <row r="1315" spans="1:78" ht="61.5" x14ac:dyDescent="0.85">
      <c r="A1315" s="18">
        <v>1</v>
      </c>
      <c r="B1315" s="57">
        <f>SUBTOTAL(103,$A$1093:A1315)</f>
        <v>187</v>
      </c>
      <c r="C1315" s="91" t="s">
        <v>2615</v>
      </c>
      <c r="D1315" s="29">
        <f>E1315+F1315+G1315+H1315+I1315+J1315+L1315+N1315+P1315+R1315+T1315+U1315+V1315+W1315+X1315+Y1315+Z1315+AA1315+AB1315+AC1315+AD1315+AE1315</f>
        <v>4810906.78</v>
      </c>
      <c r="E1315" s="29">
        <v>0</v>
      </c>
      <c r="F1315" s="29">
        <v>0</v>
      </c>
      <c r="G1315" s="29">
        <v>0</v>
      </c>
      <c r="H1315" s="29">
        <v>0</v>
      </c>
      <c r="I1315" s="29">
        <v>0</v>
      </c>
      <c r="J1315" s="29">
        <v>0</v>
      </c>
      <c r="K1315" s="31">
        <v>0</v>
      </c>
      <c r="L1315" s="29">
        <v>0</v>
      </c>
      <c r="M1315" s="29">
        <v>801.4</v>
      </c>
      <c r="N1315" s="29">
        <v>4562469.7300000004</v>
      </c>
      <c r="O1315" s="29">
        <v>0</v>
      </c>
      <c r="P1315" s="29">
        <v>0</v>
      </c>
      <c r="Q1315" s="29">
        <v>0</v>
      </c>
      <c r="R1315" s="29">
        <v>0</v>
      </c>
      <c r="S1315" s="29">
        <v>0</v>
      </c>
      <c r="T1315" s="29">
        <v>0</v>
      </c>
      <c r="U1315" s="29">
        <v>0</v>
      </c>
      <c r="V1315" s="29">
        <v>0</v>
      </c>
      <c r="W1315" s="29">
        <v>0</v>
      </c>
      <c r="X1315" s="29">
        <v>0</v>
      </c>
      <c r="Y1315" s="29">
        <v>0</v>
      </c>
      <c r="Z1315" s="29">
        <v>0</v>
      </c>
      <c r="AA1315" s="29">
        <v>0</v>
      </c>
      <c r="AB1315" s="29">
        <v>0</v>
      </c>
      <c r="AC1315" s="29">
        <f>ROUND(N1315*1.5%,2)</f>
        <v>68437.05</v>
      </c>
      <c r="AD1315" s="29">
        <v>180000</v>
      </c>
      <c r="AE1315" s="29">
        <v>0</v>
      </c>
      <c r="AF1315" s="32">
        <v>2022</v>
      </c>
      <c r="AG1315" s="32">
        <v>2022</v>
      </c>
      <c r="AH1315" s="33">
        <v>2022</v>
      </c>
      <c r="AT1315" s="18" t="e">
        <f>VLOOKUP(C1315,AW:AX,2,FALSE)</f>
        <v>#N/A</v>
      </c>
      <c r="BZ1315" s="61"/>
    </row>
    <row r="1316" spans="1:78" ht="61.5" x14ac:dyDescent="0.85">
      <c r="B1316" s="22" t="s">
        <v>836</v>
      </c>
      <c r="C1316" s="22"/>
      <c r="D1316" s="339">
        <f>D1317</f>
        <v>3221353.3</v>
      </c>
      <c r="E1316" s="29">
        <f t="shared" ref="E1316:AE1316" si="269">E1317</f>
        <v>0</v>
      </c>
      <c r="F1316" s="29">
        <f t="shared" si="269"/>
        <v>0</v>
      </c>
      <c r="G1316" s="29">
        <f t="shared" si="269"/>
        <v>0</v>
      </c>
      <c r="H1316" s="29">
        <f t="shared" si="269"/>
        <v>0</v>
      </c>
      <c r="I1316" s="29">
        <f t="shared" si="269"/>
        <v>0</v>
      </c>
      <c r="J1316" s="29">
        <f t="shared" si="269"/>
        <v>0</v>
      </c>
      <c r="K1316" s="31">
        <f t="shared" si="269"/>
        <v>0</v>
      </c>
      <c r="L1316" s="29">
        <f t="shared" si="269"/>
        <v>0</v>
      </c>
      <c r="M1316" s="29">
        <f t="shared" si="269"/>
        <v>708.3</v>
      </c>
      <c r="N1316" s="29">
        <f t="shared" si="269"/>
        <v>3025963.84</v>
      </c>
      <c r="O1316" s="29">
        <f t="shared" si="269"/>
        <v>0</v>
      </c>
      <c r="P1316" s="29">
        <f t="shared" si="269"/>
        <v>0</v>
      </c>
      <c r="Q1316" s="29">
        <f t="shared" si="269"/>
        <v>0</v>
      </c>
      <c r="R1316" s="29">
        <f t="shared" si="269"/>
        <v>0</v>
      </c>
      <c r="S1316" s="29">
        <f t="shared" si="269"/>
        <v>0</v>
      </c>
      <c r="T1316" s="29">
        <f t="shared" si="269"/>
        <v>0</v>
      </c>
      <c r="U1316" s="29">
        <f t="shared" si="269"/>
        <v>0</v>
      </c>
      <c r="V1316" s="29">
        <f t="shared" si="269"/>
        <v>0</v>
      </c>
      <c r="W1316" s="29">
        <f t="shared" si="269"/>
        <v>0</v>
      </c>
      <c r="X1316" s="29">
        <f t="shared" si="269"/>
        <v>0</v>
      </c>
      <c r="Y1316" s="29">
        <f t="shared" si="269"/>
        <v>0</v>
      </c>
      <c r="Z1316" s="29">
        <f t="shared" si="269"/>
        <v>0</v>
      </c>
      <c r="AA1316" s="29">
        <f t="shared" si="269"/>
        <v>0</v>
      </c>
      <c r="AB1316" s="29">
        <f t="shared" si="269"/>
        <v>0</v>
      </c>
      <c r="AC1316" s="29">
        <f t="shared" si="269"/>
        <v>45389.46</v>
      </c>
      <c r="AD1316" s="29">
        <f t="shared" si="269"/>
        <v>150000</v>
      </c>
      <c r="AE1316" s="29">
        <f t="shared" si="269"/>
        <v>0</v>
      </c>
      <c r="AF1316" s="346" t="s">
        <v>743</v>
      </c>
      <c r="AG1316" s="346" t="s">
        <v>743</v>
      </c>
      <c r="AH1316" s="347" t="s">
        <v>743</v>
      </c>
      <c r="AT1316" s="18" t="e">
        <f>VLOOKUP(C1316,AW:AX,2,FALSE)</f>
        <v>#N/A</v>
      </c>
      <c r="BZ1316" s="61">
        <v>3799734.79</v>
      </c>
    </row>
    <row r="1317" spans="1:78" ht="61.5" x14ac:dyDescent="0.85">
      <c r="A1317" s="18">
        <v>1</v>
      </c>
      <c r="B1317" s="57">
        <f>SUBTOTAL(103,$A$1093:A1317)</f>
        <v>188</v>
      </c>
      <c r="C1317" s="91" t="s">
        <v>65</v>
      </c>
      <c r="D1317" s="29">
        <f>E1317+F1317+G1317+H1317+I1317+J1317+L1317+N1317+P1317+R1317+T1317+U1317+V1317+W1317+X1317+Y1317+Z1317+AA1317+AB1317+AC1317+AD1317+AE1317</f>
        <v>3221353.3</v>
      </c>
      <c r="E1317" s="29">
        <v>0</v>
      </c>
      <c r="F1317" s="29">
        <v>0</v>
      </c>
      <c r="G1317" s="29">
        <v>0</v>
      </c>
      <c r="H1317" s="29">
        <v>0</v>
      </c>
      <c r="I1317" s="29">
        <v>0</v>
      </c>
      <c r="J1317" s="29">
        <v>0</v>
      </c>
      <c r="K1317" s="31">
        <v>0</v>
      </c>
      <c r="L1317" s="29">
        <v>0</v>
      </c>
      <c r="M1317" s="29">
        <v>708.3</v>
      </c>
      <c r="N1317" s="29">
        <v>3025963.84</v>
      </c>
      <c r="O1317" s="29">
        <v>0</v>
      </c>
      <c r="P1317" s="29">
        <v>0</v>
      </c>
      <c r="Q1317" s="29">
        <v>0</v>
      </c>
      <c r="R1317" s="29">
        <v>0</v>
      </c>
      <c r="S1317" s="29">
        <v>0</v>
      </c>
      <c r="T1317" s="29">
        <v>0</v>
      </c>
      <c r="U1317" s="29">
        <v>0</v>
      </c>
      <c r="V1317" s="29">
        <v>0</v>
      </c>
      <c r="W1317" s="29">
        <v>0</v>
      </c>
      <c r="X1317" s="29">
        <v>0</v>
      </c>
      <c r="Y1317" s="29">
        <v>0</v>
      </c>
      <c r="Z1317" s="29">
        <v>0</v>
      </c>
      <c r="AA1317" s="29">
        <v>0</v>
      </c>
      <c r="AB1317" s="29">
        <v>0</v>
      </c>
      <c r="AC1317" s="29">
        <f>ROUND(N1317*1.5%,2)</f>
        <v>45389.46</v>
      </c>
      <c r="AD1317" s="29">
        <v>150000</v>
      </c>
      <c r="AE1317" s="29">
        <v>0</v>
      </c>
      <c r="AF1317" s="32">
        <v>2022</v>
      </c>
      <c r="AG1317" s="32">
        <v>2022</v>
      </c>
      <c r="AH1317" s="33">
        <v>2022</v>
      </c>
      <c r="AT1317" s="18" t="e">
        <f>VLOOKUP(C1317,AW:AX,2,FALSE)</f>
        <v>#N/A</v>
      </c>
      <c r="BZ1317" s="61"/>
    </row>
    <row r="1318" spans="1:78" ht="61.5" x14ac:dyDescent="0.85">
      <c r="B1318" s="22" t="s">
        <v>837</v>
      </c>
      <c r="C1318" s="22"/>
      <c r="D1318" s="339">
        <f>D1319</f>
        <v>2580625.15</v>
      </c>
      <c r="E1318" s="29">
        <f t="shared" ref="E1318:AE1318" si="270">E1319</f>
        <v>0</v>
      </c>
      <c r="F1318" s="29">
        <f t="shared" si="270"/>
        <v>0</v>
      </c>
      <c r="G1318" s="29">
        <f t="shared" si="270"/>
        <v>0</v>
      </c>
      <c r="H1318" s="29">
        <f t="shared" si="270"/>
        <v>0</v>
      </c>
      <c r="I1318" s="29">
        <f t="shared" si="270"/>
        <v>0</v>
      </c>
      <c r="J1318" s="29">
        <f t="shared" si="270"/>
        <v>0</v>
      </c>
      <c r="K1318" s="31">
        <f t="shared" si="270"/>
        <v>0</v>
      </c>
      <c r="L1318" s="29">
        <f t="shared" si="270"/>
        <v>0</v>
      </c>
      <c r="M1318" s="29">
        <f t="shared" si="270"/>
        <v>470</v>
      </c>
      <c r="N1318" s="29">
        <f t="shared" si="270"/>
        <v>2424261.23</v>
      </c>
      <c r="O1318" s="29">
        <f t="shared" si="270"/>
        <v>0</v>
      </c>
      <c r="P1318" s="29">
        <f t="shared" si="270"/>
        <v>0</v>
      </c>
      <c r="Q1318" s="29">
        <f t="shared" si="270"/>
        <v>0</v>
      </c>
      <c r="R1318" s="29">
        <f t="shared" si="270"/>
        <v>0</v>
      </c>
      <c r="S1318" s="29">
        <f t="shared" si="270"/>
        <v>0</v>
      </c>
      <c r="T1318" s="29">
        <f t="shared" si="270"/>
        <v>0</v>
      </c>
      <c r="U1318" s="29">
        <f t="shared" si="270"/>
        <v>0</v>
      </c>
      <c r="V1318" s="29">
        <f t="shared" si="270"/>
        <v>0</v>
      </c>
      <c r="W1318" s="29">
        <f t="shared" si="270"/>
        <v>0</v>
      </c>
      <c r="X1318" s="29">
        <f t="shared" si="270"/>
        <v>0</v>
      </c>
      <c r="Y1318" s="29">
        <f t="shared" si="270"/>
        <v>0</v>
      </c>
      <c r="Z1318" s="29">
        <f t="shared" si="270"/>
        <v>0</v>
      </c>
      <c r="AA1318" s="29">
        <f t="shared" si="270"/>
        <v>0</v>
      </c>
      <c r="AB1318" s="29">
        <f t="shared" si="270"/>
        <v>0</v>
      </c>
      <c r="AC1318" s="29">
        <f t="shared" si="270"/>
        <v>36363.919999999998</v>
      </c>
      <c r="AD1318" s="29">
        <f t="shared" si="270"/>
        <v>120000</v>
      </c>
      <c r="AE1318" s="29">
        <f t="shared" si="270"/>
        <v>0</v>
      </c>
      <c r="AF1318" s="346" t="s">
        <v>743</v>
      </c>
      <c r="AG1318" s="346" t="s">
        <v>743</v>
      </c>
      <c r="AH1318" s="347" t="s">
        <v>743</v>
      </c>
      <c r="AT1318" s="18" t="e">
        <f>VLOOKUP(C1318,AW:AX,2,FALSE)</f>
        <v>#N/A</v>
      </c>
      <c r="BZ1318" s="61">
        <v>2311215.4500000002</v>
      </c>
    </row>
    <row r="1319" spans="1:78" ht="61.5" x14ac:dyDescent="0.85">
      <c r="A1319" s="18">
        <v>1</v>
      </c>
      <c r="B1319" s="57">
        <f>SUBTOTAL(103,$A$1093:A1319)</f>
        <v>189</v>
      </c>
      <c r="C1319" s="91" t="s">
        <v>64</v>
      </c>
      <c r="D1319" s="29">
        <f>E1319+F1319+G1319+H1319+I1319+J1319+L1319+N1319+P1319+R1319+T1319+U1319+V1319+W1319+X1319+Y1319+Z1319+AA1319+AB1319+AC1319+AD1319+AE1319</f>
        <v>2580625.15</v>
      </c>
      <c r="E1319" s="29">
        <v>0</v>
      </c>
      <c r="F1319" s="29">
        <v>0</v>
      </c>
      <c r="G1319" s="29">
        <v>0</v>
      </c>
      <c r="H1319" s="29">
        <v>0</v>
      </c>
      <c r="I1319" s="29">
        <v>0</v>
      </c>
      <c r="J1319" s="29">
        <v>0</v>
      </c>
      <c r="K1319" s="31">
        <v>0</v>
      </c>
      <c r="L1319" s="29">
        <v>0</v>
      </c>
      <c r="M1319" s="29">
        <v>470</v>
      </c>
      <c r="N1319" s="29">
        <f>2158832.96+265428.27</f>
        <v>2424261.23</v>
      </c>
      <c r="O1319" s="29">
        <v>0</v>
      </c>
      <c r="P1319" s="29">
        <v>0</v>
      </c>
      <c r="Q1319" s="29">
        <v>0</v>
      </c>
      <c r="R1319" s="29">
        <v>0</v>
      </c>
      <c r="S1319" s="29">
        <v>0</v>
      </c>
      <c r="T1319" s="29">
        <v>0</v>
      </c>
      <c r="U1319" s="29">
        <v>0</v>
      </c>
      <c r="V1319" s="29">
        <v>0</v>
      </c>
      <c r="W1319" s="29">
        <v>0</v>
      </c>
      <c r="X1319" s="29">
        <v>0</v>
      </c>
      <c r="Y1319" s="29">
        <v>0</v>
      </c>
      <c r="Z1319" s="29">
        <v>0</v>
      </c>
      <c r="AA1319" s="29">
        <v>0</v>
      </c>
      <c r="AB1319" s="29">
        <v>0</v>
      </c>
      <c r="AC1319" s="29">
        <f>ROUND(N1319*1.5%,2)</f>
        <v>36363.919999999998</v>
      </c>
      <c r="AD1319" s="29">
        <v>120000</v>
      </c>
      <c r="AE1319" s="29">
        <v>0</v>
      </c>
      <c r="AF1319" s="32">
        <v>2022</v>
      </c>
      <c r="AG1319" s="32">
        <v>2022</v>
      </c>
      <c r="AH1319" s="33">
        <v>2022</v>
      </c>
      <c r="AT1319" s="18" t="e">
        <f>VLOOKUP(C1319,AW:AX,2,FALSE)</f>
        <v>#N/A</v>
      </c>
      <c r="BZ1319" s="61"/>
    </row>
    <row r="1320" spans="1:78" ht="61.5" x14ac:dyDescent="0.85">
      <c r="B1320" s="22" t="s">
        <v>875</v>
      </c>
      <c r="C1320" s="22"/>
      <c r="D1320" s="339">
        <f>D1321</f>
        <v>3215375.5700000003</v>
      </c>
      <c r="E1320" s="29">
        <f t="shared" ref="E1320:AE1320" si="271">E1321</f>
        <v>0</v>
      </c>
      <c r="F1320" s="29">
        <f t="shared" si="271"/>
        <v>0</v>
      </c>
      <c r="G1320" s="29">
        <f t="shared" si="271"/>
        <v>0</v>
      </c>
      <c r="H1320" s="29">
        <f t="shared" si="271"/>
        <v>0</v>
      </c>
      <c r="I1320" s="29">
        <f t="shared" si="271"/>
        <v>0</v>
      </c>
      <c r="J1320" s="29">
        <f t="shared" si="271"/>
        <v>0</v>
      </c>
      <c r="K1320" s="31">
        <f t="shared" si="271"/>
        <v>0</v>
      </c>
      <c r="L1320" s="29">
        <f t="shared" si="271"/>
        <v>0</v>
      </c>
      <c r="M1320" s="29">
        <f t="shared" si="271"/>
        <v>615.76</v>
      </c>
      <c r="N1320" s="29">
        <f t="shared" si="271"/>
        <v>3020074.45</v>
      </c>
      <c r="O1320" s="29">
        <f t="shared" si="271"/>
        <v>0</v>
      </c>
      <c r="P1320" s="29">
        <f t="shared" si="271"/>
        <v>0</v>
      </c>
      <c r="Q1320" s="29">
        <f t="shared" si="271"/>
        <v>0</v>
      </c>
      <c r="R1320" s="29">
        <f t="shared" si="271"/>
        <v>0</v>
      </c>
      <c r="S1320" s="29">
        <f t="shared" si="271"/>
        <v>0</v>
      </c>
      <c r="T1320" s="29">
        <f t="shared" si="271"/>
        <v>0</v>
      </c>
      <c r="U1320" s="29">
        <f t="shared" si="271"/>
        <v>0</v>
      </c>
      <c r="V1320" s="29">
        <f t="shared" si="271"/>
        <v>0</v>
      </c>
      <c r="W1320" s="29">
        <f t="shared" si="271"/>
        <v>0</v>
      </c>
      <c r="X1320" s="29">
        <f t="shared" si="271"/>
        <v>0</v>
      </c>
      <c r="Y1320" s="29">
        <f t="shared" si="271"/>
        <v>0</v>
      </c>
      <c r="Z1320" s="29">
        <f t="shared" si="271"/>
        <v>0</v>
      </c>
      <c r="AA1320" s="29">
        <f t="shared" si="271"/>
        <v>0</v>
      </c>
      <c r="AB1320" s="29">
        <f t="shared" si="271"/>
        <v>0</v>
      </c>
      <c r="AC1320" s="29">
        <f t="shared" si="271"/>
        <v>45301.120000000003</v>
      </c>
      <c r="AD1320" s="29">
        <f t="shared" si="271"/>
        <v>150000</v>
      </c>
      <c r="AE1320" s="29">
        <f t="shared" si="271"/>
        <v>0</v>
      </c>
      <c r="AF1320" s="346" t="s">
        <v>743</v>
      </c>
      <c r="AG1320" s="346" t="s">
        <v>743</v>
      </c>
      <c r="AH1320" s="347" t="s">
        <v>743</v>
      </c>
      <c r="AT1320" s="18" t="e">
        <f>VLOOKUP(C1320,AW:AX,2,FALSE)</f>
        <v>#N/A</v>
      </c>
      <c r="BZ1320" s="61">
        <v>3215375.5700000003</v>
      </c>
    </row>
    <row r="1321" spans="1:78" ht="61.5" x14ac:dyDescent="0.85">
      <c r="A1321" s="18">
        <v>1</v>
      </c>
      <c r="B1321" s="57">
        <f>SUBTOTAL(103,$A$1093:A1321)</f>
        <v>190</v>
      </c>
      <c r="C1321" s="91" t="s">
        <v>70</v>
      </c>
      <c r="D1321" s="29">
        <f>E1321+F1321+G1321+H1321+I1321+J1321+L1321+N1321+P1321+R1321+T1321+U1321+V1321+W1321+X1321+Y1321+Z1321+AA1321+AB1321+AC1321+AD1321+AE1321</f>
        <v>3215375.5700000003</v>
      </c>
      <c r="E1321" s="29">
        <v>0</v>
      </c>
      <c r="F1321" s="29">
        <v>0</v>
      </c>
      <c r="G1321" s="29">
        <v>0</v>
      </c>
      <c r="H1321" s="29">
        <v>0</v>
      </c>
      <c r="I1321" s="29">
        <v>0</v>
      </c>
      <c r="J1321" s="29">
        <v>0</v>
      </c>
      <c r="K1321" s="31">
        <v>0</v>
      </c>
      <c r="L1321" s="29">
        <v>0</v>
      </c>
      <c r="M1321" s="29">
        <v>615.76</v>
      </c>
      <c r="N1321" s="29">
        <v>3020074.45</v>
      </c>
      <c r="O1321" s="29">
        <v>0</v>
      </c>
      <c r="P1321" s="29">
        <v>0</v>
      </c>
      <c r="Q1321" s="29">
        <v>0</v>
      </c>
      <c r="R1321" s="29">
        <v>0</v>
      </c>
      <c r="S1321" s="29">
        <v>0</v>
      </c>
      <c r="T1321" s="29">
        <v>0</v>
      </c>
      <c r="U1321" s="29">
        <v>0</v>
      </c>
      <c r="V1321" s="29">
        <v>0</v>
      </c>
      <c r="W1321" s="29">
        <v>0</v>
      </c>
      <c r="X1321" s="29">
        <v>0</v>
      </c>
      <c r="Y1321" s="29">
        <v>0</v>
      </c>
      <c r="Z1321" s="29">
        <v>0</v>
      </c>
      <c r="AA1321" s="29">
        <v>0</v>
      </c>
      <c r="AB1321" s="29">
        <v>0</v>
      </c>
      <c r="AC1321" s="29">
        <f>ROUND(N1321*1.5%,2)</f>
        <v>45301.120000000003</v>
      </c>
      <c r="AD1321" s="29">
        <v>150000</v>
      </c>
      <c r="AE1321" s="29">
        <v>0</v>
      </c>
      <c r="AF1321" s="32">
        <v>2022</v>
      </c>
      <c r="AG1321" s="32">
        <v>2022</v>
      </c>
      <c r="AH1321" s="33">
        <v>2022</v>
      </c>
      <c r="AT1321" s="18" t="e">
        <f>VLOOKUP(C1321,AW:AX,2,FALSE)</f>
        <v>#N/A</v>
      </c>
      <c r="BZ1321" s="61"/>
    </row>
    <row r="1322" spans="1:78" ht="61.5" x14ac:dyDescent="0.85">
      <c r="B1322" s="22" t="s">
        <v>838</v>
      </c>
      <c r="C1322" s="22"/>
      <c r="D1322" s="339">
        <f>D1323+D1324+D1325</f>
        <v>10672314.84</v>
      </c>
      <c r="E1322" s="29">
        <f t="shared" ref="E1322:AE1322" si="272">E1323+E1324+E1325</f>
        <v>0</v>
      </c>
      <c r="F1322" s="29">
        <f t="shared" si="272"/>
        <v>0</v>
      </c>
      <c r="G1322" s="29">
        <f t="shared" si="272"/>
        <v>0</v>
      </c>
      <c r="H1322" s="29">
        <f t="shared" si="272"/>
        <v>0</v>
      </c>
      <c r="I1322" s="29">
        <f t="shared" si="272"/>
        <v>0</v>
      </c>
      <c r="J1322" s="29">
        <f t="shared" si="272"/>
        <v>0</v>
      </c>
      <c r="K1322" s="31">
        <f t="shared" si="272"/>
        <v>0</v>
      </c>
      <c r="L1322" s="29">
        <f t="shared" si="272"/>
        <v>0</v>
      </c>
      <c r="M1322" s="29">
        <f t="shared" si="272"/>
        <v>2043.8</v>
      </c>
      <c r="N1322" s="29">
        <f t="shared" si="272"/>
        <v>10100802.800000001</v>
      </c>
      <c r="O1322" s="29">
        <f t="shared" si="272"/>
        <v>0</v>
      </c>
      <c r="P1322" s="29">
        <f t="shared" si="272"/>
        <v>0</v>
      </c>
      <c r="Q1322" s="29">
        <f t="shared" si="272"/>
        <v>0</v>
      </c>
      <c r="R1322" s="29">
        <f t="shared" si="272"/>
        <v>0</v>
      </c>
      <c r="S1322" s="29">
        <f t="shared" si="272"/>
        <v>0</v>
      </c>
      <c r="T1322" s="29">
        <f t="shared" si="272"/>
        <v>0</v>
      </c>
      <c r="U1322" s="29">
        <f t="shared" si="272"/>
        <v>0</v>
      </c>
      <c r="V1322" s="29">
        <f t="shared" si="272"/>
        <v>0</v>
      </c>
      <c r="W1322" s="29">
        <f t="shared" si="272"/>
        <v>0</v>
      </c>
      <c r="X1322" s="29">
        <f t="shared" si="272"/>
        <v>0</v>
      </c>
      <c r="Y1322" s="29">
        <f t="shared" si="272"/>
        <v>0</v>
      </c>
      <c r="Z1322" s="29">
        <f t="shared" si="272"/>
        <v>0</v>
      </c>
      <c r="AA1322" s="29">
        <f t="shared" si="272"/>
        <v>0</v>
      </c>
      <c r="AB1322" s="29">
        <f t="shared" si="272"/>
        <v>0</v>
      </c>
      <c r="AC1322" s="29">
        <f t="shared" si="272"/>
        <v>151512.04</v>
      </c>
      <c r="AD1322" s="29">
        <f t="shared" si="272"/>
        <v>420000</v>
      </c>
      <c r="AE1322" s="29">
        <f t="shared" si="272"/>
        <v>0</v>
      </c>
      <c r="AF1322" s="346" t="s">
        <v>743</v>
      </c>
      <c r="AG1322" s="346" t="s">
        <v>743</v>
      </c>
      <c r="AH1322" s="347" t="s">
        <v>743</v>
      </c>
      <c r="AT1322" s="18" t="e">
        <f>VLOOKUP(C1322,AW:AX,2,FALSE)</f>
        <v>#N/A</v>
      </c>
      <c r="BZ1322" s="61">
        <v>10672314.84</v>
      </c>
    </row>
    <row r="1323" spans="1:78" ht="61.5" x14ac:dyDescent="0.85">
      <c r="A1323" s="18">
        <v>1</v>
      </c>
      <c r="B1323" s="57">
        <f>SUBTOTAL(103,$A$1093:A1323)</f>
        <v>191</v>
      </c>
      <c r="C1323" s="91" t="s">
        <v>71</v>
      </c>
      <c r="D1323" s="29">
        <f>E1323+F1323+G1323+H1323+I1323+J1323+L1323+N1323+P1323+R1323+T1323+U1323+V1323+W1323+X1323+Y1323+Z1323+AA1323+AB1323+AC1323+AD1323+AE1323</f>
        <v>2391584.4</v>
      </c>
      <c r="E1323" s="29">
        <v>0</v>
      </c>
      <c r="F1323" s="29">
        <v>0</v>
      </c>
      <c r="G1323" s="29">
        <v>0</v>
      </c>
      <c r="H1323" s="29">
        <v>0</v>
      </c>
      <c r="I1323" s="29">
        <v>0</v>
      </c>
      <c r="J1323" s="29">
        <v>0</v>
      </c>
      <c r="K1323" s="31">
        <v>0</v>
      </c>
      <c r="L1323" s="29">
        <v>0</v>
      </c>
      <c r="M1323" s="29">
        <v>458</v>
      </c>
      <c r="N1323" s="29">
        <v>2238014.19</v>
      </c>
      <c r="O1323" s="29">
        <v>0</v>
      </c>
      <c r="P1323" s="29">
        <v>0</v>
      </c>
      <c r="Q1323" s="29">
        <v>0</v>
      </c>
      <c r="R1323" s="29">
        <v>0</v>
      </c>
      <c r="S1323" s="29">
        <v>0</v>
      </c>
      <c r="T1323" s="29">
        <v>0</v>
      </c>
      <c r="U1323" s="29">
        <v>0</v>
      </c>
      <c r="V1323" s="29">
        <v>0</v>
      </c>
      <c r="W1323" s="29">
        <v>0</v>
      </c>
      <c r="X1323" s="29">
        <v>0</v>
      </c>
      <c r="Y1323" s="29">
        <v>0</v>
      </c>
      <c r="Z1323" s="29">
        <v>0</v>
      </c>
      <c r="AA1323" s="29">
        <v>0</v>
      </c>
      <c r="AB1323" s="29">
        <v>0</v>
      </c>
      <c r="AC1323" s="29">
        <f>ROUND(N1323*1.5%,2)</f>
        <v>33570.21</v>
      </c>
      <c r="AD1323" s="29">
        <v>120000</v>
      </c>
      <c r="AE1323" s="29">
        <v>0</v>
      </c>
      <c r="AF1323" s="32">
        <v>2022</v>
      </c>
      <c r="AG1323" s="32">
        <v>2022</v>
      </c>
      <c r="AH1323" s="33">
        <v>2022</v>
      </c>
      <c r="AT1323" s="18" t="e">
        <f>VLOOKUP(C1323,AW:AX,2,FALSE)</f>
        <v>#N/A</v>
      </c>
      <c r="BZ1323" s="61"/>
    </row>
    <row r="1324" spans="1:78" ht="61.5" x14ac:dyDescent="0.85">
      <c r="A1324" s="18">
        <v>1</v>
      </c>
      <c r="B1324" s="57">
        <f>SUBTOTAL(103,$A$1093:A1324)</f>
        <v>192</v>
      </c>
      <c r="C1324" s="91" t="s">
        <v>72</v>
      </c>
      <c r="D1324" s="29">
        <f>E1324+F1324+G1324+H1324+I1324+J1324+L1324+N1324+P1324+R1324+T1324+U1324+V1324+W1324+X1324+Y1324+Z1324+AA1324+AB1324+AC1324+AD1324+AE1324</f>
        <v>4908492</v>
      </c>
      <c r="E1324" s="29">
        <v>0</v>
      </c>
      <c r="F1324" s="29">
        <v>0</v>
      </c>
      <c r="G1324" s="29">
        <v>0</v>
      </c>
      <c r="H1324" s="29">
        <v>0</v>
      </c>
      <c r="I1324" s="29">
        <v>0</v>
      </c>
      <c r="J1324" s="29">
        <v>0</v>
      </c>
      <c r="K1324" s="31">
        <v>0</v>
      </c>
      <c r="L1324" s="29">
        <v>0</v>
      </c>
      <c r="M1324" s="29">
        <v>940</v>
      </c>
      <c r="N1324" s="29">
        <v>4688169.46</v>
      </c>
      <c r="O1324" s="29">
        <v>0</v>
      </c>
      <c r="P1324" s="29">
        <v>0</v>
      </c>
      <c r="Q1324" s="29">
        <v>0</v>
      </c>
      <c r="R1324" s="29">
        <v>0</v>
      </c>
      <c r="S1324" s="29">
        <v>0</v>
      </c>
      <c r="T1324" s="29">
        <v>0</v>
      </c>
      <c r="U1324" s="29">
        <v>0</v>
      </c>
      <c r="V1324" s="29">
        <v>0</v>
      </c>
      <c r="W1324" s="29">
        <v>0</v>
      </c>
      <c r="X1324" s="29">
        <v>0</v>
      </c>
      <c r="Y1324" s="29">
        <v>0</v>
      </c>
      <c r="Z1324" s="29">
        <v>0</v>
      </c>
      <c r="AA1324" s="29">
        <v>0</v>
      </c>
      <c r="AB1324" s="29">
        <v>0</v>
      </c>
      <c r="AC1324" s="29">
        <f>ROUND(N1324*1.5%,2)</f>
        <v>70322.539999999994</v>
      </c>
      <c r="AD1324" s="29">
        <v>150000</v>
      </c>
      <c r="AE1324" s="29">
        <v>0</v>
      </c>
      <c r="AF1324" s="32">
        <v>2022</v>
      </c>
      <c r="AG1324" s="32">
        <v>2022</v>
      </c>
      <c r="AH1324" s="33">
        <v>2022</v>
      </c>
      <c r="AT1324" s="18" t="e">
        <f>VLOOKUP(C1324,AW:AX,2,FALSE)</f>
        <v>#N/A</v>
      </c>
      <c r="BZ1324" s="61"/>
    </row>
    <row r="1325" spans="1:78" ht="61.5" x14ac:dyDescent="0.85">
      <c r="A1325" s="18">
        <v>1</v>
      </c>
      <c r="B1325" s="57">
        <f>SUBTOTAL(103,$A$1093:A1325)</f>
        <v>193</v>
      </c>
      <c r="C1325" s="91" t="s">
        <v>73</v>
      </c>
      <c r="D1325" s="29">
        <f>E1325+F1325+G1325+H1325+I1325+J1325+L1325+N1325+P1325+R1325+T1325+U1325+V1325+W1325+X1325+Y1325+Z1325+AA1325+AB1325+AC1325+AD1325+AE1325</f>
        <v>3372238.44</v>
      </c>
      <c r="E1325" s="29">
        <v>0</v>
      </c>
      <c r="F1325" s="29">
        <v>0</v>
      </c>
      <c r="G1325" s="29">
        <v>0</v>
      </c>
      <c r="H1325" s="29">
        <v>0</v>
      </c>
      <c r="I1325" s="29">
        <v>0</v>
      </c>
      <c r="J1325" s="29">
        <v>0</v>
      </c>
      <c r="K1325" s="31">
        <v>0</v>
      </c>
      <c r="L1325" s="29">
        <v>0</v>
      </c>
      <c r="M1325" s="29">
        <v>645.79999999999995</v>
      </c>
      <c r="N1325" s="29">
        <v>3174619.15</v>
      </c>
      <c r="O1325" s="29">
        <v>0</v>
      </c>
      <c r="P1325" s="29">
        <v>0</v>
      </c>
      <c r="Q1325" s="29">
        <v>0</v>
      </c>
      <c r="R1325" s="29">
        <v>0</v>
      </c>
      <c r="S1325" s="29">
        <v>0</v>
      </c>
      <c r="T1325" s="29">
        <v>0</v>
      </c>
      <c r="U1325" s="29">
        <v>0</v>
      </c>
      <c r="V1325" s="29">
        <v>0</v>
      </c>
      <c r="W1325" s="29">
        <v>0</v>
      </c>
      <c r="X1325" s="29">
        <v>0</v>
      </c>
      <c r="Y1325" s="29">
        <v>0</v>
      </c>
      <c r="Z1325" s="29">
        <v>0</v>
      </c>
      <c r="AA1325" s="29">
        <v>0</v>
      </c>
      <c r="AB1325" s="29">
        <v>0</v>
      </c>
      <c r="AC1325" s="29">
        <f>ROUND(N1325*1.5%,2)</f>
        <v>47619.29</v>
      </c>
      <c r="AD1325" s="29">
        <v>150000</v>
      </c>
      <c r="AE1325" s="29">
        <v>0</v>
      </c>
      <c r="AF1325" s="32">
        <v>2022</v>
      </c>
      <c r="AG1325" s="32">
        <v>2022</v>
      </c>
      <c r="AH1325" s="33">
        <v>2022</v>
      </c>
      <c r="AT1325" s="18" t="e">
        <f>VLOOKUP(C1325,AW:AX,2,FALSE)</f>
        <v>#N/A</v>
      </c>
      <c r="BZ1325" s="61"/>
    </row>
    <row r="1326" spans="1:78" ht="61.5" x14ac:dyDescent="0.85">
      <c r="B1326" s="22" t="s">
        <v>834</v>
      </c>
      <c r="C1326" s="22"/>
      <c r="D1326" s="339">
        <f>D1327</f>
        <v>3962770.8299999996</v>
      </c>
      <c r="E1326" s="29">
        <f t="shared" ref="E1326:AE1326" si="273">E1327</f>
        <v>0</v>
      </c>
      <c r="F1326" s="29">
        <f t="shared" si="273"/>
        <v>0</v>
      </c>
      <c r="G1326" s="29">
        <f t="shared" si="273"/>
        <v>0</v>
      </c>
      <c r="H1326" s="29">
        <f t="shared" si="273"/>
        <v>0</v>
      </c>
      <c r="I1326" s="29">
        <f t="shared" si="273"/>
        <v>0</v>
      </c>
      <c r="J1326" s="29">
        <f t="shared" si="273"/>
        <v>0</v>
      </c>
      <c r="K1326" s="31">
        <f t="shared" si="273"/>
        <v>0</v>
      </c>
      <c r="L1326" s="29">
        <f t="shared" si="273"/>
        <v>0</v>
      </c>
      <c r="M1326" s="29">
        <f t="shared" si="273"/>
        <v>1320</v>
      </c>
      <c r="N1326" s="29">
        <f t="shared" si="273"/>
        <v>3736720.03</v>
      </c>
      <c r="O1326" s="29">
        <f t="shared" si="273"/>
        <v>0</v>
      </c>
      <c r="P1326" s="29">
        <f t="shared" si="273"/>
        <v>0</v>
      </c>
      <c r="Q1326" s="29">
        <f t="shared" si="273"/>
        <v>0</v>
      </c>
      <c r="R1326" s="29">
        <f t="shared" si="273"/>
        <v>0</v>
      </c>
      <c r="S1326" s="29">
        <f t="shared" si="273"/>
        <v>0</v>
      </c>
      <c r="T1326" s="29">
        <f t="shared" si="273"/>
        <v>0</v>
      </c>
      <c r="U1326" s="29">
        <f t="shared" si="273"/>
        <v>0</v>
      </c>
      <c r="V1326" s="29">
        <f t="shared" si="273"/>
        <v>0</v>
      </c>
      <c r="W1326" s="29">
        <f t="shared" si="273"/>
        <v>0</v>
      </c>
      <c r="X1326" s="29">
        <f t="shared" si="273"/>
        <v>0</v>
      </c>
      <c r="Y1326" s="29">
        <f t="shared" si="273"/>
        <v>0</v>
      </c>
      <c r="Z1326" s="29">
        <f t="shared" si="273"/>
        <v>0</v>
      </c>
      <c r="AA1326" s="29">
        <f t="shared" si="273"/>
        <v>0</v>
      </c>
      <c r="AB1326" s="29">
        <f t="shared" si="273"/>
        <v>0</v>
      </c>
      <c r="AC1326" s="29">
        <f t="shared" si="273"/>
        <v>56050.8</v>
      </c>
      <c r="AD1326" s="29">
        <f t="shared" si="273"/>
        <v>170000</v>
      </c>
      <c r="AE1326" s="29">
        <f t="shared" si="273"/>
        <v>0</v>
      </c>
      <c r="AF1326" s="346" t="s">
        <v>743</v>
      </c>
      <c r="AG1326" s="346" t="s">
        <v>743</v>
      </c>
      <c r="AH1326" s="347" t="s">
        <v>743</v>
      </c>
      <c r="AT1326" s="18" t="e">
        <f>VLOOKUP(C1326,AW:AX,2,FALSE)</f>
        <v>#N/A</v>
      </c>
      <c r="BZ1326" s="61">
        <v>3912770.8299999996</v>
      </c>
    </row>
    <row r="1327" spans="1:78" ht="61.5" x14ac:dyDescent="0.85">
      <c r="A1327" s="18">
        <v>1</v>
      </c>
      <c r="B1327" s="57">
        <f>SUBTOTAL(103,$A$1093:A1327)</f>
        <v>194</v>
      </c>
      <c r="C1327" s="91" t="s">
        <v>1552</v>
      </c>
      <c r="D1327" s="29">
        <f>E1327+F1327+G1327+H1327+I1327+J1327+L1327+N1327+P1327+R1327+T1327+U1327+V1327+W1327+X1327+Y1327+Z1327+AA1327+AB1327+AC1327+AD1327+AE1327</f>
        <v>3962770.8299999996</v>
      </c>
      <c r="E1327" s="29">
        <v>0</v>
      </c>
      <c r="F1327" s="29">
        <v>0</v>
      </c>
      <c r="G1327" s="29">
        <v>0</v>
      </c>
      <c r="H1327" s="29">
        <v>0</v>
      </c>
      <c r="I1327" s="29">
        <v>0</v>
      </c>
      <c r="J1327" s="29">
        <v>0</v>
      </c>
      <c r="K1327" s="31">
        <v>0</v>
      </c>
      <c r="L1327" s="29">
        <v>0</v>
      </c>
      <c r="M1327" s="29">
        <v>1320</v>
      </c>
      <c r="N1327" s="29">
        <v>3736720.03</v>
      </c>
      <c r="O1327" s="29">
        <v>0</v>
      </c>
      <c r="P1327" s="29">
        <v>0</v>
      </c>
      <c r="Q1327" s="29">
        <v>0</v>
      </c>
      <c r="R1327" s="29">
        <v>0</v>
      </c>
      <c r="S1327" s="29">
        <v>0</v>
      </c>
      <c r="T1327" s="29">
        <v>0</v>
      </c>
      <c r="U1327" s="29">
        <v>0</v>
      </c>
      <c r="V1327" s="29">
        <v>0</v>
      </c>
      <c r="W1327" s="29">
        <v>0</v>
      </c>
      <c r="X1327" s="29">
        <v>0</v>
      </c>
      <c r="Y1327" s="29">
        <v>0</v>
      </c>
      <c r="Z1327" s="29">
        <v>0</v>
      </c>
      <c r="AA1327" s="29">
        <v>0</v>
      </c>
      <c r="AB1327" s="29">
        <v>0</v>
      </c>
      <c r="AC1327" s="29">
        <f>ROUND(N1327*1.5%,2)</f>
        <v>56050.8</v>
      </c>
      <c r="AD1327" s="29">
        <v>170000</v>
      </c>
      <c r="AE1327" s="29">
        <v>0</v>
      </c>
      <c r="AF1327" s="32">
        <v>2022</v>
      </c>
      <c r="AG1327" s="32">
        <v>2022</v>
      </c>
      <c r="AH1327" s="33">
        <v>2022</v>
      </c>
      <c r="BZ1327" s="61"/>
    </row>
    <row r="1328" spans="1:78" ht="61.5" x14ac:dyDescent="0.85">
      <c r="B1328" s="22" t="s">
        <v>839</v>
      </c>
      <c r="C1328" s="338"/>
      <c r="D1328" s="339">
        <f>D1329</f>
        <v>5841301.9000000004</v>
      </c>
      <c r="E1328" s="29">
        <f t="shared" ref="E1328:AE1328" si="274">E1329</f>
        <v>0</v>
      </c>
      <c r="F1328" s="29">
        <f t="shared" si="274"/>
        <v>0</v>
      </c>
      <c r="G1328" s="29">
        <f t="shared" si="274"/>
        <v>0</v>
      </c>
      <c r="H1328" s="29">
        <f t="shared" si="274"/>
        <v>0</v>
      </c>
      <c r="I1328" s="29">
        <f t="shared" si="274"/>
        <v>0</v>
      </c>
      <c r="J1328" s="29">
        <f t="shared" si="274"/>
        <v>0</v>
      </c>
      <c r="K1328" s="31">
        <f t="shared" si="274"/>
        <v>0</v>
      </c>
      <c r="L1328" s="29">
        <f t="shared" si="274"/>
        <v>0</v>
      </c>
      <c r="M1328" s="29">
        <f t="shared" si="274"/>
        <v>925</v>
      </c>
      <c r="N1328" s="29">
        <f t="shared" si="274"/>
        <v>5641676.75</v>
      </c>
      <c r="O1328" s="29">
        <f t="shared" si="274"/>
        <v>0</v>
      </c>
      <c r="P1328" s="29">
        <f t="shared" si="274"/>
        <v>0</v>
      </c>
      <c r="Q1328" s="29">
        <f t="shared" si="274"/>
        <v>0</v>
      </c>
      <c r="R1328" s="29">
        <f t="shared" si="274"/>
        <v>0</v>
      </c>
      <c r="S1328" s="29">
        <f t="shared" si="274"/>
        <v>0</v>
      </c>
      <c r="T1328" s="29">
        <f t="shared" si="274"/>
        <v>0</v>
      </c>
      <c r="U1328" s="29">
        <f t="shared" si="274"/>
        <v>0</v>
      </c>
      <c r="V1328" s="29">
        <f t="shared" si="274"/>
        <v>0</v>
      </c>
      <c r="W1328" s="29">
        <f t="shared" si="274"/>
        <v>0</v>
      </c>
      <c r="X1328" s="29">
        <f t="shared" si="274"/>
        <v>0</v>
      </c>
      <c r="Y1328" s="29">
        <f t="shared" si="274"/>
        <v>0</v>
      </c>
      <c r="Z1328" s="29">
        <f t="shared" si="274"/>
        <v>0</v>
      </c>
      <c r="AA1328" s="29">
        <f t="shared" si="274"/>
        <v>0</v>
      </c>
      <c r="AB1328" s="29">
        <f t="shared" si="274"/>
        <v>0</v>
      </c>
      <c r="AC1328" s="29">
        <f t="shared" si="274"/>
        <v>84625.15</v>
      </c>
      <c r="AD1328" s="29">
        <f t="shared" si="274"/>
        <v>115000</v>
      </c>
      <c r="AE1328" s="29">
        <f t="shared" si="274"/>
        <v>0</v>
      </c>
      <c r="AF1328" s="346" t="s">
        <v>743</v>
      </c>
      <c r="AG1328" s="346" t="s">
        <v>743</v>
      </c>
      <c r="AH1328" s="347" t="s">
        <v>743</v>
      </c>
      <c r="AT1328" s="18" t="e">
        <f>VLOOKUP(C1328,AW:AX,2,FALSE)</f>
        <v>#N/A</v>
      </c>
      <c r="BZ1328" s="61">
        <v>4804056</v>
      </c>
    </row>
    <row r="1329" spans="1:78" ht="61.5" x14ac:dyDescent="0.85">
      <c r="A1329" s="18">
        <v>1</v>
      </c>
      <c r="B1329" s="57">
        <f>SUBTOTAL(103,$A$1093:A1329)</f>
        <v>195</v>
      </c>
      <c r="C1329" s="91" t="s">
        <v>226</v>
      </c>
      <c r="D1329" s="29">
        <f>E1329+F1329+G1329+H1329+I1329+J1329+L1329+N1329+P1329+R1329+T1329+U1329+V1329+W1329+X1329+Y1329+Z1329+AA1329+AB1329+AC1329+AD1329+AE1329</f>
        <v>5841301.9000000004</v>
      </c>
      <c r="E1329" s="29">
        <v>0</v>
      </c>
      <c r="F1329" s="29">
        <v>0</v>
      </c>
      <c r="G1329" s="29">
        <v>0</v>
      </c>
      <c r="H1329" s="29">
        <v>0</v>
      </c>
      <c r="I1329" s="29">
        <v>0</v>
      </c>
      <c r="J1329" s="29">
        <v>0</v>
      </c>
      <c r="K1329" s="31">
        <v>0</v>
      </c>
      <c r="L1329" s="29">
        <v>0</v>
      </c>
      <c r="M1329" s="29">
        <v>925</v>
      </c>
      <c r="N1329" s="29">
        <v>5641676.75</v>
      </c>
      <c r="O1329" s="29">
        <v>0</v>
      </c>
      <c r="P1329" s="29">
        <v>0</v>
      </c>
      <c r="Q1329" s="29">
        <v>0</v>
      </c>
      <c r="R1329" s="29">
        <v>0</v>
      </c>
      <c r="S1329" s="29">
        <v>0</v>
      </c>
      <c r="T1329" s="29">
        <v>0</v>
      </c>
      <c r="U1329" s="29">
        <v>0</v>
      </c>
      <c r="V1329" s="29">
        <v>0</v>
      </c>
      <c r="W1329" s="29">
        <v>0</v>
      </c>
      <c r="X1329" s="29">
        <v>0</v>
      </c>
      <c r="Y1329" s="29">
        <v>0</v>
      </c>
      <c r="Z1329" s="29">
        <v>0</v>
      </c>
      <c r="AA1329" s="29">
        <v>0</v>
      </c>
      <c r="AB1329" s="29">
        <v>0</v>
      </c>
      <c r="AC1329" s="29">
        <f>ROUND(N1329*1.5%,2)</f>
        <v>84625.15</v>
      </c>
      <c r="AD1329" s="29">
        <v>115000</v>
      </c>
      <c r="AE1329" s="29">
        <v>0</v>
      </c>
      <c r="AF1329" s="32">
        <v>2022</v>
      </c>
      <c r="AG1329" s="32">
        <v>2022</v>
      </c>
      <c r="AH1329" s="33">
        <v>2022</v>
      </c>
      <c r="AT1329" s="18" t="e">
        <f>VLOOKUP(C1329,AW:AX,2,FALSE)</f>
        <v>#N/A</v>
      </c>
      <c r="BZ1329" s="61"/>
    </row>
    <row r="1330" spans="1:78" ht="61.5" x14ac:dyDescent="0.85">
      <c r="B1330" s="22" t="s">
        <v>874</v>
      </c>
      <c r="C1330" s="338"/>
      <c r="D1330" s="339">
        <f>D1331</f>
        <v>7297176.4800000004</v>
      </c>
      <c r="E1330" s="29">
        <f t="shared" ref="E1330:AE1330" si="275">E1331</f>
        <v>0</v>
      </c>
      <c r="F1330" s="29">
        <f t="shared" si="275"/>
        <v>0</v>
      </c>
      <c r="G1330" s="29">
        <f t="shared" si="275"/>
        <v>0</v>
      </c>
      <c r="H1330" s="29">
        <f t="shared" si="275"/>
        <v>0</v>
      </c>
      <c r="I1330" s="29">
        <f t="shared" si="275"/>
        <v>0</v>
      </c>
      <c r="J1330" s="29">
        <f t="shared" si="275"/>
        <v>0</v>
      </c>
      <c r="K1330" s="31">
        <f t="shared" si="275"/>
        <v>0</v>
      </c>
      <c r="L1330" s="29">
        <f t="shared" si="275"/>
        <v>0</v>
      </c>
      <c r="M1330" s="29">
        <f t="shared" si="275"/>
        <v>1501.51</v>
      </c>
      <c r="N1330" s="29">
        <f t="shared" si="275"/>
        <v>7011996.5300000003</v>
      </c>
      <c r="O1330" s="29">
        <f t="shared" si="275"/>
        <v>0</v>
      </c>
      <c r="P1330" s="29">
        <f t="shared" si="275"/>
        <v>0</v>
      </c>
      <c r="Q1330" s="29">
        <f t="shared" si="275"/>
        <v>0</v>
      </c>
      <c r="R1330" s="29">
        <f t="shared" si="275"/>
        <v>0</v>
      </c>
      <c r="S1330" s="29">
        <f t="shared" si="275"/>
        <v>0</v>
      </c>
      <c r="T1330" s="29">
        <f t="shared" si="275"/>
        <v>0</v>
      </c>
      <c r="U1330" s="29">
        <f t="shared" si="275"/>
        <v>0</v>
      </c>
      <c r="V1330" s="29">
        <f t="shared" si="275"/>
        <v>0</v>
      </c>
      <c r="W1330" s="29">
        <f t="shared" si="275"/>
        <v>0</v>
      </c>
      <c r="X1330" s="29">
        <f t="shared" si="275"/>
        <v>0</v>
      </c>
      <c r="Y1330" s="29">
        <f t="shared" si="275"/>
        <v>0</v>
      </c>
      <c r="Z1330" s="29">
        <f t="shared" si="275"/>
        <v>0</v>
      </c>
      <c r="AA1330" s="29">
        <f t="shared" si="275"/>
        <v>0</v>
      </c>
      <c r="AB1330" s="29">
        <f t="shared" si="275"/>
        <v>0</v>
      </c>
      <c r="AC1330" s="29">
        <f t="shared" si="275"/>
        <v>105179.95</v>
      </c>
      <c r="AD1330" s="29">
        <f t="shared" si="275"/>
        <v>180000</v>
      </c>
      <c r="AE1330" s="29">
        <f t="shared" si="275"/>
        <v>0</v>
      </c>
      <c r="AF1330" s="346" t="s">
        <v>743</v>
      </c>
      <c r="AG1330" s="346" t="s">
        <v>743</v>
      </c>
      <c r="AH1330" s="347" t="s">
        <v>743</v>
      </c>
      <c r="AT1330" s="18" t="e">
        <f>VLOOKUP(C1330,AW:AX,2,FALSE)</f>
        <v>#N/A</v>
      </c>
      <c r="BZ1330" s="61">
        <v>7284801.9000000004</v>
      </c>
    </row>
    <row r="1331" spans="1:78" ht="61.5" x14ac:dyDescent="0.85">
      <c r="A1331" s="18">
        <v>1</v>
      </c>
      <c r="B1331" s="57">
        <f>SUBTOTAL(103,$A$1093:A1331)</f>
        <v>196</v>
      </c>
      <c r="C1331" s="91" t="s">
        <v>159</v>
      </c>
      <c r="D1331" s="29">
        <f>E1331+F1331+G1331+H1331+I1331+J1331+L1331+N1331+P1331+R1331+T1331+U1331+V1331+W1331+X1331+Y1331+Z1331+AA1331+AB1331+AC1331+AD1331+AE1331</f>
        <v>7297176.4800000004</v>
      </c>
      <c r="E1331" s="29">
        <v>0</v>
      </c>
      <c r="F1331" s="29">
        <v>0</v>
      </c>
      <c r="G1331" s="29">
        <v>0</v>
      </c>
      <c r="H1331" s="29">
        <v>0</v>
      </c>
      <c r="I1331" s="29">
        <v>0</v>
      </c>
      <c r="J1331" s="29">
        <v>0</v>
      </c>
      <c r="K1331" s="31">
        <v>0</v>
      </c>
      <c r="L1331" s="29">
        <v>0</v>
      </c>
      <c r="M1331" s="29">
        <v>1501.51</v>
      </c>
      <c r="N1331" s="29">
        <f>6999804.83+12191.7</f>
        <v>7011996.5300000003</v>
      </c>
      <c r="O1331" s="29">
        <v>0</v>
      </c>
      <c r="P1331" s="29">
        <v>0</v>
      </c>
      <c r="Q1331" s="29">
        <v>0</v>
      </c>
      <c r="R1331" s="29">
        <v>0</v>
      </c>
      <c r="S1331" s="29">
        <v>0</v>
      </c>
      <c r="T1331" s="29">
        <v>0</v>
      </c>
      <c r="U1331" s="29">
        <v>0</v>
      </c>
      <c r="V1331" s="29">
        <v>0</v>
      </c>
      <c r="W1331" s="29">
        <v>0</v>
      </c>
      <c r="X1331" s="29">
        <v>0</v>
      </c>
      <c r="Y1331" s="29">
        <v>0</v>
      </c>
      <c r="Z1331" s="29">
        <v>0</v>
      </c>
      <c r="AA1331" s="29">
        <v>0</v>
      </c>
      <c r="AB1331" s="29">
        <v>0</v>
      </c>
      <c r="AC1331" s="29">
        <f>ROUND(N1331*1.5%,2)</f>
        <v>105179.95</v>
      </c>
      <c r="AD1331" s="29">
        <v>180000</v>
      </c>
      <c r="AE1331" s="29">
        <v>0</v>
      </c>
      <c r="AF1331" s="32">
        <v>2022</v>
      </c>
      <c r="AG1331" s="32">
        <v>2022</v>
      </c>
      <c r="AH1331" s="33">
        <v>2022</v>
      </c>
      <c r="AT1331" s="18" t="e">
        <f>VLOOKUP(C1331,AW:AX,2,FALSE)</f>
        <v>#N/A</v>
      </c>
      <c r="BZ1331" s="61"/>
    </row>
    <row r="1332" spans="1:78" ht="61.5" x14ac:dyDescent="0.85">
      <c r="B1332" s="22" t="s">
        <v>870</v>
      </c>
      <c r="C1332" s="22"/>
      <c r="D1332" s="339">
        <f>D1333+D1334</f>
        <v>4011881.02</v>
      </c>
      <c r="E1332" s="29">
        <f t="shared" ref="E1332:AE1332" si="276">E1333+E1334</f>
        <v>0</v>
      </c>
      <c r="F1332" s="29">
        <f t="shared" si="276"/>
        <v>0</v>
      </c>
      <c r="G1332" s="29">
        <f t="shared" si="276"/>
        <v>0</v>
      </c>
      <c r="H1332" s="29">
        <f t="shared" si="276"/>
        <v>0</v>
      </c>
      <c r="I1332" s="29">
        <f t="shared" si="276"/>
        <v>0</v>
      </c>
      <c r="J1332" s="29">
        <f t="shared" si="276"/>
        <v>0</v>
      </c>
      <c r="K1332" s="31">
        <f t="shared" si="276"/>
        <v>0</v>
      </c>
      <c r="L1332" s="29">
        <f t="shared" si="276"/>
        <v>0</v>
      </c>
      <c r="M1332" s="29">
        <f t="shared" si="276"/>
        <v>771.1</v>
      </c>
      <c r="N1332" s="29">
        <f t="shared" si="276"/>
        <v>3479820.61</v>
      </c>
      <c r="O1332" s="29">
        <f t="shared" si="276"/>
        <v>0</v>
      </c>
      <c r="P1332" s="29">
        <f t="shared" si="276"/>
        <v>0</v>
      </c>
      <c r="Q1332" s="29">
        <f t="shared" si="276"/>
        <v>98</v>
      </c>
      <c r="R1332" s="29">
        <f t="shared" si="276"/>
        <v>206761.67</v>
      </c>
      <c r="S1332" s="29">
        <f t="shared" si="276"/>
        <v>0</v>
      </c>
      <c r="T1332" s="29">
        <f t="shared" si="276"/>
        <v>0</v>
      </c>
      <c r="U1332" s="29">
        <f t="shared" si="276"/>
        <v>0</v>
      </c>
      <c r="V1332" s="29">
        <f t="shared" si="276"/>
        <v>0</v>
      </c>
      <c r="W1332" s="29">
        <f t="shared" si="276"/>
        <v>0</v>
      </c>
      <c r="X1332" s="29">
        <f t="shared" si="276"/>
        <v>0</v>
      </c>
      <c r="Y1332" s="29">
        <f t="shared" si="276"/>
        <v>0</v>
      </c>
      <c r="Z1332" s="29">
        <f t="shared" si="276"/>
        <v>0</v>
      </c>
      <c r="AA1332" s="29">
        <f t="shared" si="276"/>
        <v>0</v>
      </c>
      <c r="AB1332" s="29">
        <f t="shared" si="276"/>
        <v>0</v>
      </c>
      <c r="AC1332" s="29">
        <f t="shared" si="276"/>
        <v>55298.74</v>
      </c>
      <c r="AD1332" s="29">
        <f t="shared" si="276"/>
        <v>270000</v>
      </c>
      <c r="AE1332" s="29">
        <f t="shared" si="276"/>
        <v>0</v>
      </c>
      <c r="AF1332" s="346" t="s">
        <v>743</v>
      </c>
      <c r="AG1332" s="346" t="s">
        <v>743</v>
      </c>
      <c r="AH1332" s="347" t="s">
        <v>743</v>
      </c>
      <c r="AT1332" s="18" t="e">
        <f>VLOOKUP(C1332,AW:AX,2,FALSE)</f>
        <v>#N/A</v>
      </c>
      <c r="BZ1332" s="61">
        <v>4011881.02</v>
      </c>
    </row>
    <row r="1333" spans="1:78" ht="61.5" x14ac:dyDescent="0.85">
      <c r="A1333" s="18">
        <v>1</v>
      </c>
      <c r="B1333" s="57">
        <f>SUBTOTAL(103,$A$1093:A1333)</f>
        <v>197</v>
      </c>
      <c r="C1333" s="91" t="s">
        <v>164</v>
      </c>
      <c r="D1333" s="29">
        <f>E1333+F1333+G1333+H1333+I1333+J1333+L1333+N1333+P1333+R1333+T1333+U1333+V1333+W1333+X1333+Y1333+Z1333+AA1333+AB1333+AC1333+AD1333+AE1333</f>
        <v>329863.09999999998</v>
      </c>
      <c r="E1333" s="29">
        <v>0</v>
      </c>
      <c r="F1333" s="29">
        <v>0</v>
      </c>
      <c r="G1333" s="29">
        <v>0</v>
      </c>
      <c r="H1333" s="29">
        <v>0</v>
      </c>
      <c r="I1333" s="29">
        <v>0</v>
      </c>
      <c r="J1333" s="29">
        <v>0</v>
      </c>
      <c r="K1333" s="31">
        <v>0</v>
      </c>
      <c r="L1333" s="29">
        <v>0</v>
      </c>
      <c r="M1333" s="29">
        <v>0</v>
      </c>
      <c r="N1333" s="29">
        <v>0</v>
      </c>
      <c r="O1333" s="29">
        <v>0</v>
      </c>
      <c r="P1333" s="29">
        <v>0</v>
      </c>
      <c r="Q1333" s="29">
        <v>98</v>
      </c>
      <c r="R1333" s="29">
        <v>206761.67</v>
      </c>
      <c r="S1333" s="29">
        <v>0</v>
      </c>
      <c r="T1333" s="29">
        <v>0</v>
      </c>
      <c r="U1333" s="29">
        <v>0</v>
      </c>
      <c r="V1333" s="29">
        <v>0</v>
      </c>
      <c r="W1333" s="29">
        <v>0</v>
      </c>
      <c r="X1333" s="29">
        <v>0</v>
      </c>
      <c r="Y1333" s="29">
        <v>0</v>
      </c>
      <c r="Z1333" s="29">
        <v>0</v>
      </c>
      <c r="AA1333" s="29">
        <v>0</v>
      </c>
      <c r="AB1333" s="29">
        <v>0</v>
      </c>
      <c r="AC1333" s="29">
        <f>ROUND(R1333*1.5%,2)</f>
        <v>3101.43</v>
      </c>
      <c r="AD1333" s="29">
        <v>120000</v>
      </c>
      <c r="AE1333" s="29">
        <v>0</v>
      </c>
      <c r="AF1333" s="32">
        <v>2022</v>
      </c>
      <c r="AG1333" s="32">
        <v>2022</v>
      </c>
      <c r="AH1333" s="33">
        <v>2022</v>
      </c>
      <c r="AT1333" s="18" t="e">
        <f>VLOOKUP(C1333,AW:AX,2,FALSE)</f>
        <v>#N/A</v>
      </c>
      <c r="BZ1333" s="61"/>
    </row>
    <row r="1334" spans="1:78" ht="61.5" x14ac:dyDescent="0.85">
      <c r="A1334" s="18">
        <v>1</v>
      </c>
      <c r="B1334" s="57">
        <f>SUBTOTAL(103,$A$1093:A1334)</f>
        <v>198</v>
      </c>
      <c r="C1334" s="91" t="s">
        <v>165</v>
      </c>
      <c r="D1334" s="29">
        <f>E1334+F1334+G1334+H1334+I1334+J1334+L1334+N1334+P1334+R1334+T1334+U1334+V1334+W1334+X1334+Y1334+Z1334+AA1334+AB1334+AC1334+AD1334+AE1334</f>
        <v>3682017.92</v>
      </c>
      <c r="E1334" s="29">
        <v>0</v>
      </c>
      <c r="F1334" s="29">
        <v>0</v>
      </c>
      <c r="G1334" s="29">
        <v>0</v>
      </c>
      <c r="H1334" s="29">
        <v>0</v>
      </c>
      <c r="I1334" s="29">
        <v>0</v>
      </c>
      <c r="J1334" s="29">
        <v>0</v>
      </c>
      <c r="K1334" s="31">
        <v>0</v>
      </c>
      <c r="L1334" s="29">
        <v>0</v>
      </c>
      <c r="M1334" s="29">
        <v>771.1</v>
      </c>
      <c r="N1334" s="29">
        <v>3479820.61</v>
      </c>
      <c r="O1334" s="29">
        <v>0</v>
      </c>
      <c r="P1334" s="29">
        <v>0</v>
      </c>
      <c r="Q1334" s="29">
        <v>0</v>
      </c>
      <c r="R1334" s="29">
        <v>0</v>
      </c>
      <c r="S1334" s="29">
        <v>0</v>
      </c>
      <c r="T1334" s="29">
        <v>0</v>
      </c>
      <c r="U1334" s="29">
        <v>0</v>
      </c>
      <c r="V1334" s="29">
        <v>0</v>
      </c>
      <c r="W1334" s="29">
        <v>0</v>
      </c>
      <c r="X1334" s="29">
        <v>0</v>
      </c>
      <c r="Y1334" s="29">
        <v>0</v>
      </c>
      <c r="Z1334" s="29">
        <v>0</v>
      </c>
      <c r="AA1334" s="29">
        <v>0</v>
      </c>
      <c r="AB1334" s="29">
        <v>0</v>
      </c>
      <c r="AC1334" s="29">
        <f>ROUND(N1334*1.5%,2)</f>
        <v>52197.31</v>
      </c>
      <c r="AD1334" s="29">
        <v>150000</v>
      </c>
      <c r="AE1334" s="29">
        <v>0</v>
      </c>
      <c r="AF1334" s="32">
        <v>2022</v>
      </c>
      <c r="AG1334" s="32">
        <v>2022</v>
      </c>
      <c r="AH1334" s="33">
        <v>2022</v>
      </c>
      <c r="AT1334" s="18" t="e">
        <f>VLOOKUP(C1334,AW:AX,2,FALSE)</f>
        <v>#N/A</v>
      </c>
      <c r="BZ1334" s="61"/>
    </row>
    <row r="1335" spans="1:78" ht="61.5" x14ac:dyDescent="0.85">
      <c r="B1335" s="22" t="s">
        <v>843</v>
      </c>
      <c r="C1335" s="22"/>
      <c r="D1335" s="339">
        <f>SUM(D1336:D1338)</f>
        <v>6079528.0199999996</v>
      </c>
      <c r="E1335" s="29">
        <f t="shared" ref="E1335:AE1335" si="277">SUM(E1336:E1338)</f>
        <v>0</v>
      </c>
      <c r="F1335" s="29">
        <f t="shared" si="277"/>
        <v>0</v>
      </c>
      <c r="G1335" s="29">
        <f t="shared" si="277"/>
        <v>0</v>
      </c>
      <c r="H1335" s="29">
        <f t="shared" si="277"/>
        <v>0</v>
      </c>
      <c r="I1335" s="29">
        <f t="shared" si="277"/>
        <v>0</v>
      </c>
      <c r="J1335" s="29">
        <f t="shared" si="277"/>
        <v>0</v>
      </c>
      <c r="K1335" s="31">
        <f t="shared" si="277"/>
        <v>0</v>
      </c>
      <c r="L1335" s="29">
        <f t="shared" si="277"/>
        <v>0</v>
      </c>
      <c r="M1335" s="29">
        <f t="shared" si="277"/>
        <v>1274.46</v>
      </c>
      <c r="N1335" s="29">
        <f t="shared" si="277"/>
        <v>5605446.3300000001</v>
      </c>
      <c r="O1335" s="29">
        <f t="shared" si="277"/>
        <v>0</v>
      </c>
      <c r="P1335" s="29">
        <f t="shared" si="277"/>
        <v>0</v>
      </c>
      <c r="Q1335" s="29">
        <f t="shared" si="277"/>
        <v>0</v>
      </c>
      <c r="R1335" s="29">
        <f t="shared" si="277"/>
        <v>0</v>
      </c>
      <c r="S1335" s="29">
        <f t="shared" si="277"/>
        <v>0</v>
      </c>
      <c r="T1335" s="29">
        <f t="shared" si="277"/>
        <v>0</v>
      </c>
      <c r="U1335" s="29">
        <f t="shared" si="277"/>
        <v>0</v>
      </c>
      <c r="V1335" s="29">
        <f t="shared" si="277"/>
        <v>0</v>
      </c>
      <c r="W1335" s="29">
        <f t="shared" si="277"/>
        <v>0</v>
      </c>
      <c r="X1335" s="29">
        <f t="shared" si="277"/>
        <v>0</v>
      </c>
      <c r="Y1335" s="29">
        <f t="shared" si="277"/>
        <v>0</v>
      </c>
      <c r="Z1335" s="29">
        <f t="shared" si="277"/>
        <v>0</v>
      </c>
      <c r="AA1335" s="29">
        <f t="shared" si="277"/>
        <v>0</v>
      </c>
      <c r="AB1335" s="29">
        <f t="shared" si="277"/>
        <v>0</v>
      </c>
      <c r="AC1335" s="29">
        <f t="shared" si="277"/>
        <v>84081.69</v>
      </c>
      <c r="AD1335" s="29">
        <f t="shared" si="277"/>
        <v>390000</v>
      </c>
      <c r="AE1335" s="29">
        <f t="shared" si="277"/>
        <v>0</v>
      </c>
      <c r="AF1335" s="346" t="s">
        <v>743</v>
      </c>
      <c r="AG1335" s="346" t="s">
        <v>743</v>
      </c>
      <c r="AH1335" s="347" t="s">
        <v>743</v>
      </c>
      <c r="AT1335" s="18" t="e">
        <f>VLOOKUP(C1335,AW:AX,2,FALSE)</f>
        <v>#N/A</v>
      </c>
      <c r="BZ1335" s="61">
        <v>6026117.5699999994</v>
      </c>
    </row>
    <row r="1336" spans="1:78" ht="61.5" x14ac:dyDescent="0.85">
      <c r="A1336" s="18">
        <v>1</v>
      </c>
      <c r="B1336" s="57">
        <f>SUBTOTAL(103,$A$1093:A1336)</f>
        <v>199</v>
      </c>
      <c r="C1336" s="91" t="s">
        <v>1935</v>
      </c>
      <c r="D1336" s="29">
        <f>E1336+F1336+G1336+H1336+I1336+J1336+L1336+N1336+P1336+R1336+T1336+U1336+V1336+W1336+X1336+Y1336+Z1336+AA1336+AB1336+AC1336+AD1336+AE1336</f>
        <v>3274967.59</v>
      </c>
      <c r="E1336" s="29">
        <v>0</v>
      </c>
      <c r="F1336" s="29">
        <v>0</v>
      </c>
      <c r="G1336" s="29">
        <v>0</v>
      </c>
      <c r="H1336" s="29">
        <v>0</v>
      </c>
      <c r="I1336" s="29">
        <v>0</v>
      </c>
      <c r="J1336" s="29">
        <v>0</v>
      </c>
      <c r="K1336" s="31">
        <v>0</v>
      </c>
      <c r="L1336" s="29">
        <v>0</v>
      </c>
      <c r="M1336" s="29">
        <v>767.4</v>
      </c>
      <c r="N1336" s="29">
        <v>3078785.8</v>
      </c>
      <c r="O1336" s="29">
        <v>0</v>
      </c>
      <c r="P1336" s="29">
        <v>0</v>
      </c>
      <c r="Q1336" s="29">
        <v>0</v>
      </c>
      <c r="R1336" s="29">
        <v>0</v>
      </c>
      <c r="S1336" s="29">
        <v>0</v>
      </c>
      <c r="T1336" s="29">
        <v>0</v>
      </c>
      <c r="U1336" s="29">
        <v>0</v>
      </c>
      <c r="V1336" s="29">
        <v>0</v>
      </c>
      <c r="W1336" s="29">
        <v>0</v>
      </c>
      <c r="X1336" s="29">
        <v>0</v>
      </c>
      <c r="Y1336" s="29">
        <v>0</v>
      </c>
      <c r="Z1336" s="29">
        <v>0</v>
      </c>
      <c r="AA1336" s="29">
        <v>0</v>
      </c>
      <c r="AB1336" s="29">
        <v>0</v>
      </c>
      <c r="AC1336" s="29">
        <f>ROUND(N1336*1.5%,2)</f>
        <v>46181.79</v>
      </c>
      <c r="AD1336" s="29">
        <v>150000</v>
      </c>
      <c r="AE1336" s="29">
        <v>0</v>
      </c>
      <c r="AF1336" s="32">
        <v>2022</v>
      </c>
      <c r="AG1336" s="32">
        <v>2022</v>
      </c>
      <c r="AH1336" s="33">
        <v>2022</v>
      </c>
      <c r="AT1336" s="18" t="e">
        <f>VLOOKUP(C1336,AW:AX,2,FALSE)</f>
        <v>#N/A</v>
      </c>
      <c r="BZ1336" s="61"/>
    </row>
    <row r="1337" spans="1:78" ht="61.5" x14ac:dyDescent="0.85">
      <c r="A1337" s="18">
        <v>1</v>
      </c>
      <c r="B1337" s="57">
        <f>SUBTOTAL(103,$A$1093:A1337)</f>
        <v>200</v>
      </c>
      <c r="C1337" s="91" t="s">
        <v>1943</v>
      </c>
      <c r="D1337" s="29">
        <f>E1337+F1337+G1337+H1337+I1337+J1337+L1337+N1337+P1337+R1337+T1337+U1337+V1337+W1337+X1337+Y1337+Z1337+AA1337+AB1337+AC1337+AD1337+AE1337</f>
        <v>1167219.1299999999</v>
      </c>
      <c r="E1337" s="29">
        <v>0</v>
      </c>
      <c r="F1337" s="29">
        <v>0</v>
      </c>
      <c r="G1337" s="29">
        <v>0</v>
      </c>
      <c r="H1337" s="29">
        <v>0</v>
      </c>
      <c r="I1337" s="29">
        <v>0</v>
      </c>
      <c r="J1337" s="29">
        <v>0</v>
      </c>
      <c r="K1337" s="31">
        <v>0</v>
      </c>
      <c r="L1337" s="29">
        <v>0</v>
      </c>
      <c r="M1337" s="29">
        <v>193.5</v>
      </c>
      <c r="N1337" s="29">
        <v>1031742.99</v>
      </c>
      <c r="O1337" s="29">
        <v>0</v>
      </c>
      <c r="P1337" s="29">
        <v>0</v>
      </c>
      <c r="Q1337" s="29">
        <v>0</v>
      </c>
      <c r="R1337" s="29">
        <v>0</v>
      </c>
      <c r="S1337" s="29">
        <v>0</v>
      </c>
      <c r="T1337" s="29">
        <v>0</v>
      </c>
      <c r="U1337" s="29">
        <v>0</v>
      </c>
      <c r="V1337" s="29">
        <v>0</v>
      </c>
      <c r="W1337" s="29">
        <v>0</v>
      </c>
      <c r="X1337" s="29">
        <v>0</v>
      </c>
      <c r="Y1337" s="29">
        <v>0</v>
      </c>
      <c r="Z1337" s="29">
        <v>0</v>
      </c>
      <c r="AA1337" s="29">
        <v>0</v>
      </c>
      <c r="AB1337" s="29">
        <v>0</v>
      </c>
      <c r="AC1337" s="29">
        <f>ROUND(N1337*1.5%,2)</f>
        <v>15476.14</v>
      </c>
      <c r="AD1337" s="29">
        <v>120000</v>
      </c>
      <c r="AE1337" s="29">
        <v>0</v>
      </c>
      <c r="AF1337" s="32">
        <v>2022</v>
      </c>
      <c r="AG1337" s="32">
        <v>2022</v>
      </c>
      <c r="AH1337" s="33">
        <v>2022</v>
      </c>
      <c r="AT1337" s="18" t="e">
        <f>VLOOKUP(C1337,AW:AX,2,FALSE)</f>
        <v>#N/A</v>
      </c>
      <c r="BZ1337" s="61"/>
    </row>
    <row r="1338" spans="1:78" ht="61.5" x14ac:dyDescent="0.85">
      <c r="A1338" s="18">
        <v>1</v>
      </c>
      <c r="B1338" s="57">
        <f>SUBTOTAL(103,$A$1093:A1338)</f>
        <v>201</v>
      </c>
      <c r="C1338" s="91" t="s">
        <v>163</v>
      </c>
      <c r="D1338" s="29">
        <f>E1338+F1338+G1338+H1338+I1338+J1338+L1338+N1338+P1338+R1338+T1338+U1338+V1338+W1338+X1338+Y1338+Z1338+AA1338+AB1338+AC1338+AD1338+AE1338</f>
        <v>1637341.3</v>
      </c>
      <c r="E1338" s="29">
        <v>0</v>
      </c>
      <c r="F1338" s="29">
        <v>0</v>
      </c>
      <c r="G1338" s="29">
        <v>0</v>
      </c>
      <c r="H1338" s="29">
        <v>0</v>
      </c>
      <c r="I1338" s="29">
        <v>0</v>
      </c>
      <c r="J1338" s="29">
        <v>0</v>
      </c>
      <c r="K1338" s="31">
        <v>0</v>
      </c>
      <c r="L1338" s="29">
        <v>0</v>
      </c>
      <c r="M1338" s="29">
        <v>313.56</v>
      </c>
      <c r="N1338" s="29">
        <v>1494917.54</v>
      </c>
      <c r="O1338" s="29">
        <v>0</v>
      </c>
      <c r="P1338" s="29">
        <v>0</v>
      </c>
      <c r="Q1338" s="29">
        <v>0</v>
      </c>
      <c r="R1338" s="29">
        <v>0</v>
      </c>
      <c r="S1338" s="29">
        <v>0</v>
      </c>
      <c r="T1338" s="29">
        <v>0</v>
      </c>
      <c r="U1338" s="29">
        <v>0</v>
      </c>
      <c r="V1338" s="29">
        <v>0</v>
      </c>
      <c r="W1338" s="29">
        <v>0</v>
      </c>
      <c r="X1338" s="29">
        <v>0</v>
      </c>
      <c r="Y1338" s="29">
        <v>0</v>
      </c>
      <c r="Z1338" s="29">
        <v>0</v>
      </c>
      <c r="AA1338" s="29">
        <v>0</v>
      </c>
      <c r="AB1338" s="29">
        <v>0</v>
      </c>
      <c r="AC1338" s="29">
        <f>ROUND(N1338*1.5%,2)</f>
        <v>22423.759999999998</v>
      </c>
      <c r="AD1338" s="29">
        <v>120000</v>
      </c>
      <c r="AE1338" s="29">
        <v>0</v>
      </c>
      <c r="AF1338" s="32">
        <v>2022</v>
      </c>
      <c r="AG1338" s="32">
        <v>2022</v>
      </c>
      <c r="AH1338" s="33">
        <v>2022</v>
      </c>
      <c r="AT1338" s="18" t="e">
        <f>VLOOKUP(C1338,AW:AX,2,FALSE)</f>
        <v>#N/A</v>
      </c>
      <c r="BZ1338" s="61"/>
    </row>
    <row r="1339" spans="1:78" ht="61.5" x14ac:dyDescent="0.85">
      <c r="B1339" s="22" t="s">
        <v>844</v>
      </c>
      <c r="C1339" s="22"/>
      <c r="D1339" s="339">
        <f>SUM(D1340:D1342)</f>
        <v>12459674.15</v>
      </c>
      <c r="E1339" s="29">
        <f t="shared" ref="E1339:AE1339" si="278">SUM(E1340:E1342)</f>
        <v>0</v>
      </c>
      <c r="F1339" s="29">
        <f t="shared" si="278"/>
        <v>0</v>
      </c>
      <c r="G1339" s="29">
        <f t="shared" si="278"/>
        <v>0</v>
      </c>
      <c r="H1339" s="29">
        <f t="shared" si="278"/>
        <v>0</v>
      </c>
      <c r="I1339" s="29">
        <f t="shared" si="278"/>
        <v>0</v>
      </c>
      <c r="J1339" s="29">
        <f t="shared" si="278"/>
        <v>0</v>
      </c>
      <c r="K1339" s="31">
        <f t="shared" si="278"/>
        <v>0</v>
      </c>
      <c r="L1339" s="29">
        <f t="shared" si="278"/>
        <v>0</v>
      </c>
      <c r="M1339" s="29">
        <f t="shared" si="278"/>
        <v>2891.3100000000004</v>
      </c>
      <c r="N1339" s="29">
        <f t="shared" si="278"/>
        <v>11802634.630000001</v>
      </c>
      <c r="O1339" s="29">
        <f t="shared" si="278"/>
        <v>0</v>
      </c>
      <c r="P1339" s="29">
        <f t="shared" si="278"/>
        <v>0</v>
      </c>
      <c r="Q1339" s="29">
        <f t="shared" si="278"/>
        <v>0</v>
      </c>
      <c r="R1339" s="29">
        <f t="shared" si="278"/>
        <v>0</v>
      </c>
      <c r="S1339" s="29">
        <f t="shared" si="278"/>
        <v>0</v>
      </c>
      <c r="T1339" s="29">
        <f t="shared" si="278"/>
        <v>0</v>
      </c>
      <c r="U1339" s="29">
        <f t="shared" si="278"/>
        <v>0</v>
      </c>
      <c r="V1339" s="29">
        <f t="shared" si="278"/>
        <v>0</v>
      </c>
      <c r="W1339" s="29">
        <f t="shared" si="278"/>
        <v>0</v>
      </c>
      <c r="X1339" s="29">
        <f t="shared" si="278"/>
        <v>0</v>
      </c>
      <c r="Y1339" s="29">
        <f t="shared" si="278"/>
        <v>0</v>
      </c>
      <c r="Z1339" s="29">
        <f t="shared" si="278"/>
        <v>0</v>
      </c>
      <c r="AA1339" s="29">
        <f t="shared" si="278"/>
        <v>0</v>
      </c>
      <c r="AB1339" s="29">
        <f t="shared" si="278"/>
        <v>0</v>
      </c>
      <c r="AC1339" s="29">
        <f t="shared" si="278"/>
        <v>177039.52000000002</v>
      </c>
      <c r="AD1339" s="29">
        <f t="shared" si="278"/>
        <v>480000</v>
      </c>
      <c r="AE1339" s="29">
        <f t="shared" si="278"/>
        <v>0</v>
      </c>
      <c r="AF1339" s="346" t="s">
        <v>743</v>
      </c>
      <c r="AG1339" s="346" t="s">
        <v>743</v>
      </c>
      <c r="AH1339" s="347" t="s">
        <v>743</v>
      </c>
      <c r="AT1339" s="18" t="e">
        <f>VLOOKUP(C1339,AW:AX,2,FALSE)</f>
        <v>#N/A</v>
      </c>
      <c r="BZ1339" s="61">
        <v>12459674.15</v>
      </c>
    </row>
    <row r="1340" spans="1:78" ht="61.5" x14ac:dyDescent="0.85">
      <c r="A1340" s="18">
        <v>1</v>
      </c>
      <c r="B1340" s="57">
        <f>SUBTOTAL(103,$A$1093:A1340)</f>
        <v>202</v>
      </c>
      <c r="C1340" s="91" t="s">
        <v>160</v>
      </c>
      <c r="D1340" s="29">
        <f>E1340+F1340+G1340+H1340+I1340+J1340+L1340+N1340+P1340+R1340+T1340+U1340+V1340+W1340+X1340+Y1340+Z1340+AA1340+AB1340+AC1340+AD1340+AE1340</f>
        <v>5095413.53</v>
      </c>
      <c r="E1340" s="29">
        <v>0</v>
      </c>
      <c r="F1340" s="29">
        <v>0</v>
      </c>
      <c r="G1340" s="29">
        <v>0</v>
      </c>
      <c r="H1340" s="29">
        <v>0</v>
      </c>
      <c r="I1340" s="29">
        <v>0</v>
      </c>
      <c r="J1340" s="29">
        <v>0</v>
      </c>
      <c r="K1340" s="31">
        <v>0</v>
      </c>
      <c r="L1340" s="29">
        <v>0</v>
      </c>
      <c r="M1340" s="29">
        <v>1276.79</v>
      </c>
      <c r="N1340" s="29">
        <v>4842771.95</v>
      </c>
      <c r="O1340" s="29">
        <v>0</v>
      </c>
      <c r="P1340" s="29">
        <v>0</v>
      </c>
      <c r="Q1340" s="29">
        <v>0</v>
      </c>
      <c r="R1340" s="29">
        <v>0</v>
      </c>
      <c r="S1340" s="29">
        <v>0</v>
      </c>
      <c r="T1340" s="29">
        <v>0</v>
      </c>
      <c r="U1340" s="29">
        <v>0</v>
      </c>
      <c r="V1340" s="29">
        <v>0</v>
      </c>
      <c r="W1340" s="29">
        <v>0</v>
      </c>
      <c r="X1340" s="29">
        <v>0</v>
      </c>
      <c r="Y1340" s="29">
        <v>0</v>
      </c>
      <c r="Z1340" s="29">
        <v>0</v>
      </c>
      <c r="AA1340" s="29">
        <v>0</v>
      </c>
      <c r="AB1340" s="29">
        <v>0</v>
      </c>
      <c r="AC1340" s="29">
        <f>ROUND(N1340*1.5%,2)</f>
        <v>72641.58</v>
      </c>
      <c r="AD1340" s="29">
        <v>180000</v>
      </c>
      <c r="AE1340" s="29">
        <v>0</v>
      </c>
      <c r="AF1340" s="32">
        <v>2022</v>
      </c>
      <c r="AG1340" s="32">
        <v>2022</v>
      </c>
      <c r="AH1340" s="33">
        <v>2022</v>
      </c>
      <c r="AT1340" s="18" t="e">
        <f>VLOOKUP(C1340,AW:AX,2,FALSE)</f>
        <v>#N/A</v>
      </c>
      <c r="BZ1340" s="61"/>
    </row>
    <row r="1341" spans="1:78" ht="61.5" x14ac:dyDescent="0.85">
      <c r="A1341" s="18">
        <v>1</v>
      </c>
      <c r="B1341" s="57">
        <f>SUBTOTAL(103,$A$1093:A1341)</f>
        <v>203</v>
      </c>
      <c r="C1341" s="91" t="s">
        <v>161</v>
      </c>
      <c r="D1341" s="29">
        <f>E1341+F1341+G1341+H1341+I1341+J1341+L1341+N1341+P1341+R1341+T1341+U1341+V1341+W1341+X1341+Y1341+Z1341+AA1341+AB1341+AC1341+AD1341+AE1341</f>
        <v>3457309.86</v>
      </c>
      <c r="E1341" s="29">
        <v>0</v>
      </c>
      <c r="F1341" s="29">
        <v>0</v>
      </c>
      <c r="G1341" s="29">
        <v>0</v>
      </c>
      <c r="H1341" s="29">
        <v>0</v>
      </c>
      <c r="I1341" s="29">
        <v>0</v>
      </c>
      <c r="J1341" s="29">
        <v>0</v>
      </c>
      <c r="K1341" s="31">
        <v>0</v>
      </c>
      <c r="L1341" s="29">
        <v>0</v>
      </c>
      <c r="M1341" s="29">
        <v>866.32</v>
      </c>
      <c r="N1341" s="29">
        <v>3258433.36</v>
      </c>
      <c r="O1341" s="29">
        <v>0</v>
      </c>
      <c r="P1341" s="29">
        <v>0</v>
      </c>
      <c r="Q1341" s="29">
        <v>0</v>
      </c>
      <c r="R1341" s="29">
        <v>0</v>
      </c>
      <c r="S1341" s="29">
        <v>0</v>
      </c>
      <c r="T1341" s="29">
        <v>0</v>
      </c>
      <c r="U1341" s="29">
        <v>0</v>
      </c>
      <c r="V1341" s="29">
        <v>0</v>
      </c>
      <c r="W1341" s="29">
        <v>0</v>
      </c>
      <c r="X1341" s="29">
        <v>0</v>
      </c>
      <c r="Y1341" s="29">
        <v>0</v>
      </c>
      <c r="Z1341" s="29">
        <v>0</v>
      </c>
      <c r="AA1341" s="29">
        <v>0</v>
      </c>
      <c r="AB1341" s="29">
        <v>0</v>
      </c>
      <c r="AC1341" s="29">
        <f>ROUND(N1341*1.5%,2)</f>
        <v>48876.5</v>
      </c>
      <c r="AD1341" s="29">
        <v>150000</v>
      </c>
      <c r="AE1341" s="29">
        <v>0</v>
      </c>
      <c r="AF1341" s="32">
        <v>2022</v>
      </c>
      <c r="AG1341" s="32">
        <v>2022</v>
      </c>
      <c r="AH1341" s="33">
        <v>2022</v>
      </c>
      <c r="AT1341" s="18" t="e">
        <f>VLOOKUP(C1341,AW:AX,2,FALSE)</f>
        <v>#N/A</v>
      </c>
      <c r="BZ1341" s="61"/>
    </row>
    <row r="1342" spans="1:78" ht="61.5" x14ac:dyDescent="0.85">
      <c r="A1342" s="18">
        <v>1</v>
      </c>
      <c r="B1342" s="57">
        <f>SUBTOTAL(103,$A$1093:A1342)</f>
        <v>204</v>
      </c>
      <c r="C1342" s="91" t="s">
        <v>162</v>
      </c>
      <c r="D1342" s="29">
        <f>E1342+F1342+G1342+H1342+I1342+J1342+L1342+N1342+P1342+R1342+T1342+U1342+V1342+W1342+X1342+Y1342+Z1342+AA1342+AB1342+AC1342+AD1342+AE1342</f>
        <v>3906950.76</v>
      </c>
      <c r="E1342" s="29">
        <v>0</v>
      </c>
      <c r="F1342" s="29">
        <v>0</v>
      </c>
      <c r="G1342" s="29">
        <v>0</v>
      </c>
      <c r="H1342" s="29">
        <v>0</v>
      </c>
      <c r="I1342" s="29">
        <v>0</v>
      </c>
      <c r="J1342" s="29">
        <v>0</v>
      </c>
      <c r="K1342" s="31">
        <v>0</v>
      </c>
      <c r="L1342" s="29">
        <v>0</v>
      </c>
      <c r="M1342" s="29">
        <v>748.2</v>
      </c>
      <c r="N1342" s="29">
        <v>3701429.32</v>
      </c>
      <c r="O1342" s="29">
        <v>0</v>
      </c>
      <c r="P1342" s="29">
        <v>0</v>
      </c>
      <c r="Q1342" s="29">
        <v>0</v>
      </c>
      <c r="R1342" s="29">
        <v>0</v>
      </c>
      <c r="S1342" s="29">
        <v>0</v>
      </c>
      <c r="T1342" s="29">
        <v>0</v>
      </c>
      <c r="U1342" s="29">
        <v>0</v>
      </c>
      <c r="V1342" s="29">
        <v>0</v>
      </c>
      <c r="W1342" s="29">
        <v>0</v>
      </c>
      <c r="X1342" s="29">
        <v>0</v>
      </c>
      <c r="Y1342" s="29">
        <v>0</v>
      </c>
      <c r="Z1342" s="29">
        <v>0</v>
      </c>
      <c r="AA1342" s="29">
        <v>0</v>
      </c>
      <c r="AB1342" s="29">
        <v>0</v>
      </c>
      <c r="AC1342" s="29">
        <f>ROUND(N1342*1.5%,2)</f>
        <v>55521.440000000002</v>
      </c>
      <c r="AD1342" s="29">
        <v>150000</v>
      </c>
      <c r="AE1342" s="29">
        <v>0</v>
      </c>
      <c r="AF1342" s="32">
        <v>2022</v>
      </c>
      <c r="AG1342" s="32">
        <v>2022</v>
      </c>
      <c r="AH1342" s="33">
        <v>2022</v>
      </c>
      <c r="AT1342" s="18" t="e">
        <f>VLOOKUP(C1342,AW:AX,2,FALSE)</f>
        <v>#N/A</v>
      </c>
      <c r="BZ1342" s="61"/>
    </row>
    <row r="1343" spans="1:78" ht="61.5" x14ac:dyDescent="0.85">
      <c r="B1343" s="22" t="s">
        <v>845</v>
      </c>
      <c r="C1343" s="22"/>
      <c r="D1343" s="339">
        <f t="shared" ref="D1343:AE1343" si="279">SUM(D1344:D1346)</f>
        <v>8976986.379999999</v>
      </c>
      <c r="E1343" s="29">
        <f t="shared" si="279"/>
        <v>0</v>
      </c>
      <c r="F1343" s="29">
        <f t="shared" si="279"/>
        <v>0</v>
      </c>
      <c r="G1343" s="29">
        <f t="shared" si="279"/>
        <v>0</v>
      </c>
      <c r="H1343" s="29">
        <f t="shared" si="279"/>
        <v>0</v>
      </c>
      <c r="I1343" s="29">
        <f t="shared" si="279"/>
        <v>2399014.7799999998</v>
      </c>
      <c r="J1343" s="29">
        <f t="shared" si="279"/>
        <v>0</v>
      </c>
      <c r="K1343" s="31">
        <f t="shared" si="279"/>
        <v>0</v>
      </c>
      <c r="L1343" s="29">
        <f t="shared" si="279"/>
        <v>0</v>
      </c>
      <c r="M1343" s="29">
        <f t="shared" si="279"/>
        <v>274.83999999999997</v>
      </c>
      <c r="N1343" s="29">
        <f t="shared" si="279"/>
        <v>1375297.54</v>
      </c>
      <c r="O1343" s="29">
        <f t="shared" si="279"/>
        <v>146</v>
      </c>
      <c r="P1343" s="29">
        <f t="shared" si="279"/>
        <v>365939.61</v>
      </c>
      <c r="Q1343" s="29">
        <f t="shared" si="279"/>
        <v>1414.36</v>
      </c>
      <c r="R1343" s="29">
        <f t="shared" si="279"/>
        <v>4221311</v>
      </c>
      <c r="S1343" s="29">
        <f t="shared" si="279"/>
        <v>0</v>
      </c>
      <c r="T1343" s="29">
        <f t="shared" si="279"/>
        <v>0</v>
      </c>
      <c r="U1343" s="29">
        <f t="shared" si="279"/>
        <v>0</v>
      </c>
      <c r="V1343" s="29">
        <f t="shared" si="279"/>
        <v>0</v>
      </c>
      <c r="W1343" s="29">
        <f t="shared" si="279"/>
        <v>0</v>
      </c>
      <c r="X1343" s="29">
        <f t="shared" si="279"/>
        <v>0</v>
      </c>
      <c r="Y1343" s="29">
        <f t="shared" si="279"/>
        <v>0</v>
      </c>
      <c r="Z1343" s="29">
        <f t="shared" si="279"/>
        <v>0</v>
      </c>
      <c r="AA1343" s="29">
        <f t="shared" si="279"/>
        <v>0</v>
      </c>
      <c r="AB1343" s="29">
        <f t="shared" si="279"/>
        <v>0</v>
      </c>
      <c r="AC1343" s="29">
        <f t="shared" si="279"/>
        <v>125423.44999999998</v>
      </c>
      <c r="AD1343" s="29">
        <f t="shared" si="279"/>
        <v>490000</v>
      </c>
      <c r="AE1343" s="29">
        <f t="shared" si="279"/>
        <v>0</v>
      </c>
      <c r="AF1343" s="346" t="s">
        <v>743</v>
      </c>
      <c r="AG1343" s="346" t="s">
        <v>743</v>
      </c>
      <c r="AH1343" s="347" t="s">
        <v>743</v>
      </c>
      <c r="AT1343" s="18" t="e">
        <f>VLOOKUP(C1343,AW:AX,2,FALSE)</f>
        <v>#N/A</v>
      </c>
      <c r="BZ1343" s="61">
        <v>11707868.220000001</v>
      </c>
    </row>
    <row r="1344" spans="1:78" ht="61.5" x14ac:dyDescent="0.85">
      <c r="A1344" s="18">
        <v>1</v>
      </c>
      <c r="B1344" s="57">
        <f>SUBTOTAL(103,$A$1093:A1344)</f>
        <v>205</v>
      </c>
      <c r="C1344" s="91" t="s">
        <v>156</v>
      </c>
      <c r="D1344" s="29">
        <f>E1344+F1344+G1344+H1344+I1344+J1344+L1344+N1344+P1344+R1344+T1344+U1344+V1344+W1344+X1344+Y1344+Z1344+AA1344+AB1344+AC1344+AD1344+AE1344</f>
        <v>3026428.7099999995</v>
      </c>
      <c r="E1344" s="29">
        <v>0</v>
      </c>
      <c r="F1344" s="29">
        <v>0</v>
      </c>
      <c r="G1344" s="29">
        <v>0</v>
      </c>
      <c r="H1344" s="29">
        <v>0</v>
      </c>
      <c r="I1344" s="29">
        <v>2399014.7799999998</v>
      </c>
      <c r="J1344" s="29">
        <v>0</v>
      </c>
      <c r="K1344" s="31">
        <v>0</v>
      </c>
      <c r="L1344" s="29">
        <v>0</v>
      </c>
      <c r="M1344" s="29">
        <v>0</v>
      </c>
      <c r="N1344" s="29">
        <v>0</v>
      </c>
      <c r="O1344" s="29">
        <v>146</v>
      </c>
      <c r="P1344" s="29">
        <f>365939.61</f>
        <v>365939.61</v>
      </c>
      <c r="Q1344" s="29">
        <v>0</v>
      </c>
      <c r="R1344" s="29">
        <v>0</v>
      </c>
      <c r="S1344" s="29">
        <v>0</v>
      </c>
      <c r="T1344" s="29">
        <v>0</v>
      </c>
      <c r="U1344" s="29">
        <v>0</v>
      </c>
      <c r="V1344" s="29">
        <v>0</v>
      </c>
      <c r="W1344" s="29">
        <v>0</v>
      </c>
      <c r="X1344" s="29">
        <v>0</v>
      </c>
      <c r="Y1344" s="29">
        <v>0</v>
      </c>
      <c r="Z1344" s="29">
        <v>0</v>
      </c>
      <c r="AA1344" s="29">
        <v>0</v>
      </c>
      <c r="AB1344" s="29">
        <v>0</v>
      </c>
      <c r="AC1344" s="29">
        <f>ROUND((P1344+I1344)*1.5%,2)</f>
        <v>41474.32</v>
      </c>
      <c r="AD1344" s="29">
        <v>220000</v>
      </c>
      <c r="AE1344" s="29">
        <v>0</v>
      </c>
      <c r="AF1344" s="32">
        <v>2022</v>
      </c>
      <c r="AG1344" s="32">
        <v>2022</v>
      </c>
      <c r="AH1344" s="33">
        <v>2022</v>
      </c>
      <c r="AT1344" s="18" t="e">
        <f>VLOOKUP(C1344,AW:AX,2,FALSE)</f>
        <v>#N/A</v>
      </c>
      <c r="BZ1344" s="61"/>
    </row>
    <row r="1345" spans="1:82" ht="61.5" x14ac:dyDescent="0.85">
      <c r="A1345" s="18">
        <v>1</v>
      </c>
      <c r="B1345" s="57">
        <f>SUBTOTAL(103,$A$1093:A1345)</f>
        <v>206</v>
      </c>
      <c r="C1345" s="22" t="s">
        <v>148</v>
      </c>
      <c r="D1345" s="29">
        <f>E1345+F1345+G1345+H1345+I1345+J1345+L1345+N1345+P1345+R1345+T1345+U1345+V1345+W1345+X1345+Y1345+Z1345+AA1345+AB1345+AC1345+AD1345+AE1345</f>
        <v>4434630.67</v>
      </c>
      <c r="E1345" s="29">
        <v>0</v>
      </c>
      <c r="F1345" s="29">
        <v>0</v>
      </c>
      <c r="G1345" s="29">
        <v>0</v>
      </c>
      <c r="H1345" s="29">
        <v>0</v>
      </c>
      <c r="I1345" s="29">
        <v>0</v>
      </c>
      <c r="J1345" s="29">
        <v>0</v>
      </c>
      <c r="K1345" s="31">
        <v>0</v>
      </c>
      <c r="L1345" s="29">
        <v>0</v>
      </c>
      <c r="M1345" s="29">
        <v>0</v>
      </c>
      <c r="N1345" s="29">
        <v>0</v>
      </c>
      <c r="O1345" s="29">
        <v>0</v>
      </c>
      <c r="P1345" s="29">
        <v>0</v>
      </c>
      <c r="Q1345" s="29">
        <v>1414.36</v>
      </c>
      <c r="R1345" s="29">
        <f>4221311</f>
        <v>4221311</v>
      </c>
      <c r="S1345" s="29">
        <v>0</v>
      </c>
      <c r="T1345" s="29">
        <v>0</v>
      </c>
      <c r="U1345" s="29">
        <v>0</v>
      </c>
      <c r="V1345" s="29">
        <v>0</v>
      </c>
      <c r="W1345" s="29">
        <v>0</v>
      </c>
      <c r="X1345" s="29">
        <v>0</v>
      </c>
      <c r="Y1345" s="29">
        <v>0</v>
      </c>
      <c r="Z1345" s="29">
        <v>0</v>
      </c>
      <c r="AA1345" s="29">
        <v>0</v>
      </c>
      <c r="AB1345" s="29">
        <v>0</v>
      </c>
      <c r="AC1345" s="29">
        <f>ROUND(R1345*1.5%,2)</f>
        <v>63319.67</v>
      </c>
      <c r="AD1345" s="29">
        <v>150000</v>
      </c>
      <c r="AE1345" s="29">
        <v>0</v>
      </c>
      <c r="AF1345" s="32">
        <v>2022</v>
      </c>
      <c r="AG1345" s="32">
        <v>2022</v>
      </c>
      <c r="AH1345" s="33">
        <v>2022</v>
      </c>
      <c r="AT1345" s="18" t="e">
        <f>VLOOKUP(C1345,AW:AX,2,FALSE)</f>
        <v>#N/A</v>
      </c>
      <c r="BZ1345" s="61"/>
      <c r="CD1345" s="18" t="e">
        <f>VLOOKUP(C1345,CE:CF,2,FALSE)</f>
        <v>#N/A</v>
      </c>
    </row>
    <row r="1346" spans="1:82" ht="61.5" x14ac:dyDescent="0.85">
      <c r="A1346" s="18">
        <v>1</v>
      </c>
      <c r="B1346" s="57">
        <f>SUBTOTAL(103,$A$1093:A1346)</f>
        <v>207</v>
      </c>
      <c r="C1346" s="91" t="s">
        <v>2283</v>
      </c>
      <c r="D1346" s="29">
        <f>E1346+F1346+G1346+H1346+I1346+J1346+L1346+N1346+P1346+R1346+T1346+U1346+V1346+W1346+X1346+Y1346+Z1346+AA1346+AB1346+AC1346+AD1346+AE1346</f>
        <v>1515927</v>
      </c>
      <c r="E1346" s="29">
        <v>0</v>
      </c>
      <c r="F1346" s="29">
        <v>0</v>
      </c>
      <c r="G1346" s="29">
        <v>0</v>
      </c>
      <c r="H1346" s="29">
        <v>0</v>
      </c>
      <c r="I1346" s="29">
        <v>0</v>
      </c>
      <c r="J1346" s="29">
        <v>0</v>
      </c>
      <c r="K1346" s="31">
        <v>0</v>
      </c>
      <c r="L1346" s="29">
        <v>0</v>
      </c>
      <c r="M1346" s="29">
        <v>274.83999999999997</v>
      </c>
      <c r="N1346" s="29">
        <v>1375297.54</v>
      </c>
      <c r="O1346" s="29">
        <v>0</v>
      </c>
      <c r="P1346" s="29">
        <v>0</v>
      </c>
      <c r="Q1346" s="29">
        <v>0</v>
      </c>
      <c r="R1346" s="29">
        <v>0</v>
      </c>
      <c r="S1346" s="29">
        <v>0</v>
      </c>
      <c r="T1346" s="29">
        <v>0</v>
      </c>
      <c r="U1346" s="29">
        <v>0</v>
      </c>
      <c r="V1346" s="29">
        <v>0</v>
      </c>
      <c r="W1346" s="29">
        <v>0</v>
      </c>
      <c r="X1346" s="29">
        <v>0</v>
      </c>
      <c r="Y1346" s="29">
        <v>0</v>
      </c>
      <c r="Z1346" s="29">
        <v>0</v>
      </c>
      <c r="AA1346" s="29">
        <v>0</v>
      </c>
      <c r="AB1346" s="29">
        <v>0</v>
      </c>
      <c r="AC1346" s="29">
        <f>ROUND(N1346*1.5%,2)</f>
        <v>20629.46</v>
      </c>
      <c r="AD1346" s="29">
        <v>120000</v>
      </c>
      <c r="AE1346" s="29">
        <v>0</v>
      </c>
      <c r="AF1346" s="32">
        <v>2022</v>
      </c>
      <c r="AG1346" s="32">
        <v>2022</v>
      </c>
      <c r="AH1346" s="33">
        <v>2022</v>
      </c>
      <c r="AT1346" s="18" t="e">
        <f>VLOOKUP(C1346,AW$1346:AX$1346,2,FALSE)</f>
        <v>#N/A</v>
      </c>
      <c r="BZ1346" s="61"/>
    </row>
    <row r="1347" spans="1:82" ht="61.5" x14ac:dyDescent="0.85">
      <c r="B1347" s="22" t="s">
        <v>846</v>
      </c>
      <c r="C1347" s="338"/>
      <c r="D1347" s="339">
        <f>D1348+D1349</f>
        <v>9221698.8000000007</v>
      </c>
      <c r="E1347" s="29">
        <f t="shared" ref="E1347:AE1347" si="280">E1348+E1349</f>
        <v>0</v>
      </c>
      <c r="F1347" s="29">
        <f t="shared" si="280"/>
        <v>0</v>
      </c>
      <c r="G1347" s="29">
        <f t="shared" si="280"/>
        <v>0</v>
      </c>
      <c r="H1347" s="29">
        <f t="shared" si="280"/>
        <v>0</v>
      </c>
      <c r="I1347" s="29">
        <f t="shared" si="280"/>
        <v>0</v>
      </c>
      <c r="J1347" s="29">
        <f t="shared" si="280"/>
        <v>0</v>
      </c>
      <c r="K1347" s="31">
        <f t="shared" si="280"/>
        <v>0</v>
      </c>
      <c r="L1347" s="29">
        <f t="shared" si="280"/>
        <v>0</v>
      </c>
      <c r="M1347" s="29">
        <f t="shared" si="280"/>
        <v>1766</v>
      </c>
      <c r="N1347" s="29">
        <f t="shared" si="280"/>
        <v>8789851.0299999993</v>
      </c>
      <c r="O1347" s="29">
        <f t="shared" si="280"/>
        <v>0</v>
      </c>
      <c r="P1347" s="29">
        <f t="shared" si="280"/>
        <v>0</v>
      </c>
      <c r="Q1347" s="29">
        <f t="shared" si="280"/>
        <v>0</v>
      </c>
      <c r="R1347" s="29">
        <f t="shared" si="280"/>
        <v>0</v>
      </c>
      <c r="S1347" s="29">
        <f t="shared" si="280"/>
        <v>0</v>
      </c>
      <c r="T1347" s="29">
        <f t="shared" si="280"/>
        <v>0</v>
      </c>
      <c r="U1347" s="29">
        <f t="shared" si="280"/>
        <v>0</v>
      </c>
      <c r="V1347" s="29">
        <f t="shared" si="280"/>
        <v>0</v>
      </c>
      <c r="W1347" s="29">
        <f t="shared" si="280"/>
        <v>0</v>
      </c>
      <c r="X1347" s="29">
        <f t="shared" si="280"/>
        <v>0</v>
      </c>
      <c r="Y1347" s="29">
        <f t="shared" si="280"/>
        <v>0</v>
      </c>
      <c r="Z1347" s="29">
        <f t="shared" si="280"/>
        <v>0</v>
      </c>
      <c r="AA1347" s="29">
        <f t="shared" si="280"/>
        <v>0</v>
      </c>
      <c r="AB1347" s="29">
        <f t="shared" si="280"/>
        <v>0</v>
      </c>
      <c r="AC1347" s="29">
        <f t="shared" si="280"/>
        <v>131847.76999999999</v>
      </c>
      <c r="AD1347" s="29">
        <f t="shared" si="280"/>
        <v>300000</v>
      </c>
      <c r="AE1347" s="29">
        <f t="shared" si="280"/>
        <v>0</v>
      </c>
      <c r="AF1347" s="346" t="s">
        <v>743</v>
      </c>
      <c r="AG1347" s="346" t="s">
        <v>743</v>
      </c>
      <c r="AH1347" s="347" t="s">
        <v>743</v>
      </c>
      <c r="AT1347" s="18" t="e">
        <f>VLOOKUP(C1347,AW:AX,2,FALSE)</f>
        <v>#N/A</v>
      </c>
      <c r="BZ1347" s="61">
        <v>9221698.8000000007</v>
      </c>
    </row>
    <row r="1348" spans="1:82" ht="61.5" x14ac:dyDescent="0.85">
      <c r="A1348" s="18">
        <v>1</v>
      </c>
      <c r="B1348" s="57">
        <f>SUBTOTAL(103,$A$1093:A1348)</f>
        <v>208</v>
      </c>
      <c r="C1348" s="91" t="s">
        <v>100</v>
      </c>
      <c r="D1348" s="29">
        <f>E1348+F1348+G1348+H1348+I1348+J1348+L1348+N1348+P1348+R1348+T1348+U1348+V1348+W1348+X1348+Y1348+Z1348+AA1348+AB1348+AC1348+AD1348+AE1348</f>
        <v>4177440</v>
      </c>
      <c r="E1348" s="29">
        <v>0</v>
      </c>
      <c r="F1348" s="29">
        <v>0</v>
      </c>
      <c r="G1348" s="29">
        <v>0</v>
      </c>
      <c r="H1348" s="29">
        <v>0</v>
      </c>
      <c r="I1348" s="29">
        <v>0</v>
      </c>
      <c r="J1348" s="29">
        <v>0</v>
      </c>
      <c r="K1348" s="31">
        <v>0</v>
      </c>
      <c r="L1348" s="29">
        <v>0</v>
      </c>
      <c r="M1348" s="29">
        <v>800</v>
      </c>
      <c r="N1348" s="29">
        <v>3967921.18</v>
      </c>
      <c r="O1348" s="29">
        <v>0</v>
      </c>
      <c r="P1348" s="29">
        <v>0</v>
      </c>
      <c r="Q1348" s="29">
        <v>0</v>
      </c>
      <c r="R1348" s="29">
        <v>0</v>
      </c>
      <c r="S1348" s="29">
        <v>0</v>
      </c>
      <c r="T1348" s="29">
        <v>0</v>
      </c>
      <c r="U1348" s="29">
        <v>0</v>
      </c>
      <c r="V1348" s="29">
        <v>0</v>
      </c>
      <c r="W1348" s="29">
        <v>0</v>
      </c>
      <c r="X1348" s="29">
        <v>0</v>
      </c>
      <c r="Y1348" s="29">
        <v>0</v>
      </c>
      <c r="Z1348" s="29">
        <v>0</v>
      </c>
      <c r="AA1348" s="29">
        <v>0</v>
      </c>
      <c r="AB1348" s="29">
        <v>0</v>
      </c>
      <c r="AC1348" s="29">
        <f>ROUND(N1348*1.5%,2)</f>
        <v>59518.82</v>
      </c>
      <c r="AD1348" s="29">
        <v>150000</v>
      </c>
      <c r="AE1348" s="29">
        <v>0</v>
      </c>
      <c r="AF1348" s="32">
        <v>2022</v>
      </c>
      <c r="AG1348" s="32">
        <v>2022</v>
      </c>
      <c r="AH1348" s="33">
        <v>2022</v>
      </c>
      <c r="AT1348" s="18" t="e">
        <f>VLOOKUP(C1348,AW:AX,2,FALSE)</f>
        <v>#N/A</v>
      </c>
      <c r="BZ1348" s="61"/>
    </row>
    <row r="1349" spans="1:82" ht="61.5" x14ac:dyDescent="0.85">
      <c r="A1349" s="18">
        <v>1</v>
      </c>
      <c r="B1349" s="57">
        <f>SUBTOTAL(103,$A$1093:A1349)</f>
        <v>209</v>
      </c>
      <c r="C1349" s="91" t="s">
        <v>101</v>
      </c>
      <c r="D1349" s="29">
        <f>E1349+F1349+G1349+H1349+I1349+J1349+L1349+N1349+P1349+R1349+T1349+U1349+V1349+W1349+X1349+Y1349+Z1349+AA1349+AB1349+AC1349+AD1349+AE1349</f>
        <v>5044258.8</v>
      </c>
      <c r="E1349" s="29">
        <v>0</v>
      </c>
      <c r="F1349" s="29">
        <v>0</v>
      </c>
      <c r="G1349" s="29">
        <v>0</v>
      </c>
      <c r="H1349" s="29">
        <v>0</v>
      </c>
      <c r="I1349" s="29">
        <v>0</v>
      </c>
      <c r="J1349" s="29">
        <v>0</v>
      </c>
      <c r="K1349" s="31">
        <v>0</v>
      </c>
      <c r="L1349" s="29">
        <v>0</v>
      </c>
      <c r="M1349" s="29">
        <v>966</v>
      </c>
      <c r="N1349" s="29">
        <v>4821929.8499999996</v>
      </c>
      <c r="O1349" s="29">
        <v>0</v>
      </c>
      <c r="P1349" s="29">
        <v>0</v>
      </c>
      <c r="Q1349" s="29">
        <v>0</v>
      </c>
      <c r="R1349" s="29">
        <v>0</v>
      </c>
      <c r="S1349" s="29">
        <v>0</v>
      </c>
      <c r="T1349" s="29">
        <v>0</v>
      </c>
      <c r="U1349" s="29">
        <v>0</v>
      </c>
      <c r="V1349" s="29">
        <v>0</v>
      </c>
      <c r="W1349" s="29">
        <v>0</v>
      </c>
      <c r="X1349" s="29">
        <v>0</v>
      </c>
      <c r="Y1349" s="29">
        <v>0</v>
      </c>
      <c r="Z1349" s="29">
        <v>0</v>
      </c>
      <c r="AA1349" s="29">
        <v>0</v>
      </c>
      <c r="AB1349" s="29">
        <v>0</v>
      </c>
      <c r="AC1349" s="29">
        <f>ROUND(N1349*1.5%,2)</f>
        <v>72328.95</v>
      </c>
      <c r="AD1349" s="29">
        <v>150000</v>
      </c>
      <c r="AE1349" s="29">
        <v>0</v>
      </c>
      <c r="AF1349" s="32">
        <v>2022</v>
      </c>
      <c r="AG1349" s="32">
        <v>2022</v>
      </c>
      <c r="AH1349" s="33">
        <v>2022</v>
      </c>
      <c r="AT1349" s="18" t="e">
        <f>VLOOKUP(C1349,AW:AX,2,FALSE)</f>
        <v>#N/A</v>
      </c>
      <c r="BZ1349" s="61"/>
    </row>
    <row r="1350" spans="1:82" ht="61.5" x14ac:dyDescent="0.85">
      <c r="B1350" s="22" t="s">
        <v>873</v>
      </c>
      <c r="C1350" s="22"/>
      <c r="D1350" s="339">
        <f>D1351</f>
        <v>3623929.1999999997</v>
      </c>
      <c r="E1350" s="29">
        <f t="shared" ref="E1350:AE1350" si="281">E1351</f>
        <v>0</v>
      </c>
      <c r="F1350" s="29">
        <f t="shared" si="281"/>
        <v>0</v>
      </c>
      <c r="G1350" s="29">
        <f t="shared" si="281"/>
        <v>0</v>
      </c>
      <c r="H1350" s="29">
        <f t="shared" si="281"/>
        <v>0</v>
      </c>
      <c r="I1350" s="29">
        <f t="shared" si="281"/>
        <v>0</v>
      </c>
      <c r="J1350" s="29">
        <f t="shared" si="281"/>
        <v>0</v>
      </c>
      <c r="K1350" s="31">
        <f t="shared" si="281"/>
        <v>0</v>
      </c>
      <c r="L1350" s="29">
        <f t="shared" si="281"/>
        <v>0</v>
      </c>
      <c r="M1350" s="29">
        <f t="shared" si="281"/>
        <v>694</v>
      </c>
      <c r="N1350" s="29">
        <f t="shared" si="281"/>
        <v>3422590.34</v>
      </c>
      <c r="O1350" s="29">
        <f t="shared" si="281"/>
        <v>0</v>
      </c>
      <c r="P1350" s="29">
        <f t="shared" si="281"/>
        <v>0</v>
      </c>
      <c r="Q1350" s="29">
        <f t="shared" si="281"/>
        <v>0</v>
      </c>
      <c r="R1350" s="29">
        <f t="shared" si="281"/>
        <v>0</v>
      </c>
      <c r="S1350" s="29">
        <f t="shared" si="281"/>
        <v>0</v>
      </c>
      <c r="T1350" s="29">
        <f t="shared" si="281"/>
        <v>0</v>
      </c>
      <c r="U1350" s="29">
        <f t="shared" si="281"/>
        <v>0</v>
      </c>
      <c r="V1350" s="29">
        <f t="shared" si="281"/>
        <v>0</v>
      </c>
      <c r="W1350" s="29">
        <f t="shared" si="281"/>
        <v>0</v>
      </c>
      <c r="X1350" s="29">
        <f t="shared" si="281"/>
        <v>0</v>
      </c>
      <c r="Y1350" s="29">
        <f t="shared" si="281"/>
        <v>0</v>
      </c>
      <c r="Z1350" s="29">
        <f t="shared" si="281"/>
        <v>0</v>
      </c>
      <c r="AA1350" s="29">
        <f t="shared" si="281"/>
        <v>0</v>
      </c>
      <c r="AB1350" s="29">
        <f t="shared" si="281"/>
        <v>0</v>
      </c>
      <c r="AC1350" s="29">
        <f t="shared" si="281"/>
        <v>51338.86</v>
      </c>
      <c r="AD1350" s="29">
        <f t="shared" si="281"/>
        <v>150000</v>
      </c>
      <c r="AE1350" s="29">
        <f t="shared" si="281"/>
        <v>0</v>
      </c>
      <c r="AF1350" s="346" t="s">
        <v>743</v>
      </c>
      <c r="AG1350" s="346" t="s">
        <v>743</v>
      </c>
      <c r="AH1350" s="347" t="s">
        <v>743</v>
      </c>
      <c r="AT1350" s="18" t="e">
        <f>VLOOKUP(C1350,AW:AX,2,FALSE)</f>
        <v>#N/A</v>
      </c>
      <c r="BZ1350" s="61">
        <v>3623929.1999999997</v>
      </c>
    </row>
    <row r="1351" spans="1:82" ht="61.5" x14ac:dyDescent="0.85">
      <c r="A1351" s="18">
        <v>1</v>
      </c>
      <c r="B1351" s="57">
        <f>SUBTOTAL(103,$A$1093:A1351)</f>
        <v>210</v>
      </c>
      <c r="C1351" s="91" t="s">
        <v>105</v>
      </c>
      <c r="D1351" s="29">
        <f>E1351+F1351+G1351+H1351+I1351+J1351+L1351+N1351+P1351+R1351+T1351+U1351+V1351+W1351+X1351+Y1351+Z1351+AA1351+AB1351+AC1351+AD1351+AE1351</f>
        <v>3623929.1999999997</v>
      </c>
      <c r="E1351" s="29">
        <v>0</v>
      </c>
      <c r="F1351" s="29">
        <v>0</v>
      </c>
      <c r="G1351" s="29">
        <v>0</v>
      </c>
      <c r="H1351" s="29">
        <v>0</v>
      </c>
      <c r="I1351" s="29">
        <v>0</v>
      </c>
      <c r="J1351" s="29">
        <v>0</v>
      </c>
      <c r="K1351" s="31">
        <v>0</v>
      </c>
      <c r="L1351" s="29">
        <v>0</v>
      </c>
      <c r="M1351" s="29">
        <v>694</v>
      </c>
      <c r="N1351" s="29">
        <v>3422590.34</v>
      </c>
      <c r="O1351" s="29">
        <v>0</v>
      </c>
      <c r="P1351" s="29">
        <v>0</v>
      </c>
      <c r="Q1351" s="29">
        <v>0</v>
      </c>
      <c r="R1351" s="29">
        <v>0</v>
      </c>
      <c r="S1351" s="29">
        <v>0</v>
      </c>
      <c r="T1351" s="29">
        <v>0</v>
      </c>
      <c r="U1351" s="29">
        <v>0</v>
      </c>
      <c r="V1351" s="29">
        <v>0</v>
      </c>
      <c r="W1351" s="29">
        <v>0</v>
      </c>
      <c r="X1351" s="29">
        <v>0</v>
      </c>
      <c r="Y1351" s="29">
        <v>0</v>
      </c>
      <c r="Z1351" s="29">
        <v>0</v>
      </c>
      <c r="AA1351" s="29">
        <v>0</v>
      </c>
      <c r="AB1351" s="29">
        <v>0</v>
      </c>
      <c r="AC1351" s="29">
        <f>ROUND(N1351*1.5%,2)</f>
        <v>51338.86</v>
      </c>
      <c r="AD1351" s="29">
        <v>150000</v>
      </c>
      <c r="AE1351" s="29">
        <v>0</v>
      </c>
      <c r="AF1351" s="32">
        <v>2022</v>
      </c>
      <c r="AG1351" s="32">
        <v>2022</v>
      </c>
      <c r="AH1351" s="33">
        <v>2022</v>
      </c>
      <c r="AT1351" s="18" t="e">
        <f>VLOOKUP(C1351,AW:AX,2,FALSE)</f>
        <v>#N/A</v>
      </c>
      <c r="BZ1351" s="61"/>
    </row>
    <row r="1352" spans="1:82" ht="61.5" x14ac:dyDescent="0.85">
      <c r="B1352" s="22" t="s">
        <v>847</v>
      </c>
      <c r="C1352" s="22"/>
      <c r="D1352" s="339">
        <f>D1353</f>
        <v>3080862</v>
      </c>
      <c r="E1352" s="29">
        <f t="shared" ref="E1352:AE1352" si="282">E1353</f>
        <v>0</v>
      </c>
      <c r="F1352" s="29">
        <f t="shared" si="282"/>
        <v>0</v>
      </c>
      <c r="G1352" s="29">
        <f t="shared" si="282"/>
        <v>0</v>
      </c>
      <c r="H1352" s="29">
        <f t="shared" si="282"/>
        <v>0</v>
      </c>
      <c r="I1352" s="29">
        <f t="shared" si="282"/>
        <v>0</v>
      </c>
      <c r="J1352" s="29">
        <f t="shared" si="282"/>
        <v>0</v>
      </c>
      <c r="K1352" s="31">
        <f t="shared" si="282"/>
        <v>0</v>
      </c>
      <c r="L1352" s="29">
        <f t="shared" si="282"/>
        <v>0</v>
      </c>
      <c r="M1352" s="29">
        <f t="shared" si="282"/>
        <v>590</v>
      </c>
      <c r="N1352" s="29">
        <f t="shared" si="282"/>
        <v>2887548.77</v>
      </c>
      <c r="O1352" s="29">
        <f t="shared" si="282"/>
        <v>0</v>
      </c>
      <c r="P1352" s="29">
        <f t="shared" si="282"/>
        <v>0</v>
      </c>
      <c r="Q1352" s="29">
        <f t="shared" si="282"/>
        <v>0</v>
      </c>
      <c r="R1352" s="29">
        <f t="shared" si="282"/>
        <v>0</v>
      </c>
      <c r="S1352" s="29">
        <f t="shared" si="282"/>
        <v>0</v>
      </c>
      <c r="T1352" s="29">
        <f t="shared" si="282"/>
        <v>0</v>
      </c>
      <c r="U1352" s="29">
        <f t="shared" si="282"/>
        <v>0</v>
      </c>
      <c r="V1352" s="29">
        <f t="shared" si="282"/>
        <v>0</v>
      </c>
      <c r="W1352" s="29">
        <f t="shared" si="282"/>
        <v>0</v>
      </c>
      <c r="X1352" s="29">
        <f t="shared" si="282"/>
        <v>0</v>
      </c>
      <c r="Y1352" s="29">
        <f t="shared" si="282"/>
        <v>0</v>
      </c>
      <c r="Z1352" s="29">
        <f t="shared" si="282"/>
        <v>0</v>
      </c>
      <c r="AA1352" s="29">
        <f t="shared" si="282"/>
        <v>0</v>
      </c>
      <c r="AB1352" s="29">
        <f t="shared" si="282"/>
        <v>0</v>
      </c>
      <c r="AC1352" s="29">
        <f t="shared" si="282"/>
        <v>43313.23</v>
      </c>
      <c r="AD1352" s="29">
        <f t="shared" si="282"/>
        <v>150000</v>
      </c>
      <c r="AE1352" s="29">
        <f t="shared" si="282"/>
        <v>0</v>
      </c>
      <c r="AF1352" s="346" t="s">
        <v>743</v>
      </c>
      <c r="AG1352" s="346" t="s">
        <v>743</v>
      </c>
      <c r="AH1352" s="347" t="s">
        <v>743</v>
      </c>
      <c r="AT1352" s="18" t="e">
        <f>VLOOKUP(C1352,AW:AX,2,FALSE)</f>
        <v>#N/A</v>
      </c>
      <c r="BZ1352" s="61">
        <v>3080862</v>
      </c>
    </row>
    <row r="1353" spans="1:82" ht="61.5" x14ac:dyDescent="0.85">
      <c r="A1353" s="18">
        <v>1</v>
      </c>
      <c r="B1353" s="57">
        <f>SUBTOTAL(103,$A$1093:A1353)</f>
        <v>211</v>
      </c>
      <c r="C1353" s="91" t="s">
        <v>102</v>
      </c>
      <c r="D1353" s="29">
        <f>E1353+F1353+G1353+H1353+I1353+J1353+L1353+N1353+P1353+R1353+T1353+U1353+V1353+W1353+X1353+Y1353+Z1353+AA1353+AB1353+AC1353+AD1353+AE1353</f>
        <v>3080862</v>
      </c>
      <c r="E1353" s="29">
        <v>0</v>
      </c>
      <c r="F1353" s="29">
        <v>0</v>
      </c>
      <c r="G1353" s="29">
        <v>0</v>
      </c>
      <c r="H1353" s="29">
        <v>0</v>
      </c>
      <c r="I1353" s="29">
        <v>0</v>
      </c>
      <c r="J1353" s="29">
        <v>0</v>
      </c>
      <c r="K1353" s="31">
        <v>0</v>
      </c>
      <c r="L1353" s="29">
        <v>0</v>
      </c>
      <c r="M1353" s="29">
        <v>590</v>
      </c>
      <c r="N1353" s="29">
        <v>2887548.77</v>
      </c>
      <c r="O1353" s="29">
        <v>0</v>
      </c>
      <c r="P1353" s="29">
        <v>0</v>
      </c>
      <c r="Q1353" s="29">
        <v>0</v>
      </c>
      <c r="R1353" s="29">
        <v>0</v>
      </c>
      <c r="S1353" s="29">
        <v>0</v>
      </c>
      <c r="T1353" s="29">
        <v>0</v>
      </c>
      <c r="U1353" s="29">
        <v>0</v>
      </c>
      <c r="V1353" s="29">
        <v>0</v>
      </c>
      <c r="W1353" s="29">
        <v>0</v>
      </c>
      <c r="X1353" s="29">
        <v>0</v>
      </c>
      <c r="Y1353" s="29">
        <v>0</v>
      </c>
      <c r="Z1353" s="29">
        <v>0</v>
      </c>
      <c r="AA1353" s="29">
        <v>0</v>
      </c>
      <c r="AB1353" s="29">
        <v>0</v>
      </c>
      <c r="AC1353" s="29">
        <f>ROUND(N1353*1.5%,2)</f>
        <v>43313.23</v>
      </c>
      <c r="AD1353" s="29">
        <v>150000</v>
      </c>
      <c r="AE1353" s="29">
        <v>0</v>
      </c>
      <c r="AF1353" s="32">
        <v>2022</v>
      </c>
      <c r="AG1353" s="32">
        <v>2022</v>
      </c>
      <c r="AH1353" s="33">
        <v>2022</v>
      </c>
      <c r="AT1353" s="18" t="e">
        <f>VLOOKUP(C1353,AW:AX,2,FALSE)</f>
        <v>#N/A</v>
      </c>
      <c r="BZ1353" s="61"/>
    </row>
    <row r="1354" spans="1:82" ht="61.5" x14ac:dyDescent="0.85">
      <c r="B1354" s="22" t="s">
        <v>848</v>
      </c>
      <c r="C1354" s="22"/>
      <c r="D1354" s="339">
        <f>D1355+D1356</f>
        <v>2610892.59</v>
      </c>
      <c r="E1354" s="29">
        <f t="shared" ref="E1354:AE1354" si="283">E1355+E1356</f>
        <v>0</v>
      </c>
      <c r="F1354" s="29">
        <f t="shared" si="283"/>
        <v>0</v>
      </c>
      <c r="G1354" s="29">
        <f t="shared" si="283"/>
        <v>0</v>
      </c>
      <c r="H1354" s="29">
        <f t="shared" si="283"/>
        <v>0</v>
      </c>
      <c r="I1354" s="29">
        <f t="shared" si="283"/>
        <v>0</v>
      </c>
      <c r="J1354" s="29">
        <f t="shared" si="283"/>
        <v>0</v>
      </c>
      <c r="K1354" s="31">
        <f t="shared" si="283"/>
        <v>0</v>
      </c>
      <c r="L1354" s="29">
        <f t="shared" si="283"/>
        <v>0</v>
      </c>
      <c r="M1354" s="29">
        <f t="shared" si="283"/>
        <v>500</v>
      </c>
      <c r="N1354" s="29">
        <f t="shared" si="283"/>
        <v>2335854.77</v>
      </c>
      <c r="O1354" s="29">
        <f t="shared" si="283"/>
        <v>0</v>
      </c>
      <c r="P1354" s="29">
        <f t="shared" si="283"/>
        <v>0</v>
      </c>
      <c r="Q1354" s="29">
        <f t="shared" si="283"/>
        <v>0</v>
      </c>
      <c r="R1354" s="29">
        <f t="shared" si="283"/>
        <v>0</v>
      </c>
      <c r="S1354" s="29">
        <f t="shared" si="283"/>
        <v>0</v>
      </c>
      <c r="T1354" s="29">
        <f t="shared" si="283"/>
        <v>0</v>
      </c>
      <c r="U1354" s="29">
        <f t="shared" si="283"/>
        <v>0</v>
      </c>
      <c r="V1354" s="29">
        <f t="shared" si="283"/>
        <v>0</v>
      </c>
      <c r="W1354" s="29">
        <f t="shared" si="283"/>
        <v>0</v>
      </c>
      <c r="X1354" s="29">
        <f t="shared" si="283"/>
        <v>0</v>
      </c>
      <c r="Y1354" s="29">
        <f t="shared" si="283"/>
        <v>0</v>
      </c>
      <c r="Z1354" s="29">
        <f t="shared" si="283"/>
        <v>0</v>
      </c>
      <c r="AA1354" s="29">
        <f t="shared" si="283"/>
        <v>0</v>
      </c>
      <c r="AB1354" s="29">
        <f t="shared" si="283"/>
        <v>0</v>
      </c>
      <c r="AC1354" s="29">
        <f t="shared" si="283"/>
        <v>35037.82</v>
      </c>
      <c r="AD1354" s="29">
        <f t="shared" si="283"/>
        <v>240000</v>
      </c>
      <c r="AE1354" s="29">
        <f t="shared" si="283"/>
        <v>0</v>
      </c>
      <c r="AF1354" s="346" t="s">
        <v>743</v>
      </c>
      <c r="AG1354" s="346" t="s">
        <v>743</v>
      </c>
      <c r="AH1354" s="347" t="s">
        <v>743</v>
      </c>
      <c r="AT1354" s="18" t="e">
        <f>VLOOKUP(C1354,AW:AX,2,FALSE)</f>
        <v>#N/A</v>
      </c>
      <c r="BZ1354" s="61">
        <v>2610892.59</v>
      </c>
    </row>
    <row r="1355" spans="1:82" ht="61.5" x14ac:dyDescent="0.85">
      <c r="A1355" s="18">
        <v>1</v>
      </c>
      <c r="B1355" s="57">
        <f>SUBTOTAL(103,$A$1093:A1355)</f>
        <v>212</v>
      </c>
      <c r="C1355" s="91" t="s">
        <v>103</v>
      </c>
      <c r="D1355" s="29">
        <f>E1355+F1355+G1355+H1355+I1355+J1355+L1355+N1355+P1355+R1355+T1355+U1355+V1355+W1355+X1355+Y1355+Z1355+AA1355+AB1355+AC1355+AD1355+AE1355</f>
        <v>1321115.3999999999</v>
      </c>
      <c r="E1355" s="29">
        <v>0</v>
      </c>
      <c r="F1355" s="29">
        <v>0</v>
      </c>
      <c r="G1355" s="29">
        <v>0</v>
      </c>
      <c r="H1355" s="29">
        <v>0</v>
      </c>
      <c r="I1355" s="29">
        <v>0</v>
      </c>
      <c r="J1355" s="29">
        <v>0</v>
      </c>
      <c r="K1355" s="31">
        <v>0</v>
      </c>
      <c r="L1355" s="29">
        <v>0</v>
      </c>
      <c r="M1355" s="29">
        <v>253</v>
      </c>
      <c r="N1355" s="29">
        <v>1183364.93</v>
      </c>
      <c r="O1355" s="29">
        <v>0</v>
      </c>
      <c r="P1355" s="29">
        <v>0</v>
      </c>
      <c r="Q1355" s="29">
        <v>0</v>
      </c>
      <c r="R1355" s="29">
        <v>0</v>
      </c>
      <c r="S1355" s="29">
        <v>0</v>
      </c>
      <c r="T1355" s="29">
        <v>0</v>
      </c>
      <c r="U1355" s="29">
        <v>0</v>
      </c>
      <c r="V1355" s="29">
        <v>0</v>
      </c>
      <c r="W1355" s="29">
        <v>0</v>
      </c>
      <c r="X1355" s="29">
        <v>0</v>
      </c>
      <c r="Y1355" s="29">
        <v>0</v>
      </c>
      <c r="Z1355" s="29">
        <v>0</v>
      </c>
      <c r="AA1355" s="29">
        <v>0</v>
      </c>
      <c r="AB1355" s="29">
        <v>0</v>
      </c>
      <c r="AC1355" s="29">
        <f>ROUND(N1355*1.5%,2)</f>
        <v>17750.47</v>
      </c>
      <c r="AD1355" s="29">
        <v>120000</v>
      </c>
      <c r="AE1355" s="29">
        <v>0</v>
      </c>
      <c r="AF1355" s="32">
        <v>2022</v>
      </c>
      <c r="AG1355" s="32">
        <v>2022</v>
      </c>
      <c r="AH1355" s="33">
        <v>2022</v>
      </c>
      <c r="AT1355" s="18" t="e">
        <f>VLOOKUP(C1355,AW:AX,2,FALSE)</f>
        <v>#N/A</v>
      </c>
      <c r="BZ1355" s="61"/>
    </row>
    <row r="1356" spans="1:82" ht="61.5" x14ac:dyDescent="0.85">
      <c r="A1356" s="18">
        <v>1</v>
      </c>
      <c r="B1356" s="57">
        <f>SUBTOTAL(103,$A$1093:A1356)</f>
        <v>213</v>
      </c>
      <c r="C1356" s="91" t="s">
        <v>104</v>
      </c>
      <c r="D1356" s="29">
        <f>E1356+F1356+G1356+H1356+I1356+J1356+L1356+N1356+P1356+R1356+T1356+U1356+V1356+W1356+X1356+Y1356+Z1356+AA1356+AB1356+AC1356+AD1356+AE1356</f>
        <v>1289777.1900000002</v>
      </c>
      <c r="E1356" s="29">
        <v>0</v>
      </c>
      <c r="F1356" s="29">
        <v>0</v>
      </c>
      <c r="G1356" s="29">
        <v>0</v>
      </c>
      <c r="H1356" s="29">
        <v>0</v>
      </c>
      <c r="I1356" s="29">
        <v>0</v>
      </c>
      <c r="J1356" s="29">
        <v>0</v>
      </c>
      <c r="K1356" s="31">
        <v>0</v>
      </c>
      <c r="L1356" s="29">
        <v>0</v>
      </c>
      <c r="M1356" s="29">
        <v>247</v>
      </c>
      <c r="N1356" s="29">
        <v>1152489.8400000001</v>
      </c>
      <c r="O1356" s="29">
        <v>0</v>
      </c>
      <c r="P1356" s="29">
        <v>0</v>
      </c>
      <c r="Q1356" s="29">
        <v>0</v>
      </c>
      <c r="R1356" s="29">
        <v>0</v>
      </c>
      <c r="S1356" s="29">
        <v>0</v>
      </c>
      <c r="T1356" s="29">
        <v>0</v>
      </c>
      <c r="U1356" s="29">
        <v>0</v>
      </c>
      <c r="V1356" s="29">
        <v>0</v>
      </c>
      <c r="W1356" s="29">
        <v>0</v>
      </c>
      <c r="X1356" s="29">
        <v>0</v>
      </c>
      <c r="Y1356" s="29">
        <v>0</v>
      </c>
      <c r="Z1356" s="29">
        <v>0</v>
      </c>
      <c r="AA1356" s="29">
        <v>0</v>
      </c>
      <c r="AB1356" s="29">
        <v>0</v>
      </c>
      <c r="AC1356" s="29">
        <f>ROUND(N1356*1.5%,2)</f>
        <v>17287.349999999999</v>
      </c>
      <c r="AD1356" s="29">
        <v>120000</v>
      </c>
      <c r="AE1356" s="29">
        <v>0</v>
      </c>
      <c r="AF1356" s="32">
        <v>2022</v>
      </c>
      <c r="AG1356" s="32">
        <v>2022</v>
      </c>
      <c r="AH1356" s="33">
        <v>2022</v>
      </c>
      <c r="AT1356" s="18" t="e">
        <f>VLOOKUP(C1356,AW:AX,2,FALSE)</f>
        <v>#N/A</v>
      </c>
      <c r="BZ1356" s="61"/>
    </row>
    <row r="1357" spans="1:82" ht="61.5" x14ac:dyDescent="0.85">
      <c r="B1357" s="22" t="s">
        <v>850</v>
      </c>
      <c r="C1357" s="338"/>
      <c r="D1357" s="339">
        <f>D1358+D1359+D1360</f>
        <v>6332416.4000000004</v>
      </c>
      <c r="E1357" s="29">
        <f t="shared" ref="E1357:AE1357" si="284">E1358+E1359+E1360</f>
        <v>0</v>
      </c>
      <c r="F1357" s="29">
        <f t="shared" si="284"/>
        <v>0</v>
      </c>
      <c r="G1357" s="29">
        <f t="shared" si="284"/>
        <v>0</v>
      </c>
      <c r="H1357" s="29">
        <f t="shared" si="284"/>
        <v>0</v>
      </c>
      <c r="I1357" s="29">
        <f t="shared" si="284"/>
        <v>0</v>
      </c>
      <c r="J1357" s="29">
        <f t="shared" si="284"/>
        <v>0</v>
      </c>
      <c r="K1357" s="31">
        <f t="shared" si="284"/>
        <v>0</v>
      </c>
      <c r="L1357" s="29">
        <f t="shared" si="284"/>
        <v>0</v>
      </c>
      <c r="M1357" s="29">
        <f t="shared" si="284"/>
        <v>696</v>
      </c>
      <c r="N1357" s="29">
        <f t="shared" si="284"/>
        <v>3349359.61</v>
      </c>
      <c r="O1357" s="29">
        <f t="shared" si="284"/>
        <v>0</v>
      </c>
      <c r="P1357" s="29">
        <f t="shared" si="284"/>
        <v>0</v>
      </c>
      <c r="Q1357" s="29">
        <f t="shared" si="284"/>
        <v>910</v>
      </c>
      <c r="R1357" s="29">
        <f t="shared" si="284"/>
        <v>2485533.4</v>
      </c>
      <c r="S1357" s="29">
        <f t="shared" si="284"/>
        <v>0</v>
      </c>
      <c r="T1357" s="29">
        <f t="shared" si="284"/>
        <v>0</v>
      </c>
      <c r="U1357" s="29">
        <f t="shared" si="284"/>
        <v>0</v>
      </c>
      <c r="V1357" s="29">
        <f t="shared" si="284"/>
        <v>0</v>
      </c>
      <c r="W1357" s="29">
        <f t="shared" si="284"/>
        <v>0</v>
      </c>
      <c r="X1357" s="29">
        <f t="shared" si="284"/>
        <v>0</v>
      </c>
      <c r="Y1357" s="29">
        <f t="shared" si="284"/>
        <v>0</v>
      </c>
      <c r="Z1357" s="29">
        <f t="shared" si="284"/>
        <v>0</v>
      </c>
      <c r="AA1357" s="29">
        <f t="shared" si="284"/>
        <v>0</v>
      </c>
      <c r="AB1357" s="29">
        <f t="shared" si="284"/>
        <v>0</v>
      </c>
      <c r="AC1357" s="29">
        <f t="shared" si="284"/>
        <v>87523.39</v>
      </c>
      <c r="AD1357" s="29">
        <f t="shared" si="284"/>
        <v>410000</v>
      </c>
      <c r="AE1357" s="29">
        <f t="shared" si="284"/>
        <v>0</v>
      </c>
      <c r="AF1357" s="346" t="s">
        <v>743</v>
      </c>
      <c r="AG1357" s="346" t="s">
        <v>743</v>
      </c>
      <c r="AH1357" s="347" t="s">
        <v>743</v>
      </c>
      <c r="AT1357" s="18" t="e">
        <f>VLOOKUP(C1357,AW:AX,2,FALSE)</f>
        <v>#N/A</v>
      </c>
      <c r="BZ1357" s="61">
        <v>6332416.4000000004</v>
      </c>
    </row>
    <row r="1358" spans="1:82" ht="61.5" x14ac:dyDescent="0.85">
      <c r="A1358" s="18">
        <v>1</v>
      </c>
      <c r="B1358" s="57">
        <f>SUBTOTAL(103,$A$1093:A1358)</f>
        <v>214</v>
      </c>
      <c r="C1358" s="91" t="s">
        <v>193</v>
      </c>
      <c r="D1358" s="29">
        <f>E1358+F1358+G1358+H1358+I1358+J1358+L1358+N1358+P1358+R1358+T1358+U1358+V1358+W1358+X1358+Y1358+Z1358+AA1358+AB1358+AC1358+AD1358+AE1358</f>
        <v>3549600</v>
      </c>
      <c r="E1358" s="29">
        <v>0</v>
      </c>
      <c r="F1358" s="29">
        <v>0</v>
      </c>
      <c r="G1358" s="29">
        <v>0</v>
      </c>
      <c r="H1358" s="29">
        <v>0</v>
      </c>
      <c r="I1358" s="29">
        <v>0</v>
      </c>
      <c r="J1358" s="29">
        <v>0</v>
      </c>
      <c r="K1358" s="31">
        <v>0</v>
      </c>
      <c r="L1358" s="29">
        <v>0</v>
      </c>
      <c r="M1358" s="29">
        <v>696</v>
      </c>
      <c r="N1358" s="29">
        <v>3349359.61</v>
      </c>
      <c r="O1358" s="29">
        <v>0</v>
      </c>
      <c r="P1358" s="29">
        <v>0</v>
      </c>
      <c r="Q1358" s="29">
        <v>0</v>
      </c>
      <c r="R1358" s="29">
        <v>0</v>
      </c>
      <c r="S1358" s="29">
        <v>0</v>
      </c>
      <c r="T1358" s="29">
        <v>0</v>
      </c>
      <c r="U1358" s="29">
        <v>0</v>
      </c>
      <c r="V1358" s="29">
        <v>0</v>
      </c>
      <c r="W1358" s="29">
        <v>0</v>
      </c>
      <c r="X1358" s="29">
        <v>0</v>
      </c>
      <c r="Y1358" s="29">
        <v>0</v>
      </c>
      <c r="Z1358" s="29">
        <v>0</v>
      </c>
      <c r="AA1358" s="29">
        <v>0</v>
      </c>
      <c r="AB1358" s="29">
        <v>0</v>
      </c>
      <c r="AC1358" s="29">
        <f>ROUND(N1358*1.5%,2)</f>
        <v>50240.39</v>
      </c>
      <c r="AD1358" s="29">
        <v>150000</v>
      </c>
      <c r="AE1358" s="29">
        <v>0</v>
      </c>
      <c r="AF1358" s="32">
        <v>2022</v>
      </c>
      <c r="AG1358" s="32">
        <v>2022</v>
      </c>
      <c r="AH1358" s="33">
        <v>2022</v>
      </c>
      <c r="AT1358" s="18" t="e">
        <f>VLOOKUP(C1358,AW:AX,2,FALSE)</f>
        <v>#N/A</v>
      </c>
      <c r="BZ1358" s="61"/>
    </row>
    <row r="1359" spans="1:82" ht="61.5" x14ac:dyDescent="0.85">
      <c r="A1359" s="18">
        <v>1</v>
      </c>
      <c r="B1359" s="57">
        <f>SUBTOTAL(103,$A$1093:A1359)</f>
        <v>215</v>
      </c>
      <c r="C1359" s="91" t="s">
        <v>194</v>
      </c>
      <c r="D1359" s="29">
        <f>E1359+F1359+G1359+H1359+I1359+J1359+L1359+N1359+P1359+R1359+T1359+U1359+V1359+W1359+X1359+Y1359+Z1359+AA1359+AB1359+AC1359+AD1359+AE1359</f>
        <v>1391408.2</v>
      </c>
      <c r="E1359" s="29">
        <v>0</v>
      </c>
      <c r="F1359" s="29">
        <v>0</v>
      </c>
      <c r="G1359" s="29">
        <v>0</v>
      </c>
      <c r="H1359" s="29">
        <v>0</v>
      </c>
      <c r="I1359" s="29">
        <v>0</v>
      </c>
      <c r="J1359" s="29">
        <v>0</v>
      </c>
      <c r="K1359" s="31">
        <v>0</v>
      </c>
      <c r="L1359" s="29">
        <v>0</v>
      </c>
      <c r="M1359" s="29">
        <v>0</v>
      </c>
      <c r="N1359" s="29">
        <v>0</v>
      </c>
      <c r="O1359" s="29">
        <v>0</v>
      </c>
      <c r="P1359" s="29">
        <v>0</v>
      </c>
      <c r="Q1359" s="29">
        <v>455</v>
      </c>
      <c r="R1359" s="29">
        <v>1242766.7</v>
      </c>
      <c r="S1359" s="29">
        <v>0</v>
      </c>
      <c r="T1359" s="29">
        <v>0</v>
      </c>
      <c r="U1359" s="29">
        <v>0</v>
      </c>
      <c r="V1359" s="29">
        <v>0</v>
      </c>
      <c r="W1359" s="29">
        <v>0</v>
      </c>
      <c r="X1359" s="29">
        <v>0</v>
      </c>
      <c r="Y1359" s="29">
        <v>0</v>
      </c>
      <c r="Z1359" s="29">
        <v>0</v>
      </c>
      <c r="AA1359" s="29">
        <v>0</v>
      </c>
      <c r="AB1359" s="29">
        <v>0</v>
      </c>
      <c r="AC1359" s="29">
        <f>ROUND(R1359*1.5%,2)</f>
        <v>18641.5</v>
      </c>
      <c r="AD1359" s="29">
        <v>130000</v>
      </c>
      <c r="AE1359" s="29">
        <v>0</v>
      </c>
      <c r="AF1359" s="32">
        <v>2022</v>
      </c>
      <c r="AG1359" s="32">
        <v>2022</v>
      </c>
      <c r="AH1359" s="33">
        <v>2022</v>
      </c>
      <c r="AT1359" s="18" t="e">
        <f>VLOOKUP(C1359,AW:AX,2,FALSE)</f>
        <v>#N/A</v>
      </c>
      <c r="BZ1359" s="61"/>
    </row>
    <row r="1360" spans="1:82" ht="61.5" x14ac:dyDescent="0.85">
      <c r="A1360" s="18">
        <v>1</v>
      </c>
      <c r="B1360" s="57">
        <f>SUBTOTAL(103,$A$1093:A1360)</f>
        <v>216</v>
      </c>
      <c r="C1360" s="91" t="s">
        <v>195</v>
      </c>
      <c r="D1360" s="29">
        <f>E1360+F1360+G1360+H1360+I1360+J1360+L1360+N1360+P1360+R1360+T1360+U1360+V1360+W1360+X1360+Y1360+Z1360+AA1360+AB1360+AC1360+AD1360+AE1360</f>
        <v>1391408.2</v>
      </c>
      <c r="E1360" s="29">
        <v>0</v>
      </c>
      <c r="F1360" s="29">
        <v>0</v>
      </c>
      <c r="G1360" s="29">
        <v>0</v>
      </c>
      <c r="H1360" s="29">
        <v>0</v>
      </c>
      <c r="I1360" s="29">
        <v>0</v>
      </c>
      <c r="J1360" s="29">
        <v>0</v>
      </c>
      <c r="K1360" s="31">
        <v>0</v>
      </c>
      <c r="L1360" s="29">
        <v>0</v>
      </c>
      <c r="M1360" s="29">
        <v>0</v>
      </c>
      <c r="N1360" s="29">
        <v>0</v>
      </c>
      <c r="O1360" s="29">
        <v>0</v>
      </c>
      <c r="P1360" s="29">
        <v>0</v>
      </c>
      <c r="Q1360" s="29">
        <v>455</v>
      </c>
      <c r="R1360" s="29">
        <v>1242766.7</v>
      </c>
      <c r="S1360" s="29">
        <v>0</v>
      </c>
      <c r="T1360" s="29">
        <v>0</v>
      </c>
      <c r="U1360" s="29">
        <v>0</v>
      </c>
      <c r="V1360" s="29">
        <v>0</v>
      </c>
      <c r="W1360" s="29">
        <v>0</v>
      </c>
      <c r="X1360" s="29">
        <v>0</v>
      </c>
      <c r="Y1360" s="29">
        <v>0</v>
      </c>
      <c r="Z1360" s="29">
        <v>0</v>
      </c>
      <c r="AA1360" s="29">
        <v>0</v>
      </c>
      <c r="AB1360" s="29">
        <v>0</v>
      </c>
      <c r="AC1360" s="29">
        <f>ROUND(R1360*1.5%,2)</f>
        <v>18641.5</v>
      </c>
      <c r="AD1360" s="29">
        <v>130000</v>
      </c>
      <c r="AE1360" s="29">
        <v>0</v>
      </c>
      <c r="AF1360" s="32">
        <v>2022</v>
      </c>
      <c r="AG1360" s="32">
        <v>2022</v>
      </c>
      <c r="AH1360" s="33">
        <v>2022</v>
      </c>
      <c r="AT1360" s="18" t="e">
        <f>VLOOKUP(C1360,AW:AX,2,FALSE)</f>
        <v>#N/A</v>
      </c>
      <c r="BZ1360" s="61"/>
    </row>
    <row r="1361" spans="1:224" ht="61.5" x14ac:dyDescent="0.85">
      <c r="B1361" s="22" t="s">
        <v>851</v>
      </c>
      <c r="C1361" s="22"/>
      <c r="D1361" s="339">
        <f>D1362</f>
        <v>3434659.7399999998</v>
      </c>
      <c r="E1361" s="29">
        <f t="shared" ref="E1361:AE1361" si="285">E1362</f>
        <v>0</v>
      </c>
      <c r="F1361" s="29">
        <f t="shared" si="285"/>
        <v>0</v>
      </c>
      <c r="G1361" s="29">
        <f t="shared" si="285"/>
        <v>0</v>
      </c>
      <c r="H1361" s="29">
        <f t="shared" si="285"/>
        <v>0</v>
      </c>
      <c r="I1361" s="29">
        <f t="shared" si="285"/>
        <v>0</v>
      </c>
      <c r="J1361" s="29">
        <f t="shared" si="285"/>
        <v>0</v>
      </c>
      <c r="K1361" s="31">
        <f t="shared" si="285"/>
        <v>0</v>
      </c>
      <c r="L1361" s="29">
        <f t="shared" si="285"/>
        <v>0</v>
      </c>
      <c r="M1361" s="29">
        <f t="shared" si="285"/>
        <v>720</v>
      </c>
      <c r="N1361" s="29">
        <f t="shared" si="285"/>
        <v>3255822.4</v>
      </c>
      <c r="O1361" s="29">
        <f t="shared" si="285"/>
        <v>0</v>
      </c>
      <c r="P1361" s="29">
        <f t="shared" si="285"/>
        <v>0</v>
      </c>
      <c r="Q1361" s="29">
        <f t="shared" si="285"/>
        <v>0</v>
      </c>
      <c r="R1361" s="29">
        <f t="shared" si="285"/>
        <v>0</v>
      </c>
      <c r="S1361" s="29">
        <f t="shared" si="285"/>
        <v>0</v>
      </c>
      <c r="T1361" s="29">
        <f t="shared" si="285"/>
        <v>0</v>
      </c>
      <c r="U1361" s="29">
        <f t="shared" si="285"/>
        <v>0</v>
      </c>
      <c r="V1361" s="29">
        <f t="shared" si="285"/>
        <v>0</v>
      </c>
      <c r="W1361" s="29">
        <f t="shared" si="285"/>
        <v>0</v>
      </c>
      <c r="X1361" s="29">
        <f t="shared" si="285"/>
        <v>0</v>
      </c>
      <c r="Y1361" s="29">
        <f t="shared" si="285"/>
        <v>0</v>
      </c>
      <c r="Z1361" s="29">
        <f t="shared" si="285"/>
        <v>0</v>
      </c>
      <c r="AA1361" s="29">
        <f t="shared" si="285"/>
        <v>0</v>
      </c>
      <c r="AB1361" s="29">
        <f t="shared" si="285"/>
        <v>0</v>
      </c>
      <c r="AC1361" s="29">
        <f t="shared" si="285"/>
        <v>48837.34</v>
      </c>
      <c r="AD1361" s="29">
        <f t="shared" si="285"/>
        <v>130000</v>
      </c>
      <c r="AE1361" s="29">
        <f t="shared" si="285"/>
        <v>0</v>
      </c>
      <c r="AF1361" s="346" t="s">
        <v>743</v>
      </c>
      <c r="AG1361" s="346" t="s">
        <v>743</v>
      </c>
      <c r="AH1361" s="347" t="s">
        <v>743</v>
      </c>
      <c r="AT1361" s="18" t="e">
        <f>VLOOKUP(C1361,AW:AX,2,FALSE)</f>
        <v>#N/A</v>
      </c>
      <c r="BZ1361" s="61">
        <v>4686244.08</v>
      </c>
    </row>
    <row r="1362" spans="1:224" ht="61.5" x14ac:dyDescent="0.85">
      <c r="A1362" s="18">
        <v>1</v>
      </c>
      <c r="B1362" s="57">
        <f>SUBTOTAL(103,$A$1093:A1362)</f>
        <v>217</v>
      </c>
      <c r="C1362" s="91" t="s">
        <v>1358</v>
      </c>
      <c r="D1362" s="29">
        <f>E1362+F1362+G1362+H1362+I1362+J1362+L1362+N1362+P1362+R1362+T1362+U1362+V1362+W1362+X1362+Y1362+Z1362+AA1362+AB1362+AC1362+AD1362+AE1362</f>
        <v>3434659.7399999998</v>
      </c>
      <c r="E1362" s="29">
        <v>0</v>
      </c>
      <c r="F1362" s="29">
        <v>0</v>
      </c>
      <c r="G1362" s="29">
        <v>0</v>
      </c>
      <c r="H1362" s="29">
        <v>0</v>
      </c>
      <c r="I1362" s="29">
        <v>0</v>
      </c>
      <c r="J1362" s="29">
        <v>0</v>
      </c>
      <c r="K1362" s="31">
        <v>0</v>
      </c>
      <c r="L1362" s="29">
        <v>0</v>
      </c>
      <c r="M1362" s="29">
        <v>720</v>
      </c>
      <c r="N1362" s="29">
        <f>2853393.18+1635517.24+885138.58-2118226.6</f>
        <v>3255822.4</v>
      </c>
      <c r="O1362" s="29">
        <v>0</v>
      </c>
      <c r="P1362" s="29">
        <v>0</v>
      </c>
      <c r="Q1362" s="29">
        <v>0</v>
      </c>
      <c r="R1362" s="29">
        <v>0</v>
      </c>
      <c r="S1362" s="29">
        <v>0</v>
      </c>
      <c r="T1362" s="29">
        <v>0</v>
      </c>
      <c r="U1362" s="29">
        <v>0</v>
      </c>
      <c r="V1362" s="29">
        <v>0</v>
      </c>
      <c r="W1362" s="29">
        <v>0</v>
      </c>
      <c r="X1362" s="29">
        <v>0</v>
      </c>
      <c r="Y1362" s="29">
        <v>0</v>
      </c>
      <c r="Z1362" s="29">
        <v>0</v>
      </c>
      <c r="AA1362" s="29">
        <v>0</v>
      </c>
      <c r="AB1362" s="29">
        <v>0</v>
      </c>
      <c r="AC1362" s="29">
        <f>ROUND(N1362*1.5%,2)</f>
        <v>48837.34</v>
      </c>
      <c r="AD1362" s="29">
        <v>130000</v>
      </c>
      <c r="AE1362" s="29">
        <v>0</v>
      </c>
      <c r="AF1362" s="32">
        <v>2022</v>
      </c>
      <c r="AG1362" s="32">
        <v>2022</v>
      </c>
      <c r="AH1362" s="33">
        <v>2022</v>
      </c>
      <c r="AT1362" s="18" t="e">
        <f>VLOOKUP(C1362,AW:AX,2,FALSE)</f>
        <v>#N/A</v>
      </c>
      <c r="BZ1362" s="61"/>
    </row>
    <row r="1363" spans="1:224" ht="61.5" x14ac:dyDescent="0.85">
      <c r="B1363" s="22" t="s">
        <v>853</v>
      </c>
      <c r="C1363" s="22"/>
      <c r="D1363" s="339">
        <f>D1364</f>
        <v>3600600</v>
      </c>
      <c r="E1363" s="29">
        <f t="shared" ref="E1363:AE1363" si="286">E1364</f>
        <v>0</v>
      </c>
      <c r="F1363" s="29">
        <f t="shared" si="286"/>
        <v>0</v>
      </c>
      <c r="G1363" s="29">
        <f t="shared" si="286"/>
        <v>0</v>
      </c>
      <c r="H1363" s="29">
        <f t="shared" si="286"/>
        <v>0</v>
      </c>
      <c r="I1363" s="29">
        <f t="shared" si="286"/>
        <v>0</v>
      </c>
      <c r="J1363" s="29">
        <f t="shared" si="286"/>
        <v>0</v>
      </c>
      <c r="K1363" s="31">
        <f t="shared" si="286"/>
        <v>0</v>
      </c>
      <c r="L1363" s="29">
        <f t="shared" si="286"/>
        <v>0</v>
      </c>
      <c r="M1363" s="29">
        <f t="shared" si="286"/>
        <v>724</v>
      </c>
      <c r="N1363" s="29">
        <f t="shared" si="286"/>
        <v>3399605.91</v>
      </c>
      <c r="O1363" s="29">
        <f t="shared" si="286"/>
        <v>0</v>
      </c>
      <c r="P1363" s="29">
        <f t="shared" si="286"/>
        <v>0</v>
      </c>
      <c r="Q1363" s="29">
        <f t="shared" si="286"/>
        <v>0</v>
      </c>
      <c r="R1363" s="29">
        <f t="shared" si="286"/>
        <v>0</v>
      </c>
      <c r="S1363" s="29">
        <f t="shared" si="286"/>
        <v>0</v>
      </c>
      <c r="T1363" s="29">
        <f t="shared" si="286"/>
        <v>0</v>
      </c>
      <c r="U1363" s="29">
        <f t="shared" si="286"/>
        <v>0</v>
      </c>
      <c r="V1363" s="29">
        <f t="shared" si="286"/>
        <v>0</v>
      </c>
      <c r="W1363" s="29">
        <f t="shared" si="286"/>
        <v>0</v>
      </c>
      <c r="X1363" s="29">
        <f t="shared" si="286"/>
        <v>0</v>
      </c>
      <c r="Y1363" s="29">
        <f t="shared" si="286"/>
        <v>0</v>
      </c>
      <c r="Z1363" s="29">
        <f t="shared" si="286"/>
        <v>0</v>
      </c>
      <c r="AA1363" s="29">
        <f t="shared" si="286"/>
        <v>0</v>
      </c>
      <c r="AB1363" s="29">
        <f t="shared" si="286"/>
        <v>0</v>
      </c>
      <c r="AC1363" s="29">
        <f t="shared" si="286"/>
        <v>50994.09</v>
      </c>
      <c r="AD1363" s="29">
        <f t="shared" si="286"/>
        <v>150000</v>
      </c>
      <c r="AE1363" s="29">
        <f t="shared" si="286"/>
        <v>0</v>
      </c>
      <c r="AF1363" s="346" t="s">
        <v>743</v>
      </c>
      <c r="AG1363" s="346" t="s">
        <v>743</v>
      </c>
      <c r="AH1363" s="347" t="s">
        <v>743</v>
      </c>
      <c r="AT1363" s="18" t="e">
        <f>VLOOKUP(C1363,AW:AX,2,FALSE)</f>
        <v>#N/A</v>
      </c>
      <c r="BZ1363" s="61">
        <v>3600600</v>
      </c>
    </row>
    <row r="1364" spans="1:224" ht="61.5" x14ac:dyDescent="0.85">
      <c r="A1364" s="18">
        <v>1</v>
      </c>
      <c r="B1364" s="57">
        <f>SUBTOTAL(103,$A$1093:A1364)</f>
        <v>218</v>
      </c>
      <c r="C1364" s="91" t="s">
        <v>2272</v>
      </c>
      <c r="D1364" s="29">
        <f>E1364+F1364+G1364+H1364+I1364+J1364+L1364+N1364+P1364+R1364+T1364+U1364+V1364+W1364+X1364+Y1364+Z1364+AA1364+AB1364+AC1364+AD1364+AE1364</f>
        <v>3600600</v>
      </c>
      <c r="E1364" s="29">
        <v>0</v>
      </c>
      <c r="F1364" s="29">
        <v>0</v>
      </c>
      <c r="G1364" s="29">
        <v>0</v>
      </c>
      <c r="H1364" s="29">
        <v>0</v>
      </c>
      <c r="I1364" s="29">
        <v>0</v>
      </c>
      <c r="J1364" s="29">
        <v>0</v>
      </c>
      <c r="K1364" s="31">
        <v>0</v>
      </c>
      <c r="L1364" s="29">
        <v>0</v>
      </c>
      <c r="M1364" s="29">
        <v>724</v>
      </c>
      <c r="N1364" s="29">
        <v>3399605.91</v>
      </c>
      <c r="O1364" s="29">
        <v>0</v>
      </c>
      <c r="P1364" s="29">
        <v>0</v>
      </c>
      <c r="Q1364" s="29">
        <v>0</v>
      </c>
      <c r="R1364" s="29">
        <v>0</v>
      </c>
      <c r="S1364" s="29">
        <v>0</v>
      </c>
      <c r="T1364" s="29">
        <v>0</v>
      </c>
      <c r="U1364" s="29">
        <v>0</v>
      </c>
      <c r="V1364" s="29">
        <v>0</v>
      </c>
      <c r="W1364" s="29">
        <v>0</v>
      </c>
      <c r="X1364" s="29">
        <v>0</v>
      </c>
      <c r="Y1364" s="29">
        <v>0</v>
      </c>
      <c r="Z1364" s="29">
        <v>0</v>
      </c>
      <c r="AA1364" s="29">
        <v>0</v>
      </c>
      <c r="AB1364" s="29">
        <v>0</v>
      </c>
      <c r="AC1364" s="29">
        <f>ROUND((N1364+R1364)*1.5%,2)</f>
        <v>50994.09</v>
      </c>
      <c r="AD1364" s="29">
        <v>150000</v>
      </c>
      <c r="AE1364" s="29">
        <v>0</v>
      </c>
      <c r="AF1364" s="32">
        <v>2022</v>
      </c>
      <c r="AG1364" s="32">
        <v>2022</v>
      </c>
      <c r="AH1364" s="33">
        <v>2022</v>
      </c>
      <c r="AT1364" s="18" t="e">
        <f>VLOOKUP(C1364,AW:AX,2,FALSE)</f>
        <v>#N/A</v>
      </c>
      <c r="BZ1364" s="61"/>
    </row>
    <row r="1365" spans="1:224" ht="61.5" x14ac:dyDescent="0.85">
      <c r="B1365" s="22" t="s">
        <v>872</v>
      </c>
      <c r="C1365" s="22"/>
      <c r="D1365" s="339">
        <f>D1366</f>
        <v>2233993.96</v>
      </c>
      <c r="E1365" s="29">
        <f t="shared" ref="E1365:AE1365" si="287">E1366</f>
        <v>0</v>
      </c>
      <c r="F1365" s="29">
        <f t="shared" si="287"/>
        <v>0</v>
      </c>
      <c r="G1365" s="29">
        <f t="shared" si="287"/>
        <v>0</v>
      </c>
      <c r="H1365" s="29">
        <f t="shared" si="287"/>
        <v>0</v>
      </c>
      <c r="I1365" s="29">
        <f t="shared" si="287"/>
        <v>0</v>
      </c>
      <c r="J1365" s="29">
        <f t="shared" si="287"/>
        <v>0</v>
      </c>
      <c r="K1365" s="31">
        <f t="shared" si="287"/>
        <v>0</v>
      </c>
      <c r="L1365" s="29">
        <f t="shared" si="287"/>
        <v>0</v>
      </c>
      <c r="M1365" s="29">
        <f t="shared" si="287"/>
        <v>376</v>
      </c>
      <c r="N1365" s="29">
        <f t="shared" si="287"/>
        <v>2082752.67</v>
      </c>
      <c r="O1365" s="29">
        <f t="shared" si="287"/>
        <v>0</v>
      </c>
      <c r="P1365" s="29">
        <f t="shared" si="287"/>
        <v>0</v>
      </c>
      <c r="Q1365" s="29">
        <f t="shared" si="287"/>
        <v>0</v>
      </c>
      <c r="R1365" s="29">
        <f t="shared" si="287"/>
        <v>0</v>
      </c>
      <c r="S1365" s="29">
        <f t="shared" si="287"/>
        <v>0</v>
      </c>
      <c r="T1365" s="29">
        <f t="shared" si="287"/>
        <v>0</v>
      </c>
      <c r="U1365" s="29">
        <f t="shared" si="287"/>
        <v>0</v>
      </c>
      <c r="V1365" s="29">
        <f t="shared" si="287"/>
        <v>0</v>
      </c>
      <c r="W1365" s="29">
        <f t="shared" si="287"/>
        <v>0</v>
      </c>
      <c r="X1365" s="29">
        <f t="shared" si="287"/>
        <v>0</v>
      </c>
      <c r="Y1365" s="29">
        <f t="shared" si="287"/>
        <v>0</v>
      </c>
      <c r="Z1365" s="29">
        <f t="shared" si="287"/>
        <v>0</v>
      </c>
      <c r="AA1365" s="29">
        <f t="shared" si="287"/>
        <v>0</v>
      </c>
      <c r="AB1365" s="29">
        <f t="shared" si="287"/>
        <v>0</v>
      </c>
      <c r="AC1365" s="29">
        <f t="shared" si="287"/>
        <v>31241.29</v>
      </c>
      <c r="AD1365" s="29">
        <f t="shared" si="287"/>
        <v>120000</v>
      </c>
      <c r="AE1365" s="29">
        <f t="shared" si="287"/>
        <v>0</v>
      </c>
      <c r="AF1365" s="346" t="s">
        <v>743</v>
      </c>
      <c r="AG1365" s="346" t="s">
        <v>743</v>
      </c>
      <c r="AH1365" s="347" t="s">
        <v>743</v>
      </c>
      <c r="AT1365" s="18" t="e">
        <f>VLOOKUP(C1365,AW:AX,2,FALSE)</f>
        <v>#N/A</v>
      </c>
      <c r="BZ1365" s="61">
        <v>2233993.96</v>
      </c>
    </row>
    <row r="1366" spans="1:224" ht="61.5" x14ac:dyDescent="0.85">
      <c r="A1366" s="18">
        <v>1</v>
      </c>
      <c r="B1366" s="57">
        <f>SUBTOTAL(103,$A$1093:A1366)</f>
        <v>219</v>
      </c>
      <c r="C1366" s="91" t="s">
        <v>196</v>
      </c>
      <c r="D1366" s="29">
        <f>E1366+F1366+G1366+H1366+I1366+J1366+L1366+N1366+P1366+R1366+T1366+U1366+V1366+W1366+X1366+Y1366+Z1366+AA1366+AB1366+AC1366+AD1366+AE1366</f>
        <v>2233993.96</v>
      </c>
      <c r="E1366" s="29">
        <v>0</v>
      </c>
      <c r="F1366" s="29">
        <v>0</v>
      </c>
      <c r="G1366" s="29">
        <v>0</v>
      </c>
      <c r="H1366" s="29">
        <v>0</v>
      </c>
      <c r="I1366" s="29">
        <v>0</v>
      </c>
      <c r="J1366" s="29">
        <v>0</v>
      </c>
      <c r="K1366" s="31">
        <v>0</v>
      </c>
      <c r="L1366" s="29">
        <v>0</v>
      </c>
      <c r="M1366" s="29">
        <v>376</v>
      </c>
      <c r="N1366" s="29">
        <f>1771034.48+311718.19</f>
        <v>2082752.67</v>
      </c>
      <c r="O1366" s="29">
        <v>0</v>
      </c>
      <c r="P1366" s="29">
        <v>0</v>
      </c>
      <c r="Q1366" s="29">
        <v>0</v>
      </c>
      <c r="R1366" s="29">
        <v>0</v>
      </c>
      <c r="S1366" s="29">
        <v>0</v>
      </c>
      <c r="T1366" s="29">
        <v>0</v>
      </c>
      <c r="U1366" s="29">
        <v>0</v>
      </c>
      <c r="V1366" s="29">
        <v>0</v>
      </c>
      <c r="W1366" s="29">
        <v>0</v>
      </c>
      <c r="X1366" s="29">
        <v>0</v>
      </c>
      <c r="Y1366" s="29">
        <v>0</v>
      </c>
      <c r="Z1366" s="29">
        <v>0</v>
      </c>
      <c r="AA1366" s="29">
        <v>0</v>
      </c>
      <c r="AB1366" s="29">
        <v>0</v>
      </c>
      <c r="AC1366" s="29">
        <f>ROUND(N1366*1.5%,2)</f>
        <v>31241.29</v>
      </c>
      <c r="AD1366" s="29">
        <v>120000</v>
      </c>
      <c r="AE1366" s="29">
        <v>0</v>
      </c>
      <c r="AF1366" s="32">
        <v>2022</v>
      </c>
      <c r="AG1366" s="32">
        <v>2022</v>
      </c>
      <c r="AH1366" s="33">
        <v>2022</v>
      </c>
      <c r="AT1366" s="18" t="e">
        <f>VLOOKUP(C1366,AW:AX,2,FALSE)</f>
        <v>#N/A</v>
      </c>
      <c r="BZ1366" s="61"/>
    </row>
    <row r="1367" spans="1:224" ht="61.5" x14ac:dyDescent="0.85">
      <c r="B1367" s="22" t="s">
        <v>854</v>
      </c>
      <c r="C1367" s="338"/>
      <c r="D1367" s="339">
        <f>SUM(D1368:D1370)</f>
        <v>14392200</v>
      </c>
      <c r="E1367" s="29">
        <f t="shared" ref="E1367:AE1367" si="288">SUM(E1368:E1370)</f>
        <v>0</v>
      </c>
      <c r="F1367" s="29">
        <f t="shared" si="288"/>
        <v>0</v>
      </c>
      <c r="G1367" s="29">
        <f t="shared" si="288"/>
        <v>0</v>
      </c>
      <c r="H1367" s="29">
        <f t="shared" si="288"/>
        <v>0</v>
      </c>
      <c r="I1367" s="29">
        <f t="shared" si="288"/>
        <v>0</v>
      </c>
      <c r="J1367" s="29">
        <f t="shared" si="288"/>
        <v>0</v>
      </c>
      <c r="K1367" s="31">
        <f t="shared" si="288"/>
        <v>0</v>
      </c>
      <c r="L1367" s="29">
        <f t="shared" si="288"/>
        <v>0</v>
      </c>
      <c r="M1367" s="29">
        <f t="shared" si="288"/>
        <v>2822</v>
      </c>
      <c r="N1367" s="29">
        <f t="shared" si="288"/>
        <v>13706600.99</v>
      </c>
      <c r="O1367" s="29">
        <f t="shared" si="288"/>
        <v>0</v>
      </c>
      <c r="P1367" s="29">
        <f t="shared" si="288"/>
        <v>0</v>
      </c>
      <c r="Q1367" s="29">
        <f t="shared" si="288"/>
        <v>0</v>
      </c>
      <c r="R1367" s="29">
        <f t="shared" si="288"/>
        <v>0</v>
      </c>
      <c r="S1367" s="29">
        <f t="shared" si="288"/>
        <v>0</v>
      </c>
      <c r="T1367" s="29">
        <f t="shared" si="288"/>
        <v>0</v>
      </c>
      <c r="U1367" s="29">
        <f t="shared" si="288"/>
        <v>0</v>
      </c>
      <c r="V1367" s="29">
        <f t="shared" si="288"/>
        <v>0</v>
      </c>
      <c r="W1367" s="29">
        <f t="shared" si="288"/>
        <v>0</v>
      </c>
      <c r="X1367" s="29">
        <f t="shared" si="288"/>
        <v>0</v>
      </c>
      <c r="Y1367" s="29">
        <f t="shared" si="288"/>
        <v>0</v>
      </c>
      <c r="Z1367" s="29">
        <f t="shared" si="288"/>
        <v>0</v>
      </c>
      <c r="AA1367" s="29">
        <f t="shared" si="288"/>
        <v>0</v>
      </c>
      <c r="AB1367" s="29">
        <f t="shared" si="288"/>
        <v>0</v>
      </c>
      <c r="AC1367" s="29">
        <f t="shared" si="288"/>
        <v>205599.01</v>
      </c>
      <c r="AD1367" s="29">
        <f t="shared" si="288"/>
        <v>480000</v>
      </c>
      <c r="AE1367" s="29">
        <f t="shared" si="288"/>
        <v>0</v>
      </c>
      <c r="AF1367" s="346" t="s">
        <v>743</v>
      </c>
      <c r="AG1367" s="346" t="s">
        <v>743</v>
      </c>
      <c r="AH1367" s="347" t="s">
        <v>743</v>
      </c>
      <c r="AT1367" s="18" t="e">
        <f>VLOOKUP(C1367,AW:AX,2,FALSE)</f>
        <v>#N/A</v>
      </c>
      <c r="BZ1367" s="61">
        <v>14392200</v>
      </c>
    </row>
    <row r="1368" spans="1:224" ht="61.5" x14ac:dyDescent="0.85">
      <c r="A1368" s="18">
        <v>1</v>
      </c>
      <c r="B1368" s="57">
        <f>SUBTOTAL(103,$A$1093:A1368)</f>
        <v>220</v>
      </c>
      <c r="C1368" s="91" t="s">
        <v>213</v>
      </c>
      <c r="D1368" s="29">
        <f>E1368+F1368+G1368+H1368+I1368+J1368+L1368+N1368+P1368+R1368+T1368+U1368+V1368+W1368+X1368+Y1368+Z1368+AA1368+AB1368+AC1368+AD1368+AE1368</f>
        <v>6002700</v>
      </c>
      <c r="E1368" s="29">
        <v>0</v>
      </c>
      <c r="F1368" s="29">
        <v>0</v>
      </c>
      <c r="G1368" s="29">
        <v>0</v>
      </c>
      <c r="H1368" s="29">
        <v>0</v>
      </c>
      <c r="I1368" s="29">
        <v>0</v>
      </c>
      <c r="J1368" s="29">
        <v>0</v>
      </c>
      <c r="K1368" s="31">
        <v>0</v>
      </c>
      <c r="L1368" s="29">
        <v>0</v>
      </c>
      <c r="M1368" s="29">
        <v>1177</v>
      </c>
      <c r="N1368" s="29">
        <v>5736650.25</v>
      </c>
      <c r="O1368" s="29">
        <v>0</v>
      </c>
      <c r="P1368" s="29">
        <v>0</v>
      </c>
      <c r="Q1368" s="29">
        <v>0</v>
      </c>
      <c r="R1368" s="29">
        <v>0</v>
      </c>
      <c r="S1368" s="29">
        <v>0</v>
      </c>
      <c r="T1368" s="29">
        <v>0</v>
      </c>
      <c r="U1368" s="29">
        <v>0</v>
      </c>
      <c r="V1368" s="29">
        <v>0</v>
      </c>
      <c r="W1368" s="29">
        <v>0</v>
      </c>
      <c r="X1368" s="29">
        <v>0</v>
      </c>
      <c r="Y1368" s="29">
        <v>0</v>
      </c>
      <c r="Z1368" s="29">
        <v>0</v>
      </c>
      <c r="AA1368" s="29">
        <v>0</v>
      </c>
      <c r="AB1368" s="29">
        <v>0</v>
      </c>
      <c r="AC1368" s="29">
        <f>ROUND(N1368*1.5%,2)</f>
        <v>86049.75</v>
      </c>
      <c r="AD1368" s="29">
        <v>180000</v>
      </c>
      <c r="AE1368" s="29">
        <v>0</v>
      </c>
      <c r="AF1368" s="32">
        <v>2022</v>
      </c>
      <c r="AG1368" s="32">
        <v>2022</v>
      </c>
      <c r="AH1368" s="33">
        <v>2022</v>
      </c>
      <c r="AT1368" s="18" t="e">
        <f>VLOOKUP(C1368,AW:AX,2,FALSE)</f>
        <v>#N/A</v>
      </c>
      <c r="BZ1368" s="61"/>
    </row>
    <row r="1369" spans="1:224" ht="61.5" x14ac:dyDescent="0.85">
      <c r="A1369" s="18">
        <v>1</v>
      </c>
      <c r="B1369" s="57">
        <f>SUBTOTAL(103,$A$1093:A1369)</f>
        <v>221</v>
      </c>
      <c r="C1369" s="91" t="s">
        <v>214</v>
      </c>
      <c r="D1369" s="29">
        <f>E1369+F1369+G1369+H1369+I1369+J1369+L1369+N1369+P1369+R1369+T1369+U1369+V1369+W1369+X1369+Y1369+Z1369+AA1369+AB1369+AC1369+AD1369+AE1369</f>
        <v>4059600</v>
      </c>
      <c r="E1369" s="29">
        <v>0</v>
      </c>
      <c r="F1369" s="29">
        <v>0</v>
      </c>
      <c r="G1369" s="29">
        <v>0</v>
      </c>
      <c r="H1369" s="29">
        <v>0</v>
      </c>
      <c r="I1369" s="29">
        <v>0</v>
      </c>
      <c r="J1369" s="29">
        <v>0</v>
      </c>
      <c r="K1369" s="31">
        <v>0</v>
      </c>
      <c r="L1369" s="29">
        <v>0</v>
      </c>
      <c r="M1369" s="29">
        <v>796</v>
      </c>
      <c r="N1369" s="29">
        <v>3851822.66</v>
      </c>
      <c r="O1369" s="29">
        <v>0</v>
      </c>
      <c r="P1369" s="29">
        <v>0</v>
      </c>
      <c r="Q1369" s="29">
        <v>0</v>
      </c>
      <c r="R1369" s="29">
        <v>0</v>
      </c>
      <c r="S1369" s="29">
        <v>0</v>
      </c>
      <c r="T1369" s="29">
        <v>0</v>
      </c>
      <c r="U1369" s="29">
        <v>0</v>
      </c>
      <c r="V1369" s="29">
        <v>0</v>
      </c>
      <c r="W1369" s="29">
        <v>0</v>
      </c>
      <c r="X1369" s="29">
        <v>0</v>
      </c>
      <c r="Y1369" s="29">
        <v>0</v>
      </c>
      <c r="Z1369" s="29">
        <v>0</v>
      </c>
      <c r="AA1369" s="29">
        <v>0</v>
      </c>
      <c r="AB1369" s="29">
        <v>0</v>
      </c>
      <c r="AC1369" s="29">
        <f>ROUND(N1369*1.5%,2)</f>
        <v>57777.34</v>
      </c>
      <c r="AD1369" s="29">
        <v>150000</v>
      </c>
      <c r="AE1369" s="29">
        <v>0</v>
      </c>
      <c r="AF1369" s="32">
        <v>2022</v>
      </c>
      <c r="AG1369" s="32">
        <v>2022</v>
      </c>
      <c r="AH1369" s="33">
        <v>2022</v>
      </c>
      <c r="AT1369" s="18" t="e">
        <f>VLOOKUP(C1369,AW:AX,2,FALSE)</f>
        <v>#N/A</v>
      </c>
      <c r="BZ1369" s="61"/>
    </row>
    <row r="1370" spans="1:224" ht="61.5" x14ac:dyDescent="0.85">
      <c r="A1370" s="18">
        <v>1</v>
      </c>
      <c r="B1370" s="57">
        <f>SUBTOTAL(103,$A$1093:A1370)</f>
        <v>222</v>
      </c>
      <c r="C1370" s="91" t="s">
        <v>215</v>
      </c>
      <c r="D1370" s="29">
        <f>E1370+F1370+G1370+H1370+I1370+J1370+L1370+N1370+P1370+R1370+T1370+U1370+V1370+W1370+X1370+Y1370+Z1370+AA1370+AB1370+AC1370+AD1370+AE1370</f>
        <v>4329900</v>
      </c>
      <c r="E1370" s="29">
        <v>0</v>
      </c>
      <c r="F1370" s="29">
        <v>0</v>
      </c>
      <c r="G1370" s="29">
        <v>0</v>
      </c>
      <c r="H1370" s="29">
        <v>0</v>
      </c>
      <c r="I1370" s="29">
        <v>0</v>
      </c>
      <c r="J1370" s="29">
        <v>0</v>
      </c>
      <c r="K1370" s="31">
        <v>0</v>
      </c>
      <c r="L1370" s="29">
        <v>0</v>
      </c>
      <c r="M1370" s="29">
        <v>849</v>
      </c>
      <c r="N1370" s="29">
        <v>4118128.08</v>
      </c>
      <c r="O1370" s="29">
        <v>0</v>
      </c>
      <c r="P1370" s="29">
        <v>0</v>
      </c>
      <c r="Q1370" s="29">
        <v>0</v>
      </c>
      <c r="R1370" s="29">
        <v>0</v>
      </c>
      <c r="S1370" s="29">
        <v>0</v>
      </c>
      <c r="T1370" s="29">
        <v>0</v>
      </c>
      <c r="U1370" s="29">
        <v>0</v>
      </c>
      <c r="V1370" s="29">
        <v>0</v>
      </c>
      <c r="W1370" s="29">
        <v>0</v>
      </c>
      <c r="X1370" s="29">
        <v>0</v>
      </c>
      <c r="Y1370" s="29">
        <v>0</v>
      </c>
      <c r="Z1370" s="29">
        <v>0</v>
      </c>
      <c r="AA1370" s="29">
        <v>0</v>
      </c>
      <c r="AB1370" s="29">
        <v>0</v>
      </c>
      <c r="AC1370" s="29">
        <f>ROUND(N1370*1.5%,2)</f>
        <v>61771.92</v>
      </c>
      <c r="AD1370" s="29">
        <v>150000</v>
      </c>
      <c r="AE1370" s="29">
        <v>0</v>
      </c>
      <c r="AF1370" s="32">
        <v>2022</v>
      </c>
      <c r="AG1370" s="32">
        <v>2022</v>
      </c>
      <c r="AH1370" s="33">
        <v>2022</v>
      </c>
      <c r="AT1370" s="18" t="e">
        <f>VLOOKUP(C1370,AW:AX,2,FALSE)</f>
        <v>#N/A</v>
      </c>
      <c r="BZ1370" s="61"/>
    </row>
    <row r="1371" spans="1:224" ht="61.5" x14ac:dyDescent="0.85">
      <c r="B1371" s="22" t="s">
        <v>855</v>
      </c>
      <c r="C1371" s="22"/>
      <c r="D1371" s="339">
        <f>D1372</f>
        <v>3396600</v>
      </c>
      <c r="E1371" s="29">
        <f t="shared" ref="E1371:AE1371" si="289">E1372</f>
        <v>0</v>
      </c>
      <c r="F1371" s="29">
        <f t="shared" si="289"/>
        <v>0</v>
      </c>
      <c r="G1371" s="29">
        <f t="shared" si="289"/>
        <v>0</v>
      </c>
      <c r="H1371" s="29">
        <f t="shared" si="289"/>
        <v>0</v>
      </c>
      <c r="I1371" s="29">
        <f t="shared" si="289"/>
        <v>0</v>
      </c>
      <c r="J1371" s="29">
        <f t="shared" si="289"/>
        <v>0</v>
      </c>
      <c r="K1371" s="31">
        <f t="shared" si="289"/>
        <v>0</v>
      </c>
      <c r="L1371" s="29">
        <f t="shared" si="289"/>
        <v>0</v>
      </c>
      <c r="M1371" s="29">
        <f t="shared" si="289"/>
        <v>666</v>
      </c>
      <c r="N1371" s="29">
        <f t="shared" si="289"/>
        <v>3198620.69</v>
      </c>
      <c r="O1371" s="29">
        <f t="shared" si="289"/>
        <v>0</v>
      </c>
      <c r="P1371" s="29">
        <f t="shared" si="289"/>
        <v>0</v>
      </c>
      <c r="Q1371" s="29">
        <f t="shared" si="289"/>
        <v>0</v>
      </c>
      <c r="R1371" s="29">
        <f t="shared" si="289"/>
        <v>0</v>
      </c>
      <c r="S1371" s="29">
        <f t="shared" si="289"/>
        <v>0</v>
      </c>
      <c r="T1371" s="29">
        <f t="shared" si="289"/>
        <v>0</v>
      </c>
      <c r="U1371" s="29">
        <f t="shared" si="289"/>
        <v>0</v>
      </c>
      <c r="V1371" s="29">
        <f t="shared" si="289"/>
        <v>0</v>
      </c>
      <c r="W1371" s="29">
        <f t="shared" si="289"/>
        <v>0</v>
      </c>
      <c r="X1371" s="29">
        <f t="shared" si="289"/>
        <v>0</v>
      </c>
      <c r="Y1371" s="29">
        <f t="shared" si="289"/>
        <v>0</v>
      </c>
      <c r="Z1371" s="29">
        <f t="shared" si="289"/>
        <v>0</v>
      </c>
      <c r="AA1371" s="29">
        <f t="shared" si="289"/>
        <v>0</v>
      </c>
      <c r="AB1371" s="29">
        <f t="shared" si="289"/>
        <v>0</v>
      </c>
      <c r="AC1371" s="29">
        <f t="shared" si="289"/>
        <v>47979.31</v>
      </c>
      <c r="AD1371" s="29">
        <f t="shared" si="289"/>
        <v>150000</v>
      </c>
      <c r="AE1371" s="29">
        <f t="shared" si="289"/>
        <v>0</v>
      </c>
      <c r="AF1371" s="346" t="s">
        <v>743</v>
      </c>
      <c r="AG1371" s="346" t="s">
        <v>743</v>
      </c>
      <c r="AH1371" s="347" t="s">
        <v>743</v>
      </c>
      <c r="AT1371" s="18" t="e">
        <f>VLOOKUP(C1371,AW:AX,2,FALSE)</f>
        <v>#N/A</v>
      </c>
      <c r="BZ1371" s="61">
        <v>3396600</v>
      </c>
    </row>
    <row r="1372" spans="1:224" ht="61.5" x14ac:dyDescent="0.85">
      <c r="A1372" s="18">
        <v>1</v>
      </c>
      <c r="B1372" s="57">
        <f>SUBTOTAL(103,$A$1093:A1372)</f>
        <v>223</v>
      </c>
      <c r="C1372" s="91" t="s">
        <v>221</v>
      </c>
      <c r="D1372" s="29">
        <f>E1372+F1372+G1372+H1372+I1372+J1372+L1372+N1372+P1372+R1372+T1372+U1372+V1372+W1372+X1372+Y1372+Z1372+AA1372+AB1372+AC1372+AD1372+AE1372</f>
        <v>3396600</v>
      </c>
      <c r="E1372" s="29">
        <v>0</v>
      </c>
      <c r="F1372" s="29">
        <v>0</v>
      </c>
      <c r="G1372" s="29">
        <v>0</v>
      </c>
      <c r="H1372" s="29">
        <v>0</v>
      </c>
      <c r="I1372" s="29">
        <v>0</v>
      </c>
      <c r="J1372" s="29">
        <v>0</v>
      </c>
      <c r="K1372" s="31">
        <v>0</v>
      </c>
      <c r="L1372" s="29">
        <v>0</v>
      </c>
      <c r="M1372" s="29">
        <v>666</v>
      </c>
      <c r="N1372" s="29">
        <v>3198620.69</v>
      </c>
      <c r="O1372" s="29">
        <v>0</v>
      </c>
      <c r="P1372" s="29">
        <v>0</v>
      </c>
      <c r="Q1372" s="29">
        <v>0</v>
      </c>
      <c r="R1372" s="29">
        <v>0</v>
      </c>
      <c r="S1372" s="29">
        <v>0</v>
      </c>
      <c r="T1372" s="29">
        <v>0</v>
      </c>
      <c r="U1372" s="29">
        <v>0</v>
      </c>
      <c r="V1372" s="29">
        <v>0</v>
      </c>
      <c r="W1372" s="29">
        <v>0</v>
      </c>
      <c r="X1372" s="29">
        <v>0</v>
      </c>
      <c r="Y1372" s="29">
        <v>0</v>
      </c>
      <c r="Z1372" s="29">
        <v>0</v>
      </c>
      <c r="AA1372" s="29">
        <v>0</v>
      </c>
      <c r="AB1372" s="29">
        <v>0</v>
      </c>
      <c r="AC1372" s="29">
        <f>ROUND(N1372*1.5%,2)</f>
        <v>47979.31</v>
      </c>
      <c r="AD1372" s="29">
        <v>150000</v>
      </c>
      <c r="AE1372" s="29">
        <v>0</v>
      </c>
      <c r="AF1372" s="32">
        <v>2022</v>
      </c>
      <c r="AG1372" s="32">
        <v>2022</v>
      </c>
      <c r="AH1372" s="33">
        <v>2022</v>
      </c>
      <c r="AT1372" s="18">
        <f>VLOOKUP(C1372,AW:AX,2,FALSE)</f>
        <v>1</v>
      </c>
      <c r="BZ1372" s="61"/>
    </row>
    <row r="1373" spans="1:224" s="348" customFormat="1" ht="189" customHeight="1" x14ac:dyDescent="0.3">
      <c r="B1373" s="227" t="s">
        <v>1648</v>
      </c>
      <c r="C1373" s="228"/>
      <c r="D1373" s="228"/>
      <c r="E1373" s="228"/>
      <c r="F1373" s="228"/>
      <c r="G1373" s="228"/>
      <c r="H1373" s="228"/>
      <c r="I1373" s="228"/>
      <c r="J1373" s="228"/>
      <c r="K1373" s="228"/>
      <c r="L1373" s="228"/>
      <c r="M1373" s="228"/>
      <c r="N1373" s="228"/>
      <c r="O1373" s="228"/>
      <c r="P1373" s="228"/>
      <c r="Q1373" s="228"/>
      <c r="R1373" s="228"/>
      <c r="S1373" s="228"/>
      <c r="T1373" s="228"/>
      <c r="U1373" s="228"/>
      <c r="V1373" s="228"/>
      <c r="W1373" s="228"/>
      <c r="X1373" s="228"/>
      <c r="Y1373" s="228"/>
      <c r="Z1373" s="228"/>
      <c r="AA1373" s="228"/>
      <c r="AB1373" s="228"/>
      <c r="AC1373" s="228"/>
      <c r="AD1373" s="228"/>
      <c r="AE1373" s="228"/>
      <c r="AF1373" s="228"/>
      <c r="AG1373" s="228"/>
      <c r="AH1373" s="229"/>
      <c r="AI1373" s="94"/>
      <c r="AJ1373" s="95"/>
      <c r="AK1373" s="94"/>
      <c r="AL1373" s="94"/>
      <c r="AM1373" s="94"/>
      <c r="BR1373" s="349"/>
      <c r="CH1373" s="349" t="e">
        <f>VLOOKUP(C1373,CJ:CK,2,FALSE)</f>
        <v>#N/A</v>
      </c>
      <c r="CK1373" s="349" t="e">
        <f>VLOOKUP(C1373,CM:CN,2,FALSE)</f>
        <v>#N/A</v>
      </c>
      <c r="EU1373" s="349" t="e">
        <f>VLOOKUP(C1373,EY:EZ,2,FALSE)</f>
        <v>#N/A</v>
      </c>
      <c r="HO1373" s="348" t="s">
        <v>1642</v>
      </c>
      <c r="HP1373" s="348">
        <v>50864.91</v>
      </c>
    </row>
    <row r="1374" spans="1:224" s="348" customFormat="1" ht="189" customHeight="1" x14ac:dyDescent="0.3">
      <c r="B1374" s="209" t="s">
        <v>1656</v>
      </c>
      <c r="C1374" s="210"/>
      <c r="D1374" s="210"/>
      <c r="E1374" s="210"/>
      <c r="F1374" s="210"/>
      <c r="G1374" s="210"/>
      <c r="H1374" s="210"/>
      <c r="I1374" s="210"/>
      <c r="J1374" s="210"/>
      <c r="K1374" s="210"/>
      <c r="L1374" s="210"/>
      <c r="M1374" s="210"/>
      <c r="N1374" s="210"/>
      <c r="O1374" s="210"/>
      <c r="P1374" s="210"/>
      <c r="Q1374" s="210"/>
      <c r="R1374" s="210"/>
      <c r="S1374" s="210"/>
      <c r="T1374" s="210"/>
      <c r="U1374" s="210"/>
      <c r="V1374" s="210"/>
      <c r="W1374" s="210"/>
      <c r="X1374" s="210"/>
      <c r="Y1374" s="210"/>
      <c r="Z1374" s="210"/>
      <c r="AA1374" s="210"/>
      <c r="AB1374" s="210"/>
      <c r="AC1374" s="210"/>
      <c r="AD1374" s="210"/>
      <c r="AE1374" s="210"/>
      <c r="AF1374" s="210"/>
      <c r="AG1374" s="210"/>
      <c r="AH1374" s="211"/>
      <c r="AI1374" s="96"/>
      <c r="AJ1374" s="97"/>
      <c r="AK1374" s="96"/>
      <c r="AL1374" s="96"/>
      <c r="AM1374" s="96"/>
      <c r="HO1374" s="348" t="s">
        <v>1643</v>
      </c>
      <c r="HP1374" s="348">
        <v>47587.5</v>
      </c>
    </row>
    <row r="1375" spans="1:224" s="350" customFormat="1" ht="76.5" x14ac:dyDescent="0.25">
      <c r="B1375" s="212" t="s">
        <v>2429</v>
      </c>
      <c r="C1375" s="213"/>
      <c r="D1375" s="106">
        <f>D1376+D1383</f>
        <v>16375999.73</v>
      </c>
      <c r="E1375" s="98">
        <f t="shared" ref="E1375:AE1375" si="290">E1376+E1383</f>
        <v>0</v>
      </c>
      <c r="F1375" s="98">
        <f t="shared" si="290"/>
        <v>0</v>
      </c>
      <c r="G1375" s="98">
        <f t="shared" si="290"/>
        <v>0</v>
      </c>
      <c r="H1375" s="98">
        <f t="shared" si="290"/>
        <v>0</v>
      </c>
      <c r="I1375" s="98">
        <f t="shared" si="290"/>
        <v>0</v>
      </c>
      <c r="J1375" s="98">
        <f t="shared" si="290"/>
        <v>0</v>
      </c>
      <c r="K1375" s="99">
        <f t="shared" si="290"/>
        <v>0</v>
      </c>
      <c r="L1375" s="98">
        <f t="shared" si="290"/>
        <v>0</v>
      </c>
      <c r="M1375" s="98">
        <f t="shared" si="290"/>
        <v>4206.43</v>
      </c>
      <c r="N1375" s="98">
        <f t="shared" si="290"/>
        <v>16179047.35</v>
      </c>
      <c r="O1375" s="98">
        <f t="shared" si="290"/>
        <v>0</v>
      </c>
      <c r="P1375" s="98">
        <f t="shared" si="290"/>
        <v>0</v>
      </c>
      <c r="Q1375" s="98">
        <f t="shared" si="290"/>
        <v>0</v>
      </c>
      <c r="R1375" s="98">
        <f t="shared" si="290"/>
        <v>0</v>
      </c>
      <c r="S1375" s="98">
        <f t="shared" si="290"/>
        <v>0</v>
      </c>
      <c r="T1375" s="98">
        <f t="shared" si="290"/>
        <v>0</v>
      </c>
      <c r="U1375" s="98">
        <f t="shared" si="290"/>
        <v>0</v>
      </c>
      <c r="V1375" s="98">
        <f t="shared" si="290"/>
        <v>0</v>
      </c>
      <c r="W1375" s="98">
        <f t="shared" si="290"/>
        <v>0</v>
      </c>
      <c r="X1375" s="98">
        <f t="shared" si="290"/>
        <v>0</v>
      </c>
      <c r="Y1375" s="98">
        <f t="shared" si="290"/>
        <v>0</v>
      </c>
      <c r="Z1375" s="98">
        <f t="shared" si="290"/>
        <v>0</v>
      </c>
      <c r="AA1375" s="98">
        <f t="shared" si="290"/>
        <v>0</v>
      </c>
      <c r="AB1375" s="98">
        <f t="shared" si="290"/>
        <v>0</v>
      </c>
      <c r="AC1375" s="98">
        <f t="shared" si="290"/>
        <v>196952.38</v>
      </c>
      <c r="AD1375" s="98">
        <f t="shared" si="290"/>
        <v>0</v>
      </c>
      <c r="AE1375" s="98">
        <f t="shared" si="290"/>
        <v>0</v>
      </c>
      <c r="AF1375" s="100" t="s">
        <v>1644</v>
      </c>
      <c r="AG1375" s="100" t="s">
        <v>1644</v>
      </c>
      <c r="AH1375" s="100" t="s">
        <v>1644</v>
      </c>
      <c r="AI1375" s="101"/>
      <c r="AJ1375" s="95"/>
      <c r="AK1375" s="101"/>
      <c r="AL1375" s="101"/>
      <c r="AM1375" s="101"/>
      <c r="HO1375" s="350" t="s">
        <v>1645</v>
      </c>
      <c r="HP1375" s="350">
        <v>53254.36</v>
      </c>
    </row>
    <row r="1376" spans="1:224" s="350" customFormat="1" ht="76.5" x14ac:dyDescent="0.25">
      <c r="B1376" s="212" t="s">
        <v>1649</v>
      </c>
      <c r="C1376" s="213"/>
      <c r="D1376" s="106">
        <f>D1377+D1379+D1381</f>
        <v>7034201.7300000004</v>
      </c>
      <c r="E1376" s="98">
        <f t="shared" ref="E1376:AE1376" si="291">E1377+E1381+E1379</f>
        <v>0</v>
      </c>
      <c r="F1376" s="98">
        <f t="shared" si="291"/>
        <v>0</v>
      </c>
      <c r="G1376" s="98">
        <f t="shared" si="291"/>
        <v>0</v>
      </c>
      <c r="H1376" s="98">
        <f t="shared" si="291"/>
        <v>0</v>
      </c>
      <c r="I1376" s="98">
        <f t="shared" si="291"/>
        <v>0</v>
      </c>
      <c r="J1376" s="98">
        <f t="shared" si="291"/>
        <v>0</v>
      </c>
      <c r="K1376" s="99">
        <f t="shared" si="291"/>
        <v>0</v>
      </c>
      <c r="L1376" s="98">
        <f t="shared" si="291"/>
        <v>0</v>
      </c>
      <c r="M1376" s="98">
        <f t="shared" si="291"/>
        <v>1981.3</v>
      </c>
      <c r="N1376" s="98">
        <f t="shared" si="291"/>
        <v>6992437.3499999996</v>
      </c>
      <c r="O1376" s="98">
        <f t="shared" si="291"/>
        <v>0</v>
      </c>
      <c r="P1376" s="98">
        <f t="shared" si="291"/>
        <v>0</v>
      </c>
      <c r="Q1376" s="98">
        <f t="shared" si="291"/>
        <v>0</v>
      </c>
      <c r="R1376" s="98">
        <f t="shared" si="291"/>
        <v>0</v>
      </c>
      <c r="S1376" s="98">
        <f t="shared" si="291"/>
        <v>0</v>
      </c>
      <c r="T1376" s="98">
        <f t="shared" si="291"/>
        <v>0</v>
      </c>
      <c r="U1376" s="98">
        <f t="shared" si="291"/>
        <v>0</v>
      </c>
      <c r="V1376" s="98">
        <f t="shared" si="291"/>
        <v>0</v>
      </c>
      <c r="W1376" s="98">
        <f t="shared" si="291"/>
        <v>0</v>
      </c>
      <c r="X1376" s="98">
        <f t="shared" si="291"/>
        <v>0</v>
      </c>
      <c r="Y1376" s="98">
        <f t="shared" si="291"/>
        <v>0</v>
      </c>
      <c r="Z1376" s="98">
        <f t="shared" si="291"/>
        <v>0</v>
      </c>
      <c r="AA1376" s="98">
        <f t="shared" si="291"/>
        <v>0</v>
      </c>
      <c r="AB1376" s="98">
        <f t="shared" si="291"/>
        <v>0</v>
      </c>
      <c r="AC1376" s="98">
        <f t="shared" si="291"/>
        <v>41764.380000000005</v>
      </c>
      <c r="AD1376" s="98">
        <f t="shared" si="291"/>
        <v>0</v>
      </c>
      <c r="AE1376" s="98">
        <f t="shared" si="291"/>
        <v>0</v>
      </c>
      <c r="AF1376" s="100" t="s">
        <v>1644</v>
      </c>
      <c r="AG1376" s="100" t="s">
        <v>1644</v>
      </c>
      <c r="AH1376" s="100" t="s">
        <v>1644</v>
      </c>
      <c r="AI1376" s="101"/>
      <c r="AJ1376" s="95"/>
      <c r="AK1376" s="101"/>
      <c r="AL1376" s="101"/>
      <c r="AM1376" s="101"/>
      <c r="HO1376" s="350" t="s">
        <v>1645</v>
      </c>
      <c r="HP1376" s="350">
        <v>53254.36</v>
      </c>
    </row>
    <row r="1377" spans="1:224" s="350" customFormat="1" ht="76.5" x14ac:dyDescent="0.25">
      <c r="B1377" s="102" t="s">
        <v>854</v>
      </c>
      <c r="C1377" s="23"/>
      <c r="D1377" s="106">
        <f t="shared" ref="D1377:D1382" si="292">E1377+F1377+G1377+H1377+I1377+J1377+L1377+N1377+P1377+R1377+T1377+U1377+V1377+W1377+X1377+Y1377+Z1377+AA1377+AB1377+AC1377+AD1377+AE1377</f>
        <v>1836114.4000000001</v>
      </c>
      <c r="E1377" s="98">
        <f t="shared" ref="E1377:AE1379" si="293">SUM(E1378:E1378)</f>
        <v>0</v>
      </c>
      <c r="F1377" s="98">
        <f t="shared" si="293"/>
        <v>0</v>
      </c>
      <c r="G1377" s="98">
        <f t="shared" si="293"/>
        <v>0</v>
      </c>
      <c r="H1377" s="98">
        <f t="shared" si="293"/>
        <v>0</v>
      </c>
      <c r="I1377" s="98">
        <f t="shared" si="293"/>
        <v>0</v>
      </c>
      <c r="J1377" s="98">
        <f t="shared" si="293"/>
        <v>0</v>
      </c>
      <c r="K1377" s="99">
        <f t="shared" si="293"/>
        <v>0</v>
      </c>
      <c r="L1377" s="98">
        <f t="shared" si="293"/>
        <v>0</v>
      </c>
      <c r="M1377" s="98">
        <f t="shared" si="293"/>
        <v>454</v>
      </c>
      <c r="N1377" s="98">
        <f t="shared" si="293"/>
        <v>1810719.07</v>
      </c>
      <c r="O1377" s="98">
        <f t="shared" si="293"/>
        <v>0</v>
      </c>
      <c r="P1377" s="98">
        <f t="shared" si="293"/>
        <v>0</v>
      </c>
      <c r="Q1377" s="98">
        <f t="shared" si="293"/>
        <v>0</v>
      </c>
      <c r="R1377" s="98">
        <f t="shared" si="293"/>
        <v>0</v>
      </c>
      <c r="S1377" s="98">
        <f t="shared" si="293"/>
        <v>0</v>
      </c>
      <c r="T1377" s="98">
        <f t="shared" si="293"/>
        <v>0</v>
      </c>
      <c r="U1377" s="98">
        <f t="shared" si="293"/>
        <v>0</v>
      </c>
      <c r="V1377" s="98">
        <f t="shared" si="293"/>
        <v>0</v>
      </c>
      <c r="W1377" s="98">
        <f t="shared" si="293"/>
        <v>0</v>
      </c>
      <c r="X1377" s="98">
        <f t="shared" si="293"/>
        <v>0</v>
      </c>
      <c r="Y1377" s="98">
        <f t="shared" si="293"/>
        <v>0</v>
      </c>
      <c r="Z1377" s="98">
        <f t="shared" si="293"/>
        <v>0</v>
      </c>
      <c r="AA1377" s="98">
        <f t="shared" si="293"/>
        <v>0</v>
      </c>
      <c r="AB1377" s="98">
        <f t="shared" si="293"/>
        <v>0</v>
      </c>
      <c r="AC1377" s="98">
        <f t="shared" si="293"/>
        <v>25395.33</v>
      </c>
      <c r="AD1377" s="98">
        <f t="shared" si="293"/>
        <v>0</v>
      </c>
      <c r="AE1377" s="98">
        <f t="shared" si="293"/>
        <v>0</v>
      </c>
      <c r="AF1377" s="100" t="s">
        <v>1644</v>
      </c>
      <c r="AG1377" s="100" t="s">
        <v>1644</v>
      </c>
      <c r="AH1377" s="100" t="s">
        <v>1644</v>
      </c>
      <c r="AI1377" s="95"/>
      <c r="AJ1377" s="97"/>
      <c r="AK1377" s="103"/>
      <c r="AL1377" s="95"/>
      <c r="AM1377" s="95"/>
      <c r="AR1377" s="351"/>
      <c r="AS1377" s="149"/>
      <c r="BF1377" s="349"/>
      <c r="BR1377" s="349"/>
      <c r="BU1377" s="149"/>
      <c r="CH1377" s="349"/>
      <c r="CK1377" s="349"/>
      <c r="EJ1377" s="149"/>
      <c r="EL1377" s="149"/>
      <c r="EU1377" s="349"/>
      <c r="FI1377" s="149"/>
      <c r="FL1377" s="352"/>
      <c r="FM1377" s="149"/>
      <c r="FV1377" s="349"/>
      <c r="GN1377" s="353"/>
      <c r="GX1377" s="349"/>
      <c r="GZ1377" s="149"/>
      <c r="HB1377" s="349"/>
      <c r="HO1377" s="350" t="s">
        <v>1646</v>
      </c>
      <c r="HP1377" s="350">
        <v>44890.35</v>
      </c>
    </row>
    <row r="1378" spans="1:224" s="350" customFormat="1" ht="63" x14ac:dyDescent="0.25">
      <c r="A1378" s="349"/>
      <c r="B1378" s="104">
        <v>1</v>
      </c>
      <c r="C1378" s="23" t="s">
        <v>1650</v>
      </c>
      <c r="D1378" s="106">
        <f t="shared" si="292"/>
        <v>1836114.4000000001</v>
      </c>
      <c r="E1378" s="105">
        <v>0</v>
      </c>
      <c r="F1378" s="106">
        <v>0</v>
      </c>
      <c r="G1378" s="106">
        <v>0</v>
      </c>
      <c r="H1378" s="106">
        <v>0</v>
      </c>
      <c r="I1378" s="106">
        <v>0</v>
      </c>
      <c r="J1378" s="106">
        <v>0</v>
      </c>
      <c r="K1378" s="99">
        <v>0</v>
      </c>
      <c r="L1378" s="106">
        <v>0</v>
      </c>
      <c r="M1378" s="354">
        <v>454</v>
      </c>
      <c r="N1378" s="354">
        <v>1810719.07</v>
      </c>
      <c r="O1378" s="106">
        <v>0</v>
      </c>
      <c r="P1378" s="106">
        <v>0</v>
      </c>
      <c r="Q1378" s="106">
        <v>0</v>
      </c>
      <c r="R1378" s="106">
        <v>0</v>
      </c>
      <c r="S1378" s="106">
        <v>0</v>
      </c>
      <c r="T1378" s="106">
        <v>0</v>
      </c>
      <c r="U1378" s="106">
        <v>0</v>
      </c>
      <c r="V1378" s="106">
        <v>0</v>
      </c>
      <c r="W1378" s="106">
        <v>0</v>
      </c>
      <c r="X1378" s="106">
        <v>0</v>
      </c>
      <c r="Y1378" s="106">
        <v>0</v>
      </c>
      <c r="Z1378" s="106">
        <v>0</v>
      </c>
      <c r="AA1378" s="106">
        <v>0</v>
      </c>
      <c r="AB1378" s="106">
        <v>0</v>
      </c>
      <c r="AC1378" s="354">
        <v>25395.33</v>
      </c>
      <c r="AD1378" s="106">
        <v>0</v>
      </c>
      <c r="AE1378" s="106">
        <v>0</v>
      </c>
      <c r="AF1378" s="201" t="s">
        <v>268</v>
      </c>
      <c r="AG1378" s="201">
        <v>2020</v>
      </c>
      <c r="AH1378" s="201">
        <v>2020</v>
      </c>
      <c r="AI1378" s="95"/>
      <c r="AJ1378" s="95"/>
      <c r="AK1378" s="103"/>
      <c r="AL1378" s="95"/>
      <c r="AM1378" s="95"/>
      <c r="AR1378" s="351"/>
      <c r="AS1378" s="149"/>
      <c r="BF1378" s="349"/>
      <c r="BR1378" s="349"/>
      <c r="BU1378" s="149"/>
      <c r="CH1378" s="349"/>
      <c r="CK1378" s="349"/>
      <c r="EJ1378" s="149"/>
      <c r="EL1378" s="149"/>
      <c r="EU1378" s="349"/>
      <c r="FI1378" s="149"/>
      <c r="FL1378" s="149"/>
      <c r="FM1378" s="149"/>
      <c r="FV1378" s="349"/>
      <c r="GN1378" s="353"/>
      <c r="GX1378" s="349"/>
      <c r="GZ1378" s="149"/>
      <c r="HO1378" s="350" t="s">
        <v>1647</v>
      </c>
      <c r="HP1378" s="350">
        <v>52429.26</v>
      </c>
    </row>
    <row r="1379" spans="1:224" s="350" customFormat="1" ht="76.5" x14ac:dyDescent="0.25">
      <c r="B1379" s="102" t="s">
        <v>807</v>
      </c>
      <c r="C1379" s="23"/>
      <c r="D1379" s="106">
        <f t="shared" si="292"/>
        <v>2643881</v>
      </c>
      <c r="E1379" s="98">
        <f t="shared" si="293"/>
        <v>0</v>
      </c>
      <c r="F1379" s="98">
        <f t="shared" si="293"/>
        <v>0</v>
      </c>
      <c r="G1379" s="98">
        <f t="shared" si="293"/>
        <v>0</v>
      </c>
      <c r="H1379" s="98">
        <f t="shared" si="293"/>
        <v>0</v>
      </c>
      <c r="I1379" s="98">
        <f t="shared" si="293"/>
        <v>0</v>
      </c>
      <c r="J1379" s="98">
        <f t="shared" si="293"/>
        <v>0</v>
      </c>
      <c r="K1379" s="99">
        <f t="shared" si="293"/>
        <v>0</v>
      </c>
      <c r="L1379" s="98">
        <f t="shared" si="293"/>
        <v>0</v>
      </c>
      <c r="M1379" s="98">
        <f t="shared" si="293"/>
        <v>720</v>
      </c>
      <c r="N1379" s="98">
        <f t="shared" si="293"/>
        <v>2643881</v>
      </c>
      <c r="O1379" s="98">
        <f t="shared" si="293"/>
        <v>0</v>
      </c>
      <c r="P1379" s="98">
        <f t="shared" si="293"/>
        <v>0</v>
      </c>
      <c r="Q1379" s="98">
        <f t="shared" si="293"/>
        <v>0</v>
      </c>
      <c r="R1379" s="98">
        <f t="shared" si="293"/>
        <v>0</v>
      </c>
      <c r="S1379" s="98">
        <f t="shared" si="293"/>
        <v>0</v>
      </c>
      <c r="T1379" s="98">
        <f t="shared" si="293"/>
        <v>0</v>
      </c>
      <c r="U1379" s="98">
        <f t="shared" si="293"/>
        <v>0</v>
      </c>
      <c r="V1379" s="98">
        <f t="shared" si="293"/>
        <v>0</v>
      </c>
      <c r="W1379" s="98">
        <f t="shared" si="293"/>
        <v>0</v>
      </c>
      <c r="X1379" s="98">
        <f t="shared" si="293"/>
        <v>0</v>
      </c>
      <c r="Y1379" s="98">
        <f t="shared" si="293"/>
        <v>0</v>
      </c>
      <c r="Z1379" s="98">
        <f t="shared" si="293"/>
        <v>0</v>
      </c>
      <c r="AA1379" s="98">
        <f t="shared" si="293"/>
        <v>0</v>
      </c>
      <c r="AB1379" s="98">
        <f t="shared" si="293"/>
        <v>0</v>
      </c>
      <c r="AC1379" s="98">
        <f t="shared" si="293"/>
        <v>0</v>
      </c>
      <c r="AD1379" s="98">
        <f t="shared" si="293"/>
        <v>0</v>
      </c>
      <c r="AE1379" s="98">
        <f t="shared" si="293"/>
        <v>0</v>
      </c>
      <c r="AF1379" s="100" t="s">
        <v>1644</v>
      </c>
      <c r="AG1379" s="100" t="s">
        <v>1644</v>
      </c>
      <c r="AH1379" s="100" t="s">
        <v>1644</v>
      </c>
      <c r="AI1379" s="95"/>
      <c r="AJ1379" s="97"/>
      <c r="AK1379" s="103"/>
      <c r="AL1379" s="95"/>
      <c r="AM1379" s="95"/>
      <c r="AR1379" s="351"/>
      <c r="AS1379" s="149"/>
      <c r="BF1379" s="349"/>
      <c r="BR1379" s="349"/>
      <c r="BU1379" s="149"/>
      <c r="CH1379" s="349"/>
      <c r="CK1379" s="349"/>
      <c r="EJ1379" s="149"/>
      <c r="EL1379" s="149"/>
      <c r="EU1379" s="349"/>
      <c r="FI1379" s="149"/>
      <c r="FL1379" s="352"/>
      <c r="FM1379" s="149"/>
      <c r="FV1379" s="349"/>
      <c r="GN1379" s="353"/>
      <c r="GX1379" s="349"/>
      <c r="GZ1379" s="149"/>
      <c r="HB1379" s="349"/>
      <c r="HO1379" s="350" t="s">
        <v>1646</v>
      </c>
      <c r="HP1379" s="350">
        <v>44890.35</v>
      </c>
    </row>
    <row r="1380" spans="1:224" s="349" customFormat="1" ht="76.5" customHeight="1" x14ac:dyDescent="0.25">
      <c r="B1380" s="104">
        <v>2</v>
      </c>
      <c r="C1380" s="91" t="s">
        <v>1674</v>
      </c>
      <c r="D1380" s="106">
        <f t="shared" si="292"/>
        <v>2643881</v>
      </c>
      <c r="E1380" s="105">
        <v>0</v>
      </c>
      <c r="F1380" s="106">
        <v>0</v>
      </c>
      <c r="G1380" s="106">
        <v>0</v>
      </c>
      <c r="H1380" s="106">
        <v>0</v>
      </c>
      <c r="I1380" s="106">
        <v>0</v>
      </c>
      <c r="J1380" s="106">
        <v>0</v>
      </c>
      <c r="K1380" s="99">
        <v>0</v>
      </c>
      <c r="L1380" s="106">
        <v>0</v>
      </c>
      <c r="M1380" s="354">
        <v>720</v>
      </c>
      <c r="N1380" s="354">
        <v>2643881</v>
      </c>
      <c r="O1380" s="106">
        <v>0</v>
      </c>
      <c r="P1380" s="106">
        <v>0</v>
      </c>
      <c r="Q1380" s="106">
        <v>0</v>
      </c>
      <c r="R1380" s="106">
        <v>0</v>
      </c>
      <c r="S1380" s="106">
        <v>0</v>
      </c>
      <c r="T1380" s="106">
        <v>0</v>
      </c>
      <c r="U1380" s="106">
        <v>0</v>
      </c>
      <c r="V1380" s="106">
        <v>0</v>
      </c>
      <c r="W1380" s="106">
        <v>0</v>
      </c>
      <c r="X1380" s="106">
        <v>0</v>
      </c>
      <c r="Y1380" s="106">
        <v>0</v>
      </c>
      <c r="Z1380" s="106">
        <v>0</v>
      </c>
      <c r="AA1380" s="106">
        <v>0</v>
      </c>
      <c r="AB1380" s="106">
        <v>0</v>
      </c>
      <c r="AC1380" s="106">
        <v>0</v>
      </c>
      <c r="AD1380" s="106">
        <v>0</v>
      </c>
      <c r="AE1380" s="106">
        <v>0</v>
      </c>
      <c r="AF1380" s="201" t="s">
        <v>268</v>
      </c>
      <c r="AG1380" s="201">
        <v>2020</v>
      </c>
      <c r="AH1380" s="201" t="s">
        <v>268</v>
      </c>
      <c r="AI1380" s="95"/>
      <c r="AJ1380" s="95"/>
      <c r="AK1380" s="103"/>
      <c r="AL1380" s="95"/>
      <c r="AM1380" s="95"/>
      <c r="AR1380" s="106"/>
      <c r="AS1380" s="149"/>
      <c r="BU1380" s="149"/>
      <c r="EJ1380" s="149"/>
      <c r="EL1380" s="149"/>
      <c r="FI1380" s="149"/>
      <c r="FL1380" s="149"/>
      <c r="FM1380" s="149"/>
      <c r="GN1380" s="353"/>
      <c r="GZ1380" s="149"/>
      <c r="HO1380" s="349" t="s">
        <v>1647</v>
      </c>
      <c r="HP1380" s="349">
        <v>52429.26</v>
      </c>
    </row>
    <row r="1381" spans="1:224" s="350" customFormat="1" ht="76.5" x14ac:dyDescent="0.25">
      <c r="B1381" s="102" t="s">
        <v>878</v>
      </c>
      <c r="C1381" s="23"/>
      <c r="D1381" s="106">
        <f t="shared" si="292"/>
        <v>2554206.3299999996</v>
      </c>
      <c r="E1381" s="98">
        <f t="shared" ref="E1381:AE1381" si="294">SUM(E1382:E1382)</f>
        <v>0</v>
      </c>
      <c r="F1381" s="98">
        <f t="shared" si="294"/>
        <v>0</v>
      </c>
      <c r="G1381" s="98">
        <f t="shared" si="294"/>
        <v>0</v>
      </c>
      <c r="H1381" s="98">
        <f t="shared" si="294"/>
        <v>0</v>
      </c>
      <c r="I1381" s="98">
        <f t="shared" si="294"/>
        <v>0</v>
      </c>
      <c r="J1381" s="98">
        <f t="shared" si="294"/>
        <v>0</v>
      </c>
      <c r="K1381" s="99">
        <f t="shared" si="294"/>
        <v>0</v>
      </c>
      <c r="L1381" s="98">
        <f t="shared" si="294"/>
        <v>0</v>
      </c>
      <c r="M1381" s="98">
        <f t="shared" si="294"/>
        <v>807.3</v>
      </c>
      <c r="N1381" s="98">
        <f t="shared" si="294"/>
        <v>2537837.2799999998</v>
      </c>
      <c r="O1381" s="98">
        <f t="shared" si="294"/>
        <v>0</v>
      </c>
      <c r="P1381" s="98">
        <f t="shared" si="294"/>
        <v>0</v>
      </c>
      <c r="Q1381" s="98">
        <f t="shared" si="294"/>
        <v>0</v>
      </c>
      <c r="R1381" s="98">
        <f t="shared" si="294"/>
        <v>0</v>
      </c>
      <c r="S1381" s="98">
        <f t="shared" si="294"/>
        <v>0</v>
      </c>
      <c r="T1381" s="98">
        <f t="shared" si="294"/>
        <v>0</v>
      </c>
      <c r="U1381" s="98">
        <f t="shared" si="294"/>
        <v>0</v>
      </c>
      <c r="V1381" s="98">
        <f t="shared" si="294"/>
        <v>0</v>
      </c>
      <c r="W1381" s="98">
        <f t="shared" si="294"/>
        <v>0</v>
      </c>
      <c r="X1381" s="98">
        <f t="shared" si="294"/>
        <v>0</v>
      </c>
      <c r="Y1381" s="98">
        <f t="shared" si="294"/>
        <v>0</v>
      </c>
      <c r="Z1381" s="98">
        <f t="shared" si="294"/>
        <v>0</v>
      </c>
      <c r="AA1381" s="98">
        <f t="shared" si="294"/>
        <v>0</v>
      </c>
      <c r="AB1381" s="98">
        <f t="shared" si="294"/>
        <v>0</v>
      </c>
      <c r="AC1381" s="106">
        <f t="shared" si="294"/>
        <v>16369.05</v>
      </c>
      <c r="AD1381" s="98">
        <f t="shared" si="294"/>
        <v>0</v>
      </c>
      <c r="AE1381" s="98">
        <f t="shared" si="294"/>
        <v>0</v>
      </c>
      <c r="AF1381" s="100" t="s">
        <v>1644</v>
      </c>
      <c r="AG1381" s="100" t="s">
        <v>1644</v>
      </c>
      <c r="AH1381" s="100" t="s">
        <v>1644</v>
      </c>
      <c r="AI1381" s="95"/>
      <c r="AJ1381" s="97"/>
      <c r="AK1381" s="103"/>
      <c r="AL1381" s="95"/>
      <c r="AM1381" s="95"/>
      <c r="AR1381" s="351"/>
      <c r="AS1381" s="149"/>
      <c r="BF1381" s="349"/>
      <c r="BR1381" s="349"/>
      <c r="BU1381" s="149"/>
      <c r="CH1381" s="349"/>
      <c r="CK1381" s="349"/>
      <c r="EJ1381" s="149"/>
      <c r="EL1381" s="149"/>
      <c r="EU1381" s="349"/>
      <c r="FI1381" s="149"/>
      <c r="FL1381" s="352"/>
      <c r="FM1381" s="149"/>
      <c r="FV1381" s="349"/>
      <c r="GN1381" s="353"/>
      <c r="GX1381" s="349"/>
      <c r="GZ1381" s="149"/>
      <c r="HB1381" s="349"/>
      <c r="HO1381" s="350" t="s">
        <v>1646</v>
      </c>
      <c r="HP1381" s="350">
        <v>44890.35</v>
      </c>
    </row>
    <row r="1382" spans="1:224" s="349" customFormat="1" ht="76.5" customHeight="1" x14ac:dyDescent="0.25">
      <c r="B1382" s="104">
        <v>3</v>
      </c>
      <c r="C1382" s="91" t="s">
        <v>3</v>
      </c>
      <c r="D1382" s="106">
        <f t="shared" si="292"/>
        <v>2554206.3299999996</v>
      </c>
      <c r="E1382" s="105">
        <v>0</v>
      </c>
      <c r="F1382" s="106">
        <v>0</v>
      </c>
      <c r="G1382" s="106">
        <v>0</v>
      </c>
      <c r="H1382" s="106">
        <v>0</v>
      </c>
      <c r="I1382" s="106">
        <v>0</v>
      </c>
      <c r="J1382" s="106">
        <v>0</v>
      </c>
      <c r="K1382" s="99">
        <v>0</v>
      </c>
      <c r="L1382" s="106">
        <v>0</v>
      </c>
      <c r="M1382" s="354">
        <v>807.3</v>
      </c>
      <c r="N1382" s="354">
        <v>2537837.2799999998</v>
      </c>
      <c r="O1382" s="106">
        <v>0</v>
      </c>
      <c r="P1382" s="106">
        <v>0</v>
      </c>
      <c r="Q1382" s="106">
        <v>0</v>
      </c>
      <c r="R1382" s="106">
        <v>0</v>
      </c>
      <c r="S1382" s="106">
        <v>0</v>
      </c>
      <c r="T1382" s="106">
        <v>0</v>
      </c>
      <c r="U1382" s="106">
        <v>0</v>
      </c>
      <c r="V1382" s="106">
        <v>0</v>
      </c>
      <c r="W1382" s="106">
        <v>0</v>
      </c>
      <c r="X1382" s="106">
        <v>0</v>
      </c>
      <c r="Y1382" s="106">
        <v>0</v>
      </c>
      <c r="Z1382" s="106">
        <v>0</v>
      </c>
      <c r="AA1382" s="106">
        <v>0</v>
      </c>
      <c r="AB1382" s="106">
        <v>0</v>
      </c>
      <c r="AC1382" s="106">
        <v>16369.05</v>
      </c>
      <c r="AD1382" s="106">
        <v>0</v>
      </c>
      <c r="AE1382" s="106">
        <v>0</v>
      </c>
      <c r="AF1382" s="201" t="s">
        <v>268</v>
      </c>
      <c r="AG1382" s="201">
        <v>2020</v>
      </c>
      <c r="AH1382" s="201">
        <v>2020</v>
      </c>
      <c r="AI1382" s="95"/>
      <c r="AJ1382" s="95"/>
      <c r="AK1382" s="103"/>
      <c r="AL1382" s="95"/>
      <c r="AM1382" s="95"/>
      <c r="AR1382" s="106"/>
      <c r="AS1382" s="149"/>
      <c r="BU1382" s="149"/>
      <c r="EJ1382" s="149"/>
      <c r="EL1382" s="149"/>
      <c r="FI1382" s="149"/>
      <c r="FL1382" s="149"/>
      <c r="FM1382" s="149"/>
      <c r="GN1382" s="353"/>
      <c r="GZ1382" s="149"/>
      <c r="HO1382" s="349" t="s">
        <v>1647</v>
      </c>
      <c r="HP1382" s="349">
        <v>52429.26</v>
      </c>
    </row>
    <row r="1383" spans="1:224" s="350" customFormat="1" ht="76.5" x14ac:dyDescent="0.25">
      <c r="B1383" s="212" t="s">
        <v>2423</v>
      </c>
      <c r="C1383" s="213"/>
      <c r="D1383" s="106">
        <f>D1384+D1386+D1388</f>
        <v>9341798</v>
      </c>
      <c r="E1383" s="98">
        <f t="shared" ref="E1383:AE1383" si="295">E1384+E1386+E1388</f>
        <v>0</v>
      </c>
      <c r="F1383" s="98">
        <f t="shared" si="295"/>
        <v>0</v>
      </c>
      <c r="G1383" s="98">
        <f t="shared" si="295"/>
        <v>0</v>
      </c>
      <c r="H1383" s="98">
        <f t="shared" si="295"/>
        <v>0</v>
      </c>
      <c r="I1383" s="98">
        <f t="shared" si="295"/>
        <v>0</v>
      </c>
      <c r="J1383" s="98">
        <f t="shared" si="295"/>
        <v>0</v>
      </c>
      <c r="K1383" s="99">
        <f t="shared" si="295"/>
        <v>0</v>
      </c>
      <c r="L1383" s="98">
        <f t="shared" si="295"/>
        <v>0</v>
      </c>
      <c r="M1383" s="98">
        <f t="shared" si="295"/>
        <v>2225.13</v>
      </c>
      <c r="N1383" s="98">
        <f t="shared" si="295"/>
        <v>9186610</v>
      </c>
      <c r="O1383" s="98">
        <f t="shared" si="295"/>
        <v>0</v>
      </c>
      <c r="P1383" s="98">
        <f t="shared" si="295"/>
        <v>0</v>
      </c>
      <c r="Q1383" s="98">
        <f t="shared" si="295"/>
        <v>0</v>
      </c>
      <c r="R1383" s="98">
        <f t="shared" si="295"/>
        <v>0</v>
      </c>
      <c r="S1383" s="98">
        <f t="shared" si="295"/>
        <v>0</v>
      </c>
      <c r="T1383" s="98">
        <f t="shared" si="295"/>
        <v>0</v>
      </c>
      <c r="U1383" s="98">
        <f t="shared" si="295"/>
        <v>0</v>
      </c>
      <c r="V1383" s="98">
        <f t="shared" si="295"/>
        <v>0</v>
      </c>
      <c r="W1383" s="98">
        <f t="shared" si="295"/>
        <v>0</v>
      </c>
      <c r="X1383" s="98">
        <f t="shared" si="295"/>
        <v>0</v>
      </c>
      <c r="Y1383" s="98">
        <f t="shared" si="295"/>
        <v>0</v>
      </c>
      <c r="Z1383" s="98">
        <f t="shared" si="295"/>
        <v>0</v>
      </c>
      <c r="AA1383" s="98">
        <f t="shared" si="295"/>
        <v>0</v>
      </c>
      <c r="AB1383" s="98">
        <f t="shared" si="295"/>
        <v>0</v>
      </c>
      <c r="AC1383" s="98">
        <f t="shared" si="295"/>
        <v>155188</v>
      </c>
      <c r="AD1383" s="98">
        <f t="shared" si="295"/>
        <v>0</v>
      </c>
      <c r="AE1383" s="98">
        <f t="shared" si="295"/>
        <v>0</v>
      </c>
      <c r="AF1383" s="100" t="s">
        <v>1644</v>
      </c>
      <c r="AG1383" s="100" t="s">
        <v>1644</v>
      </c>
      <c r="AH1383" s="100" t="s">
        <v>1644</v>
      </c>
      <c r="AI1383" s="101"/>
      <c r="AJ1383" s="95"/>
      <c r="AK1383" s="101"/>
      <c r="AL1383" s="101"/>
      <c r="AM1383" s="101"/>
      <c r="HO1383" s="350" t="s">
        <v>1645</v>
      </c>
      <c r="HP1383" s="350">
        <v>53254.36</v>
      </c>
    </row>
    <row r="1384" spans="1:224" s="350" customFormat="1" ht="76.5" x14ac:dyDescent="0.25">
      <c r="B1384" s="102" t="s">
        <v>1397</v>
      </c>
      <c r="C1384" s="23"/>
      <c r="D1384" s="106">
        <f>E1384+F1384+G1384+H1384+I1384+J1384+L1384+N1384+P1384+R1384+T1384+U1384+V1384+W1384+X1384+Y1384+Z1384+AA1384+AB1384+AC1384+AD1384+AE1384</f>
        <v>2859178</v>
      </c>
      <c r="E1384" s="98">
        <f t="shared" ref="E1384:AE1388" si="296">SUM(E1385:E1385)</f>
        <v>0</v>
      </c>
      <c r="F1384" s="98">
        <f t="shared" si="296"/>
        <v>0</v>
      </c>
      <c r="G1384" s="98">
        <f t="shared" si="296"/>
        <v>0</v>
      </c>
      <c r="H1384" s="98">
        <f t="shared" si="296"/>
        <v>0</v>
      </c>
      <c r="I1384" s="98">
        <f t="shared" si="296"/>
        <v>0</v>
      </c>
      <c r="J1384" s="98">
        <f t="shared" si="296"/>
        <v>0</v>
      </c>
      <c r="K1384" s="99">
        <f t="shared" si="296"/>
        <v>0</v>
      </c>
      <c r="L1384" s="98">
        <f t="shared" si="296"/>
        <v>0</v>
      </c>
      <c r="M1384" s="98">
        <f t="shared" si="296"/>
        <v>609.15</v>
      </c>
      <c r="N1384" s="98">
        <f t="shared" si="296"/>
        <v>2824636</v>
      </c>
      <c r="O1384" s="98">
        <f t="shared" si="296"/>
        <v>0</v>
      </c>
      <c r="P1384" s="98">
        <f t="shared" si="296"/>
        <v>0</v>
      </c>
      <c r="Q1384" s="98">
        <f t="shared" si="296"/>
        <v>0</v>
      </c>
      <c r="R1384" s="98">
        <f t="shared" si="296"/>
        <v>0</v>
      </c>
      <c r="S1384" s="98">
        <f t="shared" si="296"/>
        <v>0</v>
      </c>
      <c r="T1384" s="98">
        <f t="shared" si="296"/>
        <v>0</v>
      </c>
      <c r="U1384" s="98">
        <f t="shared" si="296"/>
        <v>0</v>
      </c>
      <c r="V1384" s="98">
        <f t="shared" si="296"/>
        <v>0</v>
      </c>
      <c r="W1384" s="98">
        <f t="shared" si="296"/>
        <v>0</v>
      </c>
      <c r="X1384" s="98">
        <f t="shared" si="296"/>
        <v>0</v>
      </c>
      <c r="Y1384" s="98">
        <f t="shared" si="296"/>
        <v>0</v>
      </c>
      <c r="Z1384" s="98">
        <f t="shared" si="296"/>
        <v>0</v>
      </c>
      <c r="AA1384" s="98">
        <f t="shared" si="296"/>
        <v>0</v>
      </c>
      <c r="AB1384" s="98">
        <f t="shared" si="296"/>
        <v>0</v>
      </c>
      <c r="AC1384" s="98">
        <f t="shared" si="296"/>
        <v>34542</v>
      </c>
      <c r="AD1384" s="98">
        <f t="shared" si="296"/>
        <v>0</v>
      </c>
      <c r="AE1384" s="98">
        <f t="shared" si="296"/>
        <v>0</v>
      </c>
      <c r="AF1384" s="100" t="s">
        <v>1644</v>
      </c>
      <c r="AG1384" s="100" t="s">
        <v>1644</v>
      </c>
      <c r="AH1384" s="100" t="s">
        <v>1644</v>
      </c>
      <c r="AI1384" s="95"/>
      <c r="AJ1384" s="97"/>
      <c r="AK1384" s="103"/>
      <c r="AL1384" s="95"/>
      <c r="AM1384" s="95"/>
      <c r="AR1384" s="351"/>
      <c r="AS1384" s="149"/>
      <c r="BF1384" s="349"/>
      <c r="BR1384" s="349"/>
      <c r="BU1384" s="149"/>
      <c r="CH1384" s="349"/>
      <c r="CK1384" s="349"/>
      <c r="EJ1384" s="149"/>
      <c r="EL1384" s="149"/>
      <c r="EU1384" s="349"/>
      <c r="FI1384" s="149"/>
      <c r="FL1384" s="352"/>
      <c r="FM1384" s="149"/>
      <c r="FV1384" s="349"/>
      <c r="GN1384" s="353"/>
      <c r="GX1384" s="349"/>
      <c r="GZ1384" s="149"/>
      <c r="HB1384" s="349"/>
      <c r="HO1384" s="350" t="s">
        <v>1646</v>
      </c>
      <c r="HP1384" s="350">
        <v>44890.35</v>
      </c>
    </row>
    <row r="1385" spans="1:224" s="350" customFormat="1" ht="78" customHeight="1" x14ac:dyDescent="0.25">
      <c r="A1385" s="349"/>
      <c r="B1385" s="104">
        <v>1</v>
      </c>
      <c r="C1385" s="23" t="s">
        <v>2425</v>
      </c>
      <c r="D1385" s="106">
        <f>E1385+F1385+G1385+H1385+I1385+J1385+L1385+N1385+P1385+R1385+T1385+U1385+V1385+W1385+X1385+Y1385+Z1385+AA1385+AB1385+AC1385+AD1385+AE1385</f>
        <v>2859178</v>
      </c>
      <c r="E1385" s="105">
        <v>0</v>
      </c>
      <c r="F1385" s="106">
        <v>0</v>
      </c>
      <c r="G1385" s="106">
        <v>0</v>
      </c>
      <c r="H1385" s="106">
        <v>0</v>
      </c>
      <c r="I1385" s="106">
        <v>0</v>
      </c>
      <c r="J1385" s="106">
        <v>0</v>
      </c>
      <c r="K1385" s="99">
        <v>0</v>
      </c>
      <c r="L1385" s="106">
        <v>0</v>
      </c>
      <c r="M1385" s="106">
        <v>609.15</v>
      </c>
      <c r="N1385" s="106">
        <f>2859178-AC1385</f>
        <v>2824636</v>
      </c>
      <c r="O1385" s="106">
        <v>0</v>
      </c>
      <c r="P1385" s="106">
        <v>0</v>
      </c>
      <c r="Q1385" s="106">
        <v>0</v>
      </c>
      <c r="R1385" s="106">
        <v>0</v>
      </c>
      <c r="S1385" s="106">
        <v>0</v>
      </c>
      <c r="T1385" s="106">
        <v>0</v>
      </c>
      <c r="U1385" s="106">
        <v>0</v>
      </c>
      <c r="V1385" s="106">
        <v>0</v>
      </c>
      <c r="W1385" s="106">
        <v>0</v>
      </c>
      <c r="X1385" s="106">
        <v>0</v>
      </c>
      <c r="Y1385" s="106">
        <v>0</v>
      </c>
      <c r="Z1385" s="106">
        <v>0</v>
      </c>
      <c r="AA1385" s="106">
        <v>0</v>
      </c>
      <c r="AB1385" s="106">
        <v>0</v>
      </c>
      <c r="AC1385" s="106">
        <v>34542</v>
      </c>
      <c r="AD1385" s="106">
        <v>0</v>
      </c>
      <c r="AE1385" s="106">
        <v>0</v>
      </c>
      <c r="AF1385" s="201" t="s">
        <v>268</v>
      </c>
      <c r="AG1385" s="201">
        <v>2021</v>
      </c>
      <c r="AH1385" s="201">
        <v>2021</v>
      </c>
      <c r="AI1385" s="95"/>
      <c r="AJ1385" s="95"/>
      <c r="AK1385" s="103"/>
      <c r="AL1385" s="95"/>
      <c r="AM1385" s="95"/>
      <c r="AR1385" s="351"/>
      <c r="AS1385" s="149"/>
      <c r="BF1385" s="349"/>
      <c r="BR1385" s="349"/>
      <c r="BU1385" s="149"/>
      <c r="CH1385" s="349"/>
      <c r="CK1385" s="349"/>
      <c r="EJ1385" s="149"/>
      <c r="EL1385" s="149"/>
      <c r="EU1385" s="349"/>
      <c r="FI1385" s="149"/>
      <c r="FL1385" s="149"/>
      <c r="FM1385" s="149"/>
      <c r="FV1385" s="349"/>
      <c r="GN1385" s="353"/>
      <c r="GX1385" s="349"/>
      <c r="GZ1385" s="149"/>
      <c r="HO1385" s="350" t="s">
        <v>1647</v>
      </c>
      <c r="HP1385" s="350">
        <v>52429.26</v>
      </c>
    </row>
    <row r="1386" spans="1:224" s="350" customFormat="1" ht="76.5" x14ac:dyDescent="0.25">
      <c r="B1386" s="102" t="s">
        <v>839</v>
      </c>
      <c r="C1386" s="23"/>
      <c r="D1386" s="106">
        <f>E1386+F1386+G1386+H1386+I1386+J1386+L1386+N1386+P1386+R1386+T1386+U1386+V1386+W1386+X1386+Y1386+Z1386+AA1386+AB1386+AC1386+AD1386+AE1386</f>
        <v>3670630</v>
      </c>
      <c r="E1386" s="98">
        <f t="shared" si="296"/>
        <v>0</v>
      </c>
      <c r="F1386" s="98">
        <f t="shared" si="296"/>
        <v>0</v>
      </c>
      <c r="G1386" s="98">
        <f t="shared" si="296"/>
        <v>0</v>
      </c>
      <c r="H1386" s="98">
        <f t="shared" si="296"/>
        <v>0</v>
      </c>
      <c r="I1386" s="98">
        <f t="shared" si="296"/>
        <v>0</v>
      </c>
      <c r="J1386" s="98">
        <f t="shared" si="296"/>
        <v>0</v>
      </c>
      <c r="K1386" s="99">
        <f t="shared" si="296"/>
        <v>0</v>
      </c>
      <c r="L1386" s="98">
        <f t="shared" si="296"/>
        <v>0</v>
      </c>
      <c r="M1386" s="98">
        <f t="shared" si="296"/>
        <v>802.45</v>
      </c>
      <c r="N1386" s="98">
        <f t="shared" si="296"/>
        <v>3607800</v>
      </c>
      <c r="O1386" s="98">
        <f t="shared" si="296"/>
        <v>0</v>
      </c>
      <c r="P1386" s="98">
        <f t="shared" si="296"/>
        <v>0</v>
      </c>
      <c r="Q1386" s="98">
        <f t="shared" si="296"/>
        <v>0</v>
      </c>
      <c r="R1386" s="98">
        <f t="shared" si="296"/>
        <v>0</v>
      </c>
      <c r="S1386" s="98">
        <f t="shared" si="296"/>
        <v>0</v>
      </c>
      <c r="T1386" s="98">
        <f t="shared" si="296"/>
        <v>0</v>
      </c>
      <c r="U1386" s="98">
        <f t="shared" si="296"/>
        <v>0</v>
      </c>
      <c r="V1386" s="98">
        <f t="shared" si="296"/>
        <v>0</v>
      </c>
      <c r="W1386" s="98">
        <f t="shared" si="296"/>
        <v>0</v>
      </c>
      <c r="X1386" s="98">
        <f t="shared" si="296"/>
        <v>0</v>
      </c>
      <c r="Y1386" s="98">
        <f t="shared" si="296"/>
        <v>0</v>
      </c>
      <c r="Z1386" s="98">
        <f t="shared" si="296"/>
        <v>0</v>
      </c>
      <c r="AA1386" s="98">
        <f t="shared" si="296"/>
        <v>0</v>
      </c>
      <c r="AB1386" s="98">
        <f t="shared" si="296"/>
        <v>0</v>
      </c>
      <c r="AC1386" s="98">
        <f t="shared" si="296"/>
        <v>62830</v>
      </c>
      <c r="AD1386" s="98">
        <f t="shared" si="296"/>
        <v>0</v>
      </c>
      <c r="AE1386" s="98">
        <f t="shared" si="296"/>
        <v>0</v>
      </c>
      <c r="AF1386" s="100" t="s">
        <v>1644</v>
      </c>
      <c r="AG1386" s="100" t="s">
        <v>1644</v>
      </c>
      <c r="AH1386" s="100" t="s">
        <v>1644</v>
      </c>
      <c r="AI1386" s="95"/>
      <c r="AJ1386" s="97"/>
      <c r="AK1386" s="103"/>
      <c r="AL1386" s="95"/>
      <c r="AM1386" s="95"/>
      <c r="AR1386" s="351"/>
      <c r="AS1386" s="149"/>
      <c r="BF1386" s="349"/>
      <c r="BR1386" s="349"/>
      <c r="BU1386" s="149"/>
      <c r="CH1386" s="349"/>
      <c r="CK1386" s="349"/>
      <c r="EJ1386" s="149"/>
      <c r="EL1386" s="149"/>
      <c r="EU1386" s="349"/>
      <c r="FI1386" s="149"/>
      <c r="FL1386" s="352"/>
      <c r="FM1386" s="149"/>
      <c r="FV1386" s="349"/>
      <c r="GN1386" s="353"/>
      <c r="GX1386" s="349"/>
      <c r="GZ1386" s="149"/>
      <c r="HB1386" s="349"/>
      <c r="HO1386" s="350" t="s">
        <v>1646</v>
      </c>
      <c r="HP1386" s="350">
        <v>44890.35</v>
      </c>
    </row>
    <row r="1387" spans="1:224" s="350" customFormat="1" ht="78" customHeight="1" x14ac:dyDescent="0.25">
      <c r="A1387" s="349"/>
      <c r="B1387" s="104">
        <v>2</v>
      </c>
      <c r="C1387" s="23" t="s">
        <v>2430</v>
      </c>
      <c r="D1387" s="106">
        <f>E1387+F1387+G1387+H1387+I1387+J1387+L1387+N1387+P1387+R1387+T1387+U1387+V1387+W1387+X1387+Y1387+Z1387+AA1387+AB1387+AC1387+AD1387+AE1387</f>
        <v>3670630</v>
      </c>
      <c r="E1387" s="105">
        <v>0</v>
      </c>
      <c r="F1387" s="106">
        <v>0</v>
      </c>
      <c r="G1387" s="106">
        <v>0</v>
      </c>
      <c r="H1387" s="106">
        <v>0</v>
      </c>
      <c r="I1387" s="106">
        <v>0</v>
      </c>
      <c r="J1387" s="106">
        <v>0</v>
      </c>
      <c r="K1387" s="99">
        <v>0</v>
      </c>
      <c r="L1387" s="106">
        <v>0</v>
      </c>
      <c r="M1387" s="106">
        <v>802.45</v>
      </c>
      <c r="N1387" s="106">
        <v>3607800</v>
      </c>
      <c r="O1387" s="106">
        <v>0</v>
      </c>
      <c r="P1387" s="106">
        <v>0</v>
      </c>
      <c r="Q1387" s="106">
        <v>0</v>
      </c>
      <c r="R1387" s="106">
        <v>0</v>
      </c>
      <c r="S1387" s="106">
        <v>0</v>
      </c>
      <c r="T1387" s="106">
        <v>0</v>
      </c>
      <c r="U1387" s="106">
        <v>0</v>
      </c>
      <c r="V1387" s="106">
        <v>0</v>
      </c>
      <c r="W1387" s="106">
        <v>0</v>
      </c>
      <c r="X1387" s="106">
        <v>0</v>
      </c>
      <c r="Y1387" s="106">
        <v>0</v>
      </c>
      <c r="Z1387" s="106">
        <v>0</v>
      </c>
      <c r="AA1387" s="106">
        <v>0</v>
      </c>
      <c r="AB1387" s="106">
        <v>0</v>
      </c>
      <c r="AC1387" s="106">
        <v>62830</v>
      </c>
      <c r="AD1387" s="106">
        <v>0</v>
      </c>
      <c r="AE1387" s="106">
        <v>0</v>
      </c>
      <c r="AF1387" s="201" t="s">
        <v>268</v>
      </c>
      <c r="AG1387" s="201">
        <v>2021</v>
      </c>
      <c r="AH1387" s="201">
        <v>2021</v>
      </c>
      <c r="AI1387" s="95"/>
      <c r="AJ1387" s="95"/>
      <c r="AK1387" s="103"/>
      <c r="AL1387" s="95"/>
      <c r="AM1387" s="95"/>
      <c r="AR1387" s="351"/>
      <c r="AS1387" s="149"/>
      <c r="BF1387" s="349"/>
      <c r="BR1387" s="349"/>
      <c r="BU1387" s="149"/>
      <c r="CH1387" s="349"/>
      <c r="CK1387" s="349"/>
      <c r="EJ1387" s="149"/>
      <c r="EL1387" s="149"/>
      <c r="EU1387" s="349"/>
      <c r="FI1387" s="149"/>
      <c r="FL1387" s="149"/>
      <c r="FM1387" s="149"/>
      <c r="FV1387" s="349"/>
      <c r="GN1387" s="353"/>
      <c r="GX1387" s="349"/>
      <c r="GZ1387" s="149"/>
      <c r="HO1387" s="350" t="s">
        <v>1647</v>
      </c>
      <c r="HP1387" s="350">
        <v>52429.26</v>
      </c>
    </row>
    <row r="1388" spans="1:224" s="350" customFormat="1" ht="76.5" x14ac:dyDescent="0.25">
      <c r="B1388" s="102" t="s">
        <v>820</v>
      </c>
      <c r="C1388" s="23"/>
      <c r="D1388" s="106">
        <f>E1388+F1388+G1388+H1388+I1388+J1388+L1388+N1388+P1388+R1388+T1388+U1388+V1388+W1388+X1388+Y1388+Z1388+AA1388+AB1388+AC1388+AD1388+AE1388</f>
        <v>2811990</v>
      </c>
      <c r="E1388" s="98">
        <f t="shared" si="296"/>
        <v>0</v>
      </c>
      <c r="F1388" s="98">
        <f t="shared" si="296"/>
        <v>0</v>
      </c>
      <c r="G1388" s="98">
        <f t="shared" si="296"/>
        <v>0</v>
      </c>
      <c r="H1388" s="98">
        <f t="shared" si="296"/>
        <v>0</v>
      </c>
      <c r="I1388" s="98">
        <f t="shared" si="296"/>
        <v>0</v>
      </c>
      <c r="J1388" s="98">
        <f t="shared" si="296"/>
        <v>0</v>
      </c>
      <c r="K1388" s="99">
        <f t="shared" si="296"/>
        <v>0</v>
      </c>
      <c r="L1388" s="98">
        <f t="shared" si="296"/>
        <v>0</v>
      </c>
      <c r="M1388" s="98">
        <f t="shared" si="296"/>
        <v>813.53</v>
      </c>
      <c r="N1388" s="98">
        <f t="shared" si="296"/>
        <v>2754174</v>
      </c>
      <c r="O1388" s="98">
        <f t="shared" si="296"/>
        <v>0</v>
      </c>
      <c r="P1388" s="98">
        <f t="shared" si="296"/>
        <v>0</v>
      </c>
      <c r="Q1388" s="98">
        <f t="shared" si="296"/>
        <v>0</v>
      </c>
      <c r="R1388" s="98">
        <f t="shared" si="296"/>
        <v>0</v>
      </c>
      <c r="S1388" s="98">
        <f t="shared" si="296"/>
        <v>0</v>
      </c>
      <c r="T1388" s="98">
        <f t="shared" si="296"/>
        <v>0</v>
      </c>
      <c r="U1388" s="98">
        <f t="shared" si="296"/>
        <v>0</v>
      </c>
      <c r="V1388" s="98">
        <f t="shared" si="296"/>
        <v>0</v>
      </c>
      <c r="W1388" s="98">
        <f t="shared" si="296"/>
        <v>0</v>
      </c>
      <c r="X1388" s="98">
        <f t="shared" si="296"/>
        <v>0</v>
      </c>
      <c r="Y1388" s="98">
        <f t="shared" si="296"/>
        <v>0</v>
      </c>
      <c r="Z1388" s="98">
        <f t="shared" si="296"/>
        <v>0</v>
      </c>
      <c r="AA1388" s="98">
        <f t="shared" si="296"/>
        <v>0</v>
      </c>
      <c r="AB1388" s="98">
        <f t="shared" si="296"/>
        <v>0</v>
      </c>
      <c r="AC1388" s="98">
        <f t="shared" si="296"/>
        <v>57816</v>
      </c>
      <c r="AD1388" s="98">
        <f t="shared" si="296"/>
        <v>0</v>
      </c>
      <c r="AE1388" s="98">
        <f t="shared" si="296"/>
        <v>0</v>
      </c>
      <c r="AF1388" s="100" t="s">
        <v>1644</v>
      </c>
      <c r="AG1388" s="100" t="s">
        <v>1644</v>
      </c>
      <c r="AH1388" s="100" t="s">
        <v>1644</v>
      </c>
      <c r="AI1388" s="95"/>
      <c r="AJ1388" s="97"/>
      <c r="AK1388" s="103"/>
      <c r="AL1388" s="95"/>
      <c r="AM1388" s="95"/>
      <c r="AR1388" s="351"/>
      <c r="AS1388" s="149"/>
      <c r="BF1388" s="349"/>
      <c r="BR1388" s="349"/>
      <c r="BU1388" s="149"/>
      <c r="CH1388" s="349"/>
      <c r="CK1388" s="349"/>
      <c r="EJ1388" s="149"/>
      <c r="EL1388" s="149"/>
      <c r="EU1388" s="349"/>
      <c r="FI1388" s="149"/>
      <c r="FL1388" s="352"/>
      <c r="FM1388" s="149"/>
      <c r="FV1388" s="349"/>
      <c r="GN1388" s="353"/>
      <c r="GX1388" s="349"/>
      <c r="GZ1388" s="149"/>
      <c r="HB1388" s="349"/>
      <c r="HO1388" s="350" t="s">
        <v>1646</v>
      </c>
      <c r="HP1388" s="350">
        <v>44890.35</v>
      </c>
    </row>
    <row r="1389" spans="1:224" s="350" customFormat="1" ht="78" customHeight="1" x14ac:dyDescent="0.25">
      <c r="A1389" s="349"/>
      <c r="B1389" s="104">
        <v>3</v>
      </c>
      <c r="C1389" s="23" t="s">
        <v>2431</v>
      </c>
      <c r="D1389" s="106">
        <v>2811990</v>
      </c>
      <c r="E1389" s="105">
        <v>0</v>
      </c>
      <c r="F1389" s="106">
        <v>0</v>
      </c>
      <c r="G1389" s="106">
        <v>0</v>
      </c>
      <c r="H1389" s="106">
        <v>0</v>
      </c>
      <c r="I1389" s="106">
        <v>0</v>
      </c>
      <c r="J1389" s="106">
        <v>0</v>
      </c>
      <c r="K1389" s="99">
        <v>0</v>
      </c>
      <c r="L1389" s="106">
        <v>0</v>
      </c>
      <c r="M1389" s="106">
        <v>813.53</v>
      </c>
      <c r="N1389" s="106">
        <f>D1389-AC1389</f>
        <v>2754174</v>
      </c>
      <c r="O1389" s="106">
        <v>0</v>
      </c>
      <c r="P1389" s="106">
        <v>0</v>
      </c>
      <c r="Q1389" s="106">
        <v>0</v>
      </c>
      <c r="R1389" s="106">
        <v>0</v>
      </c>
      <c r="S1389" s="106">
        <v>0</v>
      </c>
      <c r="T1389" s="106">
        <v>0</v>
      </c>
      <c r="U1389" s="106">
        <v>0</v>
      </c>
      <c r="V1389" s="106">
        <v>0</v>
      </c>
      <c r="W1389" s="106">
        <v>0</v>
      </c>
      <c r="X1389" s="106">
        <v>0</v>
      </c>
      <c r="Y1389" s="106">
        <v>0</v>
      </c>
      <c r="Z1389" s="106">
        <v>0</v>
      </c>
      <c r="AA1389" s="106">
        <v>0</v>
      </c>
      <c r="AB1389" s="106">
        <v>0</v>
      </c>
      <c r="AC1389" s="106">
        <v>57816</v>
      </c>
      <c r="AD1389" s="106">
        <v>0</v>
      </c>
      <c r="AE1389" s="106">
        <v>0</v>
      </c>
      <c r="AF1389" s="201" t="s">
        <v>268</v>
      </c>
      <c r="AG1389" s="201">
        <v>2021</v>
      </c>
      <c r="AH1389" s="201">
        <v>2021</v>
      </c>
      <c r="AI1389" s="95"/>
      <c r="AJ1389" s="95"/>
      <c r="AK1389" s="103"/>
      <c r="AL1389" s="95"/>
      <c r="AM1389" s="95"/>
      <c r="AR1389" s="351"/>
      <c r="AS1389" s="149"/>
      <c r="BF1389" s="349"/>
      <c r="BR1389" s="349"/>
      <c r="BU1389" s="149"/>
      <c r="CH1389" s="349"/>
      <c r="CK1389" s="349"/>
      <c r="EJ1389" s="149"/>
      <c r="EL1389" s="149"/>
      <c r="EU1389" s="349"/>
      <c r="FI1389" s="149"/>
      <c r="FL1389" s="149"/>
      <c r="FM1389" s="149"/>
      <c r="FV1389" s="349"/>
      <c r="GN1389" s="353"/>
      <c r="GX1389" s="349"/>
      <c r="GZ1389" s="149"/>
      <c r="HO1389" s="350" t="s">
        <v>1647</v>
      </c>
      <c r="HP1389" s="350">
        <v>52429.26</v>
      </c>
    </row>
    <row r="1390" spans="1:224" s="348" customFormat="1" ht="189" customHeight="1" x14ac:dyDescent="0.3">
      <c r="B1390" s="209" t="s">
        <v>1892</v>
      </c>
      <c r="C1390" s="210"/>
      <c r="D1390" s="210"/>
      <c r="E1390" s="210"/>
      <c r="F1390" s="210"/>
      <c r="G1390" s="210"/>
      <c r="H1390" s="210"/>
      <c r="I1390" s="210"/>
      <c r="J1390" s="210"/>
      <c r="K1390" s="210"/>
      <c r="L1390" s="210"/>
      <c r="M1390" s="210"/>
      <c r="N1390" s="210"/>
      <c r="O1390" s="210"/>
      <c r="P1390" s="210"/>
      <c r="Q1390" s="210"/>
      <c r="R1390" s="210"/>
      <c r="S1390" s="210"/>
      <c r="T1390" s="210"/>
      <c r="U1390" s="210"/>
      <c r="V1390" s="210"/>
      <c r="W1390" s="210"/>
      <c r="X1390" s="210"/>
      <c r="Y1390" s="210"/>
      <c r="Z1390" s="210"/>
      <c r="AA1390" s="210"/>
      <c r="AB1390" s="210"/>
      <c r="AC1390" s="210"/>
      <c r="AD1390" s="210"/>
      <c r="AE1390" s="210"/>
      <c r="AF1390" s="210"/>
      <c r="AG1390" s="210"/>
      <c r="AH1390" s="211"/>
      <c r="AI1390" s="96"/>
      <c r="AJ1390" s="97"/>
      <c r="AK1390" s="96"/>
      <c r="AL1390" s="96"/>
      <c r="AM1390" s="96"/>
      <c r="HO1390" s="348" t="s">
        <v>1643</v>
      </c>
      <c r="HP1390" s="348">
        <v>47587.5</v>
      </c>
    </row>
    <row r="1391" spans="1:224" s="350" customFormat="1" ht="76.5" x14ac:dyDescent="0.25">
      <c r="B1391" s="212" t="s">
        <v>2429</v>
      </c>
      <c r="C1391" s="213"/>
      <c r="D1391" s="106">
        <f>D1392+D1401</f>
        <v>37797766.310000002</v>
      </c>
      <c r="E1391" s="98">
        <f t="shared" ref="E1391:AE1391" si="297">E1392+E1401</f>
        <v>0</v>
      </c>
      <c r="F1391" s="98">
        <f t="shared" si="297"/>
        <v>0</v>
      </c>
      <c r="G1391" s="98">
        <f t="shared" si="297"/>
        <v>994637</v>
      </c>
      <c r="H1391" s="98">
        <f t="shared" si="297"/>
        <v>0</v>
      </c>
      <c r="I1391" s="98">
        <f t="shared" si="297"/>
        <v>1224682</v>
      </c>
      <c r="J1391" s="98">
        <f t="shared" si="297"/>
        <v>0</v>
      </c>
      <c r="K1391" s="99">
        <f t="shared" si="297"/>
        <v>0</v>
      </c>
      <c r="L1391" s="98">
        <f t="shared" si="297"/>
        <v>0</v>
      </c>
      <c r="M1391" s="98">
        <f t="shared" si="297"/>
        <v>7811.17</v>
      </c>
      <c r="N1391" s="98">
        <f t="shared" si="297"/>
        <v>35171610</v>
      </c>
      <c r="O1391" s="98">
        <f t="shared" si="297"/>
        <v>0</v>
      </c>
      <c r="P1391" s="98">
        <f t="shared" si="297"/>
        <v>0</v>
      </c>
      <c r="Q1391" s="98">
        <f t="shared" si="297"/>
        <v>0</v>
      </c>
      <c r="R1391" s="98">
        <f t="shared" si="297"/>
        <v>0</v>
      </c>
      <c r="S1391" s="98">
        <f t="shared" si="297"/>
        <v>0</v>
      </c>
      <c r="T1391" s="98">
        <f t="shared" si="297"/>
        <v>0</v>
      </c>
      <c r="U1391" s="98">
        <f t="shared" si="297"/>
        <v>0</v>
      </c>
      <c r="V1391" s="98">
        <f t="shared" si="297"/>
        <v>0</v>
      </c>
      <c r="W1391" s="98">
        <f t="shared" si="297"/>
        <v>0</v>
      </c>
      <c r="X1391" s="98">
        <f t="shared" si="297"/>
        <v>0</v>
      </c>
      <c r="Y1391" s="98">
        <f t="shared" si="297"/>
        <v>0</v>
      </c>
      <c r="Z1391" s="98">
        <f t="shared" si="297"/>
        <v>0</v>
      </c>
      <c r="AA1391" s="98">
        <f t="shared" si="297"/>
        <v>0</v>
      </c>
      <c r="AB1391" s="98">
        <f t="shared" si="297"/>
        <v>0</v>
      </c>
      <c r="AC1391" s="98">
        <f t="shared" si="297"/>
        <v>406837.31</v>
      </c>
      <c r="AD1391" s="98">
        <f t="shared" si="297"/>
        <v>0</v>
      </c>
      <c r="AE1391" s="98">
        <f t="shared" si="297"/>
        <v>0</v>
      </c>
      <c r="AF1391" s="100" t="s">
        <v>1644</v>
      </c>
      <c r="AG1391" s="100" t="s">
        <v>1644</v>
      </c>
      <c r="AH1391" s="100" t="s">
        <v>1644</v>
      </c>
      <c r="AI1391" s="101"/>
      <c r="AJ1391" s="95"/>
      <c r="AK1391" s="101"/>
      <c r="AL1391" s="101"/>
      <c r="AM1391" s="101"/>
      <c r="HO1391" s="350" t="s">
        <v>1645</v>
      </c>
      <c r="HP1391" s="350">
        <v>53254.36</v>
      </c>
    </row>
    <row r="1392" spans="1:224" s="348" customFormat="1" ht="76.5" x14ac:dyDescent="0.3">
      <c r="B1392" s="212" t="s">
        <v>1649</v>
      </c>
      <c r="C1392" s="213"/>
      <c r="D1392" s="106">
        <f>D1393+D1399+D1397</f>
        <v>17288357.709999997</v>
      </c>
      <c r="E1392" s="98">
        <f t="shared" ref="E1392:AE1392" si="298">E1393+E1399+E1397</f>
        <v>0</v>
      </c>
      <c r="F1392" s="98">
        <f t="shared" si="298"/>
        <v>0</v>
      </c>
      <c r="G1392" s="98">
        <f t="shared" si="298"/>
        <v>994637</v>
      </c>
      <c r="H1392" s="98">
        <f t="shared" si="298"/>
        <v>0</v>
      </c>
      <c r="I1392" s="98">
        <f t="shared" si="298"/>
        <v>1224682</v>
      </c>
      <c r="J1392" s="98">
        <f t="shared" si="298"/>
        <v>0</v>
      </c>
      <c r="K1392" s="99">
        <f t="shared" si="298"/>
        <v>0</v>
      </c>
      <c r="L1392" s="98">
        <f t="shared" si="298"/>
        <v>0</v>
      </c>
      <c r="M1392" s="98">
        <f t="shared" si="298"/>
        <v>4580.72</v>
      </c>
      <c r="N1392" s="98">
        <f t="shared" si="298"/>
        <v>14965296.1</v>
      </c>
      <c r="O1392" s="98">
        <f t="shared" si="298"/>
        <v>0</v>
      </c>
      <c r="P1392" s="98">
        <f t="shared" si="298"/>
        <v>0</v>
      </c>
      <c r="Q1392" s="98">
        <f t="shared" si="298"/>
        <v>0</v>
      </c>
      <c r="R1392" s="98">
        <f t="shared" si="298"/>
        <v>0</v>
      </c>
      <c r="S1392" s="98">
        <f t="shared" si="298"/>
        <v>0</v>
      </c>
      <c r="T1392" s="98">
        <f t="shared" si="298"/>
        <v>0</v>
      </c>
      <c r="U1392" s="98">
        <f t="shared" si="298"/>
        <v>0</v>
      </c>
      <c r="V1392" s="98">
        <f t="shared" si="298"/>
        <v>0</v>
      </c>
      <c r="W1392" s="98">
        <f t="shared" si="298"/>
        <v>0</v>
      </c>
      <c r="X1392" s="98">
        <f t="shared" si="298"/>
        <v>0</v>
      </c>
      <c r="Y1392" s="98">
        <f t="shared" si="298"/>
        <v>0</v>
      </c>
      <c r="Z1392" s="98">
        <f t="shared" si="298"/>
        <v>0</v>
      </c>
      <c r="AA1392" s="98">
        <f t="shared" si="298"/>
        <v>0</v>
      </c>
      <c r="AB1392" s="98">
        <f t="shared" si="298"/>
        <v>0</v>
      </c>
      <c r="AC1392" s="106">
        <f t="shared" si="298"/>
        <v>103742.61</v>
      </c>
      <c r="AD1392" s="98">
        <f t="shared" si="298"/>
        <v>0</v>
      </c>
      <c r="AE1392" s="98">
        <f t="shared" si="298"/>
        <v>0</v>
      </c>
      <c r="AF1392" s="100" t="s">
        <v>1644</v>
      </c>
      <c r="AG1392" s="100" t="s">
        <v>1644</v>
      </c>
      <c r="AH1392" s="100" t="s">
        <v>1644</v>
      </c>
      <c r="AI1392" s="101"/>
      <c r="AJ1392" s="95"/>
      <c r="AK1392" s="101"/>
      <c r="AL1392" s="101"/>
      <c r="AM1392" s="101"/>
      <c r="HO1392" s="348" t="s">
        <v>1645</v>
      </c>
      <c r="HP1392" s="348">
        <v>53254.36</v>
      </c>
    </row>
    <row r="1393" spans="1:224" s="348" customFormat="1" ht="76.5" x14ac:dyDescent="0.85">
      <c r="B1393" s="102" t="s">
        <v>830</v>
      </c>
      <c r="C1393" s="23"/>
      <c r="D1393" s="106">
        <f>SUM(D1394:D1396)</f>
        <v>13535253.609999999</v>
      </c>
      <c r="E1393" s="98">
        <f t="shared" ref="E1393:AE1393" si="299">SUM(E1394:E1396)</f>
        <v>0</v>
      </c>
      <c r="F1393" s="98">
        <f t="shared" si="299"/>
        <v>0</v>
      </c>
      <c r="G1393" s="98">
        <f t="shared" si="299"/>
        <v>994637</v>
      </c>
      <c r="H1393" s="98">
        <f t="shared" si="299"/>
        <v>0</v>
      </c>
      <c r="I1393" s="98">
        <f t="shared" si="299"/>
        <v>1224682</v>
      </c>
      <c r="J1393" s="98">
        <f t="shared" si="299"/>
        <v>0</v>
      </c>
      <c r="K1393" s="99">
        <f t="shared" si="299"/>
        <v>0</v>
      </c>
      <c r="L1393" s="98">
        <f t="shared" si="299"/>
        <v>0</v>
      </c>
      <c r="M1393" s="98">
        <f t="shared" si="299"/>
        <v>3519.62</v>
      </c>
      <c r="N1393" s="98">
        <f t="shared" si="299"/>
        <v>11212192</v>
      </c>
      <c r="O1393" s="98">
        <f t="shared" si="299"/>
        <v>0</v>
      </c>
      <c r="P1393" s="98">
        <f t="shared" si="299"/>
        <v>0</v>
      </c>
      <c r="Q1393" s="98">
        <f t="shared" si="299"/>
        <v>0</v>
      </c>
      <c r="R1393" s="98">
        <f t="shared" si="299"/>
        <v>0</v>
      </c>
      <c r="S1393" s="98">
        <f t="shared" si="299"/>
        <v>0</v>
      </c>
      <c r="T1393" s="98">
        <f t="shared" si="299"/>
        <v>0</v>
      </c>
      <c r="U1393" s="98">
        <f t="shared" si="299"/>
        <v>0</v>
      </c>
      <c r="V1393" s="98">
        <f t="shared" si="299"/>
        <v>0</v>
      </c>
      <c r="W1393" s="98">
        <f t="shared" si="299"/>
        <v>0</v>
      </c>
      <c r="X1393" s="98">
        <f t="shared" si="299"/>
        <v>0</v>
      </c>
      <c r="Y1393" s="98">
        <f t="shared" si="299"/>
        <v>0</v>
      </c>
      <c r="Z1393" s="98">
        <f t="shared" si="299"/>
        <v>0</v>
      </c>
      <c r="AA1393" s="98">
        <f t="shared" si="299"/>
        <v>0</v>
      </c>
      <c r="AB1393" s="98">
        <f t="shared" si="299"/>
        <v>0</v>
      </c>
      <c r="AC1393" s="106">
        <f t="shared" si="299"/>
        <v>103742.61</v>
      </c>
      <c r="AD1393" s="98">
        <f t="shared" si="299"/>
        <v>0</v>
      </c>
      <c r="AE1393" s="98">
        <f t="shared" si="299"/>
        <v>0</v>
      </c>
      <c r="AF1393" s="100" t="s">
        <v>1644</v>
      </c>
      <c r="AG1393" s="100" t="s">
        <v>1644</v>
      </c>
      <c r="AH1393" s="100" t="s">
        <v>1644</v>
      </c>
      <c r="AI1393" s="95"/>
      <c r="AJ1393" s="97"/>
      <c r="AK1393" s="103"/>
      <c r="AL1393" s="95"/>
      <c r="AM1393" s="95"/>
      <c r="AR1393" s="351"/>
      <c r="AS1393" s="149"/>
      <c r="BF1393" s="349"/>
      <c r="BR1393" s="349"/>
      <c r="BU1393" s="149"/>
      <c r="CH1393" s="349"/>
      <c r="CK1393" s="349"/>
      <c r="EJ1393" s="61"/>
      <c r="EL1393" s="149"/>
      <c r="EU1393" s="349"/>
      <c r="FI1393" s="61"/>
      <c r="FL1393" s="352"/>
      <c r="FM1393" s="149"/>
      <c r="FV1393" s="349"/>
      <c r="GN1393" s="353"/>
      <c r="GX1393" s="349"/>
      <c r="GZ1393" s="149"/>
      <c r="HB1393" s="349"/>
      <c r="HO1393" s="348" t="s">
        <v>1646</v>
      </c>
      <c r="HP1393" s="348">
        <v>44890.35</v>
      </c>
    </row>
    <row r="1394" spans="1:224" s="348" customFormat="1" ht="63" x14ac:dyDescent="0.85">
      <c r="A1394" s="349"/>
      <c r="B1394" s="104">
        <v>1</v>
      </c>
      <c r="C1394" s="23" t="s">
        <v>1859</v>
      </c>
      <c r="D1394" s="106">
        <f>E1394+F1394+G1394+H1394+I1394+J1394+L1394+N1394+P1394+R1394+T1394+U1394+V1394+W1394+X1394+Y1394+Z1394+AA1394+AB1394+AC1394+AD1394+AE1394</f>
        <v>4228150.99</v>
      </c>
      <c r="E1394" s="105">
        <v>0</v>
      </c>
      <c r="F1394" s="106">
        <v>0</v>
      </c>
      <c r="G1394" s="106">
        <v>0</v>
      </c>
      <c r="H1394" s="106">
        <v>0</v>
      </c>
      <c r="I1394" s="106">
        <v>0</v>
      </c>
      <c r="J1394" s="106">
        <v>0</v>
      </c>
      <c r="K1394" s="99">
        <v>0</v>
      </c>
      <c r="L1394" s="106">
        <v>0</v>
      </c>
      <c r="M1394" s="106">
        <v>1122.67</v>
      </c>
      <c r="N1394" s="106">
        <v>4165666</v>
      </c>
      <c r="O1394" s="106">
        <v>0</v>
      </c>
      <c r="P1394" s="106">
        <v>0</v>
      </c>
      <c r="Q1394" s="106">
        <v>0</v>
      </c>
      <c r="R1394" s="106">
        <v>0</v>
      </c>
      <c r="S1394" s="106">
        <v>0</v>
      </c>
      <c r="T1394" s="106">
        <v>0</v>
      </c>
      <c r="U1394" s="106">
        <v>0</v>
      </c>
      <c r="V1394" s="106">
        <v>0</v>
      </c>
      <c r="W1394" s="106">
        <v>0</v>
      </c>
      <c r="X1394" s="106">
        <v>0</v>
      </c>
      <c r="Y1394" s="106">
        <v>0</v>
      </c>
      <c r="Z1394" s="106">
        <v>0</v>
      </c>
      <c r="AA1394" s="106">
        <v>0</v>
      </c>
      <c r="AB1394" s="106">
        <v>0</v>
      </c>
      <c r="AC1394" s="106">
        <v>62484.99</v>
      </c>
      <c r="AD1394" s="106">
        <v>0</v>
      </c>
      <c r="AE1394" s="106">
        <v>0</v>
      </c>
      <c r="AF1394" s="201" t="s">
        <v>268</v>
      </c>
      <c r="AG1394" s="201">
        <v>2020</v>
      </c>
      <c r="AH1394" s="201">
        <v>2020</v>
      </c>
      <c r="AI1394" s="95"/>
      <c r="AJ1394" s="95"/>
      <c r="AK1394" s="103"/>
      <c r="AL1394" s="95"/>
      <c r="AM1394" s="95"/>
      <c r="AR1394" s="351"/>
      <c r="AS1394" s="149"/>
      <c r="BF1394" s="349"/>
      <c r="BR1394" s="349"/>
      <c r="BU1394" s="149"/>
      <c r="CH1394" s="349"/>
      <c r="CK1394" s="349"/>
      <c r="EJ1394" s="61"/>
      <c r="EL1394" s="149"/>
      <c r="EU1394" s="349"/>
      <c r="FI1394" s="61"/>
      <c r="FL1394" s="149"/>
      <c r="FM1394" s="149"/>
      <c r="FV1394" s="349"/>
      <c r="GN1394" s="353"/>
      <c r="GX1394" s="349"/>
      <c r="GZ1394" s="149"/>
      <c r="HO1394" s="348" t="s">
        <v>1647</v>
      </c>
      <c r="HP1394" s="348">
        <v>52429.26</v>
      </c>
    </row>
    <row r="1395" spans="1:224" s="348" customFormat="1" ht="63" x14ac:dyDescent="0.85">
      <c r="A1395" s="349"/>
      <c r="B1395" s="104">
        <v>2</v>
      </c>
      <c r="C1395" s="23" t="s">
        <v>1862</v>
      </c>
      <c r="D1395" s="106">
        <f>E1395+F1395+G1395+H1395+I1395+J1395+L1395+N1395+P1395+R1395+T1395+U1395+V1395+W1395+X1395+Y1395+Z1395+AA1395+AB1395+AC1395+AD1395+AE1395</f>
        <v>2791765.62</v>
      </c>
      <c r="E1395" s="105">
        <v>0</v>
      </c>
      <c r="F1395" s="106">
        <v>0</v>
      </c>
      <c r="G1395" s="106">
        <v>0</v>
      </c>
      <c r="H1395" s="106">
        <v>0</v>
      </c>
      <c r="I1395" s="106">
        <v>0</v>
      </c>
      <c r="J1395" s="106">
        <v>0</v>
      </c>
      <c r="K1395" s="99">
        <v>0</v>
      </c>
      <c r="L1395" s="106">
        <v>0</v>
      </c>
      <c r="M1395" s="106">
        <v>847.2</v>
      </c>
      <c r="N1395" s="106">
        <v>2750508</v>
      </c>
      <c r="O1395" s="106">
        <v>0</v>
      </c>
      <c r="P1395" s="106">
        <v>0</v>
      </c>
      <c r="Q1395" s="106">
        <v>0</v>
      </c>
      <c r="R1395" s="106">
        <v>0</v>
      </c>
      <c r="S1395" s="106">
        <v>0</v>
      </c>
      <c r="T1395" s="106">
        <v>0</v>
      </c>
      <c r="U1395" s="106">
        <v>0</v>
      </c>
      <c r="V1395" s="106">
        <v>0</v>
      </c>
      <c r="W1395" s="106">
        <v>0</v>
      </c>
      <c r="X1395" s="106">
        <v>0</v>
      </c>
      <c r="Y1395" s="106">
        <v>0</v>
      </c>
      <c r="Z1395" s="106">
        <v>0</v>
      </c>
      <c r="AA1395" s="106">
        <v>0</v>
      </c>
      <c r="AB1395" s="106">
        <v>0</v>
      </c>
      <c r="AC1395" s="106">
        <v>41257.620000000003</v>
      </c>
      <c r="AD1395" s="106">
        <v>0</v>
      </c>
      <c r="AE1395" s="106">
        <v>0</v>
      </c>
      <c r="AF1395" s="201" t="s">
        <v>268</v>
      </c>
      <c r="AG1395" s="201">
        <v>2020</v>
      </c>
      <c r="AH1395" s="201">
        <v>2020</v>
      </c>
      <c r="AI1395" s="95"/>
      <c r="AJ1395" s="95"/>
      <c r="AK1395" s="103"/>
      <c r="AL1395" s="95"/>
      <c r="AM1395" s="95"/>
      <c r="AR1395" s="351"/>
      <c r="AS1395" s="149"/>
      <c r="BF1395" s="349"/>
      <c r="BR1395" s="349"/>
      <c r="BU1395" s="149"/>
      <c r="CH1395" s="349"/>
      <c r="CK1395" s="349"/>
      <c r="EJ1395" s="61"/>
      <c r="EL1395" s="149"/>
      <c r="EU1395" s="349"/>
      <c r="FI1395" s="61"/>
      <c r="FL1395" s="149"/>
      <c r="FM1395" s="149"/>
      <c r="FV1395" s="349"/>
      <c r="GN1395" s="353"/>
      <c r="GX1395" s="349"/>
      <c r="GZ1395" s="149"/>
      <c r="HO1395" s="348" t="s">
        <v>1647</v>
      </c>
      <c r="HP1395" s="348">
        <v>52429.26</v>
      </c>
    </row>
    <row r="1396" spans="1:224" s="348" customFormat="1" ht="63" x14ac:dyDescent="0.85">
      <c r="A1396" s="349"/>
      <c r="B1396" s="104">
        <v>3</v>
      </c>
      <c r="C1396" s="23" t="s">
        <v>1863</v>
      </c>
      <c r="D1396" s="106">
        <f>E1396+F1396+G1396+H1396+I1396+J1396+L1396+N1396+P1396+R1396+T1396+U1396+V1396+W1396+X1396+Y1396+Z1396+AA1396+AB1396+AC1396+AD1396+AE1396</f>
        <v>6515337</v>
      </c>
      <c r="E1396" s="105">
        <v>0</v>
      </c>
      <c r="F1396" s="106">
        <v>0</v>
      </c>
      <c r="G1396" s="106">
        <v>994637</v>
      </c>
      <c r="H1396" s="106">
        <v>0</v>
      </c>
      <c r="I1396" s="106">
        <v>1224682</v>
      </c>
      <c r="J1396" s="106">
        <v>0</v>
      </c>
      <c r="K1396" s="99">
        <v>0</v>
      </c>
      <c r="L1396" s="106">
        <v>0</v>
      </c>
      <c r="M1396" s="106">
        <v>1549.75</v>
      </c>
      <c r="N1396" s="106">
        <v>4296018</v>
      </c>
      <c r="O1396" s="106">
        <v>0</v>
      </c>
      <c r="P1396" s="106">
        <v>0</v>
      </c>
      <c r="Q1396" s="106">
        <v>0</v>
      </c>
      <c r="R1396" s="106">
        <v>0</v>
      </c>
      <c r="S1396" s="106">
        <v>0</v>
      </c>
      <c r="T1396" s="106">
        <v>0</v>
      </c>
      <c r="U1396" s="106">
        <v>0</v>
      </c>
      <c r="V1396" s="106">
        <v>0</v>
      </c>
      <c r="W1396" s="106">
        <v>0</v>
      </c>
      <c r="X1396" s="106">
        <v>0</v>
      </c>
      <c r="Y1396" s="106">
        <v>0</v>
      </c>
      <c r="Z1396" s="106">
        <v>0</v>
      </c>
      <c r="AA1396" s="106">
        <v>0</v>
      </c>
      <c r="AB1396" s="106">
        <v>0</v>
      </c>
      <c r="AC1396" s="106">
        <v>0</v>
      </c>
      <c r="AD1396" s="106">
        <v>0</v>
      </c>
      <c r="AE1396" s="106">
        <v>0</v>
      </c>
      <c r="AF1396" s="201" t="s">
        <v>268</v>
      </c>
      <c r="AG1396" s="201">
        <v>2020</v>
      </c>
      <c r="AH1396" s="201" t="s">
        <v>268</v>
      </c>
      <c r="AI1396" s="95"/>
      <c r="AJ1396" s="95"/>
      <c r="AK1396" s="103"/>
      <c r="AL1396" s="95"/>
      <c r="AM1396" s="95"/>
      <c r="AR1396" s="351"/>
      <c r="AS1396" s="149"/>
      <c r="BF1396" s="349"/>
      <c r="BR1396" s="349"/>
      <c r="BU1396" s="149"/>
      <c r="CH1396" s="349"/>
      <c r="CK1396" s="349"/>
      <c r="EJ1396" s="61"/>
      <c r="EL1396" s="149"/>
      <c r="EU1396" s="349"/>
      <c r="FI1396" s="61"/>
      <c r="FL1396" s="149"/>
      <c r="FM1396" s="149"/>
      <c r="FV1396" s="349"/>
      <c r="GN1396" s="353"/>
      <c r="GX1396" s="349"/>
      <c r="GZ1396" s="149"/>
      <c r="HO1396" s="348" t="s">
        <v>1647</v>
      </c>
      <c r="HP1396" s="348">
        <v>52429.26</v>
      </c>
    </row>
    <row r="1397" spans="1:224" s="348" customFormat="1" ht="76.5" x14ac:dyDescent="0.85">
      <c r="B1397" s="102" t="s">
        <v>829</v>
      </c>
      <c r="C1397" s="23"/>
      <c r="D1397" s="106">
        <f t="shared" ref="D1397:AE1399" si="300">SUM(D1398:D1398)</f>
        <v>1806013.41</v>
      </c>
      <c r="E1397" s="98">
        <f t="shared" si="300"/>
        <v>0</v>
      </c>
      <c r="F1397" s="98">
        <f t="shared" si="300"/>
        <v>0</v>
      </c>
      <c r="G1397" s="98">
        <f t="shared" si="300"/>
        <v>0</v>
      </c>
      <c r="H1397" s="98">
        <f t="shared" si="300"/>
        <v>0</v>
      </c>
      <c r="I1397" s="98">
        <f t="shared" si="300"/>
        <v>0</v>
      </c>
      <c r="J1397" s="98">
        <f t="shared" si="300"/>
        <v>0</v>
      </c>
      <c r="K1397" s="99">
        <f t="shared" si="300"/>
        <v>0</v>
      </c>
      <c r="L1397" s="98">
        <f t="shared" si="300"/>
        <v>0</v>
      </c>
      <c r="M1397" s="98">
        <f t="shared" si="300"/>
        <v>691.1</v>
      </c>
      <c r="N1397" s="98">
        <f t="shared" si="300"/>
        <v>1806013.41</v>
      </c>
      <c r="O1397" s="98">
        <f t="shared" si="300"/>
        <v>0</v>
      </c>
      <c r="P1397" s="98">
        <f t="shared" si="300"/>
        <v>0</v>
      </c>
      <c r="Q1397" s="98">
        <f t="shared" si="300"/>
        <v>0</v>
      </c>
      <c r="R1397" s="98">
        <f t="shared" si="300"/>
        <v>0</v>
      </c>
      <c r="S1397" s="98">
        <f t="shared" si="300"/>
        <v>0</v>
      </c>
      <c r="T1397" s="98">
        <f t="shared" si="300"/>
        <v>0</v>
      </c>
      <c r="U1397" s="98">
        <f t="shared" si="300"/>
        <v>0</v>
      </c>
      <c r="V1397" s="98">
        <f t="shared" si="300"/>
        <v>0</v>
      </c>
      <c r="W1397" s="98">
        <f t="shared" si="300"/>
        <v>0</v>
      </c>
      <c r="X1397" s="98">
        <f t="shared" si="300"/>
        <v>0</v>
      </c>
      <c r="Y1397" s="98">
        <f t="shared" si="300"/>
        <v>0</v>
      </c>
      <c r="Z1397" s="98">
        <f t="shared" si="300"/>
        <v>0</v>
      </c>
      <c r="AA1397" s="98">
        <f t="shared" si="300"/>
        <v>0</v>
      </c>
      <c r="AB1397" s="98">
        <f t="shared" si="300"/>
        <v>0</v>
      </c>
      <c r="AC1397" s="106">
        <f t="shared" si="300"/>
        <v>0</v>
      </c>
      <c r="AD1397" s="98">
        <f t="shared" si="300"/>
        <v>0</v>
      </c>
      <c r="AE1397" s="98">
        <f t="shared" si="300"/>
        <v>0</v>
      </c>
      <c r="AF1397" s="100" t="s">
        <v>1644</v>
      </c>
      <c r="AG1397" s="100" t="s">
        <v>1644</v>
      </c>
      <c r="AH1397" s="100" t="s">
        <v>1644</v>
      </c>
      <c r="AI1397" s="95"/>
      <c r="AJ1397" s="97"/>
      <c r="AK1397" s="103"/>
      <c r="AL1397" s="95"/>
      <c r="AM1397" s="95"/>
      <c r="AR1397" s="351"/>
      <c r="AS1397" s="149"/>
      <c r="BF1397" s="349"/>
      <c r="BR1397" s="349"/>
      <c r="BU1397" s="149"/>
      <c r="CH1397" s="349"/>
      <c r="CK1397" s="349"/>
      <c r="EJ1397" s="61"/>
      <c r="EL1397" s="149"/>
      <c r="EU1397" s="349"/>
      <c r="FI1397" s="61"/>
      <c r="FL1397" s="352"/>
      <c r="FM1397" s="149"/>
      <c r="FV1397" s="349"/>
      <c r="GN1397" s="353"/>
      <c r="GX1397" s="349"/>
      <c r="GZ1397" s="149"/>
      <c r="HB1397" s="349"/>
      <c r="HO1397" s="348" t="s">
        <v>1646</v>
      </c>
      <c r="HP1397" s="348">
        <v>44890.35</v>
      </c>
    </row>
    <row r="1398" spans="1:224" s="85" customFormat="1" ht="76.5" customHeight="1" x14ac:dyDescent="0.85">
      <c r="A1398" s="349"/>
      <c r="B1398" s="104">
        <v>4</v>
      </c>
      <c r="C1398" s="91" t="s">
        <v>1861</v>
      </c>
      <c r="D1398" s="106">
        <f>E1398+F1398+G1398+H1398+I1398+J1398+L1398+N1398+P1398+R1398+T1398+U1398+V1398+W1398+X1398+Y1398+Z1398+AA1398+AB1398+AC1398+AD1398+AE1398</f>
        <v>1806013.41</v>
      </c>
      <c r="E1398" s="105">
        <v>0</v>
      </c>
      <c r="F1398" s="106">
        <v>0</v>
      </c>
      <c r="G1398" s="106">
        <v>0</v>
      </c>
      <c r="H1398" s="106">
        <v>0</v>
      </c>
      <c r="I1398" s="106">
        <v>0</v>
      </c>
      <c r="J1398" s="106">
        <v>0</v>
      </c>
      <c r="K1398" s="99">
        <v>0</v>
      </c>
      <c r="L1398" s="106">
        <v>0</v>
      </c>
      <c r="M1398" s="106">
        <v>691.1</v>
      </c>
      <c r="N1398" s="106">
        <v>1806013.41</v>
      </c>
      <c r="O1398" s="106">
        <v>0</v>
      </c>
      <c r="P1398" s="106">
        <v>0</v>
      </c>
      <c r="Q1398" s="106">
        <v>0</v>
      </c>
      <c r="R1398" s="106">
        <v>0</v>
      </c>
      <c r="S1398" s="106">
        <v>0</v>
      </c>
      <c r="T1398" s="106">
        <v>0</v>
      </c>
      <c r="U1398" s="106">
        <v>0</v>
      </c>
      <c r="V1398" s="106">
        <v>0</v>
      </c>
      <c r="W1398" s="106">
        <v>0</v>
      </c>
      <c r="X1398" s="106">
        <v>0</v>
      </c>
      <c r="Y1398" s="106">
        <v>0</v>
      </c>
      <c r="Z1398" s="106">
        <v>0</v>
      </c>
      <c r="AA1398" s="106">
        <v>0</v>
      </c>
      <c r="AB1398" s="106">
        <v>0</v>
      </c>
      <c r="AC1398" s="106">
        <v>0</v>
      </c>
      <c r="AD1398" s="106">
        <v>0</v>
      </c>
      <c r="AE1398" s="106">
        <v>0</v>
      </c>
      <c r="AF1398" s="201" t="s">
        <v>268</v>
      </c>
      <c r="AG1398" s="201">
        <v>2020</v>
      </c>
      <c r="AH1398" s="201" t="s">
        <v>268</v>
      </c>
      <c r="AI1398" s="95"/>
      <c r="AJ1398" s="95"/>
      <c r="AK1398" s="103"/>
      <c r="AL1398" s="95"/>
      <c r="AM1398" s="95"/>
      <c r="AR1398" s="106"/>
      <c r="AS1398" s="149"/>
      <c r="BF1398" s="349"/>
      <c r="BR1398" s="349"/>
      <c r="BU1398" s="149"/>
      <c r="CH1398" s="349"/>
      <c r="CK1398" s="349"/>
      <c r="EJ1398" s="61"/>
      <c r="EL1398" s="149"/>
      <c r="EU1398" s="349"/>
      <c r="FI1398" s="61"/>
      <c r="FL1398" s="149"/>
      <c r="FM1398" s="149"/>
      <c r="FV1398" s="349"/>
      <c r="GN1398" s="353"/>
      <c r="GX1398" s="349"/>
      <c r="GZ1398" s="149"/>
      <c r="HO1398" s="85" t="s">
        <v>1647</v>
      </c>
      <c r="HP1398" s="85">
        <v>52429.26</v>
      </c>
    </row>
    <row r="1399" spans="1:224" s="348" customFormat="1" ht="76.5" x14ac:dyDescent="0.85">
      <c r="B1399" s="102" t="s">
        <v>883</v>
      </c>
      <c r="C1399" s="23"/>
      <c r="D1399" s="106">
        <f t="shared" si="300"/>
        <v>1947090.69</v>
      </c>
      <c r="E1399" s="98">
        <f t="shared" si="300"/>
        <v>0</v>
      </c>
      <c r="F1399" s="98">
        <f t="shared" si="300"/>
        <v>0</v>
      </c>
      <c r="G1399" s="98">
        <f t="shared" si="300"/>
        <v>0</v>
      </c>
      <c r="H1399" s="98">
        <f t="shared" si="300"/>
        <v>0</v>
      </c>
      <c r="I1399" s="98">
        <f t="shared" si="300"/>
        <v>0</v>
      </c>
      <c r="J1399" s="98">
        <f t="shared" si="300"/>
        <v>0</v>
      </c>
      <c r="K1399" s="99">
        <f t="shared" si="300"/>
        <v>0</v>
      </c>
      <c r="L1399" s="98">
        <f t="shared" si="300"/>
        <v>0</v>
      </c>
      <c r="M1399" s="98">
        <f t="shared" si="300"/>
        <v>370</v>
      </c>
      <c r="N1399" s="98">
        <f t="shared" si="300"/>
        <v>1947090.69</v>
      </c>
      <c r="O1399" s="98">
        <f t="shared" si="300"/>
        <v>0</v>
      </c>
      <c r="P1399" s="98">
        <f t="shared" si="300"/>
        <v>0</v>
      </c>
      <c r="Q1399" s="98">
        <f t="shared" si="300"/>
        <v>0</v>
      </c>
      <c r="R1399" s="98">
        <f t="shared" si="300"/>
        <v>0</v>
      </c>
      <c r="S1399" s="98">
        <f t="shared" si="300"/>
        <v>0</v>
      </c>
      <c r="T1399" s="98">
        <f t="shared" si="300"/>
        <v>0</v>
      </c>
      <c r="U1399" s="98">
        <f t="shared" si="300"/>
        <v>0</v>
      </c>
      <c r="V1399" s="98">
        <f t="shared" si="300"/>
        <v>0</v>
      </c>
      <c r="W1399" s="98">
        <f t="shared" si="300"/>
        <v>0</v>
      </c>
      <c r="X1399" s="98">
        <f t="shared" si="300"/>
        <v>0</v>
      </c>
      <c r="Y1399" s="98">
        <f t="shared" si="300"/>
        <v>0</v>
      </c>
      <c r="Z1399" s="98">
        <f t="shared" si="300"/>
        <v>0</v>
      </c>
      <c r="AA1399" s="98">
        <f t="shared" si="300"/>
        <v>0</v>
      </c>
      <c r="AB1399" s="98">
        <f t="shared" si="300"/>
        <v>0</v>
      </c>
      <c r="AC1399" s="106">
        <f t="shared" si="300"/>
        <v>0</v>
      </c>
      <c r="AD1399" s="98">
        <f t="shared" si="300"/>
        <v>0</v>
      </c>
      <c r="AE1399" s="98">
        <f t="shared" si="300"/>
        <v>0</v>
      </c>
      <c r="AF1399" s="100" t="s">
        <v>1644</v>
      </c>
      <c r="AG1399" s="100" t="s">
        <v>1644</v>
      </c>
      <c r="AH1399" s="100" t="s">
        <v>1644</v>
      </c>
      <c r="AI1399" s="95"/>
      <c r="AJ1399" s="97"/>
      <c r="AK1399" s="103"/>
      <c r="AL1399" s="95"/>
      <c r="AM1399" s="95"/>
      <c r="AR1399" s="351"/>
      <c r="AS1399" s="149"/>
      <c r="BF1399" s="349"/>
      <c r="BR1399" s="349"/>
      <c r="BU1399" s="149"/>
      <c r="CH1399" s="349"/>
      <c r="CK1399" s="349"/>
      <c r="EJ1399" s="61"/>
      <c r="EL1399" s="149"/>
      <c r="EU1399" s="349"/>
      <c r="FI1399" s="61"/>
      <c r="FL1399" s="352"/>
      <c r="FM1399" s="149"/>
      <c r="FV1399" s="349"/>
      <c r="GN1399" s="353"/>
      <c r="GX1399" s="349"/>
      <c r="GZ1399" s="149"/>
      <c r="HB1399" s="349"/>
      <c r="HO1399" s="348" t="s">
        <v>1646</v>
      </c>
      <c r="HP1399" s="348">
        <v>44890.35</v>
      </c>
    </row>
    <row r="1400" spans="1:224" s="85" customFormat="1" ht="76.5" customHeight="1" x14ac:dyDescent="0.85">
      <c r="A1400" s="349"/>
      <c r="B1400" s="104">
        <v>5</v>
      </c>
      <c r="C1400" s="91" t="s">
        <v>1910</v>
      </c>
      <c r="D1400" s="106">
        <f>E1400+F1400+G1400+H1400+I1400+J1400+L1400+N1400+P1400+R1400+T1400+U1400+V1400+W1400+X1400+Y1400+Z1400+AA1400+AB1400+AC1400+AD1400+AE1400</f>
        <v>1947090.69</v>
      </c>
      <c r="E1400" s="105">
        <v>0</v>
      </c>
      <c r="F1400" s="106">
        <v>0</v>
      </c>
      <c r="G1400" s="106">
        <v>0</v>
      </c>
      <c r="H1400" s="106">
        <v>0</v>
      </c>
      <c r="I1400" s="106">
        <v>0</v>
      </c>
      <c r="J1400" s="106">
        <v>0</v>
      </c>
      <c r="K1400" s="99">
        <v>0</v>
      </c>
      <c r="L1400" s="106">
        <v>0</v>
      </c>
      <c r="M1400" s="106">
        <v>370</v>
      </c>
      <c r="N1400" s="106">
        <v>1947090.69</v>
      </c>
      <c r="O1400" s="106">
        <v>0</v>
      </c>
      <c r="P1400" s="106">
        <v>0</v>
      </c>
      <c r="Q1400" s="106">
        <v>0</v>
      </c>
      <c r="R1400" s="106">
        <v>0</v>
      </c>
      <c r="S1400" s="106">
        <v>0</v>
      </c>
      <c r="T1400" s="106">
        <v>0</v>
      </c>
      <c r="U1400" s="106">
        <v>0</v>
      </c>
      <c r="V1400" s="106">
        <v>0</v>
      </c>
      <c r="W1400" s="106">
        <v>0</v>
      </c>
      <c r="X1400" s="106">
        <v>0</v>
      </c>
      <c r="Y1400" s="106">
        <v>0</v>
      </c>
      <c r="Z1400" s="106">
        <v>0</v>
      </c>
      <c r="AA1400" s="106">
        <v>0</v>
      </c>
      <c r="AB1400" s="106">
        <v>0</v>
      </c>
      <c r="AC1400" s="106">
        <v>0</v>
      </c>
      <c r="AD1400" s="106">
        <v>0</v>
      </c>
      <c r="AE1400" s="106">
        <v>0</v>
      </c>
      <c r="AF1400" s="201" t="s">
        <v>268</v>
      </c>
      <c r="AG1400" s="201">
        <v>2020</v>
      </c>
      <c r="AH1400" s="201" t="s">
        <v>268</v>
      </c>
      <c r="AI1400" s="95"/>
      <c r="AJ1400" s="95"/>
      <c r="AK1400" s="103"/>
      <c r="AL1400" s="95"/>
      <c r="AM1400" s="95"/>
      <c r="AR1400" s="106"/>
      <c r="AS1400" s="149"/>
      <c r="BF1400" s="349"/>
      <c r="BR1400" s="349"/>
      <c r="BU1400" s="149"/>
      <c r="CH1400" s="349"/>
      <c r="CK1400" s="349"/>
      <c r="EJ1400" s="61"/>
      <c r="EL1400" s="149"/>
      <c r="EU1400" s="349"/>
      <c r="FI1400" s="61"/>
      <c r="FL1400" s="149"/>
      <c r="FM1400" s="149"/>
      <c r="FV1400" s="349"/>
      <c r="GN1400" s="353"/>
      <c r="GX1400" s="349"/>
      <c r="GZ1400" s="149"/>
      <c r="HO1400" s="85" t="s">
        <v>1647</v>
      </c>
      <c r="HP1400" s="85">
        <v>52429.26</v>
      </c>
    </row>
    <row r="1401" spans="1:224" s="348" customFormat="1" ht="76.5" x14ac:dyDescent="0.3">
      <c r="B1401" s="212" t="s">
        <v>2423</v>
      </c>
      <c r="C1401" s="213"/>
      <c r="D1401" s="106">
        <f>D1402+D1406+D1408</f>
        <v>20509408.600000001</v>
      </c>
      <c r="E1401" s="98">
        <f t="shared" ref="E1401:AE1401" si="301">E1402+E1406+E1408</f>
        <v>0</v>
      </c>
      <c r="F1401" s="98">
        <f t="shared" si="301"/>
        <v>0</v>
      </c>
      <c r="G1401" s="98">
        <f t="shared" si="301"/>
        <v>0</v>
      </c>
      <c r="H1401" s="98">
        <f t="shared" si="301"/>
        <v>0</v>
      </c>
      <c r="I1401" s="98">
        <f t="shared" si="301"/>
        <v>0</v>
      </c>
      <c r="J1401" s="98">
        <f t="shared" si="301"/>
        <v>0</v>
      </c>
      <c r="K1401" s="99">
        <f t="shared" si="301"/>
        <v>0</v>
      </c>
      <c r="L1401" s="98">
        <f t="shared" si="301"/>
        <v>0</v>
      </c>
      <c r="M1401" s="98">
        <f t="shared" si="301"/>
        <v>3230.45</v>
      </c>
      <c r="N1401" s="98">
        <f t="shared" si="301"/>
        <v>20206313.899999999</v>
      </c>
      <c r="O1401" s="98">
        <f t="shared" si="301"/>
        <v>0</v>
      </c>
      <c r="P1401" s="98">
        <f t="shared" si="301"/>
        <v>0</v>
      </c>
      <c r="Q1401" s="98">
        <f t="shared" si="301"/>
        <v>0</v>
      </c>
      <c r="R1401" s="98">
        <f t="shared" si="301"/>
        <v>0</v>
      </c>
      <c r="S1401" s="98">
        <f t="shared" si="301"/>
        <v>0</v>
      </c>
      <c r="T1401" s="98">
        <f t="shared" si="301"/>
        <v>0</v>
      </c>
      <c r="U1401" s="98">
        <f t="shared" si="301"/>
        <v>0</v>
      </c>
      <c r="V1401" s="98">
        <f t="shared" si="301"/>
        <v>0</v>
      </c>
      <c r="W1401" s="98">
        <f t="shared" si="301"/>
        <v>0</v>
      </c>
      <c r="X1401" s="98">
        <f t="shared" si="301"/>
        <v>0</v>
      </c>
      <c r="Y1401" s="98">
        <f t="shared" si="301"/>
        <v>0</v>
      </c>
      <c r="Z1401" s="98">
        <f t="shared" si="301"/>
        <v>0</v>
      </c>
      <c r="AA1401" s="98">
        <f t="shared" si="301"/>
        <v>0</v>
      </c>
      <c r="AB1401" s="98">
        <f t="shared" si="301"/>
        <v>0</v>
      </c>
      <c r="AC1401" s="106">
        <f t="shared" si="301"/>
        <v>303094.7</v>
      </c>
      <c r="AD1401" s="98">
        <f t="shared" si="301"/>
        <v>0</v>
      </c>
      <c r="AE1401" s="98">
        <f t="shared" si="301"/>
        <v>0</v>
      </c>
      <c r="AF1401" s="100" t="s">
        <v>1644</v>
      </c>
      <c r="AG1401" s="100" t="s">
        <v>1644</v>
      </c>
      <c r="AH1401" s="100" t="s">
        <v>1644</v>
      </c>
      <c r="AI1401" s="101"/>
      <c r="AJ1401" s="95"/>
      <c r="AK1401" s="101"/>
      <c r="AL1401" s="101"/>
      <c r="AM1401" s="101"/>
      <c r="HO1401" s="348" t="s">
        <v>1645</v>
      </c>
      <c r="HP1401" s="348">
        <v>53254.36</v>
      </c>
    </row>
    <row r="1402" spans="1:224" s="348" customFormat="1" ht="76.5" x14ac:dyDescent="0.85">
      <c r="B1402" s="102" t="s">
        <v>816</v>
      </c>
      <c r="C1402" s="23"/>
      <c r="D1402" s="106">
        <f>SUM(D1403:D1405)</f>
        <v>15848198.850000001</v>
      </c>
      <c r="E1402" s="98">
        <f>SUM(E1403:E1405)</f>
        <v>0</v>
      </c>
      <c r="F1402" s="98">
        <f>SUM(F1403:F1405)</f>
        <v>0</v>
      </c>
      <c r="G1402" s="98">
        <f>SUM(G1403:G1405)</f>
        <v>0</v>
      </c>
      <c r="H1402" s="98">
        <f>SUM(H1403:H1405)</f>
        <v>0</v>
      </c>
      <c r="I1402" s="98">
        <f>SUM(I1403:I1405)</f>
        <v>0</v>
      </c>
      <c r="J1402" s="98">
        <f>SUM(J1403:J1405)</f>
        <v>0</v>
      </c>
      <c r="K1402" s="99">
        <f>SUM(K1403:K1405)</f>
        <v>0</v>
      </c>
      <c r="L1402" s="98">
        <f>SUM(L1403:L1405)</f>
        <v>0</v>
      </c>
      <c r="M1402" s="98">
        <f>SUM(M1403:M1405)</f>
        <v>2477.5</v>
      </c>
      <c r="N1402" s="98">
        <f>SUM(N1403:N1405)</f>
        <v>15613989.02</v>
      </c>
      <c r="O1402" s="98">
        <f>SUM(O1403:O1405)</f>
        <v>0</v>
      </c>
      <c r="P1402" s="98">
        <f>SUM(P1403:P1405)</f>
        <v>0</v>
      </c>
      <c r="Q1402" s="98">
        <f>SUM(Q1403:Q1405)</f>
        <v>0</v>
      </c>
      <c r="R1402" s="98">
        <f>SUM(R1403:R1405)</f>
        <v>0</v>
      </c>
      <c r="S1402" s="98">
        <f>SUM(S1403:S1405)</f>
        <v>0</v>
      </c>
      <c r="T1402" s="98">
        <f>SUM(T1403:T1405)</f>
        <v>0</v>
      </c>
      <c r="U1402" s="98">
        <f>SUM(U1403:U1405)</f>
        <v>0</v>
      </c>
      <c r="V1402" s="98">
        <f>SUM(V1403:V1405)</f>
        <v>0</v>
      </c>
      <c r="W1402" s="98">
        <f>SUM(W1403:W1405)</f>
        <v>0</v>
      </c>
      <c r="X1402" s="98">
        <f>SUM(X1403:X1405)</f>
        <v>0</v>
      </c>
      <c r="Y1402" s="98">
        <f>SUM(Y1403:Y1405)</f>
        <v>0</v>
      </c>
      <c r="Z1402" s="98">
        <f>SUM(Z1403:Z1405)</f>
        <v>0</v>
      </c>
      <c r="AA1402" s="98">
        <f>SUM(AA1403:AA1405)</f>
        <v>0</v>
      </c>
      <c r="AB1402" s="98">
        <f>SUM(AB1403:AB1405)</f>
        <v>0</v>
      </c>
      <c r="AC1402" s="106">
        <f>SUM(AC1403:AC1405)</f>
        <v>234209.83000000002</v>
      </c>
      <c r="AD1402" s="98">
        <f>SUM(AD1403:AD1405)</f>
        <v>0</v>
      </c>
      <c r="AE1402" s="98">
        <f>SUM(AE1403:AE1405)</f>
        <v>0</v>
      </c>
      <c r="AF1402" s="100" t="s">
        <v>1644</v>
      </c>
      <c r="AG1402" s="100" t="s">
        <v>1644</v>
      </c>
      <c r="AH1402" s="100" t="s">
        <v>1644</v>
      </c>
      <c r="AI1402" s="95"/>
      <c r="AJ1402" s="97"/>
      <c r="AK1402" s="103"/>
      <c r="AL1402" s="95"/>
      <c r="AM1402" s="95"/>
      <c r="AR1402" s="351"/>
      <c r="AS1402" s="149"/>
      <c r="BF1402" s="349"/>
      <c r="BR1402" s="349"/>
      <c r="BU1402" s="149"/>
      <c r="CH1402" s="349"/>
      <c r="CK1402" s="349"/>
      <c r="EJ1402" s="61"/>
      <c r="EL1402" s="149"/>
      <c r="EU1402" s="349"/>
      <c r="FI1402" s="61"/>
      <c r="FL1402" s="352"/>
      <c r="FM1402" s="149"/>
      <c r="FV1402" s="349"/>
      <c r="GN1402" s="353"/>
      <c r="GX1402" s="349"/>
      <c r="GZ1402" s="149"/>
      <c r="HB1402" s="349"/>
      <c r="HO1402" s="348" t="s">
        <v>1646</v>
      </c>
      <c r="HP1402" s="348">
        <v>44890.35</v>
      </c>
    </row>
    <row r="1403" spans="1:224" s="348" customFormat="1" ht="63" x14ac:dyDescent="0.85">
      <c r="A1403" s="349"/>
      <c r="B1403" s="104">
        <v>1</v>
      </c>
      <c r="C1403" s="23" t="s">
        <v>2711</v>
      </c>
      <c r="D1403" s="106">
        <f>E1403+F1403+G1403+H1403+I1403+J1403+L1403+N1403+P1403+R1403+T1403+U1403+V1403+W1403+X1403+Y1403+Z1403+AA1403+AB1403+AC1403+AD1403+AE1403</f>
        <v>2985862.32</v>
      </c>
      <c r="E1403" s="105">
        <v>0</v>
      </c>
      <c r="F1403" s="106">
        <v>0</v>
      </c>
      <c r="G1403" s="106">
        <v>0</v>
      </c>
      <c r="H1403" s="106">
        <v>0</v>
      </c>
      <c r="I1403" s="106">
        <v>0</v>
      </c>
      <c r="J1403" s="106">
        <v>0</v>
      </c>
      <c r="K1403" s="99">
        <v>0</v>
      </c>
      <c r="L1403" s="106">
        <v>0</v>
      </c>
      <c r="M1403" s="106">
        <v>478</v>
      </c>
      <c r="N1403" s="106">
        <v>2941736.28</v>
      </c>
      <c r="O1403" s="106">
        <v>0</v>
      </c>
      <c r="P1403" s="106">
        <v>0</v>
      </c>
      <c r="Q1403" s="106">
        <v>0</v>
      </c>
      <c r="R1403" s="106">
        <v>0</v>
      </c>
      <c r="S1403" s="106">
        <v>0</v>
      </c>
      <c r="T1403" s="106">
        <v>0</v>
      </c>
      <c r="U1403" s="106">
        <v>0</v>
      </c>
      <c r="V1403" s="106">
        <v>0</v>
      </c>
      <c r="W1403" s="106">
        <v>0</v>
      </c>
      <c r="X1403" s="106">
        <v>0</v>
      </c>
      <c r="Y1403" s="106">
        <v>0</v>
      </c>
      <c r="Z1403" s="106">
        <v>0</v>
      </c>
      <c r="AA1403" s="106">
        <v>0</v>
      </c>
      <c r="AB1403" s="106">
        <v>0</v>
      </c>
      <c r="AC1403" s="106">
        <f t="shared" ref="AC1403:AC1405" si="302">ROUND(N1403*1.5%,2)</f>
        <v>44126.04</v>
      </c>
      <c r="AD1403" s="106">
        <v>0</v>
      </c>
      <c r="AE1403" s="106">
        <v>0</v>
      </c>
      <c r="AF1403" s="201" t="s">
        <v>268</v>
      </c>
      <c r="AG1403" s="201">
        <v>2021</v>
      </c>
      <c r="AH1403" s="201">
        <v>2021</v>
      </c>
      <c r="AI1403" s="95"/>
      <c r="AJ1403" s="95"/>
      <c r="AK1403" s="103"/>
      <c r="AL1403" s="95"/>
      <c r="AM1403" s="95"/>
      <c r="AR1403" s="351"/>
      <c r="AS1403" s="149"/>
      <c r="BF1403" s="349"/>
      <c r="BR1403" s="349"/>
      <c r="BU1403" s="149"/>
      <c r="CH1403" s="349"/>
      <c r="CK1403" s="349"/>
      <c r="EJ1403" s="61"/>
      <c r="EL1403" s="149"/>
      <c r="EU1403" s="349"/>
      <c r="FI1403" s="61"/>
      <c r="FL1403" s="149"/>
      <c r="FM1403" s="149"/>
      <c r="FV1403" s="349"/>
      <c r="GN1403" s="353"/>
      <c r="GX1403" s="349"/>
      <c r="GZ1403" s="149"/>
      <c r="HO1403" s="348" t="s">
        <v>1647</v>
      </c>
      <c r="HP1403" s="348">
        <v>52429.26</v>
      </c>
    </row>
    <row r="1404" spans="1:224" s="348" customFormat="1" ht="63" x14ac:dyDescent="0.85">
      <c r="A1404" s="349"/>
      <c r="B1404" s="104">
        <v>2</v>
      </c>
      <c r="C1404" s="23" t="s">
        <v>2712</v>
      </c>
      <c r="D1404" s="106">
        <f>E1404+F1404+G1404+H1404+I1404+J1404+L1404+N1404+P1404+R1404+T1404+U1404+V1404+W1404+X1404+Y1404+Z1404+AA1404+AB1404+AC1404+AD1404+AE1404</f>
        <v>8489734.8000000007</v>
      </c>
      <c r="E1404" s="105">
        <v>0</v>
      </c>
      <c r="F1404" s="106">
        <v>0</v>
      </c>
      <c r="G1404" s="106">
        <v>0</v>
      </c>
      <c r="H1404" s="106">
        <v>0</v>
      </c>
      <c r="I1404" s="106">
        <v>0</v>
      </c>
      <c r="J1404" s="106">
        <v>0</v>
      </c>
      <c r="K1404" s="99">
        <v>0</v>
      </c>
      <c r="L1404" s="106">
        <v>0</v>
      </c>
      <c r="M1404" s="106">
        <v>1299.5</v>
      </c>
      <c r="N1404" s="106">
        <v>8364270.7400000002</v>
      </c>
      <c r="O1404" s="106">
        <v>0</v>
      </c>
      <c r="P1404" s="106">
        <v>0</v>
      </c>
      <c r="Q1404" s="106">
        <v>0</v>
      </c>
      <c r="R1404" s="106">
        <v>0</v>
      </c>
      <c r="S1404" s="106">
        <v>0</v>
      </c>
      <c r="T1404" s="106">
        <v>0</v>
      </c>
      <c r="U1404" s="106">
        <v>0</v>
      </c>
      <c r="V1404" s="106">
        <v>0</v>
      </c>
      <c r="W1404" s="106">
        <v>0</v>
      </c>
      <c r="X1404" s="106">
        <v>0</v>
      </c>
      <c r="Y1404" s="106">
        <v>0</v>
      </c>
      <c r="Z1404" s="106">
        <v>0</v>
      </c>
      <c r="AA1404" s="106">
        <v>0</v>
      </c>
      <c r="AB1404" s="106">
        <v>0</v>
      </c>
      <c r="AC1404" s="106">
        <f t="shared" si="302"/>
        <v>125464.06</v>
      </c>
      <c r="AD1404" s="106">
        <v>0</v>
      </c>
      <c r="AE1404" s="106">
        <v>0</v>
      </c>
      <c r="AF1404" s="201" t="s">
        <v>268</v>
      </c>
      <c r="AG1404" s="201">
        <v>2021</v>
      </c>
      <c r="AH1404" s="201">
        <v>2021</v>
      </c>
      <c r="AI1404" s="95"/>
      <c r="AJ1404" s="95"/>
      <c r="AK1404" s="103"/>
      <c r="AL1404" s="95"/>
      <c r="AM1404" s="95"/>
      <c r="AR1404" s="351"/>
      <c r="AS1404" s="149"/>
      <c r="BF1404" s="349"/>
      <c r="BR1404" s="349"/>
      <c r="BU1404" s="149"/>
      <c r="CH1404" s="349"/>
      <c r="CK1404" s="349"/>
      <c r="EJ1404" s="61"/>
      <c r="EL1404" s="149"/>
      <c r="EU1404" s="349"/>
      <c r="FI1404" s="61"/>
      <c r="FL1404" s="149"/>
      <c r="FM1404" s="149"/>
      <c r="FV1404" s="349"/>
      <c r="GN1404" s="353"/>
      <c r="GX1404" s="349"/>
      <c r="GZ1404" s="149"/>
      <c r="HO1404" s="348" t="s">
        <v>1647</v>
      </c>
      <c r="HP1404" s="348">
        <v>52429.26</v>
      </c>
    </row>
    <row r="1405" spans="1:224" s="348" customFormat="1" ht="63" x14ac:dyDescent="0.85">
      <c r="A1405" s="349"/>
      <c r="B1405" s="104">
        <v>3</v>
      </c>
      <c r="C1405" s="23" t="s">
        <v>2714</v>
      </c>
      <c r="D1405" s="106">
        <f>E1405+F1405+G1405+H1405+I1405+J1405+L1405+N1405+P1405+R1405+T1405+U1405+V1405+W1405+X1405+Y1405+Z1405+AA1405+AB1405+AC1405+AD1405+AE1405</f>
        <v>4372601.7300000004</v>
      </c>
      <c r="E1405" s="105">
        <v>0</v>
      </c>
      <c r="F1405" s="106">
        <v>0</v>
      </c>
      <c r="G1405" s="106">
        <v>0</v>
      </c>
      <c r="H1405" s="106">
        <v>0</v>
      </c>
      <c r="I1405" s="106">
        <v>0</v>
      </c>
      <c r="J1405" s="106">
        <v>0</v>
      </c>
      <c r="K1405" s="99">
        <v>0</v>
      </c>
      <c r="L1405" s="106">
        <v>0</v>
      </c>
      <c r="M1405" s="106">
        <v>700</v>
      </c>
      <c r="N1405" s="106">
        <v>4307982</v>
      </c>
      <c r="O1405" s="106">
        <v>0</v>
      </c>
      <c r="P1405" s="106">
        <v>0</v>
      </c>
      <c r="Q1405" s="106">
        <v>0</v>
      </c>
      <c r="R1405" s="106">
        <v>0</v>
      </c>
      <c r="S1405" s="106">
        <v>0</v>
      </c>
      <c r="T1405" s="106">
        <v>0</v>
      </c>
      <c r="U1405" s="106">
        <v>0</v>
      </c>
      <c r="V1405" s="106">
        <v>0</v>
      </c>
      <c r="W1405" s="106">
        <v>0</v>
      </c>
      <c r="X1405" s="106">
        <v>0</v>
      </c>
      <c r="Y1405" s="106">
        <v>0</v>
      </c>
      <c r="Z1405" s="106">
        <v>0</v>
      </c>
      <c r="AA1405" s="106">
        <v>0</v>
      </c>
      <c r="AB1405" s="106">
        <v>0</v>
      </c>
      <c r="AC1405" s="106">
        <f t="shared" si="302"/>
        <v>64619.73</v>
      </c>
      <c r="AD1405" s="106">
        <v>0</v>
      </c>
      <c r="AE1405" s="106">
        <v>0</v>
      </c>
      <c r="AF1405" s="201" t="s">
        <v>268</v>
      </c>
      <c r="AG1405" s="201">
        <v>2021</v>
      </c>
      <c r="AH1405" s="201">
        <v>2021</v>
      </c>
      <c r="AI1405" s="95"/>
      <c r="AJ1405" s="95"/>
      <c r="AK1405" s="103"/>
      <c r="AL1405" s="95"/>
      <c r="AM1405" s="95"/>
      <c r="AR1405" s="351"/>
      <c r="AS1405" s="149"/>
      <c r="BF1405" s="349"/>
      <c r="BR1405" s="349"/>
      <c r="BU1405" s="149"/>
      <c r="CH1405" s="349"/>
      <c r="CK1405" s="349"/>
      <c r="EJ1405" s="61"/>
      <c r="EL1405" s="149"/>
      <c r="EU1405" s="349"/>
      <c r="FI1405" s="61"/>
      <c r="FL1405" s="149"/>
      <c r="FM1405" s="149"/>
      <c r="FV1405" s="349"/>
      <c r="GN1405" s="353"/>
      <c r="GX1405" s="349"/>
      <c r="GZ1405" s="149"/>
      <c r="HO1405" s="348" t="s">
        <v>1647</v>
      </c>
      <c r="HP1405" s="348">
        <v>52429.26</v>
      </c>
    </row>
    <row r="1406" spans="1:224" s="348" customFormat="1" ht="76.5" x14ac:dyDescent="0.85">
      <c r="B1406" s="102" t="s">
        <v>817</v>
      </c>
      <c r="C1406" s="23"/>
      <c r="D1406" s="106">
        <f>D1407</f>
        <v>2814864.3</v>
      </c>
      <c r="E1406" s="98">
        <f t="shared" ref="E1406:AE1406" si="303">E1407</f>
        <v>0</v>
      </c>
      <c r="F1406" s="98">
        <f t="shared" si="303"/>
        <v>0</v>
      </c>
      <c r="G1406" s="98">
        <f t="shared" si="303"/>
        <v>0</v>
      </c>
      <c r="H1406" s="98">
        <f t="shared" si="303"/>
        <v>0</v>
      </c>
      <c r="I1406" s="98">
        <f t="shared" si="303"/>
        <v>0</v>
      </c>
      <c r="J1406" s="98">
        <f t="shared" si="303"/>
        <v>0</v>
      </c>
      <c r="K1406" s="99">
        <f t="shared" si="303"/>
        <v>0</v>
      </c>
      <c r="L1406" s="98">
        <f t="shared" si="303"/>
        <v>0</v>
      </c>
      <c r="M1406" s="98">
        <f t="shared" si="303"/>
        <v>454.7</v>
      </c>
      <c r="N1406" s="98">
        <f t="shared" si="303"/>
        <v>2773265.32</v>
      </c>
      <c r="O1406" s="98">
        <f t="shared" si="303"/>
        <v>0</v>
      </c>
      <c r="P1406" s="98">
        <f t="shared" si="303"/>
        <v>0</v>
      </c>
      <c r="Q1406" s="98">
        <f t="shared" si="303"/>
        <v>0</v>
      </c>
      <c r="R1406" s="98">
        <f t="shared" si="303"/>
        <v>0</v>
      </c>
      <c r="S1406" s="98">
        <f t="shared" si="303"/>
        <v>0</v>
      </c>
      <c r="T1406" s="98">
        <f t="shared" si="303"/>
        <v>0</v>
      </c>
      <c r="U1406" s="98">
        <f t="shared" si="303"/>
        <v>0</v>
      </c>
      <c r="V1406" s="98">
        <f t="shared" si="303"/>
        <v>0</v>
      </c>
      <c r="W1406" s="98">
        <f t="shared" si="303"/>
        <v>0</v>
      </c>
      <c r="X1406" s="98">
        <f t="shared" si="303"/>
        <v>0</v>
      </c>
      <c r="Y1406" s="98">
        <f t="shared" si="303"/>
        <v>0</v>
      </c>
      <c r="Z1406" s="98">
        <f t="shared" si="303"/>
        <v>0</v>
      </c>
      <c r="AA1406" s="98">
        <f t="shared" si="303"/>
        <v>0</v>
      </c>
      <c r="AB1406" s="98">
        <f t="shared" si="303"/>
        <v>0</v>
      </c>
      <c r="AC1406" s="106">
        <f t="shared" si="303"/>
        <v>41598.980000000003</v>
      </c>
      <c r="AD1406" s="98">
        <f t="shared" si="303"/>
        <v>0</v>
      </c>
      <c r="AE1406" s="98">
        <f t="shared" si="303"/>
        <v>0</v>
      </c>
      <c r="AF1406" s="100" t="s">
        <v>1644</v>
      </c>
      <c r="AG1406" s="100" t="s">
        <v>1644</v>
      </c>
      <c r="AH1406" s="100" t="s">
        <v>1644</v>
      </c>
      <c r="AI1406" s="95"/>
      <c r="AJ1406" s="97"/>
      <c r="AK1406" s="103"/>
      <c r="AL1406" s="95"/>
      <c r="AM1406" s="95"/>
      <c r="AR1406" s="351"/>
      <c r="AS1406" s="149"/>
      <c r="BF1406" s="349"/>
      <c r="BR1406" s="349"/>
      <c r="BU1406" s="149"/>
      <c r="CH1406" s="349"/>
      <c r="CK1406" s="349"/>
      <c r="EJ1406" s="61"/>
      <c r="EL1406" s="149"/>
      <c r="EU1406" s="349"/>
      <c r="FI1406" s="61"/>
      <c r="FL1406" s="352"/>
      <c r="FM1406" s="149"/>
      <c r="FV1406" s="349"/>
      <c r="GN1406" s="353"/>
      <c r="GX1406" s="349"/>
      <c r="GZ1406" s="149"/>
      <c r="HB1406" s="349"/>
      <c r="HO1406" s="348" t="s">
        <v>1646</v>
      </c>
      <c r="HP1406" s="348">
        <v>44890.35</v>
      </c>
    </row>
    <row r="1407" spans="1:224" s="348" customFormat="1" ht="63" x14ac:dyDescent="0.85">
      <c r="A1407" s="349"/>
      <c r="B1407" s="104">
        <v>4</v>
      </c>
      <c r="C1407" s="23" t="s">
        <v>2713</v>
      </c>
      <c r="D1407" s="106">
        <f>E1407+F1407+G1407+H1407+I1407+J1407+L1407+N1407+P1407+R1407+T1407+U1407+V1407+W1407+X1407+Y1407+Z1407+AA1407+AB1407+AC1407+AD1407+AE1407</f>
        <v>2814864.3</v>
      </c>
      <c r="E1407" s="105">
        <v>0</v>
      </c>
      <c r="F1407" s="106">
        <v>0</v>
      </c>
      <c r="G1407" s="106">
        <v>0</v>
      </c>
      <c r="H1407" s="106">
        <v>0</v>
      </c>
      <c r="I1407" s="106">
        <v>0</v>
      </c>
      <c r="J1407" s="106">
        <v>0</v>
      </c>
      <c r="K1407" s="99">
        <v>0</v>
      </c>
      <c r="L1407" s="106">
        <v>0</v>
      </c>
      <c r="M1407" s="106">
        <v>454.7</v>
      </c>
      <c r="N1407" s="106">
        <v>2773265.32</v>
      </c>
      <c r="O1407" s="106">
        <v>0</v>
      </c>
      <c r="P1407" s="106">
        <v>0</v>
      </c>
      <c r="Q1407" s="106">
        <v>0</v>
      </c>
      <c r="R1407" s="106">
        <v>0</v>
      </c>
      <c r="S1407" s="106">
        <v>0</v>
      </c>
      <c r="T1407" s="106">
        <v>0</v>
      </c>
      <c r="U1407" s="106">
        <v>0</v>
      </c>
      <c r="V1407" s="106">
        <v>0</v>
      </c>
      <c r="W1407" s="106">
        <v>0</v>
      </c>
      <c r="X1407" s="106">
        <v>0</v>
      </c>
      <c r="Y1407" s="106">
        <v>0</v>
      </c>
      <c r="Z1407" s="106">
        <v>0</v>
      </c>
      <c r="AA1407" s="106">
        <v>0</v>
      </c>
      <c r="AB1407" s="106">
        <v>0</v>
      </c>
      <c r="AC1407" s="106">
        <f t="shared" ref="AC1407" si="304">ROUND(N1407*1.5%,2)</f>
        <v>41598.980000000003</v>
      </c>
      <c r="AD1407" s="106">
        <v>0</v>
      </c>
      <c r="AE1407" s="106">
        <v>0</v>
      </c>
      <c r="AF1407" s="201" t="s">
        <v>268</v>
      </c>
      <c r="AG1407" s="201">
        <v>2021</v>
      </c>
      <c r="AH1407" s="201">
        <v>2021</v>
      </c>
      <c r="AI1407" s="95"/>
      <c r="AJ1407" s="95"/>
      <c r="AK1407" s="103"/>
      <c r="AL1407" s="95"/>
      <c r="AM1407" s="95"/>
      <c r="AR1407" s="351"/>
      <c r="AS1407" s="149"/>
      <c r="BF1407" s="349"/>
      <c r="BR1407" s="349"/>
      <c r="BU1407" s="149"/>
      <c r="CH1407" s="349"/>
      <c r="CK1407" s="349"/>
      <c r="EJ1407" s="61"/>
      <c r="EL1407" s="149"/>
      <c r="EU1407" s="349"/>
      <c r="FI1407" s="61"/>
      <c r="FL1407" s="149"/>
      <c r="FM1407" s="149"/>
      <c r="FV1407" s="349"/>
      <c r="GN1407" s="353"/>
      <c r="GX1407" s="349"/>
      <c r="GZ1407" s="149"/>
      <c r="HO1407" s="348" t="s">
        <v>1647</v>
      </c>
      <c r="HP1407" s="348">
        <v>52429.26</v>
      </c>
    </row>
    <row r="1408" spans="1:224" s="348" customFormat="1" ht="76.5" x14ac:dyDescent="0.85">
      <c r="B1408" s="102" t="s">
        <v>1395</v>
      </c>
      <c r="C1408" s="23"/>
      <c r="D1408" s="106">
        <f t="shared" ref="D1408:AE1408" si="305">SUM(D1409:D1409)</f>
        <v>1846345.45</v>
      </c>
      <c r="E1408" s="98">
        <f t="shared" si="305"/>
        <v>0</v>
      </c>
      <c r="F1408" s="98">
        <f t="shared" si="305"/>
        <v>0</v>
      </c>
      <c r="G1408" s="98">
        <f t="shared" si="305"/>
        <v>0</v>
      </c>
      <c r="H1408" s="98">
        <f t="shared" si="305"/>
        <v>0</v>
      </c>
      <c r="I1408" s="98">
        <f t="shared" si="305"/>
        <v>0</v>
      </c>
      <c r="J1408" s="98">
        <f t="shared" si="305"/>
        <v>0</v>
      </c>
      <c r="K1408" s="99">
        <f t="shared" si="305"/>
        <v>0</v>
      </c>
      <c r="L1408" s="98">
        <f t="shared" si="305"/>
        <v>0</v>
      </c>
      <c r="M1408" s="98">
        <f t="shared" si="305"/>
        <v>298.25</v>
      </c>
      <c r="N1408" s="98">
        <f t="shared" si="305"/>
        <v>1819059.56</v>
      </c>
      <c r="O1408" s="98">
        <f t="shared" si="305"/>
        <v>0</v>
      </c>
      <c r="P1408" s="98">
        <f t="shared" si="305"/>
        <v>0</v>
      </c>
      <c r="Q1408" s="98">
        <f t="shared" si="305"/>
        <v>0</v>
      </c>
      <c r="R1408" s="98">
        <f t="shared" si="305"/>
        <v>0</v>
      </c>
      <c r="S1408" s="98">
        <f t="shared" si="305"/>
        <v>0</v>
      </c>
      <c r="T1408" s="98">
        <f t="shared" si="305"/>
        <v>0</v>
      </c>
      <c r="U1408" s="98">
        <f t="shared" si="305"/>
        <v>0</v>
      </c>
      <c r="V1408" s="98">
        <f t="shared" si="305"/>
        <v>0</v>
      </c>
      <c r="W1408" s="98">
        <f t="shared" si="305"/>
        <v>0</v>
      </c>
      <c r="X1408" s="98">
        <f t="shared" si="305"/>
        <v>0</v>
      </c>
      <c r="Y1408" s="98">
        <f t="shared" si="305"/>
        <v>0</v>
      </c>
      <c r="Z1408" s="98">
        <f t="shared" si="305"/>
        <v>0</v>
      </c>
      <c r="AA1408" s="98">
        <f t="shared" si="305"/>
        <v>0</v>
      </c>
      <c r="AB1408" s="98">
        <f t="shared" si="305"/>
        <v>0</v>
      </c>
      <c r="AC1408" s="106">
        <f t="shared" si="305"/>
        <v>27285.89</v>
      </c>
      <c r="AD1408" s="98">
        <f t="shared" si="305"/>
        <v>0</v>
      </c>
      <c r="AE1408" s="98">
        <f t="shared" si="305"/>
        <v>0</v>
      </c>
      <c r="AF1408" s="100" t="s">
        <v>1644</v>
      </c>
      <c r="AG1408" s="100" t="s">
        <v>1644</v>
      </c>
      <c r="AH1408" s="100" t="s">
        <v>1644</v>
      </c>
      <c r="AI1408" s="95"/>
      <c r="AJ1408" s="97"/>
      <c r="AK1408" s="103"/>
      <c r="AL1408" s="95"/>
      <c r="AM1408" s="95"/>
      <c r="AR1408" s="351"/>
      <c r="AS1408" s="149"/>
      <c r="BF1408" s="349"/>
      <c r="BR1408" s="349"/>
      <c r="BU1408" s="149"/>
      <c r="CH1408" s="349"/>
      <c r="CK1408" s="349"/>
      <c r="EJ1408" s="61"/>
      <c r="EL1408" s="149"/>
      <c r="EU1408" s="349"/>
      <c r="FI1408" s="61"/>
      <c r="FL1408" s="352"/>
      <c r="FM1408" s="149"/>
      <c r="FV1408" s="349"/>
      <c r="GN1408" s="353"/>
      <c r="GX1408" s="349"/>
      <c r="GZ1408" s="149"/>
      <c r="HB1408" s="349"/>
      <c r="HO1408" s="348" t="s">
        <v>1646</v>
      </c>
      <c r="HP1408" s="348">
        <v>44890.35</v>
      </c>
    </row>
    <row r="1409" spans="1:224" s="85" customFormat="1" ht="76.5" customHeight="1" x14ac:dyDescent="0.85">
      <c r="A1409" s="349"/>
      <c r="B1409" s="104">
        <v>5</v>
      </c>
      <c r="C1409" s="91" t="s">
        <v>2715</v>
      </c>
      <c r="D1409" s="106">
        <f>E1409+F1409+G1409+H1409+I1409+J1409+L1409+N1409+P1409+R1409+T1409+U1409+V1409+W1409+X1409+Y1409+Z1409+AA1409+AB1409+AC1409+AD1409+AE1409</f>
        <v>1846345.45</v>
      </c>
      <c r="E1409" s="105">
        <v>0</v>
      </c>
      <c r="F1409" s="106">
        <v>0</v>
      </c>
      <c r="G1409" s="106">
        <v>0</v>
      </c>
      <c r="H1409" s="106">
        <v>0</v>
      </c>
      <c r="I1409" s="106">
        <v>0</v>
      </c>
      <c r="J1409" s="106">
        <v>0</v>
      </c>
      <c r="K1409" s="99">
        <v>0</v>
      </c>
      <c r="L1409" s="106">
        <v>0</v>
      </c>
      <c r="M1409" s="106">
        <v>298.25</v>
      </c>
      <c r="N1409" s="106">
        <v>1819059.56</v>
      </c>
      <c r="O1409" s="106">
        <v>0</v>
      </c>
      <c r="P1409" s="106">
        <v>0</v>
      </c>
      <c r="Q1409" s="106">
        <v>0</v>
      </c>
      <c r="R1409" s="106">
        <v>0</v>
      </c>
      <c r="S1409" s="106">
        <v>0</v>
      </c>
      <c r="T1409" s="106">
        <v>0</v>
      </c>
      <c r="U1409" s="106">
        <v>0</v>
      </c>
      <c r="V1409" s="106">
        <v>0</v>
      </c>
      <c r="W1409" s="106">
        <v>0</v>
      </c>
      <c r="X1409" s="106">
        <v>0</v>
      </c>
      <c r="Y1409" s="106">
        <v>0</v>
      </c>
      <c r="Z1409" s="106">
        <v>0</v>
      </c>
      <c r="AA1409" s="106">
        <v>0</v>
      </c>
      <c r="AB1409" s="106">
        <v>0</v>
      </c>
      <c r="AC1409" s="106">
        <f>ROUND(N1409*1.5%,2)</f>
        <v>27285.89</v>
      </c>
      <c r="AD1409" s="106">
        <v>0</v>
      </c>
      <c r="AE1409" s="106">
        <v>0</v>
      </c>
      <c r="AF1409" s="201" t="s">
        <v>268</v>
      </c>
      <c r="AG1409" s="201">
        <v>2021</v>
      </c>
      <c r="AH1409" s="201">
        <v>2021</v>
      </c>
      <c r="AI1409" s="95"/>
      <c r="AJ1409" s="95"/>
      <c r="AK1409" s="103"/>
      <c r="AL1409" s="95"/>
      <c r="AM1409" s="95"/>
      <c r="AR1409" s="106"/>
      <c r="AS1409" s="149"/>
      <c r="BF1409" s="349"/>
      <c r="BR1409" s="349"/>
      <c r="BU1409" s="149"/>
      <c r="CH1409" s="349"/>
      <c r="CK1409" s="349"/>
      <c r="EJ1409" s="61"/>
      <c r="EL1409" s="149"/>
      <c r="EU1409" s="349"/>
      <c r="FI1409" s="61"/>
      <c r="FL1409" s="149"/>
      <c r="FM1409" s="149"/>
      <c r="FV1409" s="349"/>
      <c r="GN1409" s="353"/>
      <c r="GX1409" s="349"/>
      <c r="GZ1409" s="149"/>
      <c r="HO1409" s="85" t="s">
        <v>1647</v>
      </c>
      <c r="HP1409" s="85">
        <v>52429.26</v>
      </c>
    </row>
  </sheetData>
  <autoFilter ref="A18:HP1409" xr:uid="{F273B278-9737-491A-880F-03DBEF229698}"/>
  <mergeCells count="49">
    <mergeCell ref="B1392:C1392"/>
    <mergeCell ref="B1391:C1391"/>
    <mergeCell ref="B1383:C1383"/>
    <mergeCell ref="B1373:AH1373"/>
    <mergeCell ref="B1374:AH1374"/>
    <mergeCell ref="B1376:C1376"/>
    <mergeCell ref="Z12:Z16"/>
    <mergeCell ref="AA12:AA16"/>
    <mergeCell ref="B1375:C1375"/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U11:AE11"/>
    <mergeCell ref="AF11:AF17"/>
    <mergeCell ref="G13:G16"/>
    <mergeCell ref="H13:H16"/>
    <mergeCell ref="I13:I16"/>
    <mergeCell ref="X12:X16"/>
    <mergeCell ref="Y12:Y16"/>
    <mergeCell ref="J13:J16"/>
    <mergeCell ref="U12:U16"/>
    <mergeCell ref="V12:V16"/>
    <mergeCell ref="W12:W16"/>
    <mergeCell ref="B1390:AH1390"/>
    <mergeCell ref="B1401:C1401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</mergeCells>
  <phoneticPr fontId="44" type="noConversion"/>
  <pageMargins left="0" right="0.16" top="0.39370078740157483" bottom="0.39370078740157483" header="0" footer="0"/>
  <pageSetup paperSize="9" scale="10" orientation="portrait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GI1535"/>
  <sheetViews>
    <sheetView view="pageBreakPreview" topLeftCell="B7" zoomScale="30" zoomScaleNormal="40" zoomScaleSheetLayoutView="30" workbookViewId="0">
      <pane xSplit="2" ySplit="6" topLeftCell="D1377" activePane="bottomRight" state="frozen"/>
      <selection activeCell="B7" sqref="B7"/>
      <selection pane="topRight" activeCell="D7" sqref="D7"/>
      <selection pane="bottomLeft" activeCell="B13" sqref="B13"/>
      <selection pane="bottomRight" activeCell="B7" sqref="A1:XFD1048576"/>
    </sheetView>
  </sheetViews>
  <sheetFormatPr defaultRowHeight="27.75" x14ac:dyDescent="0.4"/>
  <cols>
    <col min="1" max="1" width="9.140625" style="4" hidden="1" customWidth="1"/>
    <col min="2" max="2" width="19.42578125" style="12" customWidth="1"/>
    <col min="3" max="3" width="168.7109375" style="4" bestFit="1" customWidth="1"/>
    <col min="4" max="4" width="35.140625" style="4" customWidth="1"/>
    <col min="5" max="5" width="29.28515625" style="12" customWidth="1"/>
    <col min="6" max="6" width="52.140625" style="4" customWidth="1"/>
    <col min="7" max="7" width="16.85546875" style="4" customWidth="1"/>
    <col min="8" max="8" width="17" style="4" customWidth="1"/>
    <col min="9" max="9" width="35.7109375" style="4" customWidth="1"/>
    <col min="10" max="10" width="34.7109375" style="4" customWidth="1"/>
    <col min="11" max="11" width="34.28515625" style="4" customWidth="1"/>
    <col min="12" max="12" width="22" style="13" customWidth="1"/>
    <col min="13" max="13" width="32.7109375" style="12" customWidth="1"/>
    <col min="14" max="14" width="43.28515625" style="12" customWidth="1"/>
    <col min="15" max="15" width="136.85546875" style="27" customWidth="1"/>
    <col min="16" max="16" width="46.7109375" style="14" customWidth="1"/>
    <col min="17" max="18" width="30.5703125" style="14" customWidth="1"/>
    <col min="19" max="19" width="41.42578125" style="14" customWidth="1"/>
    <col min="20" max="20" width="30.85546875" style="14" customWidth="1"/>
    <col min="21" max="21" width="32.28515625" style="14" customWidth="1"/>
    <col min="22" max="23" width="32.28515625" style="14" hidden="1" customWidth="1"/>
    <col min="24" max="24" width="32.28515625" style="143" hidden="1" customWidth="1"/>
    <col min="25" max="25" width="28.140625" style="142" hidden="1" customWidth="1"/>
    <col min="26" max="26" width="34.85546875" style="142" hidden="1" customWidth="1"/>
    <col min="27" max="28" width="23" style="142" hidden="1" customWidth="1"/>
    <col min="29" max="29" width="23.85546875" style="142" hidden="1" customWidth="1"/>
    <col min="30" max="30" width="39.28515625" style="143" hidden="1" customWidth="1"/>
    <col min="31" max="31" width="16" style="142" hidden="1" customWidth="1"/>
    <col min="32" max="32" width="30" style="143" hidden="1" customWidth="1"/>
    <col min="33" max="33" width="27.42578125" style="142" hidden="1" customWidth="1"/>
    <col min="34" max="34" width="28.85546875" style="143" hidden="1" customWidth="1"/>
    <col min="35" max="35" width="23.7109375" style="142" hidden="1" customWidth="1"/>
    <col min="36" max="36" width="47.7109375" style="143" hidden="1" customWidth="1"/>
    <col min="37" max="37" width="36.7109375" style="142" hidden="1" customWidth="1"/>
    <col min="38" max="38" width="28.85546875" style="142" hidden="1" customWidth="1"/>
    <col min="39" max="40" width="31.7109375" style="142" hidden="1" customWidth="1"/>
    <col min="41" max="41" width="37.7109375" style="142" hidden="1" customWidth="1"/>
    <col min="42" max="42" width="36" style="4" hidden="1" customWidth="1"/>
    <col min="43" max="74" width="9.140625" style="4" hidden="1" customWidth="1"/>
    <col min="75" max="75" width="29.7109375" style="4" bestFit="1" customWidth="1"/>
    <col min="76" max="76" width="34.85546875" style="4" bestFit="1" customWidth="1"/>
    <col min="77" max="77" width="38.28515625" style="4" bestFit="1" customWidth="1"/>
    <col min="78" max="128" width="9.140625" style="4" customWidth="1"/>
    <col min="129" max="147" width="9.140625" style="4"/>
    <col min="148" max="148" width="13" style="4" bestFit="1" customWidth="1"/>
    <col min="149" max="220" width="9.140625" style="4"/>
    <col min="221" max="221" width="20.5703125" style="4" bestFit="1" customWidth="1"/>
    <col min="222" max="16384" width="9.140625" style="4"/>
  </cols>
  <sheetData>
    <row r="1" spans="1:41" ht="36" x14ac:dyDescent="0.55000000000000004">
      <c r="B1" s="18"/>
      <c r="C1" s="20"/>
      <c r="D1" s="18"/>
      <c r="E1" s="65"/>
      <c r="F1" s="18"/>
      <c r="G1" s="18"/>
      <c r="H1" s="18"/>
      <c r="I1" s="18"/>
      <c r="J1" s="18"/>
      <c r="K1" s="38"/>
      <c r="L1" s="21"/>
      <c r="M1" s="19"/>
      <c r="N1" s="65"/>
      <c r="O1" s="39"/>
      <c r="P1" s="39"/>
      <c r="Q1" s="39"/>
      <c r="R1" s="39"/>
      <c r="S1" s="231" t="s">
        <v>965</v>
      </c>
      <c r="T1" s="231"/>
      <c r="U1" s="231"/>
      <c r="V1" s="198"/>
      <c r="W1" s="198"/>
      <c r="X1" s="135"/>
    </row>
    <row r="2" spans="1:41" ht="112.5" customHeight="1" x14ac:dyDescent="0.4">
      <c r="B2" s="18"/>
      <c r="C2" s="20"/>
      <c r="D2" s="18"/>
      <c r="E2" s="65"/>
      <c r="F2" s="18"/>
      <c r="G2" s="18"/>
      <c r="H2" s="18"/>
      <c r="I2" s="18"/>
      <c r="J2" s="18"/>
      <c r="K2" s="38"/>
      <c r="L2" s="21"/>
      <c r="M2" s="19"/>
      <c r="N2" s="65"/>
      <c r="O2" s="232" t="s">
        <v>966</v>
      </c>
      <c r="P2" s="232"/>
      <c r="Q2" s="232"/>
      <c r="R2" s="232"/>
      <c r="S2" s="232"/>
      <c r="T2" s="232"/>
      <c r="U2" s="232"/>
      <c r="V2" s="199"/>
      <c r="W2" s="199"/>
      <c r="X2" s="136"/>
    </row>
    <row r="3" spans="1:41" ht="15" customHeight="1" x14ac:dyDescent="0.4">
      <c r="B3" s="18"/>
      <c r="C3" s="20"/>
      <c r="D3" s="18"/>
      <c r="E3" s="65"/>
      <c r="F3" s="18"/>
      <c r="G3" s="18"/>
      <c r="H3" s="18"/>
      <c r="I3" s="18"/>
      <c r="J3" s="18"/>
      <c r="K3" s="38"/>
      <c r="L3" s="21"/>
      <c r="M3" s="19"/>
      <c r="N3" s="65"/>
      <c r="O3" s="232"/>
      <c r="P3" s="232"/>
      <c r="Q3" s="232"/>
      <c r="R3" s="232"/>
      <c r="S3" s="232"/>
      <c r="T3" s="232"/>
      <c r="U3" s="232"/>
      <c r="V3" s="199"/>
      <c r="W3" s="199"/>
      <c r="X3" s="136"/>
    </row>
    <row r="4" spans="1:41" ht="15" customHeight="1" x14ac:dyDescent="0.4">
      <c r="B4" s="230" t="s">
        <v>967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197"/>
      <c r="W4" s="197"/>
      <c r="X4" s="137"/>
    </row>
    <row r="5" spans="1:41" ht="15" customHeight="1" x14ac:dyDescent="0.4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197"/>
      <c r="W5" s="197"/>
      <c r="X5" s="137"/>
    </row>
    <row r="6" spans="1:41" ht="159" customHeight="1" x14ac:dyDescent="0.4"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197"/>
      <c r="W6" s="197"/>
      <c r="X6" s="137"/>
    </row>
    <row r="8" spans="1:41" s="11" customFormat="1" ht="96.75" customHeight="1" x14ac:dyDescent="0.4">
      <c r="B8" s="233" t="s">
        <v>6</v>
      </c>
      <c r="C8" s="233" t="s">
        <v>247</v>
      </c>
      <c r="D8" s="236" t="s">
        <v>248</v>
      </c>
      <c r="E8" s="237"/>
      <c r="F8" s="238" t="s">
        <v>249</v>
      </c>
      <c r="G8" s="238" t="s">
        <v>250</v>
      </c>
      <c r="H8" s="238" t="s">
        <v>251</v>
      </c>
      <c r="I8" s="238" t="s">
        <v>252</v>
      </c>
      <c r="J8" s="236" t="s">
        <v>253</v>
      </c>
      <c r="K8" s="237"/>
      <c r="L8" s="247" t="s">
        <v>992</v>
      </c>
      <c r="M8" s="250" t="s">
        <v>994</v>
      </c>
      <c r="N8" s="250" t="s">
        <v>995</v>
      </c>
      <c r="O8" s="233" t="s">
        <v>254</v>
      </c>
      <c r="P8" s="243" t="s">
        <v>255</v>
      </c>
      <c r="Q8" s="244"/>
      <c r="R8" s="244"/>
      <c r="S8" s="245"/>
      <c r="T8" s="241" t="s">
        <v>256</v>
      </c>
      <c r="U8" s="241" t="s">
        <v>257</v>
      </c>
      <c r="V8" s="86"/>
      <c r="W8" s="86"/>
      <c r="X8" s="138"/>
      <c r="Y8" s="142"/>
      <c r="Z8" s="142"/>
      <c r="AA8" s="142"/>
      <c r="AB8" s="142"/>
      <c r="AC8" s="142"/>
      <c r="AD8" s="143"/>
      <c r="AE8" s="142"/>
      <c r="AF8" s="143"/>
      <c r="AG8" s="142"/>
      <c r="AH8" s="143"/>
      <c r="AI8" s="142"/>
      <c r="AJ8" s="143"/>
      <c r="AK8" s="142"/>
      <c r="AL8" s="142"/>
      <c r="AM8" s="142"/>
      <c r="AN8" s="142"/>
      <c r="AO8" s="142"/>
    </row>
    <row r="9" spans="1:41" s="11" customFormat="1" ht="339.75" customHeight="1" x14ac:dyDescent="0.4">
      <c r="B9" s="234"/>
      <c r="C9" s="234"/>
      <c r="D9" s="238" t="s">
        <v>258</v>
      </c>
      <c r="E9" s="238" t="s">
        <v>259</v>
      </c>
      <c r="F9" s="239"/>
      <c r="G9" s="239"/>
      <c r="H9" s="239"/>
      <c r="I9" s="239"/>
      <c r="J9" s="238" t="s">
        <v>260</v>
      </c>
      <c r="K9" s="238" t="s">
        <v>993</v>
      </c>
      <c r="L9" s="248"/>
      <c r="M9" s="251"/>
      <c r="N9" s="251"/>
      <c r="O9" s="234"/>
      <c r="P9" s="241" t="s">
        <v>260</v>
      </c>
      <c r="Q9" s="241" t="s">
        <v>261</v>
      </c>
      <c r="R9" s="241" t="s">
        <v>262</v>
      </c>
      <c r="S9" s="241" t="s">
        <v>996</v>
      </c>
      <c r="T9" s="246"/>
      <c r="U9" s="246"/>
      <c r="V9" s="87"/>
      <c r="W9" s="87"/>
      <c r="X9" s="139"/>
      <c r="Y9" s="142"/>
      <c r="Z9" s="142"/>
      <c r="AA9" s="142"/>
      <c r="AB9" s="142"/>
      <c r="AC9" s="142"/>
      <c r="AD9" s="143"/>
      <c r="AE9" s="142"/>
      <c r="AF9" s="143"/>
      <c r="AG9" s="142"/>
      <c r="AH9" s="143"/>
      <c r="AI9" s="142"/>
      <c r="AJ9" s="143"/>
      <c r="AK9" s="142"/>
      <c r="AL9" s="142"/>
      <c r="AM9" s="142"/>
      <c r="AN9" s="142"/>
      <c r="AO9" s="142"/>
    </row>
    <row r="10" spans="1:41" s="11" customFormat="1" ht="45" customHeight="1" x14ac:dyDescent="0.4">
      <c r="B10" s="234"/>
      <c r="C10" s="234"/>
      <c r="D10" s="239"/>
      <c r="E10" s="239"/>
      <c r="F10" s="239"/>
      <c r="G10" s="239"/>
      <c r="H10" s="239"/>
      <c r="I10" s="240"/>
      <c r="J10" s="240"/>
      <c r="K10" s="240"/>
      <c r="L10" s="249"/>
      <c r="M10" s="251"/>
      <c r="N10" s="251"/>
      <c r="O10" s="234"/>
      <c r="P10" s="242"/>
      <c r="Q10" s="242"/>
      <c r="R10" s="242"/>
      <c r="S10" s="242"/>
      <c r="T10" s="242"/>
      <c r="U10" s="242"/>
      <c r="V10" s="87"/>
      <c r="W10" s="87"/>
      <c r="X10" s="139"/>
      <c r="Y10" s="142"/>
      <c r="Z10" s="142"/>
      <c r="AA10" s="142"/>
      <c r="AB10" s="142"/>
      <c r="AC10" s="142"/>
      <c r="AD10" s="143"/>
      <c r="AE10" s="142"/>
      <c r="AF10" s="143"/>
      <c r="AG10" s="142"/>
      <c r="AH10" s="143"/>
      <c r="AI10" s="142"/>
      <c r="AJ10" s="143"/>
      <c r="AK10" s="142"/>
      <c r="AL10" s="142"/>
      <c r="AM10" s="142"/>
      <c r="AN10" s="142"/>
      <c r="AO10" s="142"/>
    </row>
    <row r="11" spans="1:41" s="11" customFormat="1" ht="48" customHeight="1" x14ac:dyDescent="0.4">
      <c r="B11" s="235"/>
      <c r="C11" s="235"/>
      <c r="D11" s="240"/>
      <c r="E11" s="240"/>
      <c r="F11" s="240"/>
      <c r="G11" s="240"/>
      <c r="H11" s="240"/>
      <c r="I11" s="169" t="s">
        <v>38</v>
      </c>
      <c r="J11" s="169" t="s">
        <v>38</v>
      </c>
      <c r="K11" s="169" t="s">
        <v>38</v>
      </c>
      <c r="L11" s="40" t="s">
        <v>263</v>
      </c>
      <c r="M11" s="252"/>
      <c r="N11" s="252"/>
      <c r="O11" s="235"/>
      <c r="P11" s="41" t="s">
        <v>36</v>
      </c>
      <c r="Q11" s="41" t="s">
        <v>36</v>
      </c>
      <c r="R11" s="41" t="s">
        <v>36</v>
      </c>
      <c r="S11" s="41" t="s">
        <v>36</v>
      </c>
      <c r="T11" s="41" t="s">
        <v>264</v>
      </c>
      <c r="U11" s="41" t="s">
        <v>264</v>
      </c>
      <c r="V11" s="88"/>
      <c r="W11" s="88"/>
      <c r="X11" s="140" t="s">
        <v>1897</v>
      </c>
      <c r="Y11" s="142" t="s">
        <v>1898</v>
      </c>
      <c r="Z11" s="142" t="s">
        <v>1899</v>
      </c>
      <c r="AA11" s="142" t="s">
        <v>1900</v>
      </c>
      <c r="AB11" s="142" t="s">
        <v>1901</v>
      </c>
      <c r="AC11" s="142"/>
      <c r="AD11" s="143" t="s">
        <v>1902</v>
      </c>
      <c r="AE11" s="142"/>
      <c r="AF11" s="143" t="s">
        <v>1903</v>
      </c>
      <c r="AG11" s="142"/>
      <c r="AH11" s="143" t="s">
        <v>1904</v>
      </c>
      <c r="AI11" s="142"/>
      <c r="AJ11" s="143" t="s">
        <v>1905</v>
      </c>
      <c r="AK11" s="142"/>
      <c r="AL11" s="142" t="s">
        <v>1906</v>
      </c>
      <c r="AM11" s="142" t="s">
        <v>1907</v>
      </c>
      <c r="AN11" s="142"/>
      <c r="AO11" s="142" t="s">
        <v>1908</v>
      </c>
    </row>
    <row r="12" spans="1:41" s="11" customFormat="1" ht="40.5" customHeight="1" x14ac:dyDescent="0.4">
      <c r="B12" s="169">
        <v>1</v>
      </c>
      <c r="C12" s="169">
        <v>2</v>
      </c>
      <c r="D12" s="169">
        <v>3</v>
      </c>
      <c r="E12" s="169">
        <v>4</v>
      </c>
      <c r="F12" s="169">
        <v>5</v>
      </c>
      <c r="G12" s="169">
        <v>6</v>
      </c>
      <c r="H12" s="169">
        <v>7</v>
      </c>
      <c r="I12" s="169">
        <v>8</v>
      </c>
      <c r="J12" s="169">
        <v>9</v>
      </c>
      <c r="K12" s="169">
        <v>10</v>
      </c>
      <c r="L12" s="40">
        <v>11</v>
      </c>
      <c r="M12" s="169">
        <v>12</v>
      </c>
      <c r="N12" s="169">
        <v>13</v>
      </c>
      <c r="O12" s="168">
        <v>14</v>
      </c>
      <c r="P12" s="169">
        <v>15</v>
      </c>
      <c r="Q12" s="169">
        <v>16</v>
      </c>
      <c r="R12" s="169">
        <v>17</v>
      </c>
      <c r="S12" s="169">
        <v>18</v>
      </c>
      <c r="T12" s="169">
        <v>19</v>
      </c>
      <c r="U12" s="169">
        <v>20</v>
      </c>
      <c r="V12" s="89"/>
      <c r="W12" s="89"/>
      <c r="X12" s="141"/>
      <c r="Y12" s="142"/>
      <c r="Z12" s="142"/>
      <c r="AA12" s="142"/>
      <c r="AB12" s="142"/>
      <c r="AC12" s="142"/>
      <c r="AD12" s="143"/>
      <c r="AE12" s="142"/>
      <c r="AF12" s="143"/>
      <c r="AG12" s="142"/>
      <c r="AH12" s="143"/>
      <c r="AI12" s="142"/>
      <c r="AJ12" s="143"/>
      <c r="AK12" s="142"/>
      <c r="AL12" s="142"/>
      <c r="AM12" s="142"/>
      <c r="AN12" s="142"/>
      <c r="AO12" s="142"/>
    </row>
    <row r="13" spans="1:41" s="176" customFormat="1" ht="36" customHeight="1" x14ac:dyDescent="0.25">
      <c r="A13" s="355"/>
      <c r="B13" s="172" t="s">
        <v>744</v>
      </c>
      <c r="C13" s="356"/>
      <c r="D13" s="173" t="s">
        <v>882</v>
      </c>
      <c r="E13" s="173" t="s">
        <v>882</v>
      </c>
      <c r="F13" s="173" t="s">
        <v>882</v>
      </c>
      <c r="G13" s="173" t="s">
        <v>882</v>
      </c>
      <c r="H13" s="173" t="s">
        <v>882</v>
      </c>
      <c r="I13" s="177">
        <f>I14+I550+I1085</f>
        <v>3203667.2100000009</v>
      </c>
      <c r="J13" s="177">
        <f>J14+J550+J1085</f>
        <v>2720365.56</v>
      </c>
      <c r="K13" s="177">
        <f>K14+K550+K1085</f>
        <v>2480330.8700000006</v>
      </c>
      <c r="L13" s="357">
        <f>L14+L550+L1085</f>
        <v>111013</v>
      </c>
      <c r="M13" s="173" t="s">
        <v>882</v>
      </c>
      <c r="N13" s="173" t="s">
        <v>882</v>
      </c>
      <c r="O13" s="175" t="s">
        <v>882</v>
      </c>
      <c r="P13" s="177">
        <v>3780785918.5899997</v>
      </c>
      <c r="Q13" s="177">
        <f>Q14+Q550+Q1085</f>
        <v>22294400</v>
      </c>
      <c r="R13" s="177">
        <f>R14+R550+R1085</f>
        <v>7775487.959999999</v>
      </c>
      <c r="S13" s="177">
        <f>S14+S550+S1085</f>
        <v>3745859318.79</v>
      </c>
      <c r="T13" s="170">
        <f t="shared" ref="T13:T76" si="0">P13/I13</f>
        <v>1180.1431518194422</v>
      </c>
      <c r="U13" s="170">
        <f>MAX(U14:U1365)</f>
        <v>102555.69736389685</v>
      </c>
      <c r="V13" s="202"/>
      <c r="W13" s="202"/>
      <c r="X13" s="202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</row>
    <row r="14" spans="1:41" s="176" customFormat="1" ht="36" customHeight="1" x14ac:dyDescent="0.25">
      <c r="B14" s="172" t="s">
        <v>745</v>
      </c>
      <c r="C14" s="356"/>
      <c r="D14" s="173" t="s">
        <v>882</v>
      </c>
      <c r="E14" s="173" t="s">
        <v>882</v>
      </c>
      <c r="F14" s="173" t="s">
        <v>882</v>
      </c>
      <c r="G14" s="173" t="s">
        <v>882</v>
      </c>
      <c r="H14" s="173" t="s">
        <v>882</v>
      </c>
      <c r="I14" s="177">
        <f>I15+I120+I150+I196+I233+I239+I266+I272+I279+I284+I286+I289+I295+I301+I303+I319+I336+I341+I344+I347+I351+I354+I356+I374+I377+I379+I381+I386+I389+I391+I396+I398+I406+I408+I412+I416+I418+I422+I429+I435+I438+I451+I453+I455+I457+I459+I461+I467+I479+I488+I490+I497+I503+I505+I508+I511+I513+I516+I522+I524+I527+I529+I539+I544+I547+I449+I492</f>
        <v>1282974.6400000004</v>
      </c>
      <c r="J14" s="177">
        <f>J15+J120+J150+J196+J233+J239+J266+J272+J279+J284+J286+J289+J295+J301+J303+J319+J336+J341+J344+J347+J351+J354+J356+J374+J377+J379+J381+J386+J389+J391+J396+J398+J406+J408+J412+J416+J418+J422+J429+J435+J438+J451+J453+J455+J457+J459+J461+J467+J479+J488+J490+J497+J503+J505+J508+J511+J513+J516+J522+J524+J527+J529+J539+J544+J547+J449+J492</f>
        <v>1075650.6500000004</v>
      </c>
      <c r="K14" s="177">
        <f>K15+K120+K150+K196+K233+K239+K266+K272+K279+K284+K286+K289+K295+K301+K303+K319+K336+K341+K344+K347+K351+K354+K356+K374+K377+K379+K381+K386+K389+K391+K396+K398+K406+K408+K412+K416+K418+K422+K429+K435+K438+K451+K453+K455+K457+K459+K461+K467+K479+K488+K490+K497+K503+K505+K508+K511+K513+K516+K522+K524+K527+K529+K539+K544+K547+K449+K492</f>
        <v>1031270.2800000003</v>
      </c>
      <c r="L14" s="357">
        <f>L15+L120+L150+L196+L233+L239+L266+L272+L279+L284+L286+L289+L295+L301+L303+L319+L336+L341+L344+L347+L351+L354+L356+L374+L377+L379+L381+L386+L389+L391+L396+L398+L406+L408+L412+L416+L418+L422+L429+L435+L438+L451+L453+L455+L457+L459+L461+L467+L479+L488+L490+L497+L503+L505+L508+L511+L513+L516+L522+L524+L527+L529+L539+L544+L547+L449+L492</f>
        <v>49293</v>
      </c>
      <c r="M14" s="173" t="s">
        <v>882</v>
      </c>
      <c r="N14" s="173" t="s">
        <v>882</v>
      </c>
      <c r="O14" s="175" t="s">
        <v>882</v>
      </c>
      <c r="P14" s="177">
        <v>1064965830.9899999</v>
      </c>
      <c r="Q14" s="177">
        <f>Q15+Q120+Q150+Q196+Q233+Q239+Q266+Q272+Q279+Q284+Q286+Q289+Q295+Q301+Q303+Q319+Q336+Q341+Q344+Q347+Q351+Q354+Q356+Q374+Q377+Q379+Q381+Q386+Q389+Q391+Q396+Q398+Q406+Q408+Q412+Q416+Q418+Q422+Q429+Q435+Q438+Q451+Q453+Q455+Q457+Q459+Q461+Q467+Q479+Q488+Q490+Q497+Q503+Q505+Q508+Q511+Q513+Q516+Q522+Q524+Q527+Q529+Q539+Q544+Q547+Q449+Q492</f>
        <v>0</v>
      </c>
      <c r="R14" s="177">
        <f>R15+R120+R150+R196+R233+R239+R266+R272+R279+R284+R286+R289+R295+R301+R303+R319+R336+R341+R344+R347+R351+R354+R356+R374+R377+R379+R381+R386+R389+R391+R396+R398+R406+R408+R412+R416+R418+R422+R429+R435+R438+R451+R453+R455+R457+R459+R461+R467+R479+R488+R490+R497+R503+R505+R508+R511+R513+R516+R522+R524+R527+R529+R539+R544+R547+R449+R492</f>
        <v>2908349.77</v>
      </c>
      <c r="S14" s="177">
        <f>S15+S120+S150+S196+S233+S239+S266+S272+S279+S284+S286+S289+S295+S301+S303+S319+S336+S341+S344+S347+S351+S354+S356+S374+S377+S379+S381+S386+S389+S391+S396+S398+S406+S408+S412+S416+S418+S422+S429+S435+S438+S451+S453+S455+S457+S459+S461+S467+S479+S488+S490+S497+S503+S505+S508+S511+S513+S516+S522+S524+S527+S529+S539+S544+S547+S449+S492</f>
        <v>1062057481.2199998</v>
      </c>
      <c r="T14" s="170">
        <f t="shared" si="0"/>
        <v>830.0755118511147</v>
      </c>
      <c r="U14" s="170">
        <f>MAX(U15:U547)</f>
        <v>16026.236550396923</v>
      </c>
      <c r="V14" s="202"/>
      <c r="W14" s="202"/>
      <c r="X14" s="202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</row>
    <row r="15" spans="1:41" s="176" customFormat="1" ht="36" customHeight="1" x14ac:dyDescent="0.25">
      <c r="B15" s="172" t="s">
        <v>1078</v>
      </c>
      <c r="C15" s="358"/>
      <c r="D15" s="173" t="s">
        <v>882</v>
      </c>
      <c r="E15" s="173" t="s">
        <v>882</v>
      </c>
      <c r="F15" s="173" t="s">
        <v>882</v>
      </c>
      <c r="G15" s="173" t="s">
        <v>882</v>
      </c>
      <c r="H15" s="173" t="s">
        <v>882</v>
      </c>
      <c r="I15" s="177">
        <f>SUM(I16:I119)</f>
        <v>362242.11000000022</v>
      </c>
      <c r="J15" s="177">
        <f>SUM(J16:J119)</f>
        <v>302352.30000000005</v>
      </c>
      <c r="K15" s="177">
        <f>SUM(K16:K119)</f>
        <v>281560.70000000007</v>
      </c>
      <c r="L15" s="357">
        <f>SUM(L16:L119)</f>
        <v>13536</v>
      </c>
      <c r="M15" s="173" t="s">
        <v>882</v>
      </c>
      <c r="N15" s="173" t="s">
        <v>882</v>
      </c>
      <c r="O15" s="175" t="s">
        <v>882</v>
      </c>
      <c r="P15" s="177">
        <v>265883729</v>
      </c>
      <c r="Q15" s="177">
        <f>SUM(Q16:Q119)</f>
        <v>0</v>
      </c>
      <c r="R15" s="177">
        <f>SUM(R16:R119)</f>
        <v>0</v>
      </c>
      <c r="S15" s="177">
        <f>SUM(S16:S119)</f>
        <v>265883729</v>
      </c>
      <c r="T15" s="170">
        <f t="shared" si="0"/>
        <v>733.99453476019073</v>
      </c>
      <c r="U15" s="170">
        <f>MAX(U16:U119)</f>
        <v>10067.597829556336</v>
      </c>
      <c r="V15" s="202"/>
      <c r="W15" s="202"/>
      <c r="X15" s="202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</row>
    <row r="16" spans="1:41" s="176" customFormat="1" ht="36" customHeight="1" x14ac:dyDescent="0.25">
      <c r="A16" s="176">
        <v>1</v>
      </c>
      <c r="B16" s="171">
        <f>SUBTOTAL(103,$A16:A$16)</f>
        <v>1</v>
      </c>
      <c r="C16" s="172" t="s">
        <v>477</v>
      </c>
      <c r="D16" s="173">
        <v>1994</v>
      </c>
      <c r="E16" s="173"/>
      <c r="F16" s="174" t="s">
        <v>267</v>
      </c>
      <c r="G16" s="173">
        <v>5</v>
      </c>
      <c r="H16" s="173" t="s">
        <v>304</v>
      </c>
      <c r="I16" s="170">
        <v>1202.5999999999999</v>
      </c>
      <c r="J16" s="170">
        <v>620.9</v>
      </c>
      <c r="K16" s="170">
        <v>620.9</v>
      </c>
      <c r="L16" s="206">
        <v>52</v>
      </c>
      <c r="M16" s="173" t="s">
        <v>265</v>
      </c>
      <c r="N16" s="173" t="s">
        <v>269</v>
      </c>
      <c r="O16" s="175" t="s">
        <v>2249</v>
      </c>
      <c r="P16" s="170">
        <v>1821107.48</v>
      </c>
      <c r="Q16" s="170">
        <v>0</v>
      </c>
      <c r="R16" s="170">
        <v>0</v>
      </c>
      <c r="S16" s="170">
        <f t="shared" ref="S16:S79" si="1">P16-Q16-R16</f>
        <v>1821107.48</v>
      </c>
      <c r="T16" s="170">
        <f t="shared" si="0"/>
        <v>1514.308564776318</v>
      </c>
      <c r="U16" s="170">
        <v>2110.4299018792617</v>
      </c>
      <c r="V16" s="202">
        <f>U16-T16</f>
        <v>596.1213371029437</v>
      </c>
      <c r="W16" s="202">
        <f>X16+Y16+Z16+AA16+AB16+AD16+AF16+AH16+AJ16+AL16+AN16+AO16</f>
        <v>2248.9854266589055</v>
      </c>
      <c r="X16" s="202">
        <v>0</v>
      </c>
      <c r="Y16" s="203">
        <v>0</v>
      </c>
      <c r="Z16" s="203">
        <v>0</v>
      </c>
      <c r="AA16" s="203">
        <v>0</v>
      </c>
      <c r="AB16" s="203">
        <v>0</v>
      </c>
      <c r="AC16" s="203">
        <v>0</v>
      </c>
      <c r="AD16" s="203">
        <v>0</v>
      </c>
      <c r="AE16" s="203">
        <v>433.51</v>
      </c>
      <c r="AF16" s="202">
        <f>6238.91*AE16/I16</f>
        <v>2248.9854266589055</v>
      </c>
      <c r="AG16" s="203">
        <v>0</v>
      </c>
      <c r="AH16" s="202">
        <v>0</v>
      </c>
      <c r="AI16" s="203">
        <v>0</v>
      </c>
      <c r="AJ16" s="202">
        <v>0</v>
      </c>
      <c r="AK16" s="203">
        <v>0</v>
      </c>
      <c r="AL16" s="203">
        <v>0</v>
      </c>
      <c r="AM16" s="203">
        <v>0</v>
      </c>
      <c r="AN16" s="203"/>
      <c r="AO16" s="203">
        <v>0</v>
      </c>
    </row>
    <row r="17" spans="1:41" s="176" customFormat="1" ht="36" customHeight="1" x14ac:dyDescent="0.25">
      <c r="A17" s="176">
        <v>1</v>
      </c>
      <c r="B17" s="171">
        <f>SUBTOTAL(103,$A$16:A17)</f>
        <v>2</v>
      </c>
      <c r="C17" s="172" t="s">
        <v>1054</v>
      </c>
      <c r="D17" s="173">
        <v>1959</v>
      </c>
      <c r="E17" s="173"/>
      <c r="F17" s="174" t="s">
        <v>267</v>
      </c>
      <c r="G17" s="173">
        <v>2</v>
      </c>
      <c r="H17" s="173" t="s">
        <v>303</v>
      </c>
      <c r="I17" s="170">
        <v>918.1</v>
      </c>
      <c r="J17" s="170">
        <v>907</v>
      </c>
      <c r="K17" s="170">
        <v>907</v>
      </c>
      <c r="L17" s="206">
        <v>40</v>
      </c>
      <c r="M17" s="173" t="s">
        <v>265</v>
      </c>
      <c r="N17" s="173" t="s">
        <v>269</v>
      </c>
      <c r="O17" s="175" t="s">
        <v>1062</v>
      </c>
      <c r="P17" s="170">
        <v>69778.55</v>
      </c>
      <c r="Q17" s="170">
        <v>0</v>
      </c>
      <c r="R17" s="170">
        <v>0</v>
      </c>
      <c r="S17" s="170">
        <f t="shared" si="1"/>
        <v>69778.55</v>
      </c>
      <c r="T17" s="170">
        <f t="shared" si="0"/>
        <v>76.003213157608101</v>
      </c>
      <c r="U17" s="170">
        <v>76.003213157608101</v>
      </c>
      <c r="V17" s="202">
        <f t="shared" ref="V17:V80" si="2">U17-T17</f>
        <v>0</v>
      </c>
      <c r="W17" s="202">
        <f t="shared" ref="W17:W80" si="3">X17+Y17+Z17+AA17+AB17+AD17+AF17+AH17+AJ17+AL17+AN17+AO17</f>
        <v>3397.7290055549502</v>
      </c>
      <c r="X17" s="202">
        <v>0</v>
      </c>
      <c r="Y17" s="203">
        <v>0</v>
      </c>
      <c r="Z17" s="203">
        <v>0</v>
      </c>
      <c r="AA17" s="203">
        <v>0</v>
      </c>
      <c r="AB17" s="203">
        <v>0</v>
      </c>
      <c r="AC17" s="203">
        <v>0</v>
      </c>
      <c r="AD17" s="203">
        <v>0</v>
      </c>
      <c r="AE17" s="203">
        <v>500</v>
      </c>
      <c r="AF17" s="202">
        <f>6238.91*AE17/I17</f>
        <v>3397.7290055549502</v>
      </c>
      <c r="AG17" s="203">
        <v>0</v>
      </c>
      <c r="AH17" s="202">
        <v>0</v>
      </c>
      <c r="AI17" s="203">
        <v>0</v>
      </c>
      <c r="AJ17" s="202">
        <v>0</v>
      </c>
      <c r="AK17" s="203">
        <v>0</v>
      </c>
      <c r="AL17" s="203">
        <v>0</v>
      </c>
      <c r="AM17" s="203">
        <v>0</v>
      </c>
      <c r="AN17" s="203"/>
      <c r="AO17" s="203">
        <v>0</v>
      </c>
    </row>
    <row r="18" spans="1:41" s="176" customFormat="1" ht="36" customHeight="1" x14ac:dyDescent="0.25">
      <c r="A18" s="176">
        <v>1</v>
      </c>
      <c r="B18" s="171">
        <f>SUBTOTAL(103,$A$16:A18)</f>
        <v>3</v>
      </c>
      <c r="C18" s="172" t="s">
        <v>478</v>
      </c>
      <c r="D18" s="173">
        <v>1992</v>
      </c>
      <c r="E18" s="173"/>
      <c r="F18" s="174" t="s">
        <v>267</v>
      </c>
      <c r="G18" s="173">
        <v>9</v>
      </c>
      <c r="H18" s="173" t="s">
        <v>304</v>
      </c>
      <c r="I18" s="170">
        <v>4744.5</v>
      </c>
      <c r="J18" s="170">
        <v>4743.3999999999996</v>
      </c>
      <c r="K18" s="170">
        <v>4654.5</v>
      </c>
      <c r="L18" s="206">
        <v>252</v>
      </c>
      <c r="M18" s="173" t="s">
        <v>265</v>
      </c>
      <c r="N18" s="173" t="s">
        <v>269</v>
      </c>
      <c r="O18" s="175" t="s">
        <v>348</v>
      </c>
      <c r="P18" s="170">
        <v>1775379.67</v>
      </c>
      <c r="Q18" s="170">
        <v>0</v>
      </c>
      <c r="R18" s="170">
        <v>0</v>
      </c>
      <c r="S18" s="170">
        <f t="shared" si="1"/>
        <v>1775379.67</v>
      </c>
      <c r="T18" s="170">
        <f t="shared" si="0"/>
        <v>374.19742227842761</v>
      </c>
      <c r="U18" s="170">
        <v>518.03140478448734</v>
      </c>
      <c r="V18" s="202">
        <f t="shared" si="2"/>
        <v>143.83398250605973</v>
      </c>
      <c r="W18" s="202">
        <f t="shared" si="3"/>
        <v>518.03140478448734</v>
      </c>
      <c r="X18" s="202">
        <v>0</v>
      </c>
      <c r="Y18" s="203">
        <v>0</v>
      </c>
      <c r="Z18" s="203">
        <v>0</v>
      </c>
      <c r="AA18" s="203">
        <v>0</v>
      </c>
      <c r="AB18" s="203">
        <v>0</v>
      </c>
      <c r="AC18" s="203">
        <v>1</v>
      </c>
      <c r="AD18" s="202">
        <f>2457800*AC18/I18</f>
        <v>518.03140478448734</v>
      </c>
      <c r="AE18" s="203">
        <v>0</v>
      </c>
      <c r="AF18" s="202">
        <v>0</v>
      </c>
      <c r="AG18" s="203">
        <v>0</v>
      </c>
      <c r="AH18" s="202">
        <v>0</v>
      </c>
      <c r="AI18" s="203">
        <v>0</v>
      </c>
      <c r="AJ18" s="202">
        <v>0</v>
      </c>
      <c r="AK18" s="203">
        <v>0</v>
      </c>
      <c r="AL18" s="203">
        <v>0</v>
      </c>
      <c r="AM18" s="203">
        <v>0</v>
      </c>
      <c r="AN18" s="203"/>
      <c r="AO18" s="203">
        <v>0</v>
      </c>
    </row>
    <row r="19" spans="1:41" s="176" customFormat="1" ht="36" customHeight="1" x14ac:dyDescent="0.25">
      <c r="A19" s="176">
        <v>1</v>
      </c>
      <c r="B19" s="171">
        <f>SUBTOTAL(103,$A$16:A19)</f>
        <v>4</v>
      </c>
      <c r="C19" s="172" t="s">
        <v>480</v>
      </c>
      <c r="D19" s="173">
        <v>1978</v>
      </c>
      <c r="E19" s="173"/>
      <c r="F19" s="174" t="s">
        <v>311</v>
      </c>
      <c r="G19" s="173">
        <v>9</v>
      </c>
      <c r="H19" s="173" t="s">
        <v>303</v>
      </c>
      <c r="I19" s="170">
        <v>4430.5</v>
      </c>
      <c r="J19" s="170">
        <v>3929.6</v>
      </c>
      <c r="K19" s="170">
        <v>3929.6</v>
      </c>
      <c r="L19" s="206">
        <v>188</v>
      </c>
      <c r="M19" s="173" t="s">
        <v>265</v>
      </c>
      <c r="N19" s="173" t="s">
        <v>269</v>
      </c>
      <c r="O19" s="175" t="s">
        <v>1062</v>
      </c>
      <c r="P19" s="170">
        <v>2444609.7599999998</v>
      </c>
      <c r="Q19" s="170">
        <v>0</v>
      </c>
      <c r="R19" s="170">
        <v>0</v>
      </c>
      <c r="S19" s="170">
        <f t="shared" si="1"/>
        <v>2444609.7599999998</v>
      </c>
      <c r="T19" s="170">
        <f t="shared" si="0"/>
        <v>551.76836925854866</v>
      </c>
      <c r="U19" s="170">
        <v>875.4292292066358</v>
      </c>
      <c r="V19" s="202">
        <f t="shared" si="2"/>
        <v>323.66085994808714</v>
      </c>
      <c r="W19" s="202">
        <f t="shared" si="3"/>
        <v>890.20465742015563</v>
      </c>
      <c r="X19" s="202">
        <v>0</v>
      </c>
      <c r="Y19" s="203">
        <v>0</v>
      </c>
      <c r="Z19" s="203">
        <v>0</v>
      </c>
      <c r="AA19" s="203">
        <v>0</v>
      </c>
      <c r="AB19" s="203">
        <v>0</v>
      </c>
      <c r="AC19" s="203">
        <v>0</v>
      </c>
      <c r="AD19" s="203">
        <v>0</v>
      </c>
      <c r="AE19" s="203">
        <v>632.16999999999996</v>
      </c>
      <c r="AF19" s="202">
        <f>6238.91*AE19/I19</f>
        <v>890.20465742015563</v>
      </c>
      <c r="AG19" s="203">
        <v>0</v>
      </c>
      <c r="AH19" s="202">
        <v>0</v>
      </c>
      <c r="AI19" s="203">
        <v>0</v>
      </c>
      <c r="AJ19" s="202">
        <v>0</v>
      </c>
      <c r="AK19" s="203">
        <v>0</v>
      </c>
      <c r="AL19" s="203">
        <v>0</v>
      </c>
      <c r="AM19" s="203">
        <v>0</v>
      </c>
      <c r="AN19" s="203"/>
      <c r="AO19" s="203">
        <v>0</v>
      </c>
    </row>
    <row r="20" spans="1:41" s="176" customFormat="1" ht="36" customHeight="1" x14ac:dyDescent="0.25">
      <c r="A20" s="176">
        <v>1</v>
      </c>
      <c r="B20" s="171">
        <f>SUBTOTAL(103,$A$16:A20)</f>
        <v>5</v>
      </c>
      <c r="C20" s="172" t="s">
        <v>481</v>
      </c>
      <c r="D20" s="173">
        <v>1957</v>
      </c>
      <c r="E20" s="173"/>
      <c r="F20" s="174" t="s">
        <v>267</v>
      </c>
      <c r="G20" s="173">
        <v>2</v>
      </c>
      <c r="H20" s="173" t="s">
        <v>304</v>
      </c>
      <c r="I20" s="170">
        <v>731.7</v>
      </c>
      <c r="J20" s="170">
        <v>435.3</v>
      </c>
      <c r="K20" s="170">
        <v>435.3</v>
      </c>
      <c r="L20" s="206">
        <v>18</v>
      </c>
      <c r="M20" s="173" t="s">
        <v>265</v>
      </c>
      <c r="N20" s="173" t="s">
        <v>269</v>
      </c>
      <c r="O20" s="175" t="s">
        <v>1310</v>
      </c>
      <c r="P20" s="170">
        <v>1178315.53</v>
      </c>
      <c r="Q20" s="170">
        <v>0</v>
      </c>
      <c r="R20" s="170">
        <v>0</v>
      </c>
      <c r="S20" s="170">
        <f t="shared" si="1"/>
        <v>1178315.53</v>
      </c>
      <c r="T20" s="170">
        <f t="shared" si="0"/>
        <v>1610.3806614732814</v>
      </c>
      <c r="U20" s="170">
        <v>4798.763427634276</v>
      </c>
      <c r="V20" s="202">
        <f t="shared" si="2"/>
        <v>3188.3827661609948</v>
      </c>
      <c r="W20" s="202">
        <f t="shared" si="3"/>
        <v>5081.4024600246003</v>
      </c>
      <c r="X20" s="202">
        <v>0</v>
      </c>
      <c r="Y20" s="203">
        <v>0</v>
      </c>
      <c r="Z20" s="203">
        <v>0</v>
      </c>
      <c r="AA20" s="203">
        <v>0</v>
      </c>
      <c r="AB20" s="203">
        <v>0</v>
      </c>
      <c r="AC20" s="203">
        <v>0</v>
      </c>
      <c r="AD20" s="203">
        <v>0</v>
      </c>
      <c r="AE20" s="203">
        <v>0</v>
      </c>
      <c r="AF20" s="202">
        <v>0</v>
      </c>
      <c r="AG20" s="203">
        <v>0</v>
      </c>
      <c r="AH20" s="202">
        <v>0</v>
      </c>
      <c r="AI20" s="203">
        <v>499.8</v>
      </c>
      <c r="AJ20" s="202">
        <f>7439.1*AI20/I20</f>
        <v>5081.4024600246003</v>
      </c>
      <c r="AK20" s="203">
        <v>0</v>
      </c>
      <c r="AL20" s="203">
        <v>0</v>
      </c>
      <c r="AM20" s="203">
        <v>0</v>
      </c>
      <c r="AN20" s="203"/>
      <c r="AO20" s="203">
        <v>0</v>
      </c>
    </row>
    <row r="21" spans="1:41" s="176" customFormat="1" ht="36" customHeight="1" x14ac:dyDescent="0.25">
      <c r="A21" s="176">
        <v>1</v>
      </c>
      <c r="B21" s="171">
        <f>SUBTOTAL(103,$A$16:A21)</f>
        <v>6</v>
      </c>
      <c r="C21" s="172" t="s">
        <v>482</v>
      </c>
      <c r="D21" s="173">
        <v>1986</v>
      </c>
      <c r="E21" s="173"/>
      <c r="F21" s="174" t="s">
        <v>311</v>
      </c>
      <c r="G21" s="173">
        <v>9</v>
      </c>
      <c r="H21" s="173" t="s">
        <v>303</v>
      </c>
      <c r="I21" s="170">
        <v>4300.7</v>
      </c>
      <c r="J21" s="170">
        <v>3861.7</v>
      </c>
      <c r="K21" s="170">
        <v>3861.7</v>
      </c>
      <c r="L21" s="206">
        <v>213</v>
      </c>
      <c r="M21" s="173" t="s">
        <v>265</v>
      </c>
      <c r="N21" s="173" t="s">
        <v>269</v>
      </c>
      <c r="O21" s="175" t="s">
        <v>1077</v>
      </c>
      <c r="P21" s="170">
        <v>1996366.9600000002</v>
      </c>
      <c r="Q21" s="170">
        <v>0</v>
      </c>
      <c r="R21" s="170">
        <v>0</v>
      </c>
      <c r="S21" s="170">
        <f t="shared" si="1"/>
        <v>1996366.9600000002</v>
      </c>
      <c r="T21" s="170">
        <f t="shared" si="0"/>
        <v>464.19581928523269</v>
      </c>
      <c r="U21" s="170">
        <v>926.06143185992983</v>
      </c>
      <c r="V21" s="202">
        <f t="shared" si="2"/>
        <v>461.86561257469714</v>
      </c>
      <c r="W21" s="202">
        <f t="shared" si="3"/>
        <v>934.23350617341373</v>
      </c>
      <c r="X21" s="202">
        <v>0</v>
      </c>
      <c r="Y21" s="203">
        <v>0</v>
      </c>
      <c r="Z21" s="203">
        <v>0</v>
      </c>
      <c r="AA21" s="203">
        <v>0</v>
      </c>
      <c r="AB21" s="203">
        <v>0</v>
      </c>
      <c r="AC21" s="203">
        <v>0</v>
      </c>
      <c r="AD21" s="203">
        <v>0</v>
      </c>
      <c r="AE21" s="203">
        <v>644</v>
      </c>
      <c r="AF21" s="202">
        <f t="shared" ref="AF21:AF28" si="4">6238.91*AE21/I21</f>
        <v>934.23350617341373</v>
      </c>
      <c r="AG21" s="203">
        <v>0</v>
      </c>
      <c r="AH21" s="202">
        <v>0</v>
      </c>
      <c r="AI21" s="203">
        <v>0</v>
      </c>
      <c r="AJ21" s="202">
        <v>0</v>
      </c>
      <c r="AK21" s="203">
        <v>0</v>
      </c>
      <c r="AL21" s="203">
        <v>0</v>
      </c>
      <c r="AM21" s="203">
        <v>0</v>
      </c>
      <c r="AN21" s="203"/>
      <c r="AO21" s="203">
        <v>0</v>
      </c>
    </row>
    <row r="22" spans="1:41" s="176" customFormat="1" ht="36" customHeight="1" x14ac:dyDescent="0.25">
      <c r="A22" s="176">
        <v>1</v>
      </c>
      <c r="B22" s="171">
        <f>SUBTOTAL(103,$A$16:A22)</f>
        <v>7</v>
      </c>
      <c r="C22" s="172" t="s">
        <v>484</v>
      </c>
      <c r="D22" s="173">
        <v>1955</v>
      </c>
      <c r="E22" s="173"/>
      <c r="F22" s="174" t="s">
        <v>267</v>
      </c>
      <c r="G22" s="173">
        <v>3</v>
      </c>
      <c r="H22" s="173" t="s">
        <v>303</v>
      </c>
      <c r="I22" s="170">
        <v>1722.8</v>
      </c>
      <c r="J22" s="170">
        <v>1242.5</v>
      </c>
      <c r="K22" s="170">
        <v>1242.5</v>
      </c>
      <c r="L22" s="206">
        <v>48</v>
      </c>
      <c r="M22" s="173" t="s">
        <v>265</v>
      </c>
      <c r="N22" s="173" t="s">
        <v>269</v>
      </c>
      <c r="O22" s="175" t="s">
        <v>1386</v>
      </c>
      <c r="P22" s="170">
        <v>3053881.54</v>
      </c>
      <c r="Q22" s="170">
        <v>0</v>
      </c>
      <c r="R22" s="170">
        <v>0</v>
      </c>
      <c r="S22" s="170">
        <f t="shared" si="1"/>
        <v>3053881.54</v>
      </c>
      <c r="T22" s="170">
        <f t="shared" si="0"/>
        <v>1772.6268516368702</v>
      </c>
      <c r="U22" s="170">
        <v>2695.8151027397257</v>
      </c>
      <c r="V22" s="202">
        <f t="shared" si="2"/>
        <v>923.18825110285547</v>
      </c>
      <c r="W22" s="202">
        <f t="shared" si="3"/>
        <v>2187.3123055491064</v>
      </c>
      <c r="X22" s="202">
        <v>0</v>
      </c>
      <c r="Y22" s="203">
        <v>0</v>
      </c>
      <c r="Z22" s="203">
        <v>0</v>
      </c>
      <c r="AA22" s="203">
        <v>0</v>
      </c>
      <c r="AB22" s="203">
        <v>0</v>
      </c>
      <c r="AC22" s="203">
        <v>0</v>
      </c>
      <c r="AD22" s="203">
        <v>0</v>
      </c>
      <c r="AE22" s="203">
        <v>604</v>
      </c>
      <c r="AF22" s="202">
        <f t="shared" si="4"/>
        <v>2187.3123055491064</v>
      </c>
      <c r="AG22" s="203">
        <v>0</v>
      </c>
      <c r="AH22" s="202">
        <v>0</v>
      </c>
      <c r="AI22" s="203">
        <v>0</v>
      </c>
      <c r="AJ22" s="202">
        <v>0</v>
      </c>
      <c r="AK22" s="203">
        <v>0</v>
      </c>
      <c r="AL22" s="203">
        <v>0</v>
      </c>
      <c r="AM22" s="203">
        <v>0</v>
      </c>
      <c r="AN22" s="203"/>
      <c r="AO22" s="203">
        <v>0</v>
      </c>
    </row>
    <row r="23" spans="1:41" s="176" customFormat="1" ht="36" customHeight="1" x14ac:dyDescent="0.25">
      <c r="A23" s="176">
        <v>1</v>
      </c>
      <c r="B23" s="171">
        <f>SUBTOTAL(103,$A$16:A23)</f>
        <v>8</v>
      </c>
      <c r="C23" s="172" t="s">
        <v>485</v>
      </c>
      <c r="D23" s="173">
        <v>1990</v>
      </c>
      <c r="E23" s="173"/>
      <c r="F23" s="174" t="s">
        <v>267</v>
      </c>
      <c r="G23" s="173">
        <v>3</v>
      </c>
      <c r="H23" s="173" t="s">
        <v>304</v>
      </c>
      <c r="I23" s="170">
        <v>620.29999999999995</v>
      </c>
      <c r="J23" s="170">
        <v>538.5</v>
      </c>
      <c r="K23" s="170">
        <v>538.5</v>
      </c>
      <c r="L23" s="206">
        <v>18</v>
      </c>
      <c r="M23" s="173" t="s">
        <v>265</v>
      </c>
      <c r="N23" s="173" t="s">
        <v>269</v>
      </c>
      <c r="O23" s="175" t="s">
        <v>349</v>
      </c>
      <c r="P23" s="170">
        <v>1639309.32</v>
      </c>
      <c r="Q23" s="170">
        <v>0</v>
      </c>
      <c r="R23" s="170">
        <v>0</v>
      </c>
      <c r="S23" s="170">
        <f t="shared" si="1"/>
        <v>1639309.32</v>
      </c>
      <c r="T23" s="170">
        <f t="shared" si="0"/>
        <v>2642.7685313557959</v>
      </c>
      <c r="U23" s="170">
        <v>6661.9208447525398</v>
      </c>
      <c r="V23" s="202">
        <f t="shared" si="2"/>
        <v>4019.1523133967439</v>
      </c>
      <c r="W23" s="202">
        <f t="shared" si="3"/>
        <v>5944.2137836530719</v>
      </c>
      <c r="X23" s="202">
        <v>0</v>
      </c>
      <c r="Y23" s="203">
        <v>0</v>
      </c>
      <c r="Z23" s="203">
        <v>0</v>
      </c>
      <c r="AA23" s="203">
        <v>0</v>
      </c>
      <c r="AB23" s="203">
        <v>0</v>
      </c>
      <c r="AC23" s="203">
        <v>0</v>
      </c>
      <c r="AD23" s="203">
        <v>0</v>
      </c>
      <c r="AE23" s="203">
        <v>591</v>
      </c>
      <c r="AF23" s="202">
        <f t="shared" si="4"/>
        <v>5944.2137836530719</v>
      </c>
      <c r="AG23" s="203">
        <v>0</v>
      </c>
      <c r="AH23" s="202">
        <v>0</v>
      </c>
      <c r="AI23" s="203">
        <v>0</v>
      </c>
      <c r="AJ23" s="202">
        <v>0</v>
      </c>
      <c r="AK23" s="203">
        <v>0</v>
      </c>
      <c r="AL23" s="203">
        <v>0</v>
      </c>
      <c r="AM23" s="203">
        <v>0</v>
      </c>
      <c r="AN23" s="203"/>
      <c r="AO23" s="203">
        <v>0</v>
      </c>
    </row>
    <row r="24" spans="1:41" s="176" customFormat="1" ht="36" customHeight="1" x14ac:dyDescent="0.25">
      <c r="A24" s="176">
        <v>1</v>
      </c>
      <c r="B24" s="171">
        <f>SUBTOTAL(103,$A$16:A24)</f>
        <v>9</v>
      </c>
      <c r="C24" s="172" t="s">
        <v>486</v>
      </c>
      <c r="D24" s="173">
        <v>1989</v>
      </c>
      <c r="E24" s="173"/>
      <c r="F24" s="174" t="s">
        <v>267</v>
      </c>
      <c r="G24" s="173">
        <v>5</v>
      </c>
      <c r="H24" s="173" t="s">
        <v>312</v>
      </c>
      <c r="I24" s="170">
        <v>2454.8000000000002</v>
      </c>
      <c r="J24" s="170">
        <v>1816.2</v>
      </c>
      <c r="K24" s="170">
        <v>1749.1</v>
      </c>
      <c r="L24" s="206">
        <v>71</v>
      </c>
      <c r="M24" s="173" t="s">
        <v>265</v>
      </c>
      <c r="N24" s="173" t="s">
        <v>269</v>
      </c>
      <c r="O24" s="175" t="s">
        <v>1371</v>
      </c>
      <c r="P24" s="170">
        <v>98784.97</v>
      </c>
      <c r="Q24" s="170">
        <v>0</v>
      </c>
      <c r="R24" s="170">
        <v>0</v>
      </c>
      <c r="S24" s="170">
        <f t="shared" si="1"/>
        <v>98784.97</v>
      </c>
      <c r="T24" s="170">
        <f t="shared" si="0"/>
        <v>40.241555320189015</v>
      </c>
      <c r="U24" s="170">
        <v>40.241555320189015</v>
      </c>
      <c r="V24" s="202">
        <f t="shared" si="2"/>
        <v>0</v>
      </c>
      <c r="W24" s="202">
        <f t="shared" si="3"/>
        <v>1761.2696064852532</v>
      </c>
      <c r="X24" s="202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693</v>
      </c>
      <c r="AF24" s="202">
        <f t="shared" si="4"/>
        <v>1761.2696064852532</v>
      </c>
      <c r="AG24" s="203">
        <v>0</v>
      </c>
      <c r="AH24" s="202">
        <v>0</v>
      </c>
      <c r="AI24" s="203">
        <v>0</v>
      </c>
      <c r="AJ24" s="202">
        <v>0</v>
      </c>
      <c r="AK24" s="203">
        <v>0</v>
      </c>
      <c r="AL24" s="203">
        <v>0</v>
      </c>
      <c r="AM24" s="203">
        <v>0</v>
      </c>
      <c r="AN24" s="203"/>
      <c r="AO24" s="203">
        <v>0</v>
      </c>
    </row>
    <row r="25" spans="1:41" s="176" customFormat="1" ht="36" customHeight="1" x14ac:dyDescent="0.25">
      <c r="A25" s="176">
        <v>1</v>
      </c>
      <c r="B25" s="171">
        <f>SUBTOTAL(103,$A$16:A25)</f>
        <v>10</v>
      </c>
      <c r="C25" s="172" t="s">
        <v>487</v>
      </c>
      <c r="D25" s="173">
        <v>1995</v>
      </c>
      <c r="E25" s="173"/>
      <c r="F25" s="174" t="s">
        <v>267</v>
      </c>
      <c r="G25" s="173">
        <v>9</v>
      </c>
      <c r="H25" s="173" t="s">
        <v>304</v>
      </c>
      <c r="I25" s="170">
        <v>5292.9</v>
      </c>
      <c r="J25" s="170">
        <v>2692.2</v>
      </c>
      <c r="K25" s="170">
        <v>2257.3000000000002</v>
      </c>
      <c r="L25" s="206">
        <v>203</v>
      </c>
      <c r="M25" s="173" t="s">
        <v>265</v>
      </c>
      <c r="N25" s="173" t="s">
        <v>269</v>
      </c>
      <c r="O25" s="175" t="s">
        <v>1384</v>
      </c>
      <c r="P25" s="170">
        <v>3124667</v>
      </c>
      <c r="Q25" s="170">
        <v>0</v>
      </c>
      <c r="R25" s="170">
        <v>0</v>
      </c>
      <c r="S25" s="170">
        <f t="shared" si="1"/>
        <v>3124667</v>
      </c>
      <c r="T25" s="170">
        <f t="shared" si="0"/>
        <v>590.35065842921654</v>
      </c>
      <c r="U25" s="170">
        <v>1284.843186155038</v>
      </c>
      <c r="V25" s="202">
        <f t="shared" si="2"/>
        <v>694.49252772582145</v>
      </c>
      <c r="W25" s="202">
        <f t="shared" si="3"/>
        <v>1284.5820094844037</v>
      </c>
      <c r="X25" s="202">
        <v>0</v>
      </c>
      <c r="Y25" s="203">
        <v>0</v>
      </c>
      <c r="Z25" s="203">
        <v>0</v>
      </c>
      <c r="AA25" s="203">
        <v>0</v>
      </c>
      <c r="AB25" s="203">
        <v>0</v>
      </c>
      <c r="AC25" s="203">
        <v>0</v>
      </c>
      <c r="AD25" s="203">
        <v>0</v>
      </c>
      <c r="AE25" s="203">
        <v>1089.8</v>
      </c>
      <c r="AF25" s="202">
        <f t="shared" si="4"/>
        <v>1284.5820094844037</v>
      </c>
      <c r="AG25" s="203">
        <v>0</v>
      </c>
      <c r="AH25" s="202">
        <v>0</v>
      </c>
      <c r="AI25" s="203">
        <v>0</v>
      </c>
      <c r="AJ25" s="202">
        <v>0</v>
      </c>
      <c r="AK25" s="203">
        <v>0</v>
      </c>
      <c r="AL25" s="203">
        <v>0</v>
      </c>
      <c r="AM25" s="203">
        <v>0</v>
      </c>
      <c r="AN25" s="203"/>
      <c r="AO25" s="203">
        <v>0</v>
      </c>
    </row>
    <row r="26" spans="1:41" s="176" customFormat="1" ht="36" customHeight="1" x14ac:dyDescent="0.25">
      <c r="A26" s="176">
        <v>1</v>
      </c>
      <c r="B26" s="171">
        <f>SUBTOTAL(103,$A$16:A26)</f>
        <v>11</v>
      </c>
      <c r="C26" s="172" t="s">
        <v>488</v>
      </c>
      <c r="D26" s="173">
        <v>1962</v>
      </c>
      <c r="E26" s="173"/>
      <c r="F26" s="174" t="s">
        <v>267</v>
      </c>
      <c r="G26" s="173">
        <v>3</v>
      </c>
      <c r="H26" s="173" t="s">
        <v>312</v>
      </c>
      <c r="I26" s="170">
        <v>2721.6</v>
      </c>
      <c r="J26" s="170">
        <v>1752.6</v>
      </c>
      <c r="K26" s="170">
        <v>1752.6</v>
      </c>
      <c r="L26" s="206">
        <v>82</v>
      </c>
      <c r="M26" s="173" t="s">
        <v>265</v>
      </c>
      <c r="N26" s="173" t="s">
        <v>269</v>
      </c>
      <c r="O26" s="175" t="s">
        <v>1310</v>
      </c>
      <c r="P26" s="170">
        <v>89397.8</v>
      </c>
      <c r="Q26" s="170">
        <v>0</v>
      </c>
      <c r="R26" s="170">
        <v>0</v>
      </c>
      <c r="S26" s="170">
        <f t="shared" si="1"/>
        <v>89397.8</v>
      </c>
      <c r="T26" s="170">
        <f t="shared" si="0"/>
        <v>32.847516166960617</v>
      </c>
      <c r="U26" s="170">
        <v>32.847516166960617</v>
      </c>
      <c r="V26" s="202">
        <f t="shared" si="2"/>
        <v>0</v>
      </c>
      <c r="W26" s="202">
        <f t="shared" si="3"/>
        <v>2171.7898787477952</v>
      </c>
      <c r="X26" s="202">
        <v>0</v>
      </c>
      <c r="Y26" s="203">
        <v>0</v>
      </c>
      <c r="Z26" s="203">
        <v>0</v>
      </c>
      <c r="AA26" s="203">
        <v>0</v>
      </c>
      <c r="AB26" s="203">
        <v>0</v>
      </c>
      <c r="AC26" s="203">
        <v>0</v>
      </c>
      <c r="AD26" s="203">
        <v>0</v>
      </c>
      <c r="AE26" s="203">
        <v>947.4</v>
      </c>
      <c r="AF26" s="202">
        <f t="shared" si="4"/>
        <v>2171.7898787477952</v>
      </c>
      <c r="AG26" s="203">
        <v>0</v>
      </c>
      <c r="AH26" s="202">
        <v>0</v>
      </c>
      <c r="AI26" s="203">
        <v>0</v>
      </c>
      <c r="AJ26" s="202">
        <v>0</v>
      </c>
      <c r="AK26" s="203">
        <v>0</v>
      </c>
      <c r="AL26" s="203">
        <v>0</v>
      </c>
      <c r="AM26" s="203">
        <v>0</v>
      </c>
      <c r="AN26" s="203"/>
      <c r="AO26" s="203">
        <v>0</v>
      </c>
    </row>
    <row r="27" spans="1:41" s="176" customFormat="1" ht="36" customHeight="1" x14ac:dyDescent="0.25">
      <c r="A27" s="176">
        <v>1</v>
      </c>
      <c r="B27" s="171">
        <f>SUBTOTAL(103,$A$16:A27)</f>
        <v>12</v>
      </c>
      <c r="C27" s="172" t="s">
        <v>490</v>
      </c>
      <c r="D27" s="173">
        <v>1994</v>
      </c>
      <c r="E27" s="173"/>
      <c r="F27" s="174" t="s">
        <v>267</v>
      </c>
      <c r="G27" s="173">
        <v>6</v>
      </c>
      <c r="H27" s="173" t="s">
        <v>308</v>
      </c>
      <c r="I27" s="170">
        <v>3988.5</v>
      </c>
      <c r="J27" s="170">
        <v>2905.1</v>
      </c>
      <c r="K27" s="170">
        <v>2905.1</v>
      </c>
      <c r="L27" s="206">
        <v>142</v>
      </c>
      <c r="M27" s="173" t="s">
        <v>265</v>
      </c>
      <c r="N27" s="173" t="s">
        <v>269</v>
      </c>
      <c r="O27" s="175" t="s">
        <v>1077</v>
      </c>
      <c r="P27" s="170">
        <v>2353912.86</v>
      </c>
      <c r="Q27" s="170">
        <v>0</v>
      </c>
      <c r="R27" s="170">
        <v>0</v>
      </c>
      <c r="S27" s="170">
        <f t="shared" si="1"/>
        <v>2353912.86</v>
      </c>
      <c r="T27" s="170">
        <f t="shared" si="0"/>
        <v>590.17496803309507</v>
      </c>
      <c r="U27" s="170">
        <v>1208.1626222890811</v>
      </c>
      <c r="V27" s="202">
        <f t="shared" si="2"/>
        <v>617.98765425598606</v>
      </c>
      <c r="W27" s="202">
        <f t="shared" si="3"/>
        <v>1191.1570678199823</v>
      </c>
      <c r="X27" s="202">
        <v>0</v>
      </c>
      <c r="Y27" s="203">
        <v>0</v>
      </c>
      <c r="Z27" s="203">
        <v>0</v>
      </c>
      <c r="AA27" s="203">
        <v>0</v>
      </c>
      <c r="AB27" s="203">
        <v>0</v>
      </c>
      <c r="AC27" s="203">
        <v>0</v>
      </c>
      <c r="AD27" s="203">
        <v>0</v>
      </c>
      <c r="AE27" s="203">
        <v>761.5</v>
      </c>
      <c r="AF27" s="202">
        <f t="shared" si="4"/>
        <v>1191.1570678199823</v>
      </c>
      <c r="AG27" s="203">
        <v>0</v>
      </c>
      <c r="AH27" s="202">
        <v>0</v>
      </c>
      <c r="AI27" s="203">
        <v>0</v>
      </c>
      <c r="AJ27" s="202">
        <v>0</v>
      </c>
      <c r="AK27" s="203">
        <v>0</v>
      </c>
      <c r="AL27" s="203">
        <v>0</v>
      </c>
      <c r="AM27" s="203">
        <v>0</v>
      </c>
      <c r="AN27" s="203"/>
      <c r="AO27" s="203">
        <v>0</v>
      </c>
    </row>
    <row r="28" spans="1:41" s="176" customFormat="1" ht="36" customHeight="1" x14ac:dyDescent="0.25">
      <c r="A28" s="176">
        <v>1</v>
      </c>
      <c r="B28" s="171">
        <f>SUBTOTAL(103,$A$16:A28)</f>
        <v>13</v>
      </c>
      <c r="C28" s="172" t="s">
        <v>491</v>
      </c>
      <c r="D28" s="173">
        <v>1993</v>
      </c>
      <c r="E28" s="173"/>
      <c r="F28" s="174" t="s">
        <v>267</v>
      </c>
      <c r="G28" s="173">
        <v>9</v>
      </c>
      <c r="H28" s="173" t="s">
        <v>312</v>
      </c>
      <c r="I28" s="170">
        <v>6478</v>
      </c>
      <c r="J28" s="170">
        <v>6478</v>
      </c>
      <c r="K28" s="170">
        <v>6359.4</v>
      </c>
      <c r="L28" s="206">
        <v>358</v>
      </c>
      <c r="M28" s="173" t="s">
        <v>265</v>
      </c>
      <c r="N28" s="173" t="s">
        <v>269</v>
      </c>
      <c r="O28" s="175" t="s">
        <v>348</v>
      </c>
      <c r="P28" s="170">
        <v>2593330.65</v>
      </c>
      <c r="Q28" s="170">
        <v>0</v>
      </c>
      <c r="R28" s="170">
        <v>0</v>
      </c>
      <c r="S28" s="170">
        <f t="shared" si="1"/>
        <v>2593330.65</v>
      </c>
      <c r="T28" s="170">
        <f t="shared" si="0"/>
        <v>400.32890552639702</v>
      </c>
      <c r="U28" s="170">
        <v>944.30966347638162</v>
      </c>
      <c r="V28" s="202">
        <f t="shared" si="2"/>
        <v>543.98075794998454</v>
      </c>
      <c r="W28" s="202">
        <f t="shared" si="3"/>
        <v>905.30648348255625</v>
      </c>
      <c r="X28" s="202">
        <v>0</v>
      </c>
      <c r="Y28" s="203">
        <v>0</v>
      </c>
      <c r="Z28" s="203">
        <v>0</v>
      </c>
      <c r="AA28" s="203">
        <v>0</v>
      </c>
      <c r="AB28" s="203">
        <v>0</v>
      </c>
      <c r="AC28" s="203">
        <v>0</v>
      </c>
      <c r="AD28" s="203">
        <v>0</v>
      </c>
      <c r="AE28" s="203">
        <v>940</v>
      </c>
      <c r="AF28" s="202">
        <f t="shared" si="4"/>
        <v>905.30648348255625</v>
      </c>
      <c r="AG28" s="203">
        <v>0</v>
      </c>
      <c r="AH28" s="202">
        <v>0</v>
      </c>
      <c r="AI28" s="203">
        <v>0</v>
      </c>
      <c r="AJ28" s="202">
        <v>0</v>
      </c>
      <c r="AK28" s="203">
        <v>0</v>
      </c>
      <c r="AL28" s="203">
        <v>0</v>
      </c>
      <c r="AM28" s="203">
        <v>0</v>
      </c>
      <c r="AN28" s="203"/>
      <c r="AO28" s="203">
        <v>0</v>
      </c>
    </row>
    <row r="29" spans="1:41" s="176" customFormat="1" ht="36" customHeight="1" x14ac:dyDescent="0.25">
      <c r="A29" s="176">
        <v>1</v>
      </c>
      <c r="B29" s="171">
        <f>SUBTOTAL(103,$A$16:A29)</f>
        <v>14</v>
      </c>
      <c r="C29" s="172" t="s">
        <v>492</v>
      </c>
      <c r="D29" s="173">
        <v>1992</v>
      </c>
      <c r="E29" s="173"/>
      <c r="F29" s="174" t="s">
        <v>311</v>
      </c>
      <c r="G29" s="173">
        <v>9</v>
      </c>
      <c r="H29" s="173" t="s">
        <v>2250</v>
      </c>
      <c r="I29" s="170">
        <v>14455.8</v>
      </c>
      <c r="J29" s="170">
        <v>14455.7</v>
      </c>
      <c r="K29" s="170">
        <v>14455.7</v>
      </c>
      <c r="L29" s="206">
        <v>689</v>
      </c>
      <c r="M29" s="173" t="s">
        <v>265</v>
      </c>
      <c r="N29" s="173" t="s">
        <v>269</v>
      </c>
      <c r="O29" s="175" t="s">
        <v>348</v>
      </c>
      <c r="P29" s="170">
        <v>14319460.059999999</v>
      </c>
      <c r="Q29" s="170">
        <v>0</v>
      </c>
      <c r="R29" s="170">
        <v>0</v>
      </c>
      <c r="S29" s="170">
        <f t="shared" si="1"/>
        <v>14319460.059999999</v>
      </c>
      <c r="T29" s="170">
        <f t="shared" si="0"/>
        <v>990.56849569031112</v>
      </c>
      <c r="U29" s="170">
        <v>1360.1737710815037</v>
      </c>
      <c r="V29" s="202">
        <f t="shared" si="2"/>
        <v>369.60527539119255</v>
      </c>
      <c r="W29" s="202">
        <f t="shared" si="3"/>
        <v>1360.1737710815037</v>
      </c>
      <c r="X29" s="202">
        <v>0</v>
      </c>
      <c r="Y29" s="203">
        <v>0</v>
      </c>
      <c r="Z29" s="203">
        <v>0</v>
      </c>
      <c r="AA29" s="203">
        <v>0</v>
      </c>
      <c r="AB29" s="203">
        <v>0</v>
      </c>
      <c r="AC29" s="203">
        <v>8</v>
      </c>
      <c r="AD29" s="202">
        <f>2457800*AC29/I29</f>
        <v>1360.1737710815037</v>
      </c>
      <c r="AE29" s="203">
        <v>0</v>
      </c>
      <c r="AF29" s="202">
        <v>0</v>
      </c>
      <c r="AG29" s="203">
        <v>0</v>
      </c>
      <c r="AH29" s="202">
        <v>0</v>
      </c>
      <c r="AI29" s="203">
        <v>0</v>
      </c>
      <c r="AJ29" s="202">
        <v>0</v>
      </c>
      <c r="AK29" s="203">
        <v>0</v>
      </c>
      <c r="AL29" s="203">
        <v>0</v>
      </c>
      <c r="AM29" s="203">
        <v>0</v>
      </c>
      <c r="AN29" s="203"/>
      <c r="AO29" s="203">
        <v>0</v>
      </c>
    </row>
    <row r="30" spans="1:41" s="176" customFormat="1" ht="36" customHeight="1" x14ac:dyDescent="0.25">
      <c r="A30" s="176">
        <v>1</v>
      </c>
      <c r="B30" s="171">
        <f>SUBTOTAL(103,$A$16:A30)</f>
        <v>15</v>
      </c>
      <c r="C30" s="172" t="s">
        <v>493</v>
      </c>
      <c r="D30" s="173">
        <v>1978</v>
      </c>
      <c r="E30" s="173"/>
      <c r="F30" s="174" t="s">
        <v>267</v>
      </c>
      <c r="G30" s="173">
        <v>5</v>
      </c>
      <c r="H30" s="173" t="s">
        <v>304</v>
      </c>
      <c r="I30" s="170">
        <v>1058.5</v>
      </c>
      <c r="J30" s="170">
        <v>777.2</v>
      </c>
      <c r="K30" s="170">
        <v>583.20000000000005</v>
      </c>
      <c r="L30" s="206">
        <v>37</v>
      </c>
      <c r="M30" s="173" t="s">
        <v>265</v>
      </c>
      <c r="N30" s="173" t="s">
        <v>269</v>
      </c>
      <c r="O30" s="175" t="s">
        <v>348</v>
      </c>
      <c r="P30" s="170">
        <v>721831.31</v>
      </c>
      <c r="Q30" s="170">
        <v>0</v>
      </c>
      <c r="R30" s="170">
        <v>0</v>
      </c>
      <c r="S30" s="170">
        <f t="shared" si="1"/>
        <v>721831.31</v>
      </c>
      <c r="T30" s="170">
        <f t="shared" si="0"/>
        <v>681.93794048181394</v>
      </c>
      <c r="U30" s="170">
        <v>1537.0099196976853</v>
      </c>
      <c r="V30" s="202">
        <f t="shared" si="2"/>
        <v>855.07197921587135</v>
      </c>
      <c r="W30" s="202">
        <f t="shared" si="3"/>
        <v>1856.996678885215</v>
      </c>
      <c r="X30" s="202">
        <v>0</v>
      </c>
      <c r="Y30" s="203">
        <v>0</v>
      </c>
      <c r="Z30" s="203">
        <v>0</v>
      </c>
      <c r="AA30" s="203">
        <v>0</v>
      </c>
      <c r="AB30" s="203">
        <v>0</v>
      </c>
      <c r="AC30" s="203">
        <v>0</v>
      </c>
      <c r="AD30" s="203">
        <v>0</v>
      </c>
      <c r="AE30" s="203">
        <v>315.06</v>
      </c>
      <c r="AF30" s="202">
        <f>6238.91*AE30/I30</f>
        <v>1856.996678885215</v>
      </c>
      <c r="AG30" s="203">
        <v>0</v>
      </c>
      <c r="AH30" s="202">
        <v>0</v>
      </c>
      <c r="AI30" s="203">
        <v>0</v>
      </c>
      <c r="AJ30" s="202">
        <v>0</v>
      </c>
      <c r="AK30" s="203">
        <v>0</v>
      </c>
      <c r="AL30" s="203">
        <v>0</v>
      </c>
      <c r="AM30" s="203">
        <v>0</v>
      </c>
      <c r="AN30" s="203"/>
      <c r="AO30" s="203">
        <v>0</v>
      </c>
    </row>
    <row r="31" spans="1:41" s="176" customFormat="1" ht="36" customHeight="1" x14ac:dyDescent="0.25">
      <c r="A31" s="176">
        <v>1</v>
      </c>
      <c r="B31" s="171">
        <f>SUBTOTAL(103,$A$16:A31)</f>
        <v>16</v>
      </c>
      <c r="C31" s="172" t="s">
        <v>498</v>
      </c>
      <c r="D31" s="173">
        <v>1968</v>
      </c>
      <c r="E31" s="173"/>
      <c r="F31" s="174" t="s">
        <v>267</v>
      </c>
      <c r="G31" s="173">
        <v>5</v>
      </c>
      <c r="H31" s="173" t="s">
        <v>351</v>
      </c>
      <c r="I31" s="170">
        <v>6224.9</v>
      </c>
      <c r="J31" s="170">
        <v>4706.8</v>
      </c>
      <c r="K31" s="170">
        <v>3495.5</v>
      </c>
      <c r="L31" s="206">
        <v>225</v>
      </c>
      <c r="M31" s="173" t="s">
        <v>265</v>
      </c>
      <c r="N31" s="173" t="s">
        <v>269</v>
      </c>
      <c r="O31" s="175" t="s">
        <v>1372</v>
      </c>
      <c r="P31" s="170">
        <v>3879957</v>
      </c>
      <c r="Q31" s="170">
        <v>0</v>
      </c>
      <c r="R31" s="170">
        <v>0</v>
      </c>
      <c r="S31" s="170">
        <f t="shared" si="1"/>
        <v>3879957</v>
      </c>
      <c r="T31" s="170">
        <f t="shared" si="0"/>
        <v>623.29627785185312</v>
      </c>
      <c r="U31" s="170">
        <v>1066.3390576555448</v>
      </c>
      <c r="V31" s="202">
        <f t="shared" si="2"/>
        <v>443.0427798036917</v>
      </c>
      <c r="W31" s="202">
        <f t="shared" si="3"/>
        <v>801.80051085158004</v>
      </c>
      <c r="X31" s="202">
        <v>0</v>
      </c>
      <c r="Y31" s="203">
        <v>0</v>
      </c>
      <c r="Z31" s="203">
        <v>0</v>
      </c>
      <c r="AA31" s="203">
        <v>0</v>
      </c>
      <c r="AB31" s="203">
        <v>0</v>
      </c>
      <c r="AC31" s="203">
        <v>0</v>
      </c>
      <c r="AD31" s="203">
        <v>0</v>
      </c>
      <c r="AE31" s="203">
        <v>800</v>
      </c>
      <c r="AF31" s="202">
        <f>6238.91*AE31/I31</f>
        <v>801.80051085158004</v>
      </c>
      <c r="AG31" s="203">
        <v>0</v>
      </c>
      <c r="AH31" s="202">
        <v>0</v>
      </c>
      <c r="AI31" s="203">
        <v>0</v>
      </c>
      <c r="AJ31" s="202">
        <v>0</v>
      </c>
      <c r="AK31" s="203">
        <v>0</v>
      </c>
      <c r="AL31" s="203">
        <v>0</v>
      </c>
      <c r="AM31" s="203">
        <v>0</v>
      </c>
      <c r="AN31" s="203"/>
      <c r="AO31" s="203">
        <v>0</v>
      </c>
    </row>
    <row r="32" spans="1:41" s="176" customFormat="1" ht="36" customHeight="1" x14ac:dyDescent="0.25">
      <c r="A32" s="176">
        <v>1</v>
      </c>
      <c r="B32" s="171">
        <f>SUBTOTAL(103,$A$16:A32)</f>
        <v>17</v>
      </c>
      <c r="C32" s="172" t="s">
        <v>1615</v>
      </c>
      <c r="D32" s="173">
        <v>1988</v>
      </c>
      <c r="E32" s="173"/>
      <c r="F32" s="174" t="s">
        <v>311</v>
      </c>
      <c r="G32" s="173">
        <v>5</v>
      </c>
      <c r="H32" s="173" t="s">
        <v>312</v>
      </c>
      <c r="I32" s="170">
        <v>2989.1</v>
      </c>
      <c r="J32" s="170">
        <v>2076.5</v>
      </c>
      <c r="K32" s="170">
        <v>2076.5</v>
      </c>
      <c r="L32" s="206">
        <v>97</v>
      </c>
      <c r="M32" s="173" t="s">
        <v>265</v>
      </c>
      <c r="N32" s="173" t="s">
        <v>269</v>
      </c>
      <c r="O32" s="175" t="s">
        <v>1372</v>
      </c>
      <c r="P32" s="170">
        <v>1297271</v>
      </c>
      <c r="Q32" s="170">
        <v>0</v>
      </c>
      <c r="R32" s="170">
        <v>0</v>
      </c>
      <c r="S32" s="170">
        <f t="shared" si="1"/>
        <v>1297271</v>
      </c>
      <c r="T32" s="170">
        <f t="shared" si="0"/>
        <v>434.00053527817738</v>
      </c>
      <c r="U32" s="170">
        <v>1195.2518483824563</v>
      </c>
      <c r="V32" s="202">
        <f t="shared" si="2"/>
        <v>761.25131310427889</v>
      </c>
      <c r="W32" s="202">
        <f t="shared" si="3"/>
        <v>2295.9422568666155</v>
      </c>
      <c r="X32" s="202">
        <v>0</v>
      </c>
      <c r="Y32" s="203">
        <v>0</v>
      </c>
      <c r="Z32" s="203">
        <v>0</v>
      </c>
      <c r="AA32" s="203">
        <v>0</v>
      </c>
      <c r="AB32" s="203">
        <v>0</v>
      </c>
      <c r="AC32" s="203">
        <v>0</v>
      </c>
      <c r="AD32" s="203">
        <v>0</v>
      </c>
      <c r="AE32" s="203">
        <v>1100</v>
      </c>
      <c r="AF32" s="202">
        <f>6238.91*AE32/I32</f>
        <v>2295.9422568666155</v>
      </c>
      <c r="AG32" s="203">
        <v>0</v>
      </c>
      <c r="AH32" s="202">
        <v>0</v>
      </c>
      <c r="AI32" s="203">
        <v>0</v>
      </c>
      <c r="AJ32" s="202">
        <v>0</v>
      </c>
      <c r="AK32" s="203">
        <v>0</v>
      </c>
      <c r="AL32" s="203">
        <v>0</v>
      </c>
      <c r="AM32" s="203">
        <v>0</v>
      </c>
      <c r="AN32" s="203"/>
      <c r="AO32" s="203">
        <v>0</v>
      </c>
    </row>
    <row r="33" spans="1:41" s="176" customFormat="1" ht="36" customHeight="1" x14ac:dyDescent="0.25">
      <c r="A33" s="176">
        <v>1</v>
      </c>
      <c r="B33" s="171">
        <f>SUBTOTAL(103,$A$16:A33)</f>
        <v>18</v>
      </c>
      <c r="C33" s="172" t="s">
        <v>499</v>
      </c>
      <c r="D33" s="173">
        <v>1988</v>
      </c>
      <c r="E33" s="173"/>
      <c r="F33" s="174" t="s">
        <v>267</v>
      </c>
      <c r="G33" s="173">
        <v>5</v>
      </c>
      <c r="H33" s="173" t="s">
        <v>312</v>
      </c>
      <c r="I33" s="170">
        <v>4166.5</v>
      </c>
      <c r="J33" s="170">
        <v>3487.5</v>
      </c>
      <c r="K33" s="170">
        <v>3487.5</v>
      </c>
      <c r="L33" s="206">
        <v>156</v>
      </c>
      <c r="M33" s="173" t="s">
        <v>265</v>
      </c>
      <c r="N33" s="173" t="s">
        <v>269</v>
      </c>
      <c r="O33" s="175" t="s">
        <v>1387</v>
      </c>
      <c r="P33" s="170">
        <v>2988276</v>
      </c>
      <c r="Q33" s="170">
        <v>0</v>
      </c>
      <c r="R33" s="170">
        <v>0</v>
      </c>
      <c r="S33" s="170">
        <f t="shared" si="1"/>
        <v>2988276</v>
      </c>
      <c r="T33" s="170">
        <f t="shared" si="0"/>
        <v>717.21492859714385</v>
      </c>
      <c r="U33" s="170">
        <v>1530.6722668906757</v>
      </c>
      <c r="V33" s="202">
        <f t="shared" si="2"/>
        <v>813.45733829353185</v>
      </c>
      <c r="W33" s="202">
        <f t="shared" si="3"/>
        <v>938.32966816272642</v>
      </c>
      <c r="X33" s="202">
        <v>0</v>
      </c>
      <c r="Y33" s="203">
        <v>0</v>
      </c>
      <c r="Z33" s="203">
        <v>0</v>
      </c>
      <c r="AA33" s="203">
        <v>0</v>
      </c>
      <c r="AB33" s="203">
        <v>0</v>
      </c>
      <c r="AC33" s="203">
        <v>0</v>
      </c>
      <c r="AD33" s="203">
        <v>0</v>
      </c>
      <c r="AE33" s="203">
        <v>626.64</v>
      </c>
      <c r="AF33" s="202">
        <f>6238.91*AE33/I33</f>
        <v>938.32966816272642</v>
      </c>
      <c r="AG33" s="203">
        <v>0</v>
      </c>
      <c r="AH33" s="202">
        <v>0</v>
      </c>
      <c r="AI33" s="203">
        <v>0</v>
      </c>
      <c r="AJ33" s="202">
        <v>0</v>
      </c>
      <c r="AK33" s="203">
        <v>0</v>
      </c>
      <c r="AL33" s="203">
        <v>0</v>
      </c>
      <c r="AM33" s="203">
        <v>0</v>
      </c>
      <c r="AN33" s="203"/>
      <c r="AO33" s="203">
        <v>0</v>
      </c>
    </row>
    <row r="34" spans="1:41" s="176" customFormat="1" ht="36" customHeight="1" x14ac:dyDescent="0.25">
      <c r="A34" s="176">
        <v>1</v>
      </c>
      <c r="B34" s="171">
        <f>SUBTOTAL(103,$A$16:A34)</f>
        <v>19</v>
      </c>
      <c r="C34" s="172" t="s">
        <v>501</v>
      </c>
      <c r="D34" s="173">
        <v>1985</v>
      </c>
      <c r="E34" s="173"/>
      <c r="F34" s="174" t="s">
        <v>311</v>
      </c>
      <c r="G34" s="173">
        <v>2</v>
      </c>
      <c r="H34" s="173" t="s">
        <v>303</v>
      </c>
      <c r="I34" s="170">
        <v>617.79999999999995</v>
      </c>
      <c r="J34" s="170">
        <v>560.5</v>
      </c>
      <c r="K34" s="170">
        <v>560.5</v>
      </c>
      <c r="L34" s="206">
        <v>38</v>
      </c>
      <c r="M34" s="173" t="s">
        <v>265</v>
      </c>
      <c r="N34" s="173" t="s">
        <v>269</v>
      </c>
      <c r="O34" s="175" t="s">
        <v>1371</v>
      </c>
      <c r="P34" s="170">
        <v>56688.3</v>
      </c>
      <c r="Q34" s="170">
        <v>0</v>
      </c>
      <c r="R34" s="170">
        <v>0</v>
      </c>
      <c r="S34" s="170">
        <f t="shared" si="1"/>
        <v>56688.3</v>
      </c>
      <c r="T34" s="170">
        <f t="shared" si="0"/>
        <v>91.758336031078031</v>
      </c>
      <c r="U34" s="170">
        <v>91.758336031078031</v>
      </c>
      <c r="V34" s="202">
        <f t="shared" si="2"/>
        <v>0</v>
      </c>
      <c r="W34" s="202">
        <f t="shared" si="3"/>
        <v>9219.0044334736158</v>
      </c>
      <c r="X34" s="202">
        <v>0</v>
      </c>
      <c r="Y34" s="203">
        <v>0</v>
      </c>
      <c r="Z34" s="203">
        <v>0</v>
      </c>
      <c r="AA34" s="203">
        <v>0</v>
      </c>
      <c r="AB34" s="203">
        <v>0</v>
      </c>
      <c r="AC34" s="203">
        <v>0</v>
      </c>
      <c r="AD34" s="203">
        <v>0</v>
      </c>
      <c r="AE34" s="203">
        <v>912.9</v>
      </c>
      <c r="AF34" s="202">
        <f>6238.91*AE34/I34</f>
        <v>9219.0044334736158</v>
      </c>
      <c r="AG34" s="203">
        <v>0</v>
      </c>
      <c r="AH34" s="202">
        <v>0</v>
      </c>
      <c r="AI34" s="203">
        <v>0</v>
      </c>
      <c r="AJ34" s="202">
        <v>0</v>
      </c>
      <c r="AK34" s="203">
        <v>0</v>
      </c>
      <c r="AL34" s="203">
        <v>0</v>
      </c>
      <c r="AM34" s="203">
        <v>0</v>
      </c>
      <c r="AN34" s="203"/>
      <c r="AO34" s="203">
        <v>0</v>
      </c>
    </row>
    <row r="35" spans="1:41" s="176" customFormat="1" ht="36" customHeight="1" x14ac:dyDescent="0.25">
      <c r="A35" s="176">
        <v>1</v>
      </c>
      <c r="B35" s="171">
        <f>SUBTOTAL(103,$A$16:A35)</f>
        <v>20</v>
      </c>
      <c r="C35" s="172" t="s">
        <v>502</v>
      </c>
      <c r="D35" s="173">
        <v>1967</v>
      </c>
      <c r="E35" s="173"/>
      <c r="F35" s="174" t="s">
        <v>267</v>
      </c>
      <c r="G35" s="173">
        <v>2</v>
      </c>
      <c r="H35" s="173" t="s">
        <v>303</v>
      </c>
      <c r="I35" s="170">
        <v>709.3</v>
      </c>
      <c r="J35" s="170">
        <v>653.29999999999995</v>
      </c>
      <c r="K35" s="170">
        <v>653.29999999999995</v>
      </c>
      <c r="L35" s="206">
        <v>36</v>
      </c>
      <c r="M35" s="173" t="s">
        <v>265</v>
      </c>
      <c r="N35" s="173" t="s">
        <v>269</v>
      </c>
      <c r="O35" s="175" t="s">
        <v>1371</v>
      </c>
      <c r="P35" s="170">
        <v>89064.28</v>
      </c>
      <c r="Q35" s="170">
        <v>0</v>
      </c>
      <c r="R35" s="170">
        <v>0</v>
      </c>
      <c r="S35" s="170">
        <f t="shared" si="1"/>
        <v>89064.28</v>
      </c>
      <c r="T35" s="170">
        <f t="shared" si="0"/>
        <v>125.56644579162555</v>
      </c>
      <c r="U35" s="170">
        <v>125.56644579162555</v>
      </c>
      <c r="V35" s="202">
        <f t="shared" si="2"/>
        <v>0</v>
      </c>
      <c r="W35" s="202">
        <f t="shared" si="3"/>
        <v>3259.66</v>
      </c>
      <c r="X35" s="202">
        <v>0</v>
      </c>
      <c r="Y35" s="203">
        <v>0</v>
      </c>
      <c r="Z35" s="203">
        <v>3259.66</v>
      </c>
      <c r="AA35" s="203">
        <v>0</v>
      </c>
      <c r="AB35" s="203">
        <v>0</v>
      </c>
      <c r="AC35" s="203">
        <v>0</v>
      </c>
      <c r="AD35" s="203">
        <v>0</v>
      </c>
      <c r="AE35" s="203">
        <v>0</v>
      </c>
      <c r="AF35" s="202">
        <v>0</v>
      </c>
      <c r="AG35" s="203">
        <v>0</v>
      </c>
      <c r="AH35" s="202">
        <v>0</v>
      </c>
      <c r="AI35" s="203">
        <v>0</v>
      </c>
      <c r="AJ35" s="202">
        <v>0</v>
      </c>
      <c r="AK35" s="203">
        <v>0</v>
      </c>
      <c r="AL35" s="203">
        <v>0</v>
      </c>
      <c r="AM35" s="203">
        <v>0</v>
      </c>
      <c r="AN35" s="203"/>
      <c r="AO35" s="203">
        <v>0</v>
      </c>
    </row>
    <row r="36" spans="1:41" s="176" customFormat="1" ht="36" customHeight="1" x14ac:dyDescent="0.25">
      <c r="A36" s="176">
        <v>1</v>
      </c>
      <c r="B36" s="171">
        <f>SUBTOTAL(103,$A$16:A36)</f>
        <v>21</v>
      </c>
      <c r="C36" s="172" t="s">
        <v>503</v>
      </c>
      <c r="D36" s="173">
        <v>1972</v>
      </c>
      <c r="E36" s="173"/>
      <c r="F36" s="174" t="s">
        <v>267</v>
      </c>
      <c r="G36" s="173">
        <v>2</v>
      </c>
      <c r="H36" s="173" t="s">
        <v>303</v>
      </c>
      <c r="I36" s="170">
        <v>790.6</v>
      </c>
      <c r="J36" s="170">
        <v>790.6</v>
      </c>
      <c r="K36" s="170">
        <v>790.6</v>
      </c>
      <c r="L36" s="206">
        <v>48</v>
      </c>
      <c r="M36" s="173" t="s">
        <v>265</v>
      </c>
      <c r="N36" s="173" t="s">
        <v>269</v>
      </c>
      <c r="O36" s="175" t="s">
        <v>1622</v>
      </c>
      <c r="P36" s="170">
        <v>2641217.09</v>
      </c>
      <c r="Q36" s="170">
        <v>0</v>
      </c>
      <c r="R36" s="170">
        <v>0</v>
      </c>
      <c r="S36" s="170">
        <f t="shared" si="1"/>
        <v>2641217.09</v>
      </c>
      <c r="T36" s="170">
        <f t="shared" si="0"/>
        <v>3340.7754743232986</v>
      </c>
      <c r="U36" s="170">
        <v>5383.2985074626858</v>
      </c>
      <c r="V36" s="202">
        <f t="shared" si="2"/>
        <v>2042.5230331393873</v>
      </c>
      <c r="W36" s="202">
        <f>T36</f>
        <v>3340.7754743232986</v>
      </c>
      <c r="X36" s="202">
        <v>0</v>
      </c>
      <c r="Y36" s="203">
        <v>0</v>
      </c>
      <c r="Z36" s="203">
        <v>0</v>
      </c>
      <c r="AA36" s="203">
        <v>0</v>
      </c>
      <c r="AB36" s="203">
        <v>0</v>
      </c>
      <c r="AC36" s="203">
        <v>0</v>
      </c>
      <c r="AD36" s="203">
        <v>0</v>
      </c>
      <c r="AE36" s="203">
        <v>0</v>
      </c>
      <c r="AF36" s="202">
        <v>0</v>
      </c>
      <c r="AG36" s="203">
        <v>0</v>
      </c>
      <c r="AH36" s="202">
        <v>0</v>
      </c>
      <c r="AI36" s="203">
        <v>0</v>
      </c>
      <c r="AJ36" s="202">
        <v>0</v>
      </c>
      <c r="AK36" s="203">
        <v>0</v>
      </c>
      <c r="AL36" s="203">
        <v>0</v>
      </c>
      <c r="AM36" s="203">
        <v>0</v>
      </c>
      <c r="AN36" s="203"/>
      <c r="AO36" s="203">
        <v>0</v>
      </c>
    </row>
    <row r="37" spans="1:41" s="176" customFormat="1" ht="36" customHeight="1" x14ac:dyDescent="0.25">
      <c r="A37" s="176">
        <v>1</v>
      </c>
      <c r="B37" s="171">
        <f>SUBTOTAL(103,$A$16:A37)</f>
        <v>22</v>
      </c>
      <c r="C37" s="172" t="s">
        <v>504</v>
      </c>
      <c r="D37" s="173">
        <v>1994</v>
      </c>
      <c r="E37" s="173"/>
      <c r="F37" s="174" t="s">
        <v>311</v>
      </c>
      <c r="G37" s="173">
        <v>9</v>
      </c>
      <c r="H37" s="173" t="s">
        <v>357</v>
      </c>
      <c r="I37" s="170">
        <v>14325</v>
      </c>
      <c r="J37" s="170">
        <v>14325</v>
      </c>
      <c r="K37" s="170">
        <v>14166</v>
      </c>
      <c r="L37" s="206">
        <v>585</v>
      </c>
      <c r="M37" s="173" t="s">
        <v>265</v>
      </c>
      <c r="N37" s="173" t="s">
        <v>269</v>
      </c>
      <c r="O37" s="175" t="s">
        <v>348</v>
      </c>
      <c r="P37" s="170">
        <v>12192587.91</v>
      </c>
      <c r="Q37" s="170">
        <v>0</v>
      </c>
      <c r="R37" s="170">
        <v>0</v>
      </c>
      <c r="S37" s="170">
        <f t="shared" si="1"/>
        <v>12192587.91</v>
      </c>
      <c r="T37" s="170">
        <f t="shared" si="0"/>
        <v>851.14051727748688</v>
      </c>
      <c r="U37" s="170">
        <v>1201.0191972076789</v>
      </c>
      <c r="V37" s="202">
        <f t="shared" si="2"/>
        <v>349.87867993019199</v>
      </c>
      <c r="W37" s="202">
        <f t="shared" si="3"/>
        <v>263.49323211169281</v>
      </c>
      <c r="X37" s="202">
        <v>0</v>
      </c>
      <c r="Y37" s="203">
        <v>0</v>
      </c>
      <c r="Z37" s="203">
        <v>0</v>
      </c>
      <c r="AA37" s="203">
        <v>0</v>
      </c>
      <c r="AB37" s="203">
        <v>0</v>
      </c>
      <c r="AC37" s="203">
        <v>0</v>
      </c>
      <c r="AD37" s="203">
        <v>0</v>
      </c>
      <c r="AE37" s="203">
        <v>605</v>
      </c>
      <c r="AF37" s="202">
        <f>6238.91*AE37/I37</f>
        <v>263.49323211169281</v>
      </c>
      <c r="AG37" s="203">
        <v>0</v>
      </c>
      <c r="AH37" s="202">
        <v>0</v>
      </c>
      <c r="AI37" s="203">
        <v>0</v>
      </c>
      <c r="AJ37" s="202">
        <v>0</v>
      </c>
      <c r="AK37" s="203">
        <v>0</v>
      </c>
      <c r="AL37" s="203">
        <v>0</v>
      </c>
      <c r="AM37" s="203">
        <v>0</v>
      </c>
      <c r="AN37" s="203"/>
      <c r="AO37" s="203">
        <v>0</v>
      </c>
    </row>
    <row r="38" spans="1:41" s="176" customFormat="1" ht="36" customHeight="1" x14ac:dyDescent="0.25">
      <c r="A38" s="176">
        <v>1</v>
      </c>
      <c r="B38" s="171">
        <f>SUBTOTAL(103,$A$16:A38)</f>
        <v>23</v>
      </c>
      <c r="C38" s="172" t="s">
        <v>505</v>
      </c>
      <c r="D38" s="173">
        <v>1994</v>
      </c>
      <c r="E38" s="173"/>
      <c r="F38" s="174" t="s">
        <v>311</v>
      </c>
      <c r="G38" s="173">
        <v>9</v>
      </c>
      <c r="H38" s="173" t="s">
        <v>312</v>
      </c>
      <c r="I38" s="170">
        <v>5491.1</v>
      </c>
      <c r="J38" s="170">
        <v>5491.1</v>
      </c>
      <c r="K38" s="170">
        <v>5444.9</v>
      </c>
      <c r="L38" s="206">
        <v>236</v>
      </c>
      <c r="M38" s="173" t="s">
        <v>265</v>
      </c>
      <c r="N38" s="173" t="s">
        <v>269</v>
      </c>
      <c r="O38" s="175" t="s">
        <v>348</v>
      </c>
      <c r="P38" s="170">
        <v>3433160.05</v>
      </c>
      <c r="Q38" s="170">
        <v>0</v>
      </c>
      <c r="R38" s="170">
        <v>0</v>
      </c>
      <c r="S38" s="170">
        <f t="shared" si="1"/>
        <v>3433160.05</v>
      </c>
      <c r="T38" s="170">
        <f t="shared" si="0"/>
        <v>625.22264209356956</v>
      </c>
      <c r="U38" s="170">
        <v>895.19404126677705</v>
      </c>
      <c r="V38" s="202">
        <f t="shared" si="2"/>
        <v>269.97139917320749</v>
      </c>
      <c r="W38" s="202">
        <f t="shared" si="3"/>
        <v>886.22494582142008</v>
      </c>
      <c r="X38" s="202">
        <v>0</v>
      </c>
      <c r="Y38" s="203">
        <v>0</v>
      </c>
      <c r="Z38" s="203">
        <v>0</v>
      </c>
      <c r="AA38" s="203">
        <v>0</v>
      </c>
      <c r="AB38" s="203">
        <v>0</v>
      </c>
      <c r="AC38" s="203">
        <v>0</v>
      </c>
      <c r="AD38" s="203">
        <v>0</v>
      </c>
      <c r="AE38" s="203">
        <v>780</v>
      </c>
      <c r="AF38" s="202">
        <f>6238.91*AE38/I38</f>
        <v>886.22494582142008</v>
      </c>
      <c r="AG38" s="203">
        <v>0</v>
      </c>
      <c r="AH38" s="202">
        <v>0</v>
      </c>
      <c r="AI38" s="203">
        <v>0</v>
      </c>
      <c r="AJ38" s="202">
        <v>0</v>
      </c>
      <c r="AK38" s="203">
        <v>0</v>
      </c>
      <c r="AL38" s="203">
        <v>0</v>
      </c>
      <c r="AM38" s="203">
        <v>0</v>
      </c>
      <c r="AN38" s="203"/>
      <c r="AO38" s="203">
        <v>0</v>
      </c>
    </row>
    <row r="39" spans="1:41" s="176" customFormat="1" ht="36" customHeight="1" x14ac:dyDescent="0.25">
      <c r="A39" s="176">
        <v>1</v>
      </c>
      <c r="B39" s="171">
        <f>SUBTOTAL(103,$A$16:A39)</f>
        <v>24</v>
      </c>
      <c r="C39" s="172" t="s">
        <v>506</v>
      </c>
      <c r="D39" s="173">
        <v>1993</v>
      </c>
      <c r="E39" s="173"/>
      <c r="F39" s="174" t="s">
        <v>311</v>
      </c>
      <c r="G39" s="173">
        <v>9</v>
      </c>
      <c r="H39" s="173" t="s">
        <v>304</v>
      </c>
      <c r="I39" s="170">
        <v>1614.7</v>
      </c>
      <c r="J39" s="170">
        <v>1614.7</v>
      </c>
      <c r="K39" s="170">
        <v>1585.9</v>
      </c>
      <c r="L39" s="206">
        <v>64</v>
      </c>
      <c r="M39" s="173" t="s">
        <v>265</v>
      </c>
      <c r="N39" s="173" t="s">
        <v>269</v>
      </c>
      <c r="O39" s="175" t="s">
        <v>348</v>
      </c>
      <c r="P39" s="170">
        <v>1772747.75</v>
      </c>
      <c r="Q39" s="170">
        <v>0</v>
      </c>
      <c r="R39" s="170">
        <v>0</v>
      </c>
      <c r="S39" s="170">
        <f t="shared" si="1"/>
        <v>1772747.75</v>
      </c>
      <c r="T39" s="170">
        <f t="shared" si="0"/>
        <v>1097.8805660494208</v>
      </c>
      <c r="U39" s="170">
        <v>1522.140335666068</v>
      </c>
      <c r="V39" s="202">
        <f t="shared" si="2"/>
        <v>424.25976961664719</v>
      </c>
      <c r="W39" s="202">
        <f t="shared" si="3"/>
        <v>10654.982349662476</v>
      </c>
      <c r="X39" s="202">
        <v>0</v>
      </c>
      <c r="Y39" s="203">
        <v>0</v>
      </c>
      <c r="Z39" s="203">
        <v>0</v>
      </c>
      <c r="AA39" s="203">
        <v>0</v>
      </c>
      <c r="AB39" s="203">
        <v>0</v>
      </c>
      <c r="AC39" s="203">
        <v>7</v>
      </c>
      <c r="AD39" s="202">
        <f>2457800*AC39/I39</f>
        <v>10654.982349662476</v>
      </c>
      <c r="AE39" s="203">
        <v>0</v>
      </c>
      <c r="AF39" s="202">
        <v>0</v>
      </c>
      <c r="AG39" s="203">
        <v>0</v>
      </c>
      <c r="AH39" s="202">
        <v>0</v>
      </c>
      <c r="AI39" s="203">
        <v>0</v>
      </c>
      <c r="AJ39" s="202">
        <v>0</v>
      </c>
      <c r="AK39" s="203">
        <v>0</v>
      </c>
      <c r="AL39" s="203">
        <v>0</v>
      </c>
      <c r="AM39" s="203">
        <v>0</v>
      </c>
      <c r="AN39" s="203"/>
      <c r="AO39" s="203">
        <v>0</v>
      </c>
    </row>
    <row r="40" spans="1:41" s="176" customFormat="1" ht="36" customHeight="1" x14ac:dyDescent="0.25">
      <c r="A40" s="176">
        <v>1</v>
      </c>
      <c r="B40" s="171">
        <f>SUBTOTAL(103,$A$16:A40)</f>
        <v>25</v>
      </c>
      <c r="C40" s="172" t="s">
        <v>507</v>
      </c>
      <c r="D40" s="173">
        <v>1993</v>
      </c>
      <c r="E40" s="173"/>
      <c r="F40" s="174" t="s">
        <v>311</v>
      </c>
      <c r="G40" s="173">
        <v>9</v>
      </c>
      <c r="H40" s="173" t="s">
        <v>303</v>
      </c>
      <c r="I40" s="170">
        <v>4490.3</v>
      </c>
      <c r="J40" s="170">
        <v>4490.3</v>
      </c>
      <c r="K40" s="170">
        <v>4474.6000000000004</v>
      </c>
      <c r="L40" s="206">
        <v>167</v>
      </c>
      <c r="M40" s="173" t="s">
        <v>265</v>
      </c>
      <c r="N40" s="173" t="s">
        <v>269</v>
      </c>
      <c r="O40" s="175" t="s">
        <v>348</v>
      </c>
      <c r="P40" s="170">
        <v>3535514.86</v>
      </c>
      <c r="Q40" s="170">
        <v>0</v>
      </c>
      <c r="R40" s="170">
        <v>0</v>
      </c>
      <c r="S40" s="170">
        <f t="shared" si="1"/>
        <v>3535514.86</v>
      </c>
      <c r="T40" s="170">
        <f t="shared" si="0"/>
        <v>787.36718259359054</v>
      </c>
      <c r="U40" s="170">
        <v>1094.7152751486537</v>
      </c>
      <c r="V40" s="202">
        <f t="shared" si="2"/>
        <v>307.3480925550632</v>
      </c>
      <c r="W40" s="202">
        <f t="shared" si="3"/>
        <v>1094.7152751486537</v>
      </c>
      <c r="X40" s="202">
        <v>0</v>
      </c>
      <c r="Y40" s="203">
        <v>0</v>
      </c>
      <c r="Z40" s="203">
        <v>0</v>
      </c>
      <c r="AA40" s="203">
        <v>0</v>
      </c>
      <c r="AB40" s="203">
        <v>0</v>
      </c>
      <c r="AC40" s="203">
        <v>2</v>
      </c>
      <c r="AD40" s="202">
        <f>2457800*AC40/I40</f>
        <v>1094.7152751486537</v>
      </c>
      <c r="AE40" s="203">
        <v>0</v>
      </c>
      <c r="AF40" s="202">
        <v>0</v>
      </c>
      <c r="AG40" s="203">
        <v>0</v>
      </c>
      <c r="AH40" s="202">
        <v>0</v>
      </c>
      <c r="AI40" s="203">
        <v>0</v>
      </c>
      <c r="AJ40" s="202">
        <v>0</v>
      </c>
      <c r="AK40" s="203">
        <v>0</v>
      </c>
      <c r="AL40" s="203">
        <v>0</v>
      </c>
      <c r="AM40" s="203">
        <v>0</v>
      </c>
      <c r="AN40" s="203"/>
      <c r="AO40" s="203">
        <v>0</v>
      </c>
    </row>
    <row r="41" spans="1:41" s="176" customFormat="1" ht="36" customHeight="1" x14ac:dyDescent="0.25">
      <c r="A41" s="176">
        <v>1</v>
      </c>
      <c r="B41" s="171">
        <f>SUBTOTAL(103,$A$16:A41)</f>
        <v>26</v>
      </c>
      <c r="C41" s="172" t="s">
        <v>508</v>
      </c>
      <c r="D41" s="173">
        <v>1987</v>
      </c>
      <c r="E41" s="173"/>
      <c r="F41" s="174" t="s">
        <v>267</v>
      </c>
      <c r="G41" s="173">
        <v>5</v>
      </c>
      <c r="H41" s="173" t="s">
        <v>303</v>
      </c>
      <c r="I41" s="170">
        <v>1670.9</v>
      </c>
      <c r="J41" s="170">
        <v>1146.4000000000001</v>
      </c>
      <c r="K41" s="170">
        <v>1146.4000000000001</v>
      </c>
      <c r="L41" s="206">
        <v>65</v>
      </c>
      <c r="M41" s="173" t="s">
        <v>265</v>
      </c>
      <c r="N41" s="173" t="s">
        <v>269</v>
      </c>
      <c r="O41" s="175" t="s">
        <v>1077</v>
      </c>
      <c r="P41" s="170">
        <v>1142069.99</v>
      </c>
      <c r="Q41" s="170">
        <v>0</v>
      </c>
      <c r="R41" s="170">
        <v>0</v>
      </c>
      <c r="S41" s="170">
        <f t="shared" si="1"/>
        <v>1142069.99</v>
      </c>
      <c r="T41" s="170">
        <f t="shared" si="0"/>
        <v>683.50588904183371</v>
      </c>
      <c r="U41" s="170">
        <v>1190.6960584116346</v>
      </c>
      <c r="V41" s="202">
        <f t="shared" si="2"/>
        <v>507.19016936980086</v>
      </c>
      <c r="W41" s="202">
        <f t="shared" si="3"/>
        <v>1470.9438027410376</v>
      </c>
      <c r="X41" s="202">
        <v>0</v>
      </c>
      <c r="Y41" s="203">
        <v>0</v>
      </c>
      <c r="Z41" s="203">
        <v>0</v>
      </c>
      <c r="AA41" s="203">
        <v>0</v>
      </c>
      <c r="AB41" s="203">
        <v>0</v>
      </c>
      <c r="AC41" s="203">
        <v>1</v>
      </c>
      <c r="AD41" s="202">
        <f>2457800*AC41/I41</f>
        <v>1470.9438027410376</v>
      </c>
      <c r="AE41" s="203">
        <v>0</v>
      </c>
      <c r="AF41" s="202">
        <v>0</v>
      </c>
      <c r="AG41" s="203">
        <v>0</v>
      </c>
      <c r="AH41" s="202">
        <v>0</v>
      </c>
      <c r="AI41" s="203">
        <v>0</v>
      </c>
      <c r="AJ41" s="202">
        <v>0</v>
      </c>
      <c r="AK41" s="203">
        <v>0</v>
      </c>
      <c r="AL41" s="203">
        <v>0</v>
      </c>
      <c r="AM41" s="203">
        <v>0</v>
      </c>
      <c r="AN41" s="203"/>
      <c r="AO41" s="203">
        <v>0</v>
      </c>
    </row>
    <row r="42" spans="1:41" s="176" customFormat="1" ht="36" customHeight="1" x14ac:dyDescent="0.25">
      <c r="A42" s="176">
        <v>1</v>
      </c>
      <c r="B42" s="171">
        <f>SUBTOTAL(103,$A$16:A42)</f>
        <v>27</v>
      </c>
      <c r="C42" s="172" t="s">
        <v>509</v>
      </c>
      <c r="D42" s="173">
        <v>1983</v>
      </c>
      <c r="E42" s="173"/>
      <c r="F42" s="174" t="s">
        <v>267</v>
      </c>
      <c r="G42" s="173">
        <v>5</v>
      </c>
      <c r="H42" s="173" t="s">
        <v>304</v>
      </c>
      <c r="I42" s="170">
        <v>628.5</v>
      </c>
      <c r="J42" s="170">
        <v>568.5</v>
      </c>
      <c r="K42" s="170">
        <v>568.5</v>
      </c>
      <c r="L42" s="206">
        <v>31</v>
      </c>
      <c r="M42" s="173" t="s">
        <v>265</v>
      </c>
      <c r="N42" s="173" t="s">
        <v>269</v>
      </c>
      <c r="O42" s="175" t="s">
        <v>1062</v>
      </c>
      <c r="P42" s="170">
        <v>715422.73</v>
      </c>
      <c r="Q42" s="170">
        <v>0</v>
      </c>
      <c r="R42" s="170">
        <v>0</v>
      </c>
      <c r="S42" s="170">
        <f t="shared" si="1"/>
        <v>715422.73</v>
      </c>
      <c r="T42" s="170">
        <f t="shared" si="0"/>
        <v>1138.301877486078</v>
      </c>
      <c r="U42" s="170">
        <v>1563.5046937151949</v>
      </c>
      <c r="V42" s="202">
        <f t="shared" si="2"/>
        <v>425.20281622911693</v>
      </c>
      <c r="W42" s="202">
        <f t="shared" si="3"/>
        <v>7821.161495624503</v>
      </c>
      <c r="X42" s="202">
        <v>0</v>
      </c>
      <c r="Y42" s="203">
        <v>0</v>
      </c>
      <c r="Z42" s="203">
        <v>0</v>
      </c>
      <c r="AA42" s="203">
        <v>0</v>
      </c>
      <c r="AB42" s="203">
        <v>0</v>
      </c>
      <c r="AC42" s="203">
        <v>2</v>
      </c>
      <c r="AD42" s="202">
        <f>2457800*AC42/I42</f>
        <v>7821.161495624503</v>
      </c>
      <c r="AE42" s="203">
        <v>0</v>
      </c>
      <c r="AF42" s="202">
        <v>0</v>
      </c>
      <c r="AG42" s="203">
        <v>0</v>
      </c>
      <c r="AH42" s="202">
        <v>0</v>
      </c>
      <c r="AI42" s="203">
        <v>0</v>
      </c>
      <c r="AJ42" s="202">
        <v>0</v>
      </c>
      <c r="AK42" s="203">
        <v>0</v>
      </c>
      <c r="AL42" s="203">
        <v>0</v>
      </c>
      <c r="AM42" s="203">
        <v>0</v>
      </c>
      <c r="AN42" s="203"/>
      <c r="AO42" s="203">
        <v>0</v>
      </c>
    </row>
    <row r="43" spans="1:41" s="176" customFormat="1" ht="36" customHeight="1" x14ac:dyDescent="0.25">
      <c r="A43" s="176">
        <v>1</v>
      </c>
      <c r="B43" s="171">
        <f>SUBTOTAL(103,$A$16:A43)</f>
        <v>28</v>
      </c>
      <c r="C43" s="172" t="s">
        <v>510</v>
      </c>
      <c r="D43" s="173">
        <v>1959</v>
      </c>
      <c r="E43" s="173"/>
      <c r="F43" s="174" t="s">
        <v>267</v>
      </c>
      <c r="G43" s="173">
        <v>2</v>
      </c>
      <c r="H43" s="173" t="s">
        <v>304</v>
      </c>
      <c r="I43" s="170">
        <v>313.3</v>
      </c>
      <c r="J43" s="170">
        <v>288.7</v>
      </c>
      <c r="K43" s="170">
        <v>288.7</v>
      </c>
      <c r="L43" s="206">
        <v>24</v>
      </c>
      <c r="M43" s="173" t="s">
        <v>265</v>
      </c>
      <c r="N43" s="173" t="s">
        <v>269</v>
      </c>
      <c r="O43" s="175" t="s">
        <v>1062</v>
      </c>
      <c r="P43" s="170">
        <v>1010260.5</v>
      </c>
      <c r="Q43" s="170">
        <v>0</v>
      </c>
      <c r="R43" s="170">
        <v>0</v>
      </c>
      <c r="S43" s="170">
        <f t="shared" si="1"/>
        <v>1010260.5</v>
      </c>
      <c r="T43" s="170">
        <f t="shared" si="0"/>
        <v>3224.5786785828277</v>
      </c>
      <c r="U43" s="170">
        <v>10067.597829556336</v>
      </c>
      <c r="V43" s="202">
        <f t="shared" si="2"/>
        <v>6843.0191509735087</v>
      </c>
      <c r="W43" s="202">
        <f t="shared" si="3"/>
        <v>6087.9654171720395</v>
      </c>
      <c r="X43" s="202">
        <v>0</v>
      </c>
      <c r="Y43" s="203">
        <v>0</v>
      </c>
      <c r="Z43" s="203">
        <v>0</v>
      </c>
      <c r="AA43" s="203">
        <v>0</v>
      </c>
      <c r="AB43" s="203">
        <v>0</v>
      </c>
      <c r="AC43" s="203">
        <v>0</v>
      </c>
      <c r="AD43" s="203">
        <v>0</v>
      </c>
      <c r="AE43" s="203">
        <v>305.72000000000003</v>
      </c>
      <c r="AF43" s="202">
        <f>6238.91*AE43/I43</f>
        <v>6087.9654171720395</v>
      </c>
      <c r="AG43" s="203">
        <v>0</v>
      </c>
      <c r="AH43" s="202">
        <v>0</v>
      </c>
      <c r="AI43" s="203">
        <v>0</v>
      </c>
      <c r="AJ43" s="202">
        <v>0</v>
      </c>
      <c r="AK43" s="203">
        <v>0</v>
      </c>
      <c r="AL43" s="203">
        <v>0</v>
      </c>
      <c r="AM43" s="203">
        <v>0</v>
      </c>
      <c r="AN43" s="203"/>
      <c r="AO43" s="203">
        <v>0</v>
      </c>
    </row>
    <row r="44" spans="1:41" s="176" customFormat="1" ht="36" customHeight="1" x14ac:dyDescent="0.25">
      <c r="A44" s="176">
        <v>1</v>
      </c>
      <c r="B44" s="171">
        <f>SUBTOTAL(103,$A$16:A44)</f>
        <v>29</v>
      </c>
      <c r="C44" s="172" t="s">
        <v>511</v>
      </c>
      <c r="D44" s="173">
        <v>1969</v>
      </c>
      <c r="E44" s="173"/>
      <c r="F44" s="174" t="s">
        <v>267</v>
      </c>
      <c r="G44" s="173">
        <v>9</v>
      </c>
      <c r="H44" s="173" t="s">
        <v>304</v>
      </c>
      <c r="I44" s="170">
        <v>2575.6999999999998</v>
      </c>
      <c r="J44" s="170">
        <v>2278.3000000000002</v>
      </c>
      <c r="K44" s="170">
        <v>2278.3000000000002</v>
      </c>
      <c r="L44" s="206">
        <v>84</v>
      </c>
      <c r="M44" s="173" t="s">
        <v>265</v>
      </c>
      <c r="N44" s="173" t="s">
        <v>269</v>
      </c>
      <c r="O44" s="175" t="s">
        <v>1062</v>
      </c>
      <c r="P44" s="170">
        <v>1761427.66</v>
      </c>
      <c r="Q44" s="170">
        <v>0</v>
      </c>
      <c r="R44" s="170">
        <v>0</v>
      </c>
      <c r="S44" s="170">
        <f t="shared" si="1"/>
        <v>1761427.66</v>
      </c>
      <c r="T44" s="170">
        <f t="shared" si="0"/>
        <v>683.86367201149199</v>
      </c>
      <c r="U44" s="170">
        <v>954.22603564079679</v>
      </c>
      <c r="V44" s="202">
        <f t="shared" si="2"/>
        <v>270.36236362930481</v>
      </c>
      <c r="W44" s="202">
        <f t="shared" si="3"/>
        <v>501.39937492720424</v>
      </c>
      <c r="X44" s="202">
        <v>0</v>
      </c>
      <c r="Y44" s="203">
        <v>0</v>
      </c>
      <c r="Z44" s="203">
        <v>0</v>
      </c>
      <c r="AA44" s="203">
        <v>0</v>
      </c>
      <c r="AB44" s="203">
        <v>0</v>
      </c>
      <c r="AC44" s="203">
        <v>0</v>
      </c>
      <c r="AD44" s="203">
        <v>0</v>
      </c>
      <c r="AE44" s="203">
        <v>207</v>
      </c>
      <c r="AF44" s="202">
        <f>6238.91*AE44/I44</f>
        <v>501.39937492720424</v>
      </c>
      <c r="AG44" s="203">
        <v>0</v>
      </c>
      <c r="AH44" s="202">
        <v>0</v>
      </c>
      <c r="AI44" s="203">
        <v>0</v>
      </c>
      <c r="AJ44" s="202">
        <v>0</v>
      </c>
      <c r="AK44" s="203">
        <v>0</v>
      </c>
      <c r="AL44" s="203">
        <v>0</v>
      </c>
      <c r="AM44" s="203">
        <v>0</v>
      </c>
      <c r="AN44" s="203"/>
      <c r="AO44" s="203">
        <v>0</v>
      </c>
    </row>
    <row r="45" spans="1:41" s="176" customFormat="1" ht="36" customHeight="1" x14ac:dyDescent="0.25">
      <c r="A45" s="176">
        <v>1</v>
      </c>
      <c r="B45" s="171">
        <f>SUBTOTAL(103,$A$16:A45)</f>
        <v>30</v>
      </c>
      <c r="C45" s="172" t="s">
        <v>512</v>
      </c>
      <c r="D45" s="173">
        <v>1983</v>
      </c>
      <c r="E45" s="173"/>
      <c r="F45" s="174" t="s">
        <v>267</v>
      </c>
      <c r="G45" s="173">
        <v>5</v>
      </c>
      <c r="H45" s="173" t="s">
        <v>312</v>
      </c>
      <c r="I45" s="170">
        <v>2943.9</v>
      </c>
      <c r="J45" s="170">
        <v>2711.7</v>
      </c>
      <c r="K45" s="170">
        <v>2711.7</v>
      </c>
      <c r="L45" s="206">
        <v>99</v>
      </c>
      <c r="M45" s="173" t="s">
        <v>265</v>
      </c>
      <c r="N45" s="173" t="s">
        <v>269</v>
      </c>
      <c r="O45" s="175" t="s">
        <v>1062</v>
      </c>
      <c r="P45" s="170">
        <v>2417044.6000000006</v>
      </c>
      <c r="Q45" s="170">
        <v>0</v>
      </c>
      <c r="R45" s="170">
        <v>0</v>
      </c>
      <c r="S45" s="170">
        <f t="shared" si="1"/>
        <v>2417044.6000000006</v>
      </c>
      <c r="T45" s="170">
        <f t="shared" si="0"/>
        <v>821.03488569584579</v>
      </c>
      <c r="U45" s="170">
        <v>2104.463602703896</v>
      </c>
      <c r="V45" s="202">
        <f t="shared" si="2"/>
        <v>1283.4287170080502</v>
      </c>
      <c r="W45" s="202">
        <f t="shared" si="3"/>
        <v>1072.4392948130032</v>
      </c>
      <c r="X45" s="202">
        <v>0</v>
      </c>
      <c r="Y45" s="203">
        <v>0</v>
      </c>
      <c r="Z45" s="203">
        <v>0</v>
      </c>
      <c r="AA45" s="203">
        <v>0</v>
      </c>
      <c r="AB45" s="203">
        <v>0</v>
      </c>
      <c r="AC45" s="203">
        <v>0</v>
      </c>
      <c r="AD45" s="203">
        <v>0</v>
      </c>
      <c r="AE45" s="203">
        <v>0</v>
      </c>
      <c r="AF45" s="202">
        <v>0</v>
      </c>
      <c r="AG45" s="203">
        <v>0</v>
      </c>
      <c r="AH45" s="202">
        <v>0</v>
      </c>
      <c r="AI45" s="203">
        <v>424.4</v>
      </c>
      <c r="AJ45" s="202">
        <f>7439.1*AI45/I45</f>
        <v>1072.4392948130032</v>
      </c>
      <c r="AK45" s="203">
        <v>0</v>
      </c>
      <c r="AL45" s="203">
        <v>0</v>
      </c>
      <c r="AM45" s="203">
        <v>0</v>
      </c>
      <c r="AN45" s="203"/>
      <c r="AO45" s="203">
        <v>0</v>
      </c>
    </row>
    <row r="46" spans="1:41" s="176" customFormat="1" ht="36" customHeight="1" x14ac:dyDescent="0.25">
      <c r="A46" s="176">
        <v>1</v>
      </c>
      <c r="B46" s="171">
        <f>SUBTOTAL(103,$A$16:A46)</f>
        <v>31</v>
      </c>
      <c r="C46" s="172" t="s">
        <v>513</v>
      </c>
      <c r="D46" s="173">
        <v>1989</v>
      </c>
      <c r="E46" s="173"/>
      <c r="F46" s="174" t="s">
        <v>267</v>
      </c>
      <c r="G46" s="173">
        <v>5</v>
      </c>
      <c r="H46" s="173" t="s">
        <v>308</v>
      </c>
      <c r="I46" s="170">
        <v>2894.3</v>
      </c>
      <c r="J46" s="170">
        <v>2645.3</v>
      </c>
      <c r="K46" s="170">
        <v>2645.3</v>
      </c>
      <c r="L46" s="206">
        <v>152</v>
      </c>
      <c r="M46" s="173" t="s">
        <v>265</v>
      </c>
      <c r="N46" s="173" t="s">
        <v>269</v>
      </c>
      <c r="O46" s="175" t="s">
        <v>1387</v>
      </c>
      <c r="P46" s="170">
        <v>2398202</v>
      </c>
      <c r="Q46" s="170">
        <v>0</v>
      </c>
      <c r="R46" s="170">
        <v>0</v>
      </c>
      <c r="S46" s="170">
        <f t="shared" si="1"/>
        <v>2398202</v>
      </c>
      <c r="T46" s="170">
        <f t="shared" si="0"/>
        <v>828.59482430985031</v>
      </c>
      <c r="U46" s="170">
        <v>1523.7771792834189</v>
      </c>
      <c r="V46" s="202">
        <f t="shared" si="2"/>
        <v>695.18235497356864</v>
      </c>
      <c r="W46" s="202">
        <f t="shared" si="3"/>
        <v>849.1863317555194</v>
      </c>
      <c r="X46" s="202">
        <v>0</v>
      </c>
      <c r="Y46" s="203">
        <v>0</v>
      </c>
      <c r="Z46" s="203">
        <v>0</v>
      </c>
      <c r="AA46" s="203">
        <v>0</v>
      </c>
      <c r="AB46" s="203">
        <v>0</v>
      </c>
      <c r="AC46" s="203">
        <v>1</v>
      </c>
      <c r="AD46" s="202">
        <f>2457800*AC46/I46</f>
        <v>849.1863317555194</v>
      </c>
      <c r="AE46" s="203">
        <v>0</v>
      </c>
      <c r="AF46" s="202">
        <v>0</v>
      </c>
      <c r="AG46" s="203">
        <v>0</v>
      </c>
      <c r="AH46" s="202">
        <v>0</v>
      </c>
      <c r="AI46" s="203">
        <v>0</v>
      </c>
      <c r="AJ46" s="202">
        <v>0</v>
      </c>
      <c r="AK46" s="203">
        <v>0</v>
      </c>
      <c r="AL46" s="203">
        <v>0</v>
      </c>
      <c r="AM46" s="203">
        <v>0</v>
      </c>
      <c r="AN46" s="203"/>
      <c r="AO46" s="203">
        <v>0</v>
      </c>
    </row>
    <row r="47" spans="1:41" s="176" customFormat="1" ht="36" customHeight="1" x14ac:dyDescent="0.25">
      <c r="A47" s="176">
        <v>1</v>
      </c>
      <c r="B47" s="171">
        <f>SUBTOTAL(103,$A$16:A47)</f>
        <v>32</v>
      </c>
      <c r="C47" s="172" t="s">
        <v>514</v>
      </c>
      <c r="D47" s="173">
        <v>1980</v>
      </c>
      <c r="E47" s="173"/>
      <c r="F47" s="174" t="s">
        <v>267</v>
      </c>
      <c r="G47" s="173">
        <v>5</v>
      </c>
      <c r="H47" s="173" t="s">
        <v>304</v>
      </c>
      <c r="I47" s="170">
        <v>1054.5999999999999</v>
      </c>
      <c r="J47" s="170">
        <v>994.1</v>
      </c>
      <c r="K47" s="170">
        <v>994.1</v>
      </c>
      <c r="L47" s="206">
        <v>39</v>
      </c>
      <c r="M47" s="173" t="s">
        <v>265</v>
      </c>
      <c r="N47" s="173" t="s">
        <v>269</v>
      </c>
      <c r="O47" s="175" t="s">
        <v>1387</v>
      </c>
      <c r="P47" s="170">
        <v>952298.84</v>
      </c>
      <c r="Q47" s="170">
        <v>0</v>
      </c>
      <c r="R47" s="170">
        <v>0</v>
      </c>
      <c r="S47" s="170">
        <f t="shared" si="1"/>
        <v>952298.84</v>
      </c>
      <c r="T47" s="170">
        <f t="shared" si="0"/>
        <v>902.99529679499346</v>
      </c>
      <c r="U47" s="170">
        <v>1540.9660952019724</v>
      </c>
      <c r="V47" s="202">
        <f t="shared" si="2"/>
        <v>637.97079840697893</v>
      </c>
      <c r="W47" s="202">
        <f t="shared" si="3"/>
        <v>5631.9384790441882</v>
      </c>
      <c r="X47" s="202">
        <v>0</v>
      </c>
      <c r="Y47" s="203">
        <v>0</v>
      </c>
      <c r="Z47" s="203">
        <v>0</v>
      </c>
      <c r="AA47" s="203">
        <v>0</v>
      </c>
      <c r="AB47" s="203">
        <v>0</v>
      </c>
      <c r="AC47" s="203">
        <v>0</v>
      </c>
      <c r="AD47" s="203">
        <v>0</v>
      </c>
      <c r="AE47" s="203">
        <v>952</v>
      </c>
      <c r="AF47" s="202">
        <f t="shared" ref="AF47:AF61" si="5">6238.91*AE47/I47</f>
        <v>5631.9384790441882</v>
      </c>
      <c r="AG47" s="203">
        <v>0</v>
      </c>
      <c r="AH47" s="202">
        <v>0</v>
      </c>
      <c r="AI47" s="203">
        <v>0</v>
      </c>
      <c r="AJ47" s="202">
        <v>0</v>
      </c>
      <c r="AK47" s="203">
        <v>0</v>
      </c>
      <c r="AL47" s="203">
        <v>0</v>
      </c>
      <c r="AM47" s="203">
        <v>0</v>
      </c>
      <c r="AN47" s="203"/>
      <c r="AO47" s="203">
        <v>0</v>
      </c>
    </row>
    <row r="48" spans="1:41" s="176" customFormat="1" ht="36" customHeight="1" x14ac:dyDescent="0.25">
      <c r="A48" s="176">
        <v>1</v>
      </c>
      <c r="B48" s="171">
        <f>SUBTOTAL(103,$A$16:A48)</f>
        <v>33</v>
      </c>
      <c r="C48" s="172" t="s">
        <v>515</v>
      </c>
      <c r="D48" s="173">
        <v>1981</v>
      </c>
      <c r="E48" s="173"/>
      <c r="F48" s="174" t="s">
        <v>311</v>
      </c>
      <c r="G48" s="173">
        <v>5</v>
      </c>
      <c r="H48" s="173" t="s">
        <v>2250</v>
      </c>
      <c r="I48" s="170">
        <v>7968.9</v>
      </c>
      <c r="J48" s="170">
        <v>6668.9</v>
      </c>
      <c r="K48" s="170">
        <v>6103.4</v>
      </c>
      <c r="L48" s="206">
        <v>317</v>
      </c>
      <c r="M48" s="173" t="s">
        <v>265</v>
      </c>
      <c r="N48" s="173" t="s">
        <v>269</v>
      </c>
      <c r="O48" s="175" t="s">
        <v>1387</v>
      </c>
      <c r="P48" s="170">
        <v>2602788.06</v>
      </c>
      <c r="Q48" s="170">
        <v>0</v>
      </c>
      <c r="R48" s="170">
        <v>0</v>
      </c>
      <c r="S48" s="170">
        <f t="shared" si="1"/>
        <v>2602788.06</v>
      </c>
      <c r="T48" s="170">
        <f t="shared" si="0"/>
        <v>326.61823589203027</v>
      </c>
      <c r="U48" s="170">
        <v>1235.09023290542</v>
      </c>
      <c r="V48" s="202">
        <f t="shared" si="2"/>
        <v>908.47199701338968</v>
      </c>
      <c r="W48" s="202">
        <f t="shared" si="3"/>
        <v>530.57627865828408</v>
      </c>
      <c r="X48" s="202">
        <v>0</v>
      </c>
      <c r="Y48" s="203">
        <v>0</v>
      </c>
      <c r="Z48" s="203">
        <v>0</v>
      </c>
      <c r="AA48" s="203">
        <v>0</v>
      </c>
      <c r="AB48" s="203">
        <v>0</v>
      </c>
      <c r="AC48" s="203">
        <v>0</v>
      </c>
      <c r="AD48" s="203">
        <v>0</v>
      </c>
      <c r="AE48" s="203">
        <v>677.7</v>
      </c>
      <c r="AF48" s="202">
        <f t="shared" si="5"/>
        <v>530.57627865828408</v>
      </c>
      <c r="AG48" s="203">
        <v>0</v>
      </c>
      <c r="AH48" s="202">
        <v>0</v>
      </c>
      <c r="AI48" s="203">
        <v>0</v>
      </c>
      <c r="AJ48" s="202">
        <v>0</v>
      </c>
      <c r="AK48" s="203">
        <v>0</v>
      </c>
      <c r="AL48" s="203">
        <v>0</v>
      </c>
      <c r="AM48" s="203">
        <v>0</v>
      </c>
      <c r="AN48" s="203"/>
      <c r="AO48" s="203">
        <v>0</v>
      </c>
    </row>
    <row r="49" spans="1:41" s="176" customFormat="1" ht="36" customHeight="1" x14ac:dyDescent="0.25">
      <c r="A49" s="176">
        <v>1</v>
      </c>
      <c r="B49" s="171">
        <f>SUBTOTAL(103,$A$16:A49)</f>
        <v>34</v>
      </c>
      <c r="C49" s="172" t="s">
        <v>516</v>
      </c>
      <c r="D49" s="173">
        <v>1993</v>
      </c>
      <c r="E49" s="173"/>
      <c r="F49" s="174" t="s">
        <v>311</v>
      </c>
      <c r="G49" s="173">
        <v>5</v>
      </c>
      <c r="H49" s="173" t="s">
        <v>351</v>
      </c>
      <c r="I49" s="170">
        <v>7577.6</v>
      </c>
      <c r="J49" s="170">
        <v>5713.2</v>
      </c>
      <c r="K49" s="170">
        <v>5713.2</v>
      </c>
      <c r="L49" s="206">
        <v>299</v>
      </c>
      <c r="M49" s="173" t="s">
        <v>265</v>
      </c>
      <c r="N49" s="173" t="s">
        <v>269</v>
      </c>
      <c r="O49" s="175" t="s">
        <v>1387</v>
      </c>
      <c r="P49" s="170">
        <v>4237431.1099999994</v>
      </c>
      <c r="Q49" s="170">
        <v>0</v>
      </c>
      <c r="R49" s="170">
        <v>0</v>
      </c>
      <c r="S49" s="170">
        <f t="shared" si="1"/>
        <v>4237431.1099999994</v>
      </c>
      <c r="T49" s="170">
        <f t="shared" si="0"/>
        <v>559.20490788640188</v>
      </c>
      <c r="U49" s="170">
        <v>1556.1592588682431</v>
      </c>
      <c r="V49" s="202">
        <f t="shared" si="2"/>
        <v>996.95435098184123</v>
      </c>
      <c r="W49" s="202">
        <f t="shared" si="3"/>
        <v>206.1633055320946</v>
      </c>
      <c r="X49" s="202">
        <v>0</v>
      </c>
      <c r="Y49" s="203">
        <v>0</v>
      </c>
      <c r="Z49" s="203">
        <v>0</v>
      </c>
      <c r="AA49" s="203">
        <v>0</v>
      </c>
      <c r="AB49" s="203">
        <v>0</v>
      </c>
      <c r="AC49" s="203">
        <v>0</v>
      </c>
      <c r="AD49" s="203">
        <v>0</v>
      </c>
      <c r="AE49" s="203">
        <v>250.4</v>
      </c>
      <c r="AF49" s="202">
        <f t="shared" si="5"/>
        <v>206.1633055320946</v>
      </c>
      <c r="AG49" s="203">
        <v>0</v>
      </c>
      <c r="AH49" s="202">
        <v>0</v>
      </c>
      <c r="AI49" s="203">
        <v>0</v>
      </c>
      <c r="AJ49" s="202">
        <v>0</v>
      </c>
      <c r="AK49" s="203">
        <v>0</v>
      </c>
      <c r="AL49" s="203">
        <v>0</v>
      </c>
      <c r="AM49" s="203">
        <v>0</v>
      </c>
      <c r="AN49" s="203"/>
      <c r="AO49" s="203">
        <v>0</v>
      </c>
    </row>
    <row r="50" spans="1:41" s="176" customFormat="1" ht="36" customHeight="1" x14ac:dyDescent="0.25">
      <c r="A50" s="176">
        <v>1</v>
      </c>
      <c r="B50" s="171">
        <f>SUBTOTAL(103,$A$16:A50)</f>
        <v>35</v>
      </c>
      <c r="C50" s="172" t="s">
        <v>517</v>
      </c>
      <c r="D50" s="173">
        <v>1986</v>
      </c>
      <c r="E50" s="173"/>
      <c r="F50" s="174" t="s">
        <v>267</v>
      </c>
      <c r="G50" s="173">
        <v>5</v>
      </c>
      <c r="H50" s="173" t="s">
        <v>308</v>
      </c>
      <c r="I50" s="170">
        <v>3600.3</v>
      </c>
      <c r="J50" s="170">
        <v>2713.5</v>
      </c>
      <c r="K50" s="170">
        <v>2713.5</v>
      </c>
      <c r="L50" s="206">
        <v>177</v>
      </c>
      <c r="M50" s="173" t="s">
        <v>265</v>
      </c>
      <c r="N50" s="173" t="s">
        <v>269</v>
      </c>
      <c r="O50" s="175" t="s">
        <v>1387</v>
      </c>
      <c r="P50" s="170">
        <v>2474623</v>
      </c>
      <c r="Q50" s="170">
        <v>0</v>
      </c>
      <c r="R50" s="170">
        <v>0</v>
      </c>
      <c r="S50" s="170">
        <f t="shared" si="1"/>
        <v>2474623</v>
      </c>
      <c r="T50" s="170">
        <f t="shared" si="0"/>
        <v>687.33799961114346</v>
      </c>
      <c r="U50" s="170">
        <v>1386.3861067133291</v>
      </c>
      <c r="V50" s="202">
        <f t="shared" si="2"/>
        <v>699.04810710218567</v>
      </c>
      <c r="W50" s="202">
        <f t="shared" si="3"/>
        <v>2620.8343396661385</v>
      </c>
      <c r="X50" s="202">
        <v>0</v>
      </c>
      <c r="Y50" s="203">
        <v>0</v>
      </c>
      <c r="Z50" s="203">
        <v>0</v>
      </c>
      <c r="AA50" s="203">
        <v>0</v>
      </c>
      <c r="AB50" s="203">
        <v>0</v>
      </c>
      <c r="AC50" s="203">
        <v>0</v>
      </c>
      <c r="AD50" s="203">
        <v>0</v>
      </c>
      <c r="AE50" s="203">
        <v>1512.41</v>
      </c>
      <c r="AF50" s="202">
        <f t="shared" si="5"/>
        <v>2620.8343396661385</v>
      </c>
      <c r="AG50" s="203">
        <v>0</v>
      </c>
      <c r="AH50" s="202">
        <v>0</v>
      </c>
      <c r="AI50" s="203">
        <v>0</v>
      </c>
      <c r="AJ50" s="202">
        <v>0</v>
      </c>
      <c r="AK50" s="203">
        <v>0</v>
      </c>
      <c r="AL50" s="203">
        <v>0</v>
      </c>
      <c r="AM50" s="203">
        <v>0</v>
      </c>
      <c r="AN50" s="203"/>
      <c r="AO50" s="203">
        <v>0</v>
      </c>
    </row>
    <row r="51" spans="1:41" s="176" customFormat="1" ht="36" customHeight="1" x14ac:dyDescent="0.25">
      <c r="A51" s="176">
        <v>1</v>
      </c>
      <c r="B51" s="171">
        <f>SUBTOTAL(103,$A$16:A51)</f>
        <v>36</v>
      </c>
      <c r="C51" s="172" t="s">
        <v>518</v>
      </c>
      <c r="D51" s="173">
        <v>1988</v>
      </c>
      <c r="E51" s="173"/>
      <c r="F51" s="174" t="s">
        <v>311</v>
      </c>
      <c r="G51" s="173">
        <v>5</v>
      </c>
      <c r="H51" s="173" t="s">
        <v>351</v>
      </c>
      <c r="I51" s="170">
        <v>5399</v>
      </c>
      <c r="J51" s="170">
        <v>3872.5</v>
      </c>
      <c r="K51" s="170">
        <v>3872.5</v>
      </c>
      <c r="L51" s="206">
        <v>192</v>
      </c>
      <c r="M51" s="173" t="s">
        <v>265</v>
      </c>
      <c r="N51" s="173" t="s">
        <v>269</v>
      </c>
      <c r="O51" s="175" t="s">
        <v>1077</v>
      </c>
      <c r="P51" s="170">
        <v>3215346.54</v>
      </c>
      <c r="Q51" s="170">
        <v>0</v>
      </c>
      <c r="R51" s="170">
        <v>0</v>
      </c>
      <c r="S51" s="170">
        <f t="shared" si="1"/>
        <v>3215346.54</v>
      </c>
      <c r="T51" s="170">
        <f t="shared" si="0"/>
        <v>595.54483052417118</v>
      </c>
      <c r="U51" s="170">
        <v>1176.4243748842377</v>
      </c>
      <c r="V51" s="202">
        <f t="shared" si="2"/>
        <v>580.87954436006657</v>
      </c>
      <c r="W51" s="202">
        <f t="shared" si="3"/>
        <v>2392.7531419336915</v>
      </c>
      <c r="X51" s="202">
        <v>0</v>
      </c>
      <c r="Y51" s="203">
        <v>0</v>
      </c>
      <c r="Z51" s="203">
        <v>0</v>
      </c>
      <c r="AA51" s="203">
        <v>0</v>
      </c>
      <c r="AB51" s="203">
        <v>0</v>
      </c>
      <c r="AC51" s="203">
        <v>0</v>
      </c>
      <c r="AD51" s="203">
        <v>0</v>
      </c>
      <c r="AE51" s="203">
        <v>2070.63</v>
      </c>
      <c r="AF51" s="202">
        <f t="shared" si="5"/>
        <v>2392.7531419336915</v>
      </c>
      <c r="AG51" s="203">
        <v>0</v>
      </c>
      <c r="AH51" s="202">
        <v>0</v>
      </c>
      <c r="AI51" s="203">
        <v>0</v>
      </c>
      <c r="AJ51" s="202">
        <v>0</v>
      </c>
      <c r="AK51" s="203">
        <v>0</v>
      </c>
      <c r="AL51" s="203">
        <v>0</v>
      </c>
      <c r="AM51" s="203">
        <v>0</v>
      </c>
      <c r="AN51" s="203"/>
      <c r="AO51" s="203">
        <v>0</v>
      </c>
    </row>
    <row r="52" spans="1:41" s="176" customFormat="1" ht="36" customHeight="1" x14ac:dyDescent="0.25">
      <c r="A52" s="176">
        <v>1</v>
      </c>
      <c r="B52" s="171">
        <f>SUBTOTAL(103,$A$16:A52)</f>
        <v>37</v>
      </c>
      <c r="C52" s="172" t="s">
        <v>519</v>
      </c>
      <c r="D52" s="173">
        <v>1987</v>
      </c>
      <c r="E52" s="173"/>
      <c r="F52" s="174" t="s">
        <v>311</v>
      </c>
      <c r="G52" s="173">
        <v>5</v>
      </c>
      <c r="H52" s="173" t="s">
        <v>312</v>
      </c>
      <c r="I52" s="170">
        <v>3281.4</v>
      </c>
      <c r="J52" s="170">
        <v>2306.6999999999998</v>
      </c>
      <c r="K52" s="170">
        <v>2306.6999999999998</v>
      </c>
      <c r="L52" s="206">
        <v>94</v>
      </c>
      <c r="M52" s="173" t="s">
        <v>265</v>
      </c>
      <c r="N52" s="173" t="s">
        <v>269</v>
      </c>
      <c r="O52" s="175" t="s">
        <v>1077</v>
      </c>
      <c r="P52" s="170">
        <v>2336593.7599999998</v>
      </c>
      <c r="Q52" s="170">
        <v>0</v>
      </c>
      <c r="R52" s="170">
        <v>0</v>
      </c>
      <c r="S52" s="170">
        <f t="shared" si="1"/>
        <v>2336593.7599999998</v>
      </c>
      <c r="T52" s="170">
        <f t="shared" si="0"/>
        <v>712.07221307978295</v>
      </c>
      <c r="U52" s="170">
        <v>1148.2776558785883</v>
      </c>
      <c r="V52" s="202">
        <f t="shared" si="2"/>
        <v>436.20544279880539</v>
      </c>
      <c r="W52" s="202">
        <f t="shared" si="3"/>
        <v>1446.8856311330528</v>
      </c>
      <c r="X52" s="202">
        <v>0</v>
      </c>
      <c r="Y52" s="203">
        <v>0</v>
      </c>
      <c r="Z52" s="203">
        <v>0</v>
      </c>
      <c r="AA52" s="203">
        <v>0</v>
      </c>
      <c r="AB52" s="203">
        <v>0</v>
      </c>
      <c r="AC52" s="203">
        <v>0</v>
      </c>
      <c r="AD52" s="203">
        <v>0</v>
      </c>
      <c r="AE52" s="203">
        <v>761</v>
      </c>
      <c r="AF52" s="202">
        <f t="shared" si="5"/>
        <v>1446.8856311330528</v>
      </c>
      <c r="AG52" s="203">
        <v>0</v>
      </c>
      <c r="AH52" s="202">
        <v>0</v>
      </c>
      <c r="AI52" s="203">
        <v>0</v>
      </c>
      <c r="AJ52" s="202">
        <v>0</v>
      </c>
      <c r="AK52" s="203">
        <v>0</v>
      </c>
      <c r="AL52" s="203">
        <v>0</v>
      </c>
      <c r="AM52" s="203">
        <v>0</v>
      </c>
      <c r="AN52" s="203"/>
      <c r="AO52" s="203">
        <v>0</v>
      </c>
    </row>
    <row r="53" spans="1:41" s="176" customFormat="1" ht="36" customHeight="1" x14ac:dyDescent="0.25">
      <c r="A53" s="176">
        <v>1</v>
      </c>
      <c r="B53" s="171">
        <f>SUBTOTAL(103,$A$16:A53)</f>
        <v>38</v>
      </c>
      <c r="C53" s="172" t="s">
        <v>520</v>
      </c>
      <c r="D53" s="173">
        <v>1952</v>
      </c>
      <c r="E53" s="173"/>
      <c r="F53" s="174" t="s">
        <v>267</v>
      </c>
      <c r="G53" s="173">
        <v>2</v>
      </c>
      <c r="H53" s="173" t="s">
        <v>303</v>
      </c>
      <c r="I53" s="170">
        <v>796</v>
      </c>
      <c r="J53" s="170">
        <v>722.8</v>
      </c>
      <c r="K53" s="170">
        <v>722.8</v>
      </c>
      <c r="L53" s="206">
        <v>49</v>
      </c>
      <c r="M53" s="173" t="s">
        <v>265</v>
      </c>
      <c r="N53" s="173" t="s">
        <v>269</v>
      </c>
      <c r="O53" s="175" t="s">
        <v>1371</v>
      </c>
      <c r="P53" s="170">
        <v>2470286.52</v>
      </c>
      <c r="Q53" s="170">
        <v>0</v>
      </c>
      <c r="R53" s="170">
        <v>0</v>
      </c>
      <c r="S53" s="170">
        <f t="shared" si="1"/>
        <v>2470286.52</v>
      </c>
      <c r="T53" s="170">
        <f t="shared" si="0"/>
        <v>3103.3750251256283</v>
      </c>
      <c r="U53" s="170">
        <v>6270.610427135678</v>
      </c>
      <c r="V53" s="202">
        <f t="shared" si="2"/>
        <v>3167.2354020100497</v>
      </c>
      <c r="W53" s="202">
        <f t="shared" si="3"/>
        <v>7837.8266331658288</v>
      </c>
      <c r="X53" s="202">
        <v>0</v>
      </c>
      <c r="Y53" s="203">
        <v>0</v>
      </c>
      <c r="Z53" s="203">
        <v>0</v>
      </c>
      <c r="AA53" s="203">
        <v>0</v>
      </c>
      <c r="AB53" s="203">
        <v>0</v>
      </c>
      <c r="AC53" s="203">
        <v>0</v>
      </c>
      <c r="AD53" s="203">
        <v>0</v>
      </c>
      <c r="AE53" s="203">
        <v>1000</v>
      </c>
      <c r="AF53" s="202">
        <f t="shared" si="5"/>
        <v>7837.8266331658288</v>
      </c>
      <c r="AG53" s="203">
        <v>0</v>
      </c>
      <c r="AH53" s="202">
        <v>0</v>
      </c>
      <c r="AI53" s="203">
        <v>0</v>
      </c>
      <c r="AJ53" s="202">
        <v>0</v>
      </c>
      <c r="AK53" s="203">
        <v>0</v>
      </c>
      <c r="AL53" s="203">
        <v>0</v>
      </c>
      <c r="AM53" s="203">
        <v>0</v>
      </c>
      <c r="AN53" s="203"/>
      <c r="AO53" s="203">
        <v>0</v>
      </c>
    </row>
    <row r="54" spans="1:41" s="176" customFormat="1" ht="36" customHeight="1" x14ac:dyDescent="0.25">
      <c r="A54" s="176">
        <v>1</v>
      </c>
      <c r="B54" s="171">
        <f>SUBTOTAL(103,$A$16:A54)</f>
        <v>39</v>
      </c>
      <c r="C54" s="172" t="s">
        <v>521</v>
      </c>
      <c r="D54" s="173">
        <v>1989</v>
      </c>
      <c r="E54" s="173"/>
      <c r="F54" s="174" t="s">
        <v>311</v>
      </c>
      <c r="G54" s="173">
        <v>5</v>
      </c>
      <c r="H54" s="173" t="s">
        <v>308</v>
      </c>
      <c r="I54" s="170">
        <v>4350.1000000000004</v>
      </c>
      <c r="J54" s="170">
        <v>3109.8</v>
      </c>
      <c r="K54" s="170">
        <v>3109.8</v>
      </c>
      <c r="L54" s="206">
        <v>137</v>
      </c>
      <c r="M54" s="173" t="s">
        <v>265</v>
      </c>
      <c r="N54" s="173" t="s">
        <v>269</v>
      </c>
      <c r="O54" s="175" t="s">
        <v>1077</v>
      </c>
      <c r="P54" s="170">
        <v>2594696.8800000004</v>
      </c>
      <c r="Q54" s="170">
        <v>0</v>
      </c>
      <c r="R54" s="170">
        <v>0</v>
      </c>
      <c r="S54" s="170">
        <f t="shared" si="1"/>
        <v>2594696.8800000004</v>
      </c>
      <c r="T54" s="170">
        <f t="shared" si="0"/>
        <v>596.46832946369057</v>
      </c>
      <c r="U54" s="170">
        <v>1214.7427415461711</v>
      </c>
      <c r="V54" s="202">
        <f t="shared" si="2"/>
        <v>618.27441208248058</v>
      </c>
      <c r="W54" s="202">
        <f t="shared" si="3"/>
        <v>860.51952828670596</v>
      </c>
      <c r="X54" s="202">
        <v>0</v>
      </c>
      <c r="Y54" s="203">
        <v>0</v>
      </c>
      <c r="Z54" s="203">
        <v>0</v>
      </c>
      <c r="AA54" s="203">
        <v>0</v>
      </c>
      <c r="AB54" s="203">
        <v>0</v>
      </c>
      <c r="AC54" s="203">
        <v>0</v>
      </c>
      <c r="AD54" s="203">
        <v>0</v>
      </c>
      <c r="AE54" s="203">
        <v>600</v>
      </c>
      <c r="AF54" s="202">
        <f t="shared" si="5"/>
        <v>860.51952828670596</v>
      </c>
      <c r="AG54" s="203">
        <v>0</v>
      </c>
      <c r="AH54" s="202">
        <v>0</v>
      </c>
      <c r="AI54" s="203">
        <v>0</v>
      </c>
      <c r="AJ54" s="202">
        <v>0</v>
      </c>
      <c r="AK54" s="203">
        <v>0</v>
      </c>
      <c r="AL54" s="203">
        <v>0</v>
      </c>
      <c r="AM54" s="203">
        <v>0</v>
      </c>
      <c r="AN54" s="203"/>
      <c r="AO54" s="203">
        <v>0</v>
      </c>
    </row>
    <row r="55" spans="1:41" s="176" customFormat="1" ht="36" customHeight="1" x14ac:dyDescent="0.25">
      <c r="A55" s="176">
        <v>1</v>
      </c>
      <c r="B55" s="171">
        <f>SUBTOTAL(103,$A$16:A55)</f>
        <v>40</v>
      </c>
      <c r="C55" s="172" t="s">
        <v>522</v>
      </c>
      <c r="D55" s="173">
        <v>1958</v>
      </c>
      <c r="E55" s="173"/>
      <c r="F55" s="174" t="s">
        <v>267</v>
      </c>
      <c r="G55" s="173">
        <v>3</v>
      </c>
      <c r="H55" s="173" t="s">
        <v>312</v>
      </c>
      <c r="I55" s="170">
        <v>3520.2</v>
      </c>
      <c r="J55" s="170">
        <v>1801.8</v>
      </c>
      <c r="K55" s="170">
        <v>1401.4</v>
      </c>
      <c r="L55" s="206">
        <v>68</v>
      </c>
      <c r="M55" s="173" t="s">
        <v>265</v>
      </c>
      <c r="N55" s="173" t="s">
        <v>269</v>
      </c>
      <c r="O55" s="175" t="s">
        <v>1386</v>
      </c>
      <c r="P55" s="170">
        <v>3746791.29</v>
      </c>
      <c r="Q55" s="170">
        <v>0</v>
      </c>
      <c r="R55" s="170">
        <v>0</v>
      </c>
      <c r="S55" s="170">
        <f t="shared" si="1"/>
        <v>3746791.29</v>
      </c>
      <c r="T55" s="170">
        <f t="shared" si="0"/>
        <v>1064.3688682461225</v>
      </c>
      <c r="U55" s="170">
        <v>1661.9573603772512</v>
      </c>
      <c r="V55" s="202">
        <f t="shared" si="2"/>
        <v>597.58849213112876</v>
      </c>
      <c r="W55" s="202">
        <f t="shared" si="3"/>
        <v>1020.7482033407194</v>
      </c>
      <c r="X55" s="202">
        <v>0</v>
      </c>
      <c r="Y55" s="203">
        <v>0</v>
      </c>
      <c r="Z55" s="203">
        <v>0</v>
      </c>
      <c r="AA55" s="203">
        <v>0</v>
      </c>
      <c r="AB55" s="203">
        <v>0</v>
      </c>
      <c r="AC55" s="203">
        <v>0</v>
      </c>
      <c r="AD55" s="203">
        <v>0</v>
      </c>
      <c r="AE55" s="203">
        <v>575.94000000000005</v>
      </c>
      <c r="AF55" s="202">
        <f t="shared" si="5"/>
        <v>1020.7482033407194</v>
      </c>
      <c r="AG55" s="203">
        <v>0</v>
      </c>
      <c r="AH55" s="202">
        <v>0</v>
      </c>
      <c r="AI55" s="203">
        <v>0</v>
      </c>
      <c r="AJ55" s="202">
        <v>0</v>
      </c>
      <c r="AK55" s="203">
        <v>0</v>
      </c>
      <c r="AL55" s="203">
        <v>0</v>
      </c>
      <c r="AM55" s="203">
        <v>0</v>
      </c>
      <c r="AN55" s="203"/>
      <c r="AO55" s="203">
        <v>0</v>
      </c>
    </row>
    <row r="56" spans="1:41" s="176" customFormat="1" ht="36" customHeight="1" x14ac:dyDescent="0.25">
      <c r="A56" s="176">
        <v>1</v>
      </c>
      <c r="B56" s="171">
        <f>SUBTOTAL(103,$A$16:A56)</f>
        <v>41</v>
      </c>
      <c r="C56" s="172" t="s">
        <v>524</v>
      </c>
      <c r="D56" s="173">
        <v>1995</v>
      </c>
      <c r="E56" s="173"/>
      <c r="F56" s="174" t="s">
        <v>311</v>
      </c>
      <c r="G56" s="173">
        <v>9</v>
      </c>
      <c r="H56" s="173" t="s">
        <v>308</v>
      </c>
      <c r="I56" s="170">
        <v>8787.9</v>
      </c>
      <c r="J56" s="170">
        <v>6287.1</v>
      </c>
      <c r="K56" s="170">
        <v>5664.6</v>
      </c>
      <c r="L56" s="206">
        <v>197</v>
      </c>
      <c r="M56" s="173" t="s">
        <v>265</v>
      </c>
      <c r="N56" s="173" t="s">
        <v>269</v>
      </c>
      <c r="O56" s="175" t="s">
        <v>1077</v>
      </c>
      <c r="P56" s="170">
        <v>2867076.98</v>
      </c>
      <c r="Q56" s="170">
        <v>0</v>
      </c>
      <c r="R56" s="170">
        <v>0</v>
      </c>
      <c r="S56" s="170">
        <f t="shared" si="1"/>
        <v>2867076.98</v>
      </c>
      <c r="T56" s="170">
        <f t="shared" si="0"/>
        <v>326.25279987255203</v>
      </c>
      <c r="U56" s="170">
        <v>1036.7414285551724</v>
      </c>
      <c r="V56" s="202">
        <f t="shared" si="2"/>
        <v>710.4886286826204</v>
      </c>
      <c r="W56" s="202">
        <f t="shared" si="3"/>
        <v>756.0895265080394</v>
      </c>
      <c r="X56" s="202">
        <v>0</v>
      </c>
      <c r="Y56" s="203">
        <v>0</v>
      </c>
      <c r="Z56" s="203">
        <v>0</v>
      </c>
      <c r="AA56" s="203">
        <v>0</v>
      </c>
      <c r="AB56" s="203">
        <v>0</v>
      </c>
      <c r="AC56" s="203">
        <v>0</v>
      </c>
      <c r="AD56" s="203">
        <v>0</v>
      </c>
      <c r="AE56" s="203">
        <v>1065</v>
      </c>
      <c r="AF56" s="202">
        <f t="shared" si="5"/>
        <v>756.0895265080394</v>
      </c>
      <c r="AG56" s="203">
        <v>0</v>
      </c>
      <c r="AH56" s="202">
        <v>0</v>
      </c>
      <c r="AI56" s="203">
        <v>0</v>
      </c>
      <c r="AJ56" s="202">
        <v>0</v>
      </c>
      <c r="AK56" s="203">
        <v>0</v>
      </c>
      <c r="AL56" s="203">
        <v>0</v>
      </c>
      <c r="AM56" s="203">
        <v>0</v>
      </c>
      <c r="AN56" s="203"/>
      <c r="AO56" s="203">
        <v>0</v>
      </c>
    </row>
    <row r="57" spans="1:41" s="176" customFormat="1" ht="36" customHeight="1" x14ac:dyDescent="0.25">
      <c r="A57" s="176">
        <v>1</v>
      </c>
      <c r="B57" s="171">
        <f>SUBTOTAL(103,$A$16:A57)</f>
        <v>42</v>
      </c>
      <c r="C57" s="172" t="s">
        <v>525</v>
      </c>
      <c r="D57" s="173">
        <v>1988</v>
      </c>
      <c r="E57" s="173"/>
      <c r="F57" s="174" t="s">
        <v>267</v>
      </c>
      <c r="G57" s="173">
        <v>2</v>
      </c>
      <c r="H57" s="173" t="s">
        <v>303</v>
      </c>
      <c r="I57" s="170">
        <v>1063.8</v>
      </c>
      <c r="J57" s="170">
        <v>565.6</v>
      </c>
      <c r="K57" s="170">
        <v>565.6</v>
      </c>
      <c r="L57" s="206">
        <v>36</v>
      </c>
      <c r="M57" s="173" t="s">
        <v>265</v>
      </c>
      <c r="N57" s="173" t="s">
        <v>269</v>
      </c>
      <c r="O57" s="175" t="s">
        <v>1387</v>
      </c>
      <c r="P57" s="170">
        <v>62259.5</v>
      </c>
      <c r="Q57" s="170">
        <v>0</v>
      </c>
      <c r="R57" s="170">
        <v>0</v>
      </c>
      <c r="S57" s="170">
        <f t="shared" si="1"/>
        <v>62259.5</v>
      </c>
      <c r="T57" s="170">
        <f t="shared" si="0"/>
        <v>58.525568715924045</v>
      </c>
      <c r="U57" s="170">
        <v>58.525568715924045</v>
      </c>
      <c r="V57" s="202">
        <f t="shared" si="2"/>
        <v>0</v>
      </c>
      <c r="W57" s="202">
        <f t="shared" si="3"/>
        <v>5301.7246098890764</v>
      </c>
      <c r="X57" s="202">
        <v>0</v>
      </c>
      <c r="Y57" s="203">
        <v>0</v>
      </c>
      <c r="Z57" s="203">
        <v>0</v>
      </c>
      <c r="AA57" s="203">
        <v>0</v>
      </c>
      <c r="AB57" s="203">
        <v>0</v>
      </c>
      <c r="AC57" s="203">
        <v>0</v>
      </c>
      <c r="AD57" s="203">
        <v>0</v>
      </c>
      <c r="AE57" s="203">
        <v>904</v>
      </c>
      <c r="AF57" s="202">
        <f t="shared" si="5"/>
        <v>5301.7246098890764</v>
      </c>
      <c r="AG57" s="203">
        <v>0</v>
      </c>
      <c r="AH57" s="202">
        <v>0</v>
      </c>
      <c r="AI57" s="203">
        <v>0</v>
      </c>
      <c r="AJ57" s="202">
        <v>0</v>
      </c>
      <c r="AK57" s="203">
        <v>0</v>
      </c>
      <c r="AL57" s="203">
        <v>0</v>
      </c>
      <c r="AM57" s="203">
        <v>0</v>
      </c>
      <c r="AN57" s="203"/>
      <c r="AO57" s="203">
        <v>0</v>
      </c>
    </row>
    <row r="58" spans="1:41" s="176" customFormat="1" ht="36" customHeight="1" x14ac:dyDescent="0.25">
      <c r="A58" s="176">
        <v>1</v>
      </c>
      <c r="B58" s="171">
        <f>SUBTOTAL(103,$A$16:A58)</f>
        <v>43</v>
      </c>
      <c r="C58" s="172" t="s">
        <v>1360</v>
      </c>
      <c r="D58" s="173">
        <v>1971</v>
      </c>
      <c r="E58" s="173"/>
      <c r="F58" s="174" t="s">
        <v>267</v>
      </c>
      <c r="G58" s="173">
        <v>9</v>
      </c>
      <c r="H58" s="173" t="s">
        <v>304</v>
      </c>
      <c r="I58" s="170">
        <v>2016.9</v>
      </c>
      <c r="J58" s="170">
        <v>1902</v>
      </c>
      <c r="K58" s="170">
        <v>1902</v>
      </c>
      <c r="L58" s="206">
        <v>140</v>
      </c>
      <c r="M58" s="173" t="s">
        <v>265</v>
      </c>
      <c r="N58" s="173" t="s">
        <v>269</v>
      </c>
      <c r="O58" s="175" t="s">
        <v>1063</v>
      </c>
      <c r="P58" s="170">
        <v>605681</v>
      </c>
      <c r="Q58" s="170">
        <v>0</v>
      </c>
      <c r="R58" s="170">
        <v>0</v>
      </c>
      <c r="S58" s="170">
        <f t="shared" si="1"/>
        <v>605681</v>
      </c>
      <c r="T58" s="170">
        <f t="shared" si="0"/>
        <v>300.30294015568444</v>
      </c>
      <c r="U58" s="170">
        <v>986.56073776587823</v>
      </c>
      <c r="V58" s="202">
        <f t="shared" si="2"/>
        <v>686.25779761019385</v>
      </c>
      <c r="W58" s="202">
        <f t="shared" si="3"/>
        <v>3650.4227730675784</v>
      </c>
      <c r="X58" s="202">
        <v>0</v>
      </c>
      <c r="Y58" s="203">
        <v>0</v>
      </c>
      <c r="Z58" s="203">
        <v>0</v>
      </c>
      <c r="AA58" s="203">
        <v>0</v>
      </c>
      <c r="AB58" s="203">
        <v>0</v>
      </c>
      <c r="AC58" s="203">
        <v>0</v>
      </c>
      <c r="AD58" s="203">
        <v>0</v>
      </c>
      <c r="AE58" s="203">
        <v>1180.0999999999999</v>
      </c>
      <c r="AF58" s="202">
        <f t="shared" si="5"/>
        <v>3650.4227730675784</v>
      </c>
      <c r="AG58" s="203">
        <v>0</v>
      </c>
      <c r="AH58" s="202">
        <v>0</v>
      </c>
      <c r="AI58" s="203">
        <v>0</v>
      </c>
      <c r="AJ58" s="202">
        <v>0</v>
      </c>
      <c r="AK58" s="203">
        <v>0</v>
      </c>
      <c r="AL58" s="203">
        <v>0</v>
      </c>
      <c r="AM58" s="203">
        <v>0</v>
      </c>
      <c r="AN58" s="203"/>
      <c r="AO58" s="203">
        <v>0</v>
      </c>
    </row>
    <row r="59" spans="1:41" s="176" customFormat="1" ht="36" customHeight="1" x14ac:dyDescent="0.25">
      <c r="A59" s="176">
        <v>1</v>
      </c>
      <c r="B59" s="171">
        <f>SUBTOTAL(103,$A$16:A59)</f>
        <v>44</v>
      </c>
      <c r="C59" s="172" t="s">
        <v>1362</v>
      </c>
      <c r="D59" s="173">
        <v>1963</v>
      </c>
      <c r="E59" s="173"/>
      <c r="F59" s="174" t="s">
        <v>267</v>
      </c>
      <c r="G59" s="173">
        <v>5</v>
      </c>
      <c r="H59" s="173" t="s">
        <v>312</v>
      </c>
      <c r="I59" s="170">
        <v>2525.6</v>
      </c>
      <c r="J59" s="170">
        <v>1705.3</v>
      </c>
      <c r="K59" s="170">
        <v>1560.2</v>
      </c>
      <c r="L59" s="206">
        <v>98</v>
      </c>
      <c r="M59" s="173" t="s">
        <v>265</v>
      </c>
      <c r="N59" s="173" t="s">
        <v>269</v>
      </c>
      <c r="O59" s="175" t="s">
        <v>1374</v>
      </c>
      <c r="P59" s="170">
        <v>3492157.8499999996</v>
      </c>
      <c r="Q59" s="170">
        <v>0</v>
      </c>
      <c r="R59" s="170">
        <v>0</v>
      </c>
      <c r="S59" s="170">
        <f t="shared" si="1"/>
        <v>3492157.8499999996</v>
      </c>
      <c r="T59" s="170">
        <f t="shared" si="0"/>
        <v>1382.704248495407</v>
      </c>
      <c r="U59" s="170">
        <v>2071.6624960405447</v>
      </c>
      <c r="V59" s="202">
        <f t="shared" si="2"/>
        <v>688.95824754513774</v>
      </c>
      <c r="W59" s="202">
        <f t="shared" si="3"/>
        <v>1395.7016748495407</v>
      </c>
      <c r="X59" s="202">
        <v>0</v>
      </c>
      <c r="Y59" s="203">
        <v>0</v>
      </c>
      <c r="Z59" s="203">
        <v>0</v>
      </c>
      <c r="AA59" s="203">
        <v>0</v>
      </c>
      <c r="AB59" s="203">
        <v>0</v>
      </c>
      <c r="AC59" s="203">
        <v>0</v>
      </c>
      <c r="AD59" s="203">
        <v>0</v>
      </c>
      <c r="AE59" s="203">
        <v>565</v>
      </c>
      <c r="AF59" s="202">
        <f t="shared" si="5"/>
        <v>1395.7016748495407</v>
      </c>
      <c r="AG59" s="203">
        <v>0</v>
      </c>
      <c r="AH59" s="202">
        <v>0</v>
      </c>
      <c r="AI59" s="203">
        <v>0</v>
      </c>
      <c r="AJ59" s="202">
        <v>0</v>
      </c>
      <c r="AK59" s="203">
        <v>0</v>
      </c>
      <c r="AL59" s="203">
        <v>0</v>
      </c>
      <c r="AM59" s="203">
        <v>0</v>
      </c>
      <c r="AN59" s="203"/>
      <c r="AO59" s="203">
        <v>0</v>
      </c>
    </row>
    <row r="60" spans="1:41" s="176" customFormat="1" ht="36" customHeight="1" x14ac:dyDescent="0.25">
      <c r="A60" s="176">
        <v>1</v>
      </c>
      <c r="B60" s="171">
        <f>SUBTOTAL(103,$A$16:A60)</f>
        <v>45</v>
      </c>
      <c r="C60" s="172" t="s">
        <v>1082</v>
      </c>
      <c r="D60" s="173">
        <v>1991</v>
      </c>
      <c r="E60" s="173"/>
      <c r="F60" s="174" t="s">
        <v>311</v>
      </c>
      <c r="G60" s="173">
        <v>9</v>
      </c>
      <c r="H60" s="173" t="s">
        <v>312</v>
      </c>
      <c r="I60" s="170">
        <v>6295.6</v>
      </c>
      <c r="J60" s="170">
        <v>6295.6</v>
      </c>
      <c r="K60" s="170">
        <v>6088.2</v>
      </c>
      <c r="L60" s="206">
        <v>252</v>
      </c>
      <c r="M60" s="173" t="s">
        <v>265</v>
      </c>
      <c r="N60" s="173" t="s">
        <v>269</v>
      </c>
      <c r="O60" s="175" t="s">
        <v>1373</v>
      </c>
      <c r="P60" s="170">
        <v>4195168.8</v>
      </c>
      <c r="Q60" s="170">
        <v>0</v>
      </c>
      <c r="R60" s="170">
        <v>0</v>
      </c>
      <c r="S60" s="170">
        <f t="shared" si="1"/>
        <v>4195168.8</v>
      </c>
      <c r="T60" s="170">
        <f t="shared" si="0"/>
        <v>666.36520744647044</v>
      </c>
      <c r="U60" s="170">
        <v>1171.198932587839</v>
      </c>
      <c r="V60" s="202">
        <f t="shared" si="2"/>
        <v>504.83372514136852</v>
      </c>
      <c r="W60" s="202">
        <f t="shared" si="3"/>
        <v>303.00672240930169</v>
      </c>
      <c r="X60" s="202">
        <v>0</v>
      </c>
      <c r="Y60" s="203">
        <v>0</v>
      </c>
      <c r="Z60" s="203">
        <v>0</v>
      </c>
      <c r="AA60" s="203">
        <v>0</v>
      </c>
      <c r="AB60" s="203">
        <v>0</v>
      </c>
      <c r="AC60" s="203">
        <v>0</v>
      </c>
      <c r="AD60" s="203">
        <v>0</v>
      </c>
      <c r="AE60" s="203">
        <v>305.76</v>
      </c>
      <c r="AF60" s="202">
        <f t="shared" si="5"/>
        <v>303.00672240930169</v>
      </c>
      <c r="AG60" s="203">
        <v>0</v>
      </c>
      <c r="AH60" s="202">
        <v>0</v>
      </c>
      <c r="AI60" s="203">
        <v>0</v>
      </c>
      <c r="AJ60" s="202">
        <v>0</v>
      </c>
      <c r="AK60" s="203">
        <v>0</v>
      </c>
      <c r="AL60" s="203">
        <v>0</v>
      </c>
      <c r="AM60" s="203">
        <v>0</v>
      </c>
      <c r="AN60" s="203"/>
      <c r="AO60" s="203">
        <v>0</v>
      </c>
    </row>
    <row r="61" spans="1:41" s="176" customFormat="1" ht="36" customHeight="1" x14ac:dyDescent="0.25">
      <c r="A61" s="176">
        <v>1</v>
      </c>
      <c r="B61" s="171">
        <f>SUBTOTAL(103,$A$16:A61)</f>
        <v>46</v>
      </c>
      <c r="C61" s="172" t="s">
        <v>1083</v>
      </c>
      <c r="D61" s="173">
        <v>1956</v>
      </c>
      <c r="E61" s="173"/>
      <c r="F61" s="174" t="s">
        <v>267</v>
      </c>
      <c r="G61" s="173">
        <v>5</v>
      </c>
      <c r="H61" s="173" t="s">
        <v>370</v>
      </c>
      <c r="I61" s="170">
        <v>6143.7</v>
      </c>
      <c r="J61" s="170">
        <v>6143.7</v>
      </c>
      <c r="K61" s="170">
        <v>5025</v>
      </c>
      <c r="L61" s="206">
        <v>163</v>
      </c>
      <c r="M61" s="173" t="s">
        <v>265</v>
      </c>
      <c r="N61" s="173" t="s">
        <v>341</v>
      </c>
      <c r="O61" s="175" t="s">
        <v>1623</v>
      </c>
      <c r="P61" s="170">
        <v>11667617.030000001</v>
      </c>
      <c r="Q61" s="170">
        <v>0</v>
      </c>
      <c r="R61" s="170">
        <v>0</v>
      </c>
      <c r="S61" s="170">
        <f t="shared" si="1"/>
        <v>11667617.030000001</v>
      </c>
      <c r="T61" s="170">
        <f t="shared" si="0"/>
        <v>1899.1189397268749</v>
      </c>
      <c r="U61" s="170">
        <v>7870.5259045851853</v>
      </c>
      <c r="V61" s="202">
        <f t="shared" si="2"/>
        <v>5971.4069648583099</v>
      </c>
      <c r="W61" s="202">
        <f t="shared" si="3"/>
        <v>801.22727183944539</v>
      </c>
      <c r="X61" s="202">
        <v>0</v>
      </c>
      <c r="Y61" s="203">
        <v>0</v>
      </c>
      <c r="Z61" s="203">
        <v>0</v>
      </c>
      <c r="AA61" s="203">
        <v>0</v>
      </c>
      <c r="AB61" s="203">
        <v>0</v>
      </c>
      <c r="AC61" s="203">
        <v>0</v>
      </c>
      <c r="AD61" s="203">
        <v>0</v>
      </c>
      <c r="AE61" s="203">
        <v>789</v>
      </c>
      <c r="AF61" s="202">
        <f t="shared" si="5"/>
        <v>801.22727183944539</v>
      </c>
      <c r="AG61" s="203">
        <v>0</v>
      </c>
      <c r="AH61" s="202">
        <v>0</v>
      </c>
      <c r="AI61" s="203">
        <v>0</v>
      </c>
      <c r="AJ61" s="202">
        <v>0</v>
      </c>
      <c r="AK61" s="203">
        <v>0</v>
      </c>
      <c r="AL61" s="203">
        <v>0</v>
      </c>
      <c r="AM61" s="203">
        <v>0</v>
      </c>
      <c r="AN61" s="203"/>
      <c r="AO61" s="203">
        <v>0</v>
      </c>
    </row>
    <row r="62" spans="1:41" s="176" customFormat="1" ht="36" customHeight="1" x14ac:dyDescent="0.25">
      <c r="A62" s="176">
        <v>1</v>
      </c>
      <c r="B62" s="171">
        <f>SUBTOTAL(103,$A$16:A62)</f>
        <v>47</v>
      </c>
      <c r="C62" s="172" t="s">
        <v>1084</v>
      </c>
      <c r="D62" s="173">
        <v>1959</v>
      </c>
      <c r="E62" s="173"/>
      <c r="F62" s="174" t="s">
        <v>267</v>
      </c>
      <c r="G62" s="173">
        <v>5</v>
      </c>
      <c r="H62" s="173" t="s">
        <v>308</v>
      </c>
      <c r="I62" s="170">
        <v>6884.6</v>
      </c>
      <c r="J62" s="170">
        <v>5562.9</v>
      </c>
      <c r="K62" s="170">
        <v>4628.7</v>
      </c>
      <c r="L62" s="206">
        <v>154</v>
      </c>
      <c r="M62" s="173" t="s">
        <v>265</v>
      </c>
      <c r="N62" s="173" t="s">
        <v>269</v>
      </c>
      <c r="O62" s="175" t="s">
        <v>1371</v>
      </c>
      <c r="P62" s="170">
        <v>7273505.4900000002</v>
      </c>
      <c r="Q62" s="170">
        <v>0</v>
      </c>
      <c r="R62" s="170">
        <v>0</v>
      </c>
      <c r="S62" s="170">
        <f t="shared" si="1"/>
        <v>7273505.4900000002</v>
      </c>
      <c r="T62" s="170">
        <f t="shared" si="0"/>
        <v>1056.489191819423</v>
      </c>
      <c r="U62" s="170">
        <v>4162.4209766725735</v>
      </c>
      <c r="V62" s="202">
        <f t="shared" si="2"/>
        <v>3105.9317848531505</v>
      </c>
      <c r="W62" s="202">
        <f t="shared" si="3"/>
        <v>795.27897045579994</v>
      </c>
      <c r="X62" s="202">
        <v>0</v>
      </c>
      <c r="Y62" s="203">
        <v>0</v>
      </c>
      <c r="Z62" s="203">
        <v>0</v>
      </c>
      <c r="AA62" s="203">
        <v>0</v>
      </c>
      <c r="AB62" s="203">
        <v>0</v>
      </c>
      <c r="AC62" s="203">
        <v>0</v>
      </c>
      <c r="AD62" s="203">
        <v>0</v>
      </c>
      <c r="AE62" s="203">
        <v>0</v>
      </c>
      <c r="AF62" s="202">
        <v>0</v>
      </c>
      <c r="AG62" s="203">
        <v>0</v>
      </c>
      <c r="AH62" s="202">
        <v>0</v>
      </c>
      <c r="AI62" s="203">
        <v>736</v>
      </c>
      <c r="AJ62" s="202">
        <f>7439.1*AI62/I62</f>
        <v>795.27897045579994</v>
      </c>
      <c r="AK62" s="203">
        <v>0</v>
      </c>
      <c r="AL62" s="203">
        <v>0</v>
      </c>
      <c r="AM62" s="203">
        <v>0</v>
      </c>
      <c r="AN62" s="203"/>
      <c r="AO62" s="203">
        <v>0</v>
      </c>
    </row>
    <row r="63" spans="1:41" s="176" customFormat="1" ht="36" customHeight="1" x14ac:dyDescent="0.25">
      <c r="A63" s="176">
        <v>1</v>
      </c>
      <c r="B63" s="171">
        <f>SUBTOTAL(103,$A$16:A63)</f>
        <v>48</v>
      </c>
      <c r="C63" s="172" t="s">
        <v>1086</v>
      </c>
      <c r="D63" s="173">
        <v>1972</v>
      </c>
      <c r="E63" s="173"/>
      <c r="F63" s="174" t="s">
        <v>267</v>
      </c>
      <c r="G63" s="173">
        <v>4</v>
      </c>
      <c r="H63" s="173" t="s">
        <v>304</v>
      </c>
      <c r="I63" s="170">
        <v>2171.9</v>
      </c>
      <c r="J63" s="170">
        <v>2022.4</v>
      </c>
      <c r="K63" s="170">
        <v>225.6</v>
      </c>
      <c r="L63" s="206">
        <v>26</v>
      </c>
      <c r="M63" s="173" t="s">
        <v>265</v>
      </c>
      <c r="N63" s="173" t="s">
        <v>269</v>
      </c>
      <c r="O63" s="175" t="s">
        <v>1374</v>
      </c>
      <c r="P63" s="170">
        <v>726648.72000000009</v>
      </c>
      <c r="Q63" s="170">
        <v>0</v>
      </c>
      <c r="R63" s="170">
        <v>0</v>
      </c>
      <c r="S63" s="170">
        <f t="shared" si="1"/>
        <v>726648.72000000009</v>
      </c>
      <c r="T63" s="170">
        <f t="shared" si="0"/>
        <v>334.56822137299145</v>
      </c>
      <c r="U63" s="170">
        <v>617.84048068511436</v>
      </c>
      <c r="V63" s="202">
        <f t="shared" si="2"/>
        <v>283.27225931212291</v>
      </c>
      <c r="W63" s="202">
        <f t="shared" si="3"/>
        <v>3394.9076845158615</v>
      </c>
      <c r="X63" s="202">
        <v>0</v>
      </c>
      <c r="Y63" s="203">
        <v>0</v>
      </c>
      <c r="Z63" s="203">
        <v>0</v>
      </c>
      <c r="AA63" s="203">
        <v>0</v>
      </c>
      <c r="AB63" s="203">
        <v>0</v>
      </c>
      <c r="AC63" s="203">
        <v>3</v>
      </c>
      <c r="AD63" s="202">
        <f>2457800*AC63/I63</f>
        <v>3394.9076845158615</v>
      </c>
      <c r="AE63" s="203">
        <v>0</v>
      </c>
      <c r="AF63" s="202">
        <v>0</v>
      </c>
      <c r="AG63" s="203">
        <v>0</v>
      </c>
      <c r="AH63" s="202">
        <v>0</v>
      </c>
      <c r="AI63" s="203">
        <v>0</v>
      </c>
      <c r="AJ63" s="202">
        <v>0</v>
      </c>
      <c r="AK63" s="203">
        <v>0</v>
      </c>
      <c r="AL63" s="203">
        <v>0</v>
      </c>
      <c r="AM63" s="203">
        <v>0</v>
      </c>
      <c r="AN63" s="203"/>
      <c r="AO63" s="203">
        <v>0</v>
      </c>
    </row>
    <row r="64" spans="1:41" s="176" customFormat="1" ht="36" customHeight="1" x14ac:dyDescent="0.25">
      <c r="A64" s="176">
        <v>1</v>
      </c>
      <c r="B64" s="171">
        <f>SUBTOTAL(103,$A$16:A64)</f>
        <v>49</v>
      </c>
      <c r="C64" s="172" t="s">
        <v>1087</v>
      </c>
      <c r="D64" s="173">
        <v>1975</v>
      </c>
      <c r="E64" s="173"/>
      <c r="F64" s="174" t="s">
        <v>267</v>
      </c>
      <c r="G64" s="173">
        <v>5</v>
      </c>
      <c r="H64" s="173" t="s">
        <v>312</v>
      </c>
      <c r="I64" s="170">
        <v>2962.8</v>
      </c>
      <c r="J64" s="170">
        <v>2688.5</v>
      </c>
      <c r="K64" s="170">
        <v>2688.5</v>
      </c>
      <c r="L64" s="206">
        <v>117</v>
      </c>
      <c r="M64" s="173" t="s">
        <v>265</v>
      </c>
      <c r="N64" s="173" t="s">
        <v>269</v>
      </c>
      <c r="O64" s="175" t="s">
        <v>1312</v>
      </c>
      <c r="P64" s="170">
        <v>3306287.7600000002</v>
      </c>
      <c r="Q64" s="170">
        <v>0</v>
      </c>
      <c r="R64" s="170">
        <v>0</v>
      </c>
      <c r="S64" s="170">
        <f t="shared" si="1"/>
        <v>3306287.7600000002</v>
      </c>
      <c r="T64" s="170">
        <f t="shared" si="0"/>
        <v>1115.9334953422438</v>
      </c>
      <c r="U64" s="170">
        <v>2011.9661131362225</v>
      </c>
      <c r="V64" s="202">
        <f t="shared" si="2"/>
        <v>896.03261779397872</v>
      </c>
      <c r="W64" s="202">
        <f t="shared" si="3"/>
        <v>14533.788852774403</v>
      </c>
      <c r="X64" s="202">
        <v>0</v>
      </c>
      <c r="Y64" s="203">
        <v>0</v>
      </c>
      <c r="Z64" s="203">
        <v>0</v>
      </c>
      <c r="AA64" s="203">
        <v>0</v>
      </c>
      <c r="AB64" s="203">
        <v>0</v>
      </c>
      <c r="AC64" s="203">
        <v>0</v>
      </c>
      <c r="AD64" s="203">
        <v>0</v>
      </c>
      <c r="AE64" s="203">
        <v>0</v>
      </c>
      <c r="AF64" s="202">
        <v>0</v>
      </c>
      <c r="AG64" s="203">
        <v>0</v>
      </c>
      <c r="AH64" s="202">
        <v>0</v>
      </c>
      <c r="AI64" s="203">
        <v>5788.43</v>
      </c>
      <c r="AJ64" s="202">
        <f>7439.1*AI64/I64</f>
        <v>14533.788852774403</v>
      </c>
      <c r="AK64" s="203">
        <v>0</v>
      </c>
      <c r="AL64" s="203">
        <v>0</v>
      </c>
      <c r="AM64" s="203">
        <v>0</v>
      </c>
      <c r="AN64" s="203"/>
      <c r="AO64" s="203">
        <v>0</v>
      </c>
    </row>
    <row r="65" spans="1:41" s="176" customFormat="1" ht="36" customHeight="1" x14ac:dyDescent="0.25">
      <c r="A65" s="176">
        <v>1</v>
      </c>
      <c r="B65" s="171">
        <f>SUBTOTAL(103,$A$16:A65)</f>
        <v>50</v>
      </c>
      <c r="C65" s="172" t="s">
        <v>1089</v>
      </c>
      <c r="D65" s="173">
        <v>1971</v>
      </c>
      <c r="E65" s="173"/>
      <c r="F65" s="174" t="s">
        <v>267</v>
      </c>
      <c r="G65" s="173">
        <v>5</v>
      </c>
      <c r="H65" s="173" t="s">
        <v>308</v>
      </c>
      <c r="I65" s="170">
        <v>4188.1000000000004</v>
      </c>
      <c r="J65" s="170">
        <v>3145.1</v>
      </c>
      <c r="K65" s="170">
        <v>3145.1</v>
      </c>
      <c r="L65" s="206">
        <v>146</v>
      </c>
      <c r="M65" s="173" t="s">
        <v>265</v>
      </c>
      <c r="N65" s="173" t="s">
        <v>269</v>
      </c>
      <c r="O65" s="175" t="s">
        <v>1624</v>
      </c>
      <c r="P65" s="170">
        <v>4193947.02</v>
      </c>
      <c r="Q65" s="170">
        <v>0</v>
      </c>
      <c r="R65" s="170">
        <v>0</v>
      </c>
      <c r="S65" s="170">
        <f t="shared" si="1"/>
        <v>4193947.02</v>
      </c>
      <c r="T65" s="170">
        <f t="shared" si="0"/>
        <v>1001.3961032449081</v>
      </c>
      <c r="U65" s="170">
        <v>1604.952675437549</v>
      </c>
      <c r="V65" s="202">
        <f t="shared" si="2"/>
        <v>603.55657219264094</v>
      </c>
      <c r="W65" s="202">
        <f t="shared" si="3"/>
        <v>6842.3875876889279</v>
      </c>
      <c r="X65" s="202">
        <v>0</v>
      </c>
      <c r="Y65" s="203">
        <v>0</v>
      </c>
      <c r="Z65" s="203">
        <v>0</v>
      </c>
      <c r="AA65" s="203">
        <v>0</v>
      </c>
      <c r="AB65" s="203">
        <v>0</v>
      </c>
      <c r="AC65" s="203">
        <v>0</v>
      </c>
      <c r="AD65" s="203">
        <v>0</v>
      </c>
      <c r="AE65" s="203">
        <v>0</v>
      </c>
      <c r="AF65" s="202">
        <v>0</v>
      </c>
      <c r="AG65" s="203">
        <v>0</v>
      </c>
      <c r="AH65" s="202">
        <v>0</v>
      </c>
      <c r="AI65" s="203">
        <v>3852.16</v>
      </c>
      <c r="AJ65" s="202">
        <f>7439.1*AI65/I65</f>
        <v>6842.3875876889279</v>
      </c>
      <c r="AK65" s="203">
        <v>0</v>
      </c>
      <c r="AL65" s="203">
        <v>0</v>
      </c>
      <c r="AM65" s="203">
        <v>0</v>
      </c>
      <c r="AN65" s="203"/>
      <c r="AO65" s="203">
        <v>0</v>
      </c>
    </row>
    <row r="66" spans="1:41" s="176" customFormat="1" ht="36" customHeight="1" x14ac:dyDescent="0.25">
      <c r="A66" s="176">
        <v>1</v>
      </c>
      <c r="B66" s="171">
        <f>SUBTOTAL(103,$A$16:A66)</f>
        <v>51</v>
      </c>
      <c r="C66" s="172" t="s">
        <v>1090</v>
      </c>
      <c r="D66" s="173">
        <v>1969</v>
      </c>
      <c r="E66" s="173"/>
      <c r="F66" s="174" t="s">
        <v>267</v>
      </c>
      <c r="G66" s="173">
        <v>5</v>
      </c>
      <c r="H66" s="173" t="s">
        <v>308</v>
      </c>
      <c r="I66" s="170">
        <v>4279.8</v>
      </c>
      <c r="J66" s="170">
        <v>4279.8</v>
      </c>
      <c r="K66" s="170">
        <v>3174.6</v>
      </c>
      <c r="L66" s="206">
        <v>136</v>
      </c>
      <c r="M66" s="173" t="s">
        <v>265</v>
      </c>
      <c r="N66" s="173" t="s">
        <v>269</v>
      </c>
      <c r="O66" s="175" t="s">
        <v>1625</v>
      </c>
      <c r="P66" s="170">
        <v>3323174.92</v>
      </c>
      <c r="Q66" s="170">
        <v>0</v>
      </c>
      <c r="R66" s="170">
        <v>0</v>
      </c>
      <c r="S66" s="170">
        <f t="shared" si="1"/>
        <v>3323174.92</v>
      </c>
      <c r="T66" s="170">
        <f t="shared" si="0"/>
        <v>776.47902238422353</v>
      </c>
      <c r="U66" s="170">
        <v>1437.0828706948921</v>
      </c>
      <c r="V66" s="202">
        <f t="shared" si="2"/>
        <v>660.60384831066858</v>
      </c>
      <c r="W66" s="202">
        <f t="shared" si="3"/>
        <v>1784.2950231319219</v>
      </c>
      <c r="X66" s="202">
        <v>0</v>
      </c>
      <c r="Y66" s="203">
        <v>0</v>
      </c>
      <c r="Z66" s="203">
        <v>0</v>
      </c>
      <c r="AA66" s="203">
        <v>0</v>
      </c>
      <c r="AB66" s="203">
        <v>0</v>
      </c>
      <c r="AC66" s="203">
        <v>0</v>
      </c>
      <c r="AD66" s="203">
        <v>0</v>
      </c>
      <c r="AE66" s="203">
        <v>1224</v>
      </c>
      <c r="AF66" s="202">
        <f>6238.91*AE66/I66</f>
        <v>1784.2950231319219</v>
      </c>
      <c r="AG66" s="203">
        <v>0</v>
      </c>
      <c r="AH66" s="202">
        <v>0</v>
      </c>
      <c r="AI66" s="203"/>
      <c r="AJ66" s="202">
        <v>0</v>
      </c>
      <c r="AK66" s="203">
        <v>0</v>
      </c>
      <c r="AL66" s="203">
        <v>0</v>
      </c>
      <c r="AM66" s="203">
        <v>0</v>
      </c>
      <c r="AN66" s="203"/>
      <c r="AO66" s="203">
        <v>0</v>
      </c>
    </row>
    <row r="67" spans="1:41" s="176" customFormat="1" ht="36" customHeight="1" x14ac:dyDescent="0.25">
      <c r="A67" s="176">
        <v>1</v>
      </c>
      <c r="B67" s="171">
        <f>SUBTOTAL(103,$A$16:A67)</f>
        <v>52</v>
      </c>
      <c r="C67" s="172" t="s">
        <v>1091</v>
      </c>
      <c r="D67" s="173">
        <v>1968</v>
      </c>
      <c r="E67" s="173"/>
      <c r="F67" s="174" t="s">
        <v>311</v>
      </c>
      <c r="G67" s="173">
        <v>5</v>
      </c>
      <c r="H67" s="173" t="s">
        <v>308</v>
      </c>
      <c r="I67" s="170">
        <v>3877.8</v>
      </c>
      <c r="J67" s="170">
        <v>3554.6</v>
      </c>
      <c r="K67" s="170">
        <v>3554.6</v>
      </c>
      <c r="L67" s="206">
        <v>167</v>
      </c>
      <c r="M67" s="173" t="s">
        <v>265</v>
      </c>
      <c r="N67" s="173" t="s">
        <v>269</v>
      </c>
      <c r="O67" s="175" t="s">
        <v>1062</v>
      </c>
      <c r="P67" s="170">
        <v>4024360.63</v>
      </c>
      <c r="Q67" s="170">
        <v>0</v>
      </c>
      <c r="R67" s="170">
        <v>0</v>
      </c>
      <c r="S67" s="170">
        <f t="shared" si="1"/>
        <v>4024360.63</v>
      </c>
      <c r="T67" s="170">
        <f t="shared" si="0"/>
        <v>1037.7947882820156</v>
      </c>
      <c r="U67" s="170">
        <v>1623.5518304193099</v>
      </c>
      <c r="V67" s="202">
        <f t="shared" si="2"/>
        <v>585.75704213729432</v>
      </c>
      <c r="W67" s="202">
        <f t="shared" si="3"/>
        <v>352.02266955490228</v>
      </c>
      <c r="X67" s="202">
        <v>0</v>
      </c>
      <c r="Y67" s="203">
        <v>0</v>
      </c>
      <c r="Z67" s="203">
        <v>0</v>
      </c>
      <c r="AA67" s="203">
        <v>0</v>
      </c>
      <c r="AB67" s="203">
        <v>0</v>
      </c>
      <c r="AC67" s="203">
        <v>0</v>
      </c>
      <c r="AD67" s="203">
        <v>0</v>
      </c>
      <c r="AE67" s="203">
        <v>218.8</v>
      </c>
      <c r="AF67" s="202">
        <f>6238.91*AE67/I67</f>
        <v>352.02266955490228</v>
      </c>
      <c r="AG67" s="203">
        <v>0</v>
      </c>
      <c r="AH67" s="202">
        <v>0</v>
      </c>
      <c r="AI67" s="203">
        <v>0</v>
      </c>
      <c r="AJ67" s="202">
        <v>0</v>
      </c>
      <c r="AK67" s="203">
        <v>0</v>
      </c>
      <c r="AL67" s="203">
        <v>0</v>
      </c>
      <c r="AM67" s="203">
        <v>0</v>
      </c>
      <c r="AN67" s="203"/>
      <c r="AO67" s="203">
        <v>0</v>
      </c>
    </row>
    <row r="68" spans="1:41" s="176" customFormat="1" ht="36" customHeight="1" x14ac:dyDescent="0.25">
      <c r="A68" s="176">
        <v>1</v>
      </c>
      <c r="B68" s="171">
        <f>SUBTOTAL(103,$A$16:A68)</f>
        <v>53</v>
      </c>
      <c r="C68" s="172" t="s">
        <v>1092</v>
      </c>
      <c r="D68" s="173">
        <v>1968</v>
      </c>
      <c r="E68" s="173"/>
      <c r="F68" s="174" t="s">
        <v>311</v>
      </c>
      <c r="G68" s="173">
        <v>5</v>
      </c>
      <c r="H68" s="173" t="s">
        <v>312</v>
      </c>
      <c r="I68" s="170">
        <v>2807.9</v>
      </c>
      <c r="J68" s="170">
        <v>2603.9</v>
      </c>
      <c r="K68" s="170">
        <v>2603.9</v>
      </c>
      <c r="L68" s="206">
        <v>114</v>
      </c>
      <c r="M68" s="173" t="s">
        <v>265</v>
      </c>
      <c r="N68" s="173" t="s">
        <v>269</v>
      </c>
      <c r="O68" s="175" t="s">
        <v>1062</v>
      </c>
      <c r="P68" s="170">
        <v>2994194.1500000004</v>
      </c>
      <c r="Q68" s="170">
        <v>0</v>
      </c>
      <c r="R68" s="170">
        <v>0</v>
      </c>
      <c r="S68" s="170">
        <f t="shared" si="1"/>
        <v>2994194.1500000004</v>
      </c>
      <c r="T68" s="170">
        <f t="shared" si="0"/>
        <v>1066.3464332775384</v>
      </c>
      <c r="U68" s="170">
        <v>1661.747533744079</v>
      </c>
      <c r="V68" s="202">
        <f t="shared" si="2"/>
        <v>595.40110046654058</v>
      </c>
      <c r="W68" s="202">
        <f t="shared" si="3"/>
        <v>2026.9847308308699</v>
      </c>
      <c r="X68" s="202">
        <v>0</v>
      </c>
      <c r="Y68" s="203">
        <v>0</v>
      </c>
      <c r="Z68" s="203">
        <v>0</v>
      </c>
      <c r="AA68" s="203">
        <v>0</v>
      </c>
      <c r="AB68" s="203">
        <v>0</v>
      </c>
      <c r="AC68" s="203">
        <v>0</v>
      </c>
      <c r="AD68" s="203">
        <v>0</v>
      </c>
      <c r="AE68" s="203">
        <v>912.27</v>
      </c>
      <c r="AF68" s="202">
        <f>6238.91*AE68/I68</f>
        <v>2026.9847308308699</v>
      </c>
      <c r="AG68" s="203">
        <v>0</v>
      </c>
      <c r="AH68" s="202">
        <v>0</v>
      </c>
      <c r="AI68" s="203">
        <v>0</v>
      </c>
      <c r="AJ68" s="202">
        <v>0</v>
      </c>
      <c r="AK68" s="203">
        <v>0</v>
      </c>
      <c r="AL68" s="203">
        <v>0</v>
      </c>
      <c r="AM68" s="203">
        <v>0</v>
      </c>
      <c r="AN68" s="203"/>
      <c r="AO68" s="203">
        <v>0</v>
      </c>
    </row>
    <row r="69" spans="1:41" s="176" customFormat="1" ht="36" customHeight="1" x14ac:dyDescent="0.25">
      <c r="A69" s="176">
        <v>1</v>
      </c>
      <c r="B69" s="171">
        <f>SUBTOTAL(103,$A$16:A69)</f>
        <v>54</v>
      </c>
      <c r="C69" s="172" t="s">
        <v>1094</v>
      </c>
      <c r="D69" s="173">
        <v>1959</v>
      </c>
      <c r="E69" s="173"/>
      <c r="F69" s="174" t="s">
        <v>267</v>
      </c>
      <c r="G69" s="173">
        <v>3</v>
      </c>
      <c r="H69" s="173" t="s">
        <v>312</v>
      </c>
      <c r="I69" s="170">
        <v>1338.5</v>
      </c>
      <c r="J69" s="170">
        <v>1165.2</v>
      </c>
      <c r="K69" s="170">
        <v>1165.2</v>
      </c>
      <c r="L69" s="206">
        <v>45</v>
      </c>
      <c r="M69" s="173" t="s">
        <v>265</v>
      </c>
      <c r="N69" s="173" t="s">
        <v>269</v>
      </c>
      <c r="O69" s="175" t="s">
        <v>1312</v>
      </c>
      <c r="P69" s="170">
        <v>4839579.08</v>
      </c>
      <c r="Q69" s="170">
        <v>0</v>
      </c>
      <c r="R69" s="170">
        <v>0</v>
      </c>
      <c r="S69" s="170">
        <f t="shared" si="1"/>
        <v>4839579.08</v>
      </c>
      <c r="T69" s="170">
        <f t="shared" si="0"/>
        <v>3615.6735748972733</v>
      </c>
      <c r="U69" s="170">
        <v>6030.2005976839746</v>
      </c>
      <c r="V69" s="202">
        <f t="shared" si="2"/>
        <v>2414.5270227867013</v>
      </c>
      <c r="W69" s="202">
        <f t="shared" si="3"/>
        <v>6288.0819872992161</v>
      </c>
      <c r="X69" s="202">
        <v>0</v>
      </c>
      <c r="Y69" s="203">
        <v>0</v>
      </c>
      <c r="Z69" s="203">
        <v>0</v>
      </c>
      <c r="AA69" s="203">
        <v>0</v>
      </c>
      <c r="AB69" s="203">
        <v>0</v>
      </c>
      <c r="AC69" s="203">
        <v>0</v>
      </c>
      <c r="AD69" s="203">
        <v>0</v>
      </c>
      <c r="AE69" s="203">
        <v>0</v>
      </c>
      <c r="AF69" s="202">
        <v>0</v>
      </c>
      <c r="AG69" s="203">
        <v>0</v>
      </c>
      <c r="AH69" s="202">
        <v>0</v>
      </c>
      <c r="AI69" s="203">
        <v>1131.4000000000001</v>
      </c>
      <c r="AJ69" s="202">
        <f>7439.1*AI69/I69</f>
        <v>6288.0819872992161</v>
      </c>
      <c r="AK69" s="203">
        <v>0</v>
      </c>
      <c r="AL69" s="203">
        <v>0</v>
      </c>
      <c r="AM69" s="203">
        <v>0</v>
      </c>
      <c r="AN69" s="203"/>
      <c r="AO69" s="203">
        <v>0</v>
      </c>
    </row>
    <row r="70" spans="1:41" s="176" customFormat="1" ht="36" customHeight="1" x14ac:dyDescent="0.25">
      <c r="A70" s="176">
        <v>1</v>
      </c>
      <c r="B70" s="171">
        <f>SUBTOTAL(103,$A$16:A70)</f>
        <v>55</v>
      </c>
      <c r="C70" s="172" t="s">
        <v>1095</v>
      </c>
      <c r="D70" s="173">
        <v>1974</v>
      </c>
      <c r="E70" s="173"/>
      <c r="F70" s="174" t="s">
        <v>311</v>
      </c>
      <c r="G70" s="173">
        <v>5</v>
      </c>
      <c r="H70" s="173" t="s">
        <v>351</v>
      </c>
      <c r="I70" s="170">
        <v>3933</v>
      </c>
      <c r="J70" s="170">
        <v>3385.49</v>
      </c>
      <c r="K70" s="170">
        <v>3385.49</v>
      </c>
      <c r="L70" s="206">
        <v>147</v>
      </c>
      <c r="M70" s="173" t="s">
        <v>265</v>
      </c>
      <c r="N70" s="173" t="s">
        <v>269</v>
      </c>
      <c r="O70" s="175" t="s">
        <v>1626</v>
      </c>
      <c r="P70" s="170">
        <v>1872015.22</v>
      </c>
      <c r="Q70" s="170">
        <v>0</v>
      </c>
      <c r="R70" s="170">
        <v>0</v>
      </c>
      <c r="S70" s="170">
        <f t="shared" si="1"/>
        <v>1872015.22</v>
      </c>
      <c r="T70" s="170">
        <f t="shared" si="0"/>
        <v>475.97640986524283</v>
      </c>
      <c r="U70" s="170">
        <v>1365.0781845919146</v>
      </c>
      <c r="V70" s="202">
        <f t="shared" si="2"/>
        <v>889.10177472667169</v>
      </c>
      <c r="W70" s="202">
        <f t="shared" si="3"/>
        <v>1722.5996440376305</v>
      </c>
      <c r="X70" s="202">
        <v>0</v>
      </c>
      <c r="Y70" s="203">
        <v>0</v>
      </c>
      <c r="Z70" s="203">
        <v>0</v>
      </c>
      <c r="AA70" s="203">
        <v>0</v>
      </c>
      <c r="AB70" s="203">
        <v>0</v>
      </c>
      <c r="AC70" s="203">
        <v>0</v>
      </c>
      <c r="AD70" s="203">
        <v>0</v>
      </c>
      <c r="AE70" s="203">
        <v>0</v>
      </c>
      <c r="AF70" s="202">
        <v>0</v>
      </c>
      <c r="AG70" s="203">
        <v>0</v>
      </c>
      <c r="AH70" s="202">
        <v>0</v>
      </c>
      <c r="AI70" s="203">
        <v>0</v>
      </c>
      <c r="AJ70" s="202">
        <v>0</v>
      </c>
      <c r="AK70" s="203">
        <v>0</v>
      </c>
      <c r="AL70" s="203">
        <v>0</v>
      </c>
      <c r="AM70" s="203">
        <v>970</v>
      </c>
      <c r="AN70" s="203">
        <f>6984.52*AM70/I70</f>
        <v>1722.5996440376305</v>
      </c>
      <c r="AO70" s="203">
        <v>0</v>
      </c>
    </row>
    <row r="71" spans="1:41" s="176" customFormat="1" ht="36" customHeight="1" x14ac:dyDescent="0.25">
      <c r="A71" s="176">
        <v>1</v>
      </c>
      <c r="B71" s="171">
        <f>SUBTOTAL(103,$A$16:A71)</f>
        <v>56</v>
      </c>
      <c r="C71" s="172" t="s">
        <v>1096</v>
      </c>
      <c r="D71" s="173">
        <v>1959</v>
      </c>
      <c r="E71" s="173"/>
      <c r="F71" s="174" t="s">
        <v>267</v>
      </c>
      <c r="G71" s="173">
        <v>2</v>
      </c>
      <c r="H71" s="173" t="s">
        <v>304</v>
      </c>
      <c r="I71" s="170">
        <v>445.1</v>
      </c>
      <c r="J71" s="170">
        <v>400.5</v>
      </c>
      <c r="K71" s="170">
        <v>400.5</v>
      </c>
      <c r="L71" s="206">
        <v>25</v>
      </c>
      <c r="M71" s="173" t="s">
        <v>265</v>
      </c>
      <c r="N71" s="173" t="s">
        <v>269</v>
      </c>
      <c r="O71" s="175" t="s">
        <v>1312</v>
      </c>
      <c r="P71" s="170">
        <v>2373016.2799999998</v>
      </c>
      <c r="Q71" s="170">
        <v>0</v>
      </c>
      <c r="R71" s="170">
        <v>0</v>
      </c>
      <c r="S71" s="170">
        <f t="shared" si="1"/>
        <v>2373016.2799999998</v>
      </c>
      <c r="T71" s="170">
        <f t="shared" si="0"/>
        <v>5331.4227813974385</v>
      </c>
      <c r="U71" s="170">
        <v>9333.5551449112572</v>
      </c>
      <c r="V71" s="202">
        <f t="shared" si="2"/>
        <v>4002.1323635138187</v>
      </c>
      <c r="W71" s="202">
        <f t="shared" si="3"/>
        <v>13247.346306447989</v>
      </c>
      <c r="X71" s="202">
        <v>0</v>
      </c>
      <c r="Y71" s="203">
        <v>0</v>
      </c>
      <c r="Z71" s="203">
        <v>0</v>
      </c>
      <c r="AA71" s="203">
        <v>0</v>
      </c>
      <c r="AB71" s="203">
        <v>0</v>
      </c>
      <c r="AC71" s="203">
        <v>0</v>
      </c>
      <c r="AD71" s="203">
        <v>0</v>
      </c>
      <c r="AE71" s="203">
        <v>945.1</v>
      </c>
      <c r="AF71" s="202">
        <f>6238.91*AE71/I71</f>
        <v>13247.346306447989</v>
      </c>
      <c r="AG71" s="203">
        <v>0</v>
      </c>
      <c r="AH71" s="202">
        <v>0</v>
      </c>
      <c r="AI71" s="203">
        <v>0</v>
      </c>
      <c r="AJ71" s="202">
        <v>0</v>
      </c>
      <c r="AK71" s="203">
        <v>0</v>
      </c>
      <c r="AL71" s="203">
        <v>0</v>
      </c>
      <c r="AM71" s="203">
        <v>0</v>
      </c>
      <c r="AN71" s="203"/>
      <c r="AO71" s="203">
        <v>0</v>
      </c>
    </row>
    <row r="72" spans="1:41" s="176" customFormat="1" ht="36" customHeight="1" x14ac:dyDescent="0.25">
      <c r="A72" s="176">
        <v>1</v>
      </c>
      <c r="B72" s="171">
        <f>SUBTOTAL(103,$A$16:A72)</f>
        <v>57</v>
      </c>
      <c r="C72" s="172" t="s">
        <v>1097</v>
      </c>
      <c r="D72" s="173">
        <v>1972</v>
      </c>
      <c r="E72" s="173"/>
      <c r="F72" s="174" t="s">
        <v>267</v>
      </c>
      <c r="G72" s="173">
        <v>5</v>
      </c>
      <c r="H72" s="173" t="s">
        <v>308</v>
      </c>
      <c r="I72" s="170">
        <v>4186.3</v>
      </c>
      <c r="J72" s="170">
        <v>4186.3</v>
      </c>
      <c r="K72" s="170">
        <v>2706.5</v>
      </c>
      <c r="L72" s="206">
        <v>111</v>
      </c>
      <c r="M72" s="173" t="s">
        <v>265</v>
      </c>
      <c r="N72" s="173" t="s">
        <v>269</v>
      </c>
      <c r="O72" s="175" t="s">
        <v>1062</v>
      </c>
      <c r="P72" s="170">
        <v>3249268.89</v>
      </c>
      <c r="Q72" s="170">
        <v>0</v>
      </c>
      <c r="R72" s="170">
        <v>0</v>
      </c>
      <c r="S72" s="170">
        <f t="shared" si="1"/>
        <v>3249268.89</v>
      </c>
      <c r="T72" s="170">
        <f t="shared" si="0"/>
        <v>776.16723359529897</v>
      </c>
      <c r="U72" s="170">
        <v>1819.7247258915986</v>
      </c>
      <c r="V72" s="202">
        <f t="shared" si="2"/>
        <v>1043.5574922962996</v>
      </c>
      <c r="W72" s="202">
        <f t="shared" si="3"/>
        <v>1441.7913408976901</v>
      </c>
      <c r="X72" s="202">
        <v>0</v>
      </c>
      <c r="Y72" s="203">
        <v>0</v>
      </c>
      <c r="Z72" s="203">
        <v>0</v>
      </c>
      <c r="AA72" s="203">
        <v>0</v>
      </c>
      <c r="AB72" s="203">
        <v>0</v>
      </c>
      <c r="AC72" s="203">
        <v>0</v>
      </c>
      <c r="AD72" s="203">
        <v>0</v>
      </c>
      <c r="AE72" s="203">
        <v>967.44</v>
      </c>
      <c r="AF72" s="202">
        <f>6238.91*AE72/I72</f>
        <v>1441.7913408976901</v>
      </c>
      <c r="AG72" s="203">
        <v>0</v>
      </c>
      <c r="AH72" s="202">
        <v>0</v>
      </c>
      <c r="AI72" s="203">
        <v>0</v>
      </c>
      <c r="AJ72" s="202">
        <v>0</v>
      </c>
      <c r="AK72" s="203">
        <v>0</v>
      </c>
      <c r="AL72" s="203">
        <v>0</v>
      </c>
      <c r="AM72" s="203">
        <v>0</v>
      </c>
      <c r="AN72" s="203"/>
      <c r="AO72" s="203">
        <v>0</v>
      </c>
    </row>
    <row r="73" spans="1:41" s="176" customFormat="1" ht="36" customHeight="1" x14ac:dyDescent="0.25">
      <c r="A73" s="176">
        <v>1</v>
      </c>
      <c r="B73" s="171">
        <f>SUBTOTAL(103,$A$16:A73)</f>
        <v>58</v>
      </c>
      <c r="C73" s="172" t="s">
        <v>1098</v>
      </c>
      <c r="D73" s="173">
        <v>1969</v>
      </c>
      <c r="E73" s="173"/>
      <c r="F73" s="174" t="s">
        <v>267</v>
      </c>
      <c r="G73" s="173">
        <v>9</v>
      </c>
      <c r="H73" s="173" t="s">
        <v>304</v>
      </c>
      <c r="I73" s="170">
        <v>3727.1</v>
      </c>
      <c r="J73" s="170">
        <v>3470.9</v>
      </c>
      <c r="K73" s="170">
        <v>2066.9</v>
      </c>
      <c r="L73" s="206">
        <v>77</v>
      </c>
      <c r="M73" s="173" t="s">
        <v>265</v>
      </c>
      <c r="N73" s="173" t="s">
        <v>269</v>
      </c>
      <c r="O73" s="175" t="s">
        <v>1062</v>
      </c>
      <c r="P73" s="170">
        <v>2561819.3000000003</v>
      </c>
      <c r="Q73" s="170">
        <v>0</v>
      </c>
      <c r="R73" s="170">
        <v>0</v>
      </c>
      <c r="S73" s="170">
        <f t="shared" si="1"/>
        <v>2561819.3000000003</v>
      </c>
      <c r="T73" s="170">
        <f t="shared" si="0"/>
        <v>687.34922593973874</v>
      </c>
      <c r="U73" s="170">
        <v>1622.0797134501354</v>
      </c>
      <c r="V73" s="202">
        <f t="shared" si="2"/>
        <v>934.73048751039664</v>
      </c>
      <c r="W73" s="202">
        <f t="shared" si="3"/>
        <v>1200.2088674841029</v>
      </c>
      <c r="X73" s="202">
        <v>0</v>
      </c>
      <c r="Y73" s="203">
        <v>0</v>
      </c>
      <c r="Z73" s="203">
        <v>0</v>
      </c>
      <c r="AA73" s="203">
        <v>0</v>
      </c>
      <c r="AB73" s="203">
        <v>0</v>
      </c>
      <c r="AC73" s="203">
        <v>0</v>
      </c>
      <c r="AD73" s="203">
        <v>0</v>
      </c>
      <c r="AE73" s="203">
        <v>717</v>
      </c>
      <c r="AF73" s="202">
        <f>6238.91*AE73/I73</f>
        <v>1200.2088674841029</v>
      </c>
      <c r="AG73" s="203">
        <v>0</v>
      </c>
      <c r="AH73" s="202">
        <v>0</v>
      </c>
      <c r="AI73" s="203">
        <v>0</v>
      </c>
      <c r="AJ73" s="202">
        <v>0</v>
      </c>
      <c r="AK73" s="203">
        <v>0</v>
      </c>
      <c r="AL73" s="203">
        <v>0</v>
      </c>
      <c r="AM73" s="203">
        <v>0</v>
      </c>
      <c r="AN73" s="203"/>
      <c r="AO73" s="203">
        <v>0</v>
      </c>
    </row>
    <row r="74" spans="1:41" s="176" customFormat="1" ht="36" customHeight="1" x14ac:dyDescent="0.25">
      <c r="A74" s="176">
        <v>1</v>
      </c>
      <c r="B74" s="171">
        <f>SUBTOTAL(103,$A$16:A74)</f>
        <v>59</v>
      </c>
      <c r="C74" s="172" t="s">
        <v>1099</v>
      </c>
      <c r="D74" s="173">
        <v>1968</v>
      </c>
      <c r="E74" s="173"/>
      <c r="F74" s="174" t="s">
        <v>267</v>
      </c>
      <c r="G74" s="173">
        <v>9</v>
      </c>
      <c r="H74" s="173" t="s">
        <v>304</v>
      </c>
      <c r="I74" s="170">
        <v>3105.6</v>
      </c>
      <c r="J74" s="170">
        <v>2845.2</v>
      </c>
      <c r="K74" s="170">
        <v>2051.8000000000002</v>
      </c>
      <c r="L74" s="206">
        <v>100</v>
      </c>
      <c r="M74" s="173" t="s">
        <v>265</v>
      </c>
      <c r="N74" s="173" t="s">
        <v>269</v>
      </c>
      <c r="O74" s="175" t="s">
        <v>1062</v>
      </c>
      <c r="P74" s="170">
        <v>967510.08</v>
      </c>
      <c r="Q74" s="170">
        <v>0</v>
      </c>
      <c r="R74" s="170">
        <v>0</v>
      </c>
      <c r="S74" s="170">
        <f t="shared" si="1"/>
        <v>967510.08</v>
      </c>
      <c r="T74" s="170">
        <f t="shared" si="0"/>
        <v>311.53724884080373</v>
      </c>
      <c r="U74" s="170">
        <v>764.84753348789286</v>
      </c>
      <c r="V74" s="202">
        <f t="shared" si="2"/>
        <v>453.31028464708913</v>
      </c>
      <c r="W74" s="202">
        <f t="shared" si="3"/>
        <v>2598.9900502318392</v>
      </c>
      <c r="X74" s="202">
        <v>0</v>
      </c>
      <c r="Y74" s="203">
        <v>0</v>
      </c>
      <c r="Z74" s="203">
        <v>0</v>
      </c>
      <c r="AA74" s="203">
        <v>0</v>
      </c>
      <c r="AB74" s="203">
        <v>0</v>
      </c>
      <c r="AC74" s="203">
        <v>0</v>
      </c>
      <c r="AD74" s="203">
        <v>0</v>
      </c>
      <c r="AE74" s="203">
        <v>0</v>
      </c>
      <c r="AF74" s="202">
        <v>0</v>
      </c>
      <c r="AG74" s="203">
        <v>0</v>
      </c>
      <c r="AH74" s="202">
        <v>0</v>
      </c>
      <c r="AI74" s="203">
        <v>1085</v>
      </c>
      <c r="AJ74" s="202">
        <f>7439.1*AI74/I74</f>
        <v>2598.9900502318392</v>
      </c>
      <c r="AK74" s="203">
        <v>0</v>
      </c>
      <c r="AL74" s="203">
        <v>0</v>
      </c>
      <c r="AM74" s="203">
        <v>0</v>
      </c>
      <c r="AN74" s="203"/>
      <c r="AO74" s="203">
        <v>0</v>
      </c>
    </row>
    <row r="75" spans="1:41" s="176" customFormat="1" ht="36" customHeight="1" x14ac:dyDescent="0.25">
      <c r="A75" s="176">
        <v>1</v>
      </c>
      <c r="B75" s="171">
        <f>SUBTOTAL(103,$A$16:A75)</f>
        <v>60</v>
      </c>
      <c r="C75" s="172" t="s">
        <v>1100</v>
      </c>
      <c r="D75" s="173">
        <v>1968</v>
      </c>
      <c r="E75" s="173"/>
      <c r="F75" s="174" t="s">
        <v>267</v>
      </c>
      <c r="G75" s="173">
        <v>9</v>
      </c>
      <c r="H75" s="173" t="s">
        <v>304</v>
      </c>
      <c r="I75" s="170">
        <v>3131.6</v>
      </c>
      <c r="J75" s="170">
        <v>3111.4</v>
      </c>
      <c r="K75" s="170">
        <v>2076</v>
      </c>
      <c r="L75" s="206">
        <v>82</v>
      </c>
      <c r="M75" s="173" t="s">
        <v>265</v>
      </c>
      <c r="N75" s="173" t="s">
        <v>269</v>
      </c>
      <c r="O75" s="175" t="s">
        <v>1062</v>
      </c>
      <c r="P75" s="170">
        <v>966024.86</v>
      </c>
      <c r="Q75" s="170">
        <v>0</v>
      </c>
      <c r="R75" s="170">
        <v>0</v>
      </c>
      <c r="S75" s="170">
        <f t="shared" si="1"/>
        <v>966024.86</v>
      </c>
      <c r="T75" s="170">
        <f t="shared" si="0"/>
        <v>308.47645293140886</v>
      </c>
      <c r="U75" s="170">
        <v>743.95088772512463</v>
      </c>
      <c r="V75" s="202">
        <f t="shared" si="2"/>
        <v>435.47443479371577</v>
      </c>
      <c r="W75" s="202">
        <f t="shared" si="3"/>
        <v>1741.5794941244092</v>
      </c>
      <c r="X75" s="202">
        <v>0</v>
      </c>
      <c r="Y75" s="203">
        <v>0</v>
      </c>
      <c r="Z75" s="203">
        <v>0</v>
      </c>
      <c r="AA75" s="203">
        <v>0</v>
      </c>
      <c r="AB75" s="203">
        <v>0</v>
      </c>
      <c r="AC75" s="203">
        <v>0</v>
      </c>
      <c r="AD75" s="203">
        <v>0</v>
      </c>
      <c r="AE75" s="203">
        <v>874.18</v>
      </c>
      <c r="AF75" s="202">
        <f>6238.91*AE75/I75</f>
        <v>1741.5794941244092</v>
      </c>
      <c r="AG75" s="203">
        <v>0</v>
      </c>
      <c r="AH75" s="202">
        <v>0</v>
      </c>
      <c r="AI75" s="203">
        <v>0</v>
      </c>
      <c r="AJ75" s="202">
        <v>0</v>
      </c>
      <c r="AK75" s="203">
        <v>0</v>
      </c>
      <c r="AL75" s="203">
        <v>0</v>
      </c>
      <c r="AM75" s="203">
        <v>0</v>
      </c>
      <c r="AN75" s="203"/>
      <c r="AO75" s="203">
        <v>0</v>
      </c>
    </row>
    <row r="76" spans="1:41" s="176" customFormat="1" ht="36" customHeight="1" x14ac:dyDescent="0.25">
      <c r="A76" s="176">
        <v>1</v>
      </c>
      <c r="B76" s="171">
        <f>SUBTOTAL(103,$A$16:A76)</f>
        <v>61</v>
      </c>
      <c r="C76" s="172" t="s">
        <v>1101</v>
      </c>
      <c r="D76" s="173">
        <v>1991</v>
      </c>
      <c r="E76" s="173"/>
      <c r="F76" s="174" t="s">
        <v>267</v>
      </c>
      <c r="G76" s="173">
        <v>10</v>
      </c>
      <c r="H76" s="173" t="s">
        <v>303</v>
      </c>
      <c r="I76" s="170">
        <v>5027.3999999999996</v>
      </c>
      <c r="J76" s="170">
        <v>5027.3999999999996</v>
      </c>
      <c r="K76" s="170">
        <v>4982.1000000000004</v>
      </c>
      <c r="L76" s="206">
        <v>264</v>
      </c>
      <c r="M76" s="173" t="s">
        <v>265</v>
      </c>
      <c r="N76" s="173" t="s">
        <v>269</v>
      </c>
      <c r="O76" s="175" t="s">
        <v>1373</v>
      </c>
      <c r="P76" s="170">
        <v>2880785.14</v>
      </c>
      <c r="Q76" s="170">
        <v>0</v>
      </c>
      <c r="R76" s="170">
        <v>0</v>
      </c>
      <c r="S76" s="170">
        <f t="shared" si="1"/>
        <v>2880785.14</v>
      </c>
      <c r="T76" s="170">
        <f t="shared" si="0"/>
        <v>573.01689541313613</v>
      </c>
      <c r="U76" s="170">
        <v>1058.940605481959</v>
      </c>
      <c r="V76" s="202">
        <f t="shared" si="2"/>
        <v>485.92371006882286</v>
      </c>
      <c r="W76" s="202">
        <f t="shared" si="3"/>
        <v>826.34470998925906</v>
      </c>
      <c r="X76" s="202">
        <v>0</v>
      </c>
      <c r="Y76" s="203">
        <v>0</v>
      </c>
      <c r="Z76" s="203">
        <v>0</v>
      </c>
      <c r="AA76" s="203">
        <v>0</v>
      </c>
      <c r="AB76" s="203">
        <v>0</v>
      </c>
      <c r="AC76" s="203">
        <v>0</v>
      </c>
      <c r="AD76" s="203">
        <v>0</v>
      </c>
      <c r="AE76" s="203">
        <v>0</v>
      </c>
      <c r="AF76" s="202">
        <v>0</v>
      </c>
      <c r="AG76" s="203">
        <v>0</v>
      </c>
      <c r="AH76" s="202">
        <v>0</v>
      </c>
      <c r="AI76" s="203">
        <v>558.45000000000005</v>
      </c>
      <c r="AJ76" s="202">
        <f>7439.1*AI76/I76</f>
        <v>826.34470998925906</v>
      </c>
      <c r="AK76" s="203">
        <v>0</v>
      </c>
      <c r="AL76" s="203">
        <v>0</v>
      </c>
      <c r="AM76" s="203">
        <v>0</v>
      </c>
      <c r="AN76" s="203"/>
      <c r="AO76" s="203">
        <v>0</v>
      </c>
    </row>
    <row r="77" spans="1:41" s="176" customFormat="1" ht="36" customHeight="1" x14ac:dyDescent="0.25">
      <c r="A77" s="176">
        <v>1</v>
      </c>
      <c r="B77" s="171">
        <f>SUBTOTAL(103,$A$16:A77)</f>
        <v>62</v>
      </c>
      <c r="C77" s="172" t="s">
        <v>1102</v>
      </c>
      <c r="D77" s="173">
        <v>1984</v>
      </c>
      <c r="E77" s="173"/>
      <c r="F77" s="174" t="s">
        <v>311</v>
      </c>
      <c r="G77" s="173">
        <v>16</v>
      </c>
      <c r="H77" s="173" t="s">
        <v>304</v>
      </c>
      <c r="I77" s="170">
        <v>4635.7</v>
      </c>
      <c r="J77" s="170">
        <v>4635.7</v>
      </c>
      <c r="K77" s="170">
        <v>4568</v>
      </c>
      <c r="L77" s="206">
        <v>218</v>
      </c>
      <c r="M77" s="173" t="s">
        <v>265</v>
      </c>
      <c r="N77" s="173" t="s">
        <v>269</v>
      </c>
      <c r="O77" s="175" t="s">
        <v>1373</v>
      </c>
      <c r="P77" s="170">
        <v>3859190.52</v>
      </c>
      <c r="Q77" s="170">
        <v>0</v>
      </c>
      <c r="R77" s="170">
        <v>0</v>
      </c>
      <c r="S77" s="170">
        <f t="shared" si="1"/>
        <v>3859190.52</v>
      </c>
      <c r="T77" s="170">
        <f t="shared" ref="T77:T140" si="6">P77/I77</f>
        <v>832.4935867290809</v>
      </c>
      <c r="U77" s="170">
        <v>1396.6848588131243</v>
      </c>
      <c r="V77" s="202">
        <f t="shared" si="2"/>
        <v>564.19127208404336</v>
      </c>
      <c r="W77" s="202">
        <f t="shared" si="3"/>
        <v>1575.440180770973</v>
      </c>
      <c r="X77" s="202">
        <v>0</v>
      </c>
      <c r="Y77" s="203">
        <v>0</v>
      </c>
      <c r="Z77" s="203">
        <v>0</v>
      </c>
      <c r="AA77" s="203">
        <v>0</v>
      </c>
      <c r="AB77" s="203">
        <v>0</v>
      </c>
      <c r="AC77" s="203">
        <v>0</v>
      </c>
      <c r="AD77" s="203">
        <v>0</v>
      </c>
      <c r="AE77" s="203">
        <v>1170.5999999999999</v>
      </c>
      <c r="AF77" s="202">
        <f>6238.91*AE77/I77</f>
        <v>1575.440180770973</v>
      </c>
      <c r="AG77" s="203">
        <v>0</v>
      </c>
      <c r="AH77" s="202">
        <v>0</v>
      </c>
      <c r="AI77" s="203">
        <v>0</v>
      </c>
      <c r="AJ77" s="202">
        <v>0</v>
      </c>
      <c r="AK77" s="203">
        <v>0</v>
      </c>
      <c r="AL77" s="203">
        <v>0</v>
      </c>
      <c r="AM77" s="203">
        <v>0</v>
      </c>
      <c r="AN77" s="203"/>
      <c r="AO77" s="203">
        <v>0</v>
      </c>
    </row>
    <row r="78" spans="1:41" s="176" customFormat="1" ht="36" customHeight="1" x14ac:dyDescent="0.25">
      <c r="A78" s="176">
        <v>1</v>
      </c>
      <c r="B78" s="171">
        <f>SUBTOTAL(103,$A$16:A78)</f>
        <v>63</v>
      </c>
      <c r="C78" s="172" t="s">
        <v>1105</v>
      </c>
      <c r="D78" s="173">
        <v>1932</v>
      </c>
      <c r="E78" s="173"/>
      <c r="F78" s="174" t="s">
        <v>267</v>
      </c>
      <c r="G78" s="173">
        <v>4</v>
      </c>
      <c r="H78" s="173" t="s">
        <v>312</v>
      </c>
      <c r="I78" s="170">
        <v>2130.17</v>
      </c>
      <c r="J78" s="170">
        <v>1904.67</v>
      </c>
      <c r="K78" s="170">
        <v>1323.47</v>
      </c>
      <c r="L78" s="206">
        <v>68</v>
      </c>
      <c r="M78" s="173" t="s">
        <v>265</v>
      </c>
      <c r="N78" s="173" t="s">
        <v>269</v>
      </c>
      <c r="O78" s="175" t="s">
        <v>1312</v>
      </c>
      <c r="P78" s="170">
        <v>216770.67</v>
      </c>
      <c r="Q78" s="170">
        <v>0</v>
      </c>
      <c r="R78" s="170">
        <v>0</v>
      </c>
      <c r="S78" s="170">
        <f t="shared" si="1"/>
        <v>216770.67</v>
      </c>
      <c r="T78" s="170">
        <f t="shared" si="6"/>
        <v>101.76214574423638</v>
      </c>
      <c r="U78" s="170">
        <v>298.07</v>
      </c>
      <c r="V78" s="202">
        <f t="shared" si="2"/>
        <v>196.30785425576363</v>
      </c>
      <c r="W78" s="202">
        <f t="shared" si="3"/>
        <v>2770.6750447147406</v>
      </c>
      <c r="X78" s="202">
        <v>0</v>
      </c>
      <c r="Y78" s="203">
        <v>0</v>
      </c>
      <c r="Z78" s="203">
        <v>0</v>
      </c>
      <c r="AA78" s="203">
        <v>0</v>
      </c>
      <c r="AB78" s="203">
        <v>0</v>
      </c>
      <c r="AC78" s="203">
        <v>0</v>
      </c>
      <c r="AD78" s="203">
        <v>0</v>
      </c>
      <c r="AE78" s="203">
        <v>946</v>
      </c>
      <c r="AF78" s="202">
        <f>6238.91*AE78/I78</f>
        <v>2770.6750447147406</v>
      </c>
      <c r="AG78" s="203">
        <v>0</v>
      </c>
      <c r="AH78" s="202">
        <v>0</v>
      </c>
      <c r="AI78" s="203">
        <v>0</v>
      </c>
      <c r="AJ78" s="202">
        <v>0</v>
      </c>
      <c r="AK78" s="203">
        <v>0</v>
      </c>
      <c r="AL78" s="203">
        <v>0</v>
      </c>
      <c r="AM78" s="203">
        <v>0</v>
      </c>
      <c r="AN78" s="203"/>
      <c r="AO78" s="203">
        <v>0</v>
      </c>
    </row>
    <row r="79" spans="1:41" s="176" customFormat="1" ht="36" customHeight="1" x14ac:dyDescent="0.25">
      <c r="A79" s="176">
        <v>1</v>
      </c>
      <c r="B79" s="171">
        <f>SUBTOTAL(103,$A$16:A79)</f>
        <v>64</v>
      </c>
      <c r="C79" s="172" t="s">
        <v>1111</v>
      </c>
      <c r="D79" s="173">
        <v>1946</v>
      </c>
      <c r="E79" s="173"/>
      <c r="F79" s="174" t="s">
        <v>267</v>
      </c>
      <c r="G79" s="173">
        <v>3</v>
      </c>
      <c r="H79" s="173" t="s">
        <v>312</v>
      </c>
      <c r="I79" s="170">
        <v>2194.1999999999998</v>
      </c>
      <c r="J79" s="170">
        <v>1984.5</v>
      </c>
      <c r="K79" s="170">
        <v>1584.8</v>
      </c>
      <c r="L79" s="206">
        <v>44</v>
      </c>
      <c r="M79" s="173" t="s">
        <v>265</v>
      </c>
      <c r="N79" s="173" t="s">
        <v>269</v>
      </c>
      <c r="O79" s="175" t="s">
        <v>1627</v>
      </c>
      <c r="P79" s="170">
        <v>3764827.4299999997</v>
      </c>
      <c r="Q79" s="170">
        <v>0</v>
      </c>
      <c r="R79" s="170">
        <v>0</v>
      </c>
      <c r="S79" s="170">
        <f t="shared" si="1"/>
        <v>3764827.4299999997</v>
      </c>
      <c r="T79" s="170">
        <f t="shared" si="6"/>
        <v>1715.8086910947043</v>
      </c>
      <c r="U79" s="170">
        <v>3481.9249840488565</v>
      </c>
      <c r="V79" s="202">
        <f t="shared" si="2"/>
        <v>1766.1162929541522</v>
      </c>
      <c r="W79" s="202">
        <f t="shared" si="3"/>
        <v>1039.249660468508</v>
      </c>
      <c r="X79" s="202">
        <v>0</v>
      </c>
      <c r="Y79" s="203">
        <v>0</v>
      </c>
      <c r="Z79" s="203">
        <v>0</v>
      </c>
      <c r="AA79" s="203">
        <v>0</v>
      </c>
      <c r="AB79" s="203">
        <v>0</v>
      </c>
      <c r="AC79" s="203">
        <v>0</v>
      </c>
      <c r="AD79" s="203">
        <v>0</v>
      </c>
      <c r="AE79" s="203">
        <v>365.5</v>
      </c>
      <c r="AF79" s="202">
        <f>6238.91*AE79/I79</f>
        <v>1039.249660468508</v>
      </c>
      <c r="AG79" s="203">
        <v>0</v>
      </c>
      <c r="AH79" s="202">
        <v>0</v>
      </c>
      <c r="AI79" s="203">
        <v>0</v>
      </c>
      <c r="AJ79" s="202">
        <v>0</v>
      </c>
      <c r="AK79" s="203">
        <v>0</v>
      </c>
      <c r="AL79" s="203">
        <v>0</v>
      </c>
      <c r="AM79" s="203">
        <v>0</v>
      </c>
      <c r="AN79" s="203"/>
      <c r="AO79" s="203">
        <v>0</v>
      </c>
    </row>
    <row r="80" spans="1:41" s="176" customFormat="1" ht="36" customHeight="1" x14ac:dyDescent="0.25">
      <c r="A80" s="176">
        <v>1</v>
      </c>
      <c r="B80" s="171">
        <f>SUBTOTAL(103,$A$16:A80)</f>
        <v>65</v>
      </c>
      <c r="C80" s="172" t="s">
        <v>1112</v>
      </c>
      <c r="D80" s="173">
        <v>1949</v>
      </c>
      <c r="E80" s="173"/>
      <c r="F80" s="174" t="s">
        <v>267</v>
      </c>
      <c r="G80" s="173" t="s">
        <v>303</v>
      </c>
      <c r="H80" s="173" t="s">
        <v>303</v>
      </c>
      <c r="I80" s="170">
        <v>939.7</v>
      </c>
      <c r="J80" s="170">
        <v>558</v>
      </c>
      <c r="K80" s="170">
        <v>558</v>
      </c>
      <c r="L80" s="206">
        <v>16</v>
      </c>
      <c r="M80" s="173" t="s">
        <v>265</v>
      </c>
      <c r="N80" s="173" t="s">
        <v>269</v>
      </c>
      <c r="O80" s="175" t="s">
        <v>1372</v>
      </c>
      <c r="P80" s="170">
        <v>3712372.02</v>
      </c>
      <c r="Q80" s="170">
        <v>0</v>
      </c>
      <c r="R80" s="170">
        <v>0</v>
      </c>
      <c r="S80" s="170">
        <f t="shared" ref="S80:S119" si="7">P80-Q80-R80</f>
        <v>3712372.02</v>
      </c>
      <c r="T80" s="170">
        <f t="shared" si="6"/>
        <v>3950.5927636479728</v>
      </c>
      <c r="U80" s="170">
        <v>6491.499414706821</v>
      </c>
      <c r="V80" s="202">
        <f t="shared" si="2"/>
        <v>2540.9066510588482</v>
      </c>
      <c r="W80" s="202">
        <f t="shared" si="3"/>
        <v>2376.8540810897093</v>
      </c>
      <c r="X80" s="202">
        <v>0</v>
      </c>
      <c r="Y80" s="203">
        <v>0</v>
      </c>
      <c r="Z80" s="203">
        <v>0</v>
      </c>
      <c r="AA80" s="203">
        <v>0</v>
      </c>
      <c r="AB80" s="203">
        <v>0</v>
      </c>
      <c r="AC80" s="203">
        <v>0</v>
      </c>
      <c r="AD80" s="203">
        <v>0</v>
      </c>
      <c r="AE80" s="203">
        <v>358</v>
      </c>
      <c r="AF80" s="202">
        <f>6238.91*AE80/I80</f>
        <v>2376.8540810897093</v>
      </c>
      <c r="AG80" s="203">
        <v>0</v>
      </c>
      <c r="AH80" s="202">
        <v>0</v>
      </c>
      <c r="AI80" s="203">
        <v>0</v>
      </c>
      <c r="AJ80" s="202">
        <v>0</v>
      </c>
      <c r="AK80" s="203">
        <v>0</v>
      </c>
      <c r="AL80" s="203">
        <v>0</v>
      </c>
      <c r="AM80" s="203">
        <v>0</v>
      </c>
      <c r="AN80" s="203"/>
      <c r="AO80" s="203">
        <v>0</v>
      </c>
    </row>
    <row r="81" spans="1:41" s="176" customFormat="1" ht="36" customHeight="1" x14ac:dyDescent="0.25">
      <c r="A81" s="176">
        <v>1</v>
      </c>
      <c r="B81" s="171">
        <f>SUBTOTAL(103,$A$16:A81)</f>
        <v>66</v>
      </c>
      <c r="C81" s="172" t="s">
        <v>1113</v>
      </c>
      <c r="D81" s="173">
        <v>1958</v>
      </c>
      <c r="E81" s="173"/>
      <c r="F81" s="174" t="s">
        <v>267</v>
      </c>
      <c r="G81" s="173">
        <v>2</v>
      </c>
      <c r="H81" s="173" t="s">
        <v>304</v>
      </c>
      <c r="I81" s="170">
        <v>429.9</v>
      </c>
      <c r="J81" s="170">
        <v>389.3</v>
      </c>
      <c r="K81" s="170">
        <v>389.3</v>
      </c>
      <c r="L81" s="206">
        <v>24</v>
      </c>
      <c r="M81" s="173" t="s">
        <v>265</v>
      </c>
      <c r="N81" s="173" t="s">
        <v>269</v>
      </c>
      <c r="O81" s="175" t="s">
        <v>1312</v>
      </c>
      <c r="P81" s="170">
        <v>1900391.55</v>
      </c>
      <c r="Q81" s="170">
        <v>0</v>
      </c>
      <c r="R81" s="170">
        <v>0</v>
      </c>
      <c r="S81" s="170">
        <f t="shared" si="7"/>
        <v>1900391.55</v>
      </c>
      <c r="T81" s="170">
        <f t="shared" si="6"/>
        <v>4420.5432658757854</v>
      </c>
      <c r="U81" s="170">
        <v>8928.9965108164688</v>
      </c>
      <c r="V81" s="202">
        <f t="shared" ref="V81:V144" si="8">U81-T81</f>
        <v>4508.4532449406834</v>
      </c>
      <c r="W81" s="202">
        <f t="shared" ref="W81:W119" si="9">X81+Y81+Z81+AA81+AB81+AD81+AF81+AH81+AJ81+AL81+AN81+AO81</f>
        <v>12383.61944638288</v>
      </c>
      <c r="X81" s="202">
        <v>0</v>
      </c>
      <c r="Y81" s="203">
        <v>0</v>
      </c>
      <c r="Z81" s="203">
        <v>0</v>
      </c>
      <c r="AA81" s="203">
        <v>0</v>
      </c>
      <c r="AB81" s="203">
        <v>0</v>
      </c>
      <c r="AC81" s="203">
        <v>2</v>
      </c>
      <c r="AD81" s="202">
        <f>2661859*AC81/I81</f>
        <v>12383.61944638288</v>
      </c>
      <c r="AE81" s="203">
        <v>0</v>
      </c>
      <c r="AF81" s="202">
        <v>0</v>
      </c>
      <c r="AG81" s="203">
        <v>0</v>
      </c>
      <c r="AH81" s="202">
        <v>0</v>
      </c>
      <c r="AI81" s="203">
        <v>0</v>
      </c>
      <c r="AJ81" s="202">
        <v>0</v>
      </c>
      <c r="AK81" s="203">
        <v>0</v>
      </c>
      <c r="AL81" s="203">
        <v>0</v>
      </c>
      <c r="AM81" s="203">
        <v>0</v>
      </c>
      <c r="AN81" s="203"/>
      <c r="AO81" s="203">
        <v>0</v>
      </c>
    </row>
    <row r="82" spans="1:41" s="176" customFormat="1" ht="36" customHeight="1" x14ac:dyDescent="0.25">
      <c r="A82" s="176">
        <v>1</v>
      </c>
      <c r="B82" s="171">
        <f>SUBTOTAL(103,$A$16:A82)</f>
        <v>67</v>
      </c>
      <c r="C82" s="172" t="s">
        <v>1114</v>
      </c>
      <c r="D82" s="173">
        <v>1958</v>
      </c>
      <c r="E82" s="173"/>
      <c r="F82" s="174" t="s">
        <v>267</v>
      </c>
      <c r="G82" s="173">
        <v>2</v>
      </c>
      <c r="H82" s="173" t="s">
        <v>304</v>
      </c>
      <c r="I82" s="170">
        <v>447.3</v>
      </c>
      <c r="J82" s="170">
        <v>384.9</v>
      </c>
      <c r="K82" s="170">
        <v>384.9</v>
      </c>
      <c r="L82" s="206">
        <v>21</v>
      </c>
      <c r="M82" s="173" t="s">
        <v>265</v>
      </c>
      <c r="N82" s="173" t="s">
        <v>269</v>
      </c>
      <c r="O82" s="175" t="s">
        <v>1312</v>
      </c>
      <c r="P82" s="170">
        <v>2106147.9500000002</v>
      </c>
      <c r="Q82" s="170">
        <v>0</v>
      </c>
      <c r="R82" s="170">
        <v>0</v>
      </c>
      <c r="S82" s="170">
        <f t="shared" si="7"/>
        <v>2106147.9500000002</v>
      </c>
      <c r="T82" s="170">
        <f t="shared" si="6"/>
        <v>4708.5802593337803</v>
      </c>
      <c r="U82" s="170">
        <v>9296.7961099932945</v>
      </c>
      <c r="V82" s="202">
        <f t="shared" si="8"/>
        <v>4588.2158506595142</v>
      </c>
      <c r="W82" s="202">
        <f t="shared" si="9"/>
        <v>14474.875922199866</v>
      </c>
      <c r="X82" s="202">
        <v>0</v>
      </c>
      <c r="Y82" s="203">
        <v>0</v>
      </c>
      <c r="Z82" s="203">
        <v>0</v>
      </c>
      <c r="AA82" s="203">
        <v>0</v>
      </c>
      <c r="AB82" s="203">
        <v>0</v>
      </c>
      <c r="AC82" s="203">
        <v>2</v>
      </c>
      <c r="AD82" s="202">
        <f>3237306*AC82/I82</f>
        <v>14474.875922199866</v>
      </c>
      <c r="AE82" s="203">
        <v>0</v>
      </c>
      <c r="AF82" s="202">
        <v>0</v>
      </c>
      <c r="AG82" s="203">
        <v>0</v>
      </c>
      <c r="AH82" s="202">
        <v>0</v>
      </c>
      <c r="AI82" s="203">
        <v>0</v>
      </c>
      <c r="AJ82" s="202">
        <v>0</v>
      </c>
      <c r="AK82" s="203">
        <v>0</v>
      </c>
      <c r="AL82" s="203">
        <v>0</v>
      </c>
      <c r="AM82" s="203">
        <v>0</v>
      </c>
      <c r="AN82" s="203"/>
      <c r="AO82" s="203">
        <v>0</v>
      </c>
    </row>
    <row r="83" spans="1:41" s="176" customFormat="1" ht="36" customHeight="1" x14ac:dyDescent="0.25">
      <c r="A83" s="176">
        <v>1</v>
      </c>
      <c r="B83" s="171">
        <f>SUBTOTAL(103,$A$16:A83)</f>
        <v>68</v>
      </c>
      <c r="C83" s="172" t="s">
        <v>1115</v>
      </c>
      <c r="D83" s="173">
        <v>1963</v>
      </c>
      <c r="E83" s="173"/>
      <c r="F83" s="174" t="s">
        <v>267</v>
      </c>
      <c r="G83" s="173">
        <v>5</v>
      </c>
      <c r="H83" s="173" t="s">
        <v>303</v>
      </c>
      <c r="I83" s="170">
        <v>1750.2</v>
      </c>
      <c r="J83" s="170">
        <v>1623.4</v>
      </c>
      <c r="K83" s="170">
        <v>1623.4</v>
      </c>
      <c r="L83" s="206">
        <v>89</v>
      </c>
      <c r="M83" s="173" t="s">
        <v>265</v>
      </c>
      <c r="N83" s="173" t="s">
        <v>269</v>
      </c>
      <c r="O83" s="175" t="s">
        <v>1628</v>
      </c>
      <c r="P83" s="170">
        <v>2813385.7399999998</v>
      </c>
      <c r="Q83" s="170">
        <v>0</v>
      </c>
      <c r="R83" s="170">
        <v>0</v>
      </c>
      <c r="S83" s="170">
        <f t="shared" si="7"/>
        <v>2813385.7399999998</v>
      </c>
      <c r="T83" s="170">
        <f t="shared" si="6"/>
        <v>1607.4652839675464</v>
      </c>
      <c r="U83" s="170">
        <v>6472.552553993829</v>
      </c>
      <c r="V83" s="202">
        <f t="shared" si="8"/>
        <v>4865.0872700262826</v>
      </c>
      <c r="W83" s="202">
        <f t="shared" si="9"/>
        <v>286.52999999999997</v>
      </c>
      <c r="X83" s="202">
        <v>101.55</v>
      </c>
      <c r="Y83" s="203">
        <v>0</v>
      </c>
      <c r="Z83" s="203">
        <v>0</v>
      </c>
      <c r="AA83" s="203">
        <v>184.98</v>
      </c>
      <c r="AB83" s="203">
        <v>0</v>
      </c>
      <c r="AC83" s="203">
        <v>0</v>
      </c>
      <c r="AD83" s="203">
        <v>0</v>
      </c>
      <c r="AE83" s="203">
        <v>0</v>
      </c>
      <c r="AF83" s="202">
        <v>0</v>
      </c>
      <c r="AG83" s="203">
        <v>0</v>
      </c>
      <c r="AH83" s="202">
        <v>0</v>
      </c>
      <c r="AI83" s="203">
        <v>0</v>
      </c>
      <c r="AJ83" s="202">
        <v>0</v>
      </c>
      <c r="AK83" s="203">
        <v>0</v>
      </c>
      <c r="AL83" s="203">
        <v>0</v>
      </c>
      <c r="AM83" s="203">
        <v>0</v>
      </c>
      <c r="AN83" s="203"/>
      <c r="AO83" s="203">
        <v>0</v>
      </c>
    </row>
    <row r="84" spans="1:41" s="176" customFormat="1" ht="36" customHeight="1" x14ac:dyDescent="0.25">
      <c r="A84" s="176">
        <v>1</v>
      </c>
      <c r="B84" s="171">
        <f>SUBTOTAL(103,$A$16:A84)</f>
        <v>69</v>
      </c>
      <c r="C84" s="172" t="s">
        <v>1116</v>
      </c>
      <c r="D84" s="173">
        <v>1958</v>
      </c>
      <c r="E84" s="173"/>
      <c r="F84" s="174" t="s">
        <v>267</v>
      </c>
      <c r="G84" s="173">
        <v>3</v>
      </c>
      <c r="H84" s="173" t="s">
        <v>303</v>
      </c>
      <c r="I84" s="170">
        <v>1081</v>
      </c>
      <c r="J84" s="170">
        <v>633.6</v>
      </c>
      <c r="K84" s="170">
        <v>633.6</v>
      </c>
      <c r="L84" s="206">
        <v>48</v>
      </c>
      <c r="M84" s="173" t="s">
        <v>265</v>
      </c>
      <c r="N84" s="173" t="s">
        <v>269</v>
      </c>
      <c r="O84" s="175" t="s">
        <v>1372</v>
      </c>
      <c r="P84" s="170">
        <v>2278510.5799999996</v>
      </c>
      <c r="Q84" s="170">
        <v>0</v>
      </c>
      <c r="R84" s="170">
        <v>0</v>
      </c>
      <c r="S84" s="170">
        <f t="shared" si="7"/>
        <v>2278510.5799999996</v>
      </c>
      <c r="T84" s="170">
        <f t="shared" si="6"/>
        <v>2107.7803700277518</v>
      </c>
      <c r="U84" s="170">
        <v>3350.7731914893616</v>
      </c>
      <c r="V84" s="202">
        <f t="shared" si="8"/>
        <v>1242.9928214616098</v>
      </c>
      <c r="W84" s="202">
        <f t="shared" si="9"/>
        <v>6491.4098265494913</v>
      </c>
      <c r="X84" s="202">
        <v>0</v>
      </c>
      <c r="Y84" s="203">
        <v>0</v>
      </c>
      <c r="Z84" s="203">
        <v>0</v>
      </c>
      <c r="AA84" s="203">
        <v>0</v>
      </c>
      <c r="AB84" s="203">
        <v>0</v>
      </c>
      <c r="AC84" s="203">
        <v>0</v>
      </c>
      <c r="AD84" s="203">
        <v>0</v>
      </c>
      <c r="AE84" s="203">
        <v>1124.75</v>
      </c>
      <c r="AF84" s="202">
        <f>6238.91*AE84/I84</f>
        <v>6491.4098265494913</v>
      </c>
      <c r="AG84" s="203">
        <v>0</v>
      </c>
      <c r="AH84" s="202">
        <v>0</v>
      </c>
      <c r="AI84" s="203">
        <v>0</v>
      </c>
      <c r="AJ84" s="202">
        <v>0</v>
      </c>
      <c r="AK84" s="203">
        <v>0</v>
      </c>
      <c r="AL84" s="203">
        <v>0</v>
      </c>
      <c r="AM84" s="203">
        <v>0</v>
      </c>
      <c r="AN84" s="203"/>
      <c r="AO84" s="203">
        <v>0</v>
      </c>
    </row>
    <row r="85" spans="1:41" s="176" customFormat="1" ht="36" customHeight="1" x14ac:dyDescent="0.25">
      <c r="A85" s="176">
        <v>1</v>
      </c>
      <c r="B85" s="171">
        <f>SUBTOTAL(103,$A$16:A85)</f>
        <v>70</v>
      </c>
      <c r="C85" s="172" t="s">
        <v>1117</v>
      </c>
      <c r="D85" s="173">
        <v>1959</v>
      </c>
      <c r="E85" s="173"/>
      <c r="F85" s="174" t="s">
        <v>267</v>
      </c>
      <c r="G85" s="173">
        <v>2</v>
      </c>
      <c r="H85" s="173" t="s">
        <v>304</v>
      </c>
      <c r="I85" s="170">
        <v>495</v>
      </c>
      <c r="J85" s="170">
        <v>308.10000000000002</v>
      </c>
      <c r="K85" s="170">
        <v>308.10000000000002</v>
      </c>
      <c r="L85" s="206">
        <v>20</v>
      </c>
      <c r="M85" s="173" t="s">
        <v>265</v>
      </c>
      <c r="N85" s="173" t="s">
        <v>269</v>
      </c>
      <c r="O85" s="175" t="s">
        <v>1622</v>
      </c>
      <c r="P85" s="170">
        <v>2391493.25</v>
      </c>
      <c r="Q85" s="170">
        <v>0</v>
      </c>
      <c r="R85" s="170">
        <v>0</v>
      </c>
      <c r="S85" s="170">
        <f t="shared" si="7"/>
        <v>2391493.25</v>
      </c>
      <c r="T85" s="170">
        <f t="shared" si="6"/>
        <v>4831.2994949494951</v>
      </c>
      <c r="U85" s="170">
        <v>9663.3157575757577</v>
      </c>
      <c r="V85" s="202">
        <f t="shared" si="8"/>
        <v>4832.0162626262627</v>
      </c>
      <c r="W85" s="202">
        <f t="shared" si="9"/>
        <v>12323.357575757576</v>
      </c>
      <c r="X85" s="202">
        <v>0</v>
      </c>
      <c r="Y85" s="203">
        <v>0</v>
      </c>
      <c r="Z85" s="203">
        <v>0</v>
      </c>
      <c r="AA85" s="203">
        <v>0</v>
      </c>
      <c r="AB85" s="203">
        <v>0</v>
      </c>
      <c r="AC85" s="203">
        <v>0</v>
      </c>
      <c r="AD85" s="203">
        <v>0</v>
      </c>
      <c r="AE85" s="203">
        <v>0</v>
      </c>
      <c r="AF85" s="202">
        <v>0</v>
      </c>
      <c r="AG85" s="203">
        <v>0</v>
      </c>
      <c r="AH85" s="202">
        <v>0</v>
      </c>
      <c r="AI85" s="203">
        <v>820</v>
      </c>
      <c r="AJ85" s="202">
        <f>7439.1*AI85/I85</f>
        <v>12323.357575757576</v>
      </c>
      <c r="AK85" s="203">
        <v>0</v>
      </c>
      <c r="AL85" s="203">
        <v>0</v>
      </c>
      <c r="AM85" s="203">
        <v>0</v>
      </c>
      <c r="AN85" s="203"/>
      <c r="AO85" s="203">
        <v>0</v>
      </c>
    </row>
    <row r="86" spans="1:41" s="176" customFormat="1" ht="36" customHeight="1" x14ac:dyDescent="0.25">
      <c r="A86" s="176">
        <v>1</v>
      </c>
      <c r="B86" s="171">
        <f>SUBTOTAL(103,$A$16:A86)</f>
        <v>71</v>
      </c>
      <c r="C86" s="172" t="s">
        <v>1119</v>
      </c>
      <c r="D86" s="173">
        <v>1974</v>
      </c>
      <c r="E86" s="173"/>
      <c r="F86" s="174" t="s">
        <v>311</v>
      </c>
      <c r="G86" s="173">
        <v>5</v>
      </c>
      <c r="H86" s="173" t="s">
        <v>370</v>
      </c>
      <c r="I86" s="170">
        <v>5153.3999999999996</v>
      </c>
      <c r="J86" s="170">
        <v>4574.1000000000004</v>
      </c>
      <c r="K86" s="170">
        <v>4574.1000000000004</v>
      </c>
      <c r="L86" s="206">
        <v>190</v>
      </c>
      <c r="M86" s="173" t="s">
        <v>265</v>
      </c>
      <c r="N86" s="173" t="s">
        <v>269</v>
      </c>
      <c r="O86" s="175" t="s">
        <v>1310</v>
      </c>
      <c r="P86" s="170">
        <v>4355328.45</v>
      </c>
      <c r="Q86" s="170">
        <v>0</v>
      </c>
      <c r="R86" s="170">
        <v>0</v>
      </c>
      <c r="S86" s="170">
        <f t="shared" si="7"/>
        <v>4355328.45</v>
      </c>
      <c r="T86" s="170">
        <f t="shared" si="6"/>
        <v>845.13689020840616</v>
      </c>
      <c r="U86" s="170">
        <v>1368.4935169014632</v>
      </c>
      <c r="V86" s="202">
        <f t="shared" si="8"/>
        <v>523.35662669305702</v>
      </c>
      <c r="W86" s="202">
        <f t="shared" si="9"/>
        <v>744.86273140062883</v>
      </c>
      <c r="X86" s="202">
        <v>0</v>
      </c>
      <c r="Y86" s="203">
        <v>0</v>
      </c>
      <c r="Z86" s="203">
        <v>0</v>
      </c>
      <c r="AA86" s="203">
        <v>0</v>
      </c>
      <c r="AB86" s="203">
        <v>0</v>
      </c>
      <c r="AC86" s="203">
        <v>0</v>
      </c>
      <c r="AD86" s="203">
        <v>0</v>
      </c>
      <c r="AE86" s="203">
        <v>0</v>
      </c>
      <c r="AF86" s="202">
        <v>0</v>
      </c>
      <c r="AG86" s="203">
        <v>0</v>
      </c>
      <c r="AH86" s="202">
        <v>0</v>
      </c>
      <c r="AI86" s="203">
        <v>516</v>
      </c>
      <c r="AJ86" s="202">
        <f>7439.1*AI86/I86</f>
        <v>744.86273140062883</v>
      </c>
      <c r="AK86" s="203">
        <v>0</v>
      </c>
      <c r="AL86" s="203">
        <v>0</v>
      </c>
      <c r="AM86" s="203">
        <v>0</v>
      </c>
      <c r="AN86" s="203"/>
      <c r="AO86" s="203">
        <v>0</v>
      </c>
    </row>
    <row r="87" spans="1:41" s="176" customFormat="1" ht="36" customHeight="1" x14ac:dyDescent="0.25">
      <c r="A87" s="176">
        <v>1</v>
      </c>
      <c r="B87" s="171">
        <f>SUBTOTAL(103,$A$16:A87)</f>
        <v>72</v>
      </c>
      <c r="C87" s="172" t="s">
        <v>1122</v>
      </c>
      <c r="D87" s="173">
        <v>1959</v>
      </c>
      <c r="E87" s="173"/>
      <c r="F87" s="174" t="s">
        <v>267</v>
      </c>
      <c r="G87" s="173">
        <v>2</v>
      </c>
      <c r="H87" s="173" t="s">
        <v>303</v>
      </c>
      <c r="I87" s="170">
        <v>572.79999999999995</v>
      </c>
      <c r="J87" s="170">
        <v>339.4</v>
      </c>
      <c r="K87" s="170">
        <v>339.4</v>
      </c>
      <c r="L87" s="206">
        <v>21</v>
      </c>
      <c r="M87" s="173" t="s">
        <v>265</v>
      </c>
      <c r="N87" s="173" t="s">
        <v>269</v>
      </c>
      <c r="O87" s="175" t="s">
        <v>1312</v>
      </c>
      <c r="P87" s="170">
        <v>1505981.24</v>
      </c>
      <c r="Q87" s="170">
        <v>0</v>
      </c>
      <c r="R87" s="170">
        <v>0</v>
      </c>
      <c r="S87" s="170">
        <f t="shared" si="7"/>
        <v>1505981.24</v>
      </c>
      <c r="T87" s="170">
        <f t="shared" si="6"/>
        <v>2629.1571927374303</v>
      </c>
      <c r="U87" s="170">
        <v>8831.3337988826825</v>
      </c>
      <c r="V87" s="202">
        <f t="shared" si="8"/>
        <v>6202.1766061452527</v>
      </c>
      <c r="W87" s="202">
        <f t="shared" si="9"/>
        <v>7259.8758729050296</v>
      </c>
      <c r="X87" s="202">
        <v>0</v>
      </c>
      <c r="Y87" s="203">
        <v>0</v>
      </c>
      <c r="Z87" s="203">
        <v>0</v>
      </c>
      <c r="AA87" s="203">
        <v>0</v>
      </c>
      <c r="AB87" s="203">
        <v>0</v>
      </c>
      <c r="AC87" s="203">
        <v>0</v>
      </c>
      <c r="AD87" s="203">
        <v>0</v>
      </c>
      <c r="AE87" s="203">
        <v>0</v>
      </c>
      <c r="AF87" s="202">
        <v>0</v>
      </c>
      <c r="AG87" s="203">
        <v>0</v>
      </c>
      <c r="AH87" s="202">
        <v>0</v>
      </c>
      <c r="AI87" s="203">
        <v>559</v>
      </c>
      <c r="AJ87" s="202">
        <f>7439.1*AI87/I87</f>
        <v>7259.8758729050296</v>
      </c>
      <c r="AK87" s="203">
        <v>0</v>
      </c>
      <c r="AL87" s="203">
        <v>0</v>
      </c>
      <c r="AM87" s="203">
        <v>0</v>
      </c>
      <c r="AN87" s="203"/>
      <c r="AO87" s="203">
        <v>0</v>
      </c>
    </row>
    <row r="88" spans="1:41" s="176" customFormat="1" ht="36" customHeight="1" x14ac:dyDescent="0.25">
      <c r="A88" s="176">
        <v>1</v>
      </c>
      <c r="B88" s="171">
        <f>SUBTOTAL(103,$A$16:A88)</f>
        <v>73</v>
      </c>
      <c r="C88" s="172" t="s">
        <v>1123</v>
      </c>
      <c r="D88" s="173">
        <v>1955</v>
      </c>
      <c r="E88" s="173"/>
      <c r="F88" s="174" t="s">
        <v>267</v>
      </c>
      <c r="G88" s="173">
        <v>2</v>
      </c>
      <c r="H88" s="173" t="s">
        <v>304</v>
      </c>
      <c r="I88" s="170">
        <v>727.66</v>
      </c>
      <c r="J88" s="170">
        <v>427.66</v>
      </c>
      <c r="K88" s="170">
        <v>427.66</v>
      </c>
      <c r="L88" s="206">
        <v>168</v>
      </c>
      <c r="M88" s="173" t="s">
        <v>265</v>
      </c>
      <c r="N88" s="173" t="s">
        <v>269</v>
      </c>
      <c r="O88" s="175" t="s">
        <v>1310</v>
      </c>
      <c r="P88" s="170">
        <v>820883.7</v>
      </c>
      <c r="Q88" s="170">
        <v>0</v>
      </c>
      <c r="R88" s="170">
        <v>0</v>
      </c>
      <c r="S88" s="170">
        <f t="shared" si="7"/>
        <v>820883.7</v>
      </c>
      <c r="T88" s="170">
        <f t="shared" si="6"/>
        <v>1128.1143665997856</v>
      </c>
      <c r="U88" s="170">
        <v>4416.4736277932006</v>
      </c>
      <c r="V88" s="202">
        <f t="shared" si="8"/>
        <v>3288.359261193415</v>
      </c>
      <c r="W88" s="202">
        <f t="shared" si="9"/>
        <v>15568.069537971032</v>
      </c>
      <c r="X88" s="202">
        <v>0</v>
      </c>
      <c r="Y88" s="203">
        <v>0</v>
      </c>
      <c r="Z88" s="203">
        <v>0</v>
      </c>
      <c r="AA88" s="203">
        <v>0</v>
      </c>
      <c r="AB88" s="203">
        <v>0</v>
      </c>
      <c r="AC88" s="203">
        <v>0</v>
      </c>
      <c r="AD88" s="203">
        <v>0</v>
      </c>
      <c r="AE88" s="203">
        <v>0</v>
      </c>
      <c r="AF88" s="202">
        <v>0</v>
      </c>
      <c r="AG88" s="203">
        <v>0</v>
      </c>
      <c r="AH88" s="202">
        <v>0</v>
      </c>
      <c r="AI88" s="203">
        <v>1522.8</v>
      </c>
      <c r="AJ88" s="202">
        <f>7439.1*AI88/I88</f>
        <v>15568.069537971032</v>
      </c>
      <c r="AK88" s="203">
        <v>0</v>
      </c>
      <c r="AL88" s="203">
        <v>0</v>
      </c>
      <c r="AM88" s="203">
        <v>0</v>
      </c>
      <c r="AN88" s="203"/>
      <c r="AO88" s="203">
        <v>0</v>
      </c>
    </row>
    <row r="89" spans="1:41" s="176" customFormat="1" ht="36" customHeight="1" x14ac:dyDescent="0.25">
      <c r="A89" s="176">
        <v>1</v>
      </c>
      <c r="B89" s="171">
        <f>SUBTOTAL(103,$A$16:A89)</f>
        <v>74</v>
      </c>
      <c r="C89" s="172" t="s">
        <v>1532</v>
      </c>
      <c r="D89" s="173">
        <v>1949</v>
      </c>
      <c r="E89" s="173"/>
      <c r="F89" s="174" t="s">
        <v>267</v>
      </c>
      <c r="G89" s="173">
        <v>2</v>
      </c>
      <c r="H89" s="173" t="s">
        <v>304</v>
      </c>
      <c r="I89" s="170">
        <v>564.9</v>
      </c>
      <c r="J89" s="170">
        <v>519.9</v>
      </c>
      <c r="K89" s="170">
        <v>519.9</v>
      </c>
      <c r="L89" s="206">
        <v>22</v>
      </c>
      <c r="M89" s="173" t="s">
        <v>265</v>
      </c>
      <c r="N89" s="173" t="s">
        <v>269</v>
      </c>
      <c r="O89" s="175" t="s">
        <v>1371</v>
      </c>
      <c r="P89" s="170">
        <v>1677475.96</v>
      </c>
      <c r="Q89" s="170">
        <v>0</v>
      </c>
      <c r="R89" s="170">
        <v>0</v>
      </c>
      <c r="S89" s="170">
        <f t="shared" si="7"/>
        <v>1677475.96</v>
      </c>
      <c r="T89" s="170">
        <f t="shared" si="6"/>
        <v>2969.5095769162685</v>
      </c>
      <c r="U89" s="170">
        <v>5369.745307134006</v>
      </c>
      <c r="V89" s="202">
        <f t="shared" si="8"/>
        <v>2400.2357302177375</v>
      </c>
      <c r="W89" s="202">
        <f t="shared" si="9"/>
        <v>6147.2425314214906</v>
      </c>
      <c r="X89" s="202">
        <v>0</v>
      </c>
      <c r="Y89" s="203">
        <v>0</v>
      </c>
      <c r="Z89" s="203">
        <v>0</v>
      </c>
      <c r="AA89" s="203">
        <v>0</v>
      </c>
      <c r="AB89" s="203">
        <v>0</v>
      </c>
      <c r="AC89" s="203">
        <v>0</v>
      </c>
      <c r="AD89" s="203">
        <v>0</v>
      </c>
      <c r="AE89" s="203">
        <v>556.6</v>
      </c>
      <c r="AF89" s="202">
        <f>6238.91*AE89/I89</f>
        <v>6147.2425314214906</v>
      </c>
      <c r="AG89" s="203">
        <v>0</v>
      </c>
      <c r="AH89" s="202">
        <v>0</v>
      </c>
      <c r="AI89" s="203">
        <v>0</v>
      </c>
      <c r="AJ89" s="202">
        <v>0</v>
      </c>
      <c r="AK89" s="203">
        <v>0</v>
      </c>
      <c r="AL89" s="203">
        <v>0</v>
      </c>
      <c r="AM89" s="203">
        <v>0</v>
      </c>
      <c r="AN89" s="203"/>
      <c r="AO89" s="203">
        <v>0</v>
      </c>
    </row>
    <row r="90" spans="1:41" s="176" customFormat="1" ht="36" customHeight="1" x14ac:dyDescent="0.25">
      <c r="A90" s="176">
        <v>1</v>
      </c>
      <c r="B90" s="171">
        <f>SUBTOTAL(103,$A$16:A90)</f>
        <v>75</v>
      </c>
      <c r="C90" s="172" t="s">
        <v>1528</v>
      </c>
      <c r="D90" s="173">
        <v>1969</v>
      </c>
      <c r="E90" s="173"/>
      <c r="F90" s="174" t="s">
        <v>267</v>
      </c>
      <c r="G90" s="173">
        <v>5</v>
      </c>
      <c r="H90" s="173" t="s">
        <v>312</v>
      </c>
      <c r="I90" s="170">
        <v>2989.1</v>
      </c>
      <c r="J90" s="170">
        <v>2769.1</v>
      </c>
      <c r="K90" s="170">
        <v>2016</v>
      </c>
      <c r="L90" s="206">
        <v>72</v>
      </c>
      <c r="M90" s="173" t="s">
        <v>265</v>
      </c>
      <c r="N90" s="173" t="s">
        <v>269</v>
      </c>
      <c r="O90" s="175" t="s">
        <v>1627</v>
      </c>
      <c r="P90" s="170">
        <v>3647517.81</v>
      </c>
      <c r="Q90" s="170">
        <v>0</v>
      </c>
      <c r="R90" s="170">
        <v>0</v>
      </c>
      <c r="S90" s="170">
        <f t="shared" si="7"/>
        <v>3647517.81</v>
      </c>
      <c r="T90" s="170">
        <f t="shared" si="6"/>
        <v>1220.2729283061792</v>
      </c>
      <c r="U90" s="170">
        <v>1870.1663711485062</v>
      </c>
      <c r="V90" s="202">
        <f t="shared" si="8"/>
        <v>649.89344284232698</v>
      </c>
      <c r="W90" s="202">
        <f t="shared" si="9"/>
        <v>1616.6870830684823</v>
      </c>
      <c r="X90" s="202">
        <v>0</v>
      </c>
      <c r="Y90" s="203">
        <v>0</v>
      </c>
      <c r="Z90" s="203">
        <v>0</v>
      </c>
      <c r="AA90" s="203">
        <v>0</v>
      </c>
      <c r="AB90" s="203">
        <v>0</v>
      </c>
      <c r="AC90" s="203">
        <v>0</v>
      </c>
      <c r="AD90" s="203">
        <v>0</v>
      </c>
      <c r="AE90" s="203">
        <v>0</v>
      </c>
      <c r="AF90" s="202">
        <v>0</v>
      </c>
      <c r="AG90" s="203">
        <v>0</v>
      </c>
      <c r="AH90" s="202">
        <v>0</v>
      </c>
      <c r="AI90" s="203">
        <v>649.6</v>
      </c>
      <c r="AJ90" s="202">
        <f>7439.1*AI90/I90</f>
        <v>1616.6870830684823</v>
      </c>
      <c r="AK90" s="203">
        <v>0</v>
      </c>
      <c r="AL90" s="203">
        <v>0</v>
      </c>
      <c r="AM90" s="203">
        <v>0</v>
      </c>
      <c r="AN90" s="203"/>
      <c r="AO90" s="203">
        <v>0</v>
      </c>
    </row>
    <row r="91" spans="1:41" s="176" customFormat="1" ht="36" customHeight="1" x14ac:dyDescent="0.25">
      <c r="A91" s="176">
        <v>1</v>
      </c>
      <c r="B91" s="171">
        <f>SUBTOTAL(103,$A$16:A91)</f>
        <v>76</v>
      </c>
      <c r="C91" s="172" t="s">
        <v>1531</v>
      </c>
      <c r="D91" s="173">
        <v>1938</v>
      </c>
      <c r="E91" s="173"/>
      <c r="F91" s="174" t="s">
        <v>267</v>
      </c>
      <c r="G91" s="173">
        <v>5</v>
      </c>
      <c r="H91" s="173" t="s">
        <v>308</v>
      </c>
      <c r="I91" s="170">
        <v>2927.1</v>
      </c>
      <c r="J91" s="170">
        <v>1576</v>
      </c>
      <c r="K91" s="170">
        <v>1576</v>
      </c>
      <c r="L91" s="206">
        <v>88</v>
      </c>
      <c r="M91" s="173" t="s">
        <v>265</v>
      </c>
      <c r="N91" s="173" t="s">
        <v>269</v>
      </c>
      <c r="O91" s="175" t="s">
        <v>1374</v>
      </c>
      <c r="P91" s="170">
        <v>5096776.0799999991</v>
      </c>
      <c r="Q91" s="170">
        <v>0</v>
      </c>
      <c r="R91" s="170">
        <v>0</v>
      </c>
      <c r="S91" s="170">
        <f t="shared" si="7"/>
        <v>5096776.0799999991</v>
      </c>
      <c r="T91" s="170">
        <f t="shared" si="6"/>
        <v>1741.2374295377674</v>
      </c>
      <c r="U91" s="170">
        <v>2214.3654811929896</v>
      </c>
      <c r="V91" s="202">
        <f t="shared" si="8"/>
        <v>473.12805165522218</v>
      </c>
      <c r="W91" s="202">
        <f t="shared" si="9"/>
        <v>2363.7322947627349</v>
      </c>
      <c r="X91" s="202">
        <v>0</v>
      </c>
      <c r="Y91" s="203">
        <v>0</v>
      </c>
      <c r="Z91" s="203">
        <v>0</v>
      </c>
      <c r="AA91" s="203">
        <v>0</v>
      </c>
      <c r="AB91" s="203">
        <v>0</v>
      </c>
      <c r="AC91" s="203">
        <v>0</v>
      </c>
      <c r="AD91" s="203">
        <v>0</v>
      </c>
      <c r="AE91" s="203">
        <v>0</v>
      </c>
      <c r="AF91" s="202">
        <v>0</v>
      </c>
      <c r="AG91" s="203">
        <v>780</v>
      </c>
      <c r="AH91" s="202">
        <f>8870.36*AG91/I91</f>
        <v>2363.7322947627349</v>
      </c>
      <c r="AI91" s="203">
        <v>0</v>
      </c>
      <c r="AJ91" s="202">
        <v>0</v>
      </c>
      <c r="AK91" s="203">
        <v>0</v>
      </c>
      <c r="AL91" s="203">
        <v>0</v>
      </c>
      <c r="AM91" s="203">
        <v>0</v>
      </c>
      <c r="AN91" s="203"/>
      <c r="AO91" s="203">
        <v>0</v>
      </c>
    </row>
    <row r="92" spans="1:41" s="176" customFormat="1" ht="36" customHeight="1" x14ac:dyDescent="0.25">
      <c r="A92" s="176">
        <v>1</v>
      </c>
      <c r="B92" s="171">
        <f>SUBTOTAL(103,$A$16:A92)</f>
        <v>77</v>
      </c>
      <c r="C92" s="172" t="s">
        <v>1527</v>
      </c>
      <c r="D92" s="173">
        <v>1962</v>
      </c>
      <c r="E92" s="173"/>
      <c r="F92" s="174" t="s">
        <v>267</v>
      </c>
      <c r="G92" s="173">
        <v>5</v>
      </c>
      <c r="H92" s="173" t="s">
        <v>308</v>
      </c>
      <c r="I92" s="170">
        <v>3481.5</v>
      </c>
      <c r="J92" s="170">
        <v>3181.1</v>
      </c>
      <c r="K92" s="170">
        <v>3181.1</v>
      </c>
      <c r="L92" s="206">
        <v>160</v>
      </c>
      <c r="M92" s="173" t="s">
        <v>265</v>
      </c>
      <c r="N92" s="173" t="s">
        <v>269</v>
      </c>
      <c r="O92" s="175" t="s">
        <v>1627</v>
      </c>
      <c r="P92" s="170">
        <v>3789473.9</v>
      </c>
      <c r="Q92" s="170">
        <v>0</v>
      </c>
      <c r="R92" s="170">
        <v>0</v>
      </c>
      <c r="S92" s="170">
        <f t="shared" si="7"/>
        <v>3789473.9</v>
      </c>
      <c r="T92" s="170">
        <f t="shared" si="6"/>
        <v>1088.460117765331</v>
      </c>
      <c r="U92" s="170">
        <v>1922.4958925750395</v>
      </c>
      <c r="V92" s="202">
        <f t="shared" si="8"/>
        <v>834.03577480970853</v>
      </c>
      <c r="W92" s="202">
        <f t="shared" si="9"/>
        <v>2150.4213700990954</v>
      </c>
      <c r="X92" s="202">
        <v>0</v>
      </c>
      <c r="Y92" s="203">
        <v>0</v>
      </c>
      <c r="Z92" s="203">
        <v>0</v>
      </c>
      <c r="AA92" s="203">
        <v>0</v>
      </c>
      <c r="AB92" s="203">
        <v>0</v>
      </c>
      <c r="AC92" s="203">
        <v>0</v>
      </c>
      <c r="AD92" s="203">
        <v>0</v>
      </c>
      <c r="AE92" s="203">
        <v>1200</v>
      </c>
      <c r="AF92" s="202">
        <f>6238.91*AE92/I92</f>
        <v>2150.4213700990954</v>
      </c>
      <c r="AG92" s="203">
        <v>0</v>
      </c>
      <c r="AH92" s="202">
        <v>0</v>
      </c>
      <c r="AI92" s="203">
        <v>0</v>
      </c>
      <c r="AJ92" s="202">
        <v>0</v>
      </c>
      <c r="AK92" s="203">
        <v>0</v>
      </c>
      <c r="AL92" s="203">
        <v>0</v>
      </c>
      <c r="AM92" s="203">
        <v>0</v>
      </c>
      <c r="AN92" s="203"/>
      <c r="AO92" s="203">
        <v>0</v>
      </c>
    </row>
    <row r="93" spans="1:41" s="176" customFormat="1" ht="36" customHeight="1" x14ac:dyDescent="0.25">
      <c r="A93" s="176">
        <v>1</v>
      </c>
      <c r="B93" s="171">
        <f>SUBTOTAL(103,$A$16:A93)</f>
        <v>78</v>
      </c>
      <c r="C93" s="172" t="s">
        <v>1517</v>
      </c>
      <c r="D93" s="173">
        <v>1970</v>
      </c>
      <c r="E93" s="173"/>
      <c r="F93" s="174" t="s">
        <v>267</v>
      </c>
      <c r="G93" s="173">
        <v>9</v>
      </c>
      <c r="H93" s="173" t="s">
        <v>304</v>
      </c>
      <c r="I93" s="170">
        <v>1920.2</v>
      </c>
      <c r="J93" s="170">
        <v>1163.2</v>
      </c>
      <c r="K93" s="170">
        <v>1163.2</v>
      </c>
      <c r="L93" s="206">
        <v>94</v>
      </c>
      <c r="M93" s="173" t="s">
        <v>265</v>
      </c>
      <c r="N93" s="173" t="s">
        <v>269</v>
      </c>
      <c r="O93" s="175" t="s">
        <v>1374</v>
      </c>
      <c r="P93" s="170">
        <v>597387.81000000006</v>
      </c>
      <c r="Q93" s="170">
        <v>0</v>
      </c>
      <c r="R93" s="170">
        <v>0</v>
      </c>
      <c r="S93" s="170">
        <f t="shared" si="7"/>
        <v>597387.81000000006</v>
      </c>
      <c r="T93" s="170">
        <f t="shared" si="6"/>
        <v>311.10707738777211</v>
      </c>
      <c r="U93" s="170">
        <v>996.38777210707224</v>
      </c>
      <c r="V93" s="202">
        <f t="shared" si="8"/>
        <v>685.28069471930007</v>
      </c>
      <c r="W93" s="202">
        <f t="shared" si="9"/>
        <v>2634.4455738985521</v>
      </c>
      <c r="X93" s="202">
        <v>0</v>
      </c>
      <c r="Y93" s="203">
        <v>0</v>
      </c>
      <c r="Z93" s="203">
        <v>0</v>
      </c>
      <c r="AA93" s="203">
        <v>0</v>
      </c>
      <c r="AB93" s="203">
        <v>0</v>
      </c>
      <c r="AC93" s="203">
        <v>0</v>
      </c>
      <c r="AD93" s="203">
        <v>0</v>
      </c>
      <c r="AE93" s="203">
        <v>0</v>
      </c>
      <c r="AF93" s="202">
        <v>0</v>
      </c>
      <c r="AG93" s="203">
        <v>0</v>
      </c>
      <c r="AH93" s="202">
        <v>0</v>
      </c>
      <c r="AI93" s="203">
        <v>680.01</v>
      </c>
      <c r="AJ93" s="202">
        <f>7439.1*AI93/I93</f>
        <v>2634.4455738985521</v>
      </c>
      <c r="AK93" s="203">
        <v>0</v>
      </c>
      <c r="AL93" s="203">
        <v>0</v>
      </c>
      <c r="AM93" s="203">
        <v>0</v>
      </c>
      <c r="AN93" s="203"/>
      <c r="AO93" s="203">
        <v>0</v>
      </c>
    </row>
    <row r="94" spans="1:41" s="176" customFormat="1" ht="36" customHeight="1" x14ac:dyDescent="0.25">
      <c r="A94" s="176">
        <v>1</v>
      </c>
      <c r="B94" s="171">
        <f>SUBTOTAL(103,$A$16:A94)</f>
        <v>79</v>
      </c>
      <c r="C94" s="172" t="s">
        <v>1529</v>
      </c>
      <c r="D94" s="173">
        <v>1976</v>
      </c>
      <c r="E94" s="173"/>
      <c r="F94" s="174" t="s">
        <v>267</v>
      </c>
      <c r="G94" s="173">
        <v>5</v>
      </c>
      <c r="H94" s="173" t="s">
        <v>2251</v>
      </c>
      <c r="I94" s="170">
        <v>6239.3</v>
      </c>
      <c r="J94" s="170">
        <v>5776.2</v>
      </c>
      <c r="K94" s="170">
        <v>5061.7</v>
      </c>
      <c r="L94" s="206">
        <v>280</v>
      </c>
      <c r="M94" s="173" t="s">
        <v>265</v>
      </c>
      <c r="N94" s="173" t="s">
        <v>269</v>
      </c>
      <c r="O94" s="175" t="s">
        <v>1372</v>
      </c>
      <c r="P94" s="170">
        <v>4468866.21</v>
      </c>
      <c r="Q94" s="170">
        <v>0</v>
      </c>
      <c r="R94" s="170">
        <v>0</v>
      </c>
      <c r="S94" s="170">
        <f t="shared" si="7"/>
        <v>4468866.21</v>
      </c>
      <c r="T94" s="170">
        <f t="shared" si="6"/>
        <v>716.24480470565607</v>
      </c>
      <c r="U94" s="170">
        <v>1611.4622633949321</v>
      </c>
      <c r="V94" s="202">
        <f t="shared" si="8"/>
        <v>895.21745868927599</v>
      </c>
      <c r="W94" s="202">
        <f t="shared" si="9"/>
        <v>493.45604747327428</v>
      </c>
      <c r="X94" s="202">
        <v>0</v>
      </c>
      <c r="Y94" s="203">
        <v>0</v>
      </c>
      <c r="Z94" s="203">
        <v>0</v>
      </c>
      <c r="AA94" s="203">
        <v>0</v>
      </c>
      <c r="AB94" s="203">
        <v>0</v>
      </c>
      <c r="AC94" s="203">
        <v>0</v>
      </c>
      <c r="AD94" s="203">
        <v>0</v>
      </c>
      <c r="AE94" s="203">
        <v>0</v>
      </c>
      <c r="AF94" s="202">
        <v>0</v>
      </c>
      <c r="AG94" s="203">
        <v>0</v>
      </c>
      <c r="AH94" s="202">
        <v>0</v>
      </c>
      <c r="AI94" s="203">
        <v>413.87</v>
      </c>
      <c r="AJ94" s="202">
        <f>7439.1*AI94/I94</f>
        <v>493.45604747327428</v>
      </c>
      <c r="AK94" s="203">
        <v>0</v>
      </c>
      <c r="AL94" s="203">
        <v>0</v>
      </c>
      <c r="AM94" s="203">
        <v>0</v>
      </c>
      <c r="AN94" s="203"/>
      <c r="AO94" s="203">
        <v>0</v>
      </c>
    </row>
    <row r="95" spans="1:41" s="176" customFormat="1" ht="36" customHeight="1" x14ac:dyDescent="0.25">
      <c r="A95" s="176">
        <v>1</v>
      </c>
      <c r="B95" s="171">
        <f>SUBTOTAL(103,$A$16:A95)</f>
        <v>80</v>
      </c>
      <c r="C95" s="172" t="s">
        <v>1530</v>
      </c>
      <c r="D95" s="173">
        <v>1972</v>
      </c>
      <c r="E95" s="173"/>
      <c r="F95" s="174" t="s">
        <v>267</v>
      </c>
      <c r="G95" s="173">
        <v>5</v>
      </c>
      <c r="H95" s="173" t="s">
        <v>2250</v>
      </c>
      <c r="I95" s="170">
        <v>6466</v>
      </c>
      <c r="J95" s="170">
        <v>6466</v>
      </c>
      <c r="K95" s="170">
        <v>5918.8</v>
      </c>
      <c r="L95" s="206">
        <v>277</v>
      </c>
      <c r="M95" s="173" t="s">
        <v>265</v>
      </c>
      <c r="N95" s="173" t="s">
        <v>269</v>
      </c>
      <c r="O95" s="175" t="s">
        <v>1373</v>
      </c>
      <c r="P95" s="170">
        <v>6330505.6400000006</v>
      </c>
      <c r="Q95" s="170">
        <v>0</v>
      </c>
      <c r="R95" s="170">
        <v>0</v>
      </c>
      <c r="S95" s="170">
        <f t="shared" si="7"/>
        <v>6330505.6400000006</v>
      </c>
      <c r="T95" s="170">
        <f t="shared" si="6"/>
        <v>979.04510361892983</v>
      </c>
      <c r="U95" s="170">
        <v>1674.127463656047</v>
      </c>
      <c r="V95" s="202">
        <f t="shared" si="8"/>
        <v>695.08236003711716</v>
      </c>
      <c r="W95" s="202">
        <f t="shared" si="9"/>
        <v>449.74957148159604</v>
      </c>
      <c r="X95" s="202">
        <v>0</v>
      </c>
      <c r="Y95" s="203">
        <v>0</v>
      </c>
      <c r="Z95" s="203">
        <v>0</v>
      </c>
      <c r="AA95" s="203">
        <v>0</v>
      </c>
      <c r="AB95" s="203">
        <v>0</v>
      </c>
      <c r="AC95" s="203">
        <v>0</v>
      </c>
      <c r="AD95" s="203">
        <v>0</v>
      </c>
      <c r="AE95" s="203">
        <v>466.12</v>
      </c>
      <c r="AF95" s="202">
        <f t="shared" ref="AF95:AF104" si="10">6238.91*AE95/I95</f>
        <v>449.74957148159604</v>
      </c>
      <c r="AG95" s="203">
        <v>0</v>
      </c>
      <c r="AH95" s="202">
        <v>0</v>
      </c>
      <c r="AI95" s="203">
        <v>0</v>
      </c>
      <c r="AJ95" s="202">
        <v>0</v>
      </c>
      <c r="AK95" s="203">
        <v>0</v>
      </c>
      <c r="AL95" s="203">
        <v>0</v>
      </c>
      <c r="AM95" s="203">
        <v>0</v>
      </c>
      <c r="AN95" s="203"/>
      <c r="AO95" s="203">
        <v>0</v>
      </c>
    </row>
    <row r="96" spans="1:41" s="176" customFormat="1" ht="36" customHeight="1" x14ac:dyDescent="0.25">
      <c r="A96" s="176">
        <v>1</v>
      </c>
      <c r="B96" s="171">
        <f>SUBTOTAL(103,$A$16:A96)</f>
        <v>81</v>
      </c>
      <c r="C96" s="172" t="s">
        <v>1518</v>
      </c>
      <c r="D96" s="173">
        <v>1976</v>
      </c>
      <c r="E96" s="173"/>
      <c r="F96" s="174" t="s">
        <v>267</v>
      </c>
      <c r="G96" s="173">
        <v>3</v>
      </c>
      <c r="H96" s="173" t="s">
        <v>303</v>
      </c>
      <c r="I96" s="170">
        <v>1178.4000000000001</v>
      </c>
      <c r="J96" s="170">
        <v>1080.5</v>
      </c>
      <c r="K96" s="170">
        <v>1080.5</v>
      </c>
      <c r="L96" s="206">
        <v>59</v>
      </c>
      <c r="M96" s="173" t="s">
        <v>265</v>
      </c>
      <c r="N96" s="173" t="s">
        <v>269</v>
      </c>
      <c r="O96" s="175" t="s">
        <v>1371</v>
      </c>
      <c r="P96" s="170">
        <v>1913423.73</v>
      </c>
      <c r="Q96" s="170">
        <v>0</v>
      </c>
      <c r="R96" s="170">
        <v>0</v>
      </c>
      <c r="S96" s="170">
        <f t="shared" si="7"/>
        <v>1913423.73</v>
      </c>
      <c r="T96" s="170">
        <f t="shared" si="6"/>
        <v>1623.7472250509163</v>
      </c>
      <c r="U96" s="170">
        <v>2805.4239646978954</v>
      </c>
      <c r="V96" s="202">
        <f t="shared" si="8"/>
        <v>1181.6767396469791</v>
      </c>
      <c r="W96" s="202">
        <f t="shared" si="9"/>
        <v>4547.8816106585191</v>
      </c>
      <c r="X96" s="202">
        <v>0</v>
      </c>
      <c r="Y96" s="203">
        <v>0</v>
      </c>
      <c r="Z96" s="203">
        <v>0</v>
      </c>
      <c r="AA96" s="203">
        <v>0</v>
      </c>
      <c r="AB96" s="203">
        <v>0</v>
      </c>
      <c r="AC96" s="203">
        <v>0</v>
      </c>
      <c r="AD96" s="203">
        <v>0</v>
      </c>
      <c r="AE96" s="203">
        <v>859</v>
      </c>
      <c r="AF96" s="202">
        <f t="shared" si="10"/>
        <v>4547.8816106585191</v>
      </c>
      <c r="AG96" s="203">
        <v>0</v>
      </c>
      <c r="AH96" s="202">
        <v>0</v>
      </c>
      <c r="AI96" s="203">
        <v>0</v>
      </c>
      <c r="AJ96" s="202">
        <v>0</v>
      </c>
      <c r="AK96" s="203">
        <v>0</v>
      </c>
      <c r="AL96" s="203">
        <v>0</v>
      </c>
      <c r="AM96" s="203">
        <v>0</v>
      </c>
      <c r="AN96" s="203"/>
      <c r="AO96" s="203">
        <v>0</v>
      </c>
    </row>
    <row r="97" spans="1:41" s="176" customFormat="1" ht="36" customHeight="1" x14ac:dyDescent="0.25">
      <c r="A97" s="176">
        <v>1</v>
      </c>
      <c r="B97" s="171">
        <f>SUBTOTAL(103,$A$16:A97)</f>
        <v>82</v>
      </c>
      <c r="C97" s="172" t="s">
        <v>1571</v>
      </c>
      <c r="D97" s="173">
        <v>1959</v>
      </c>
      <c r="E97" s="173"/>
      <c r="F97" s="174" t="s">
        <v>267</v>
      </c>
      <c r="G97" s="173">
        <v>2</v>
      </c>
      <c r="H97" s="173" t="s">
        <v>303</v>
      </c>
      <c r="I97" s="170">
        <v>595.5</v>
      </c>
      <c r="J97" s="170">
        <v>548.5</v>
      </c>
      <c r="K97" s="170">
        <v>548.5</v>
      </c>
      <c r="L97" s="206">
        <v>41</v>
      </c>
      <c r="M97" s="173" t="s">
        <v>265</v>
      </c>
      <c r="N97" s="173" t="s">
        <v>269</v>
      </c>
      <c r="O97" s="175" t="s">
        <v>1371</v>
      </c>
      <c r="P97" s="170">
        <v>1963557.73</v>
      </c>
      <c r="Q97" s="170">
        <v>0</v>
      </c>
      <c r="R97" s="170">
        <v>0</v>
      </c>
      <c r="S97" s="170">
        <f t="shared" si="7"/>
        <v>1963557.73</v>
      </c>
      <c r="T97" s="170">
        <f t="shared" si="6"/>
        <v>3297.3261628883292</v>
      </c>
      <c r="U97" s="170">
        <v>5478.2703778337527</v>
      </c>
      <c r="V97" s="202">
        <f t="shared" si="8"/>
        <v>2180.9442149454235</v>
      </c>
      <c r="W97" s="202">
        <f t="shared" si="9"/>
        <v>10521.809089840468</v>
      </c>
      <c r="X97" s="202">
        <v>0</v>
      </c>
      <c r="Y97" s="203">
        <v>0</v>
      </c>
      <c r="Z97" s="203">
        <v>0</v>
      </c>
      <c r="AA97" s="203">
        <v>0</v>
      </c>
      <c r="AB97" s="203">
        <v>0</v>
      </c>
      <c r="AC97" s="203">
        <v>0</v>
      </c>
      <c r="AD97" s="203">
        <v>0</v>
      </c>
      <c r="AE97" s="203">
        <v>1004.3</v>
      </c>
      <c r="AF97" s="202">
        <f t="shared" si="10"/>
        <v>10521.809089840468</v>
      </c>
      <c r="AG97" s="203">
        <v>0</v>
      </c>
      <c r="AH97" s="202">
        <v>0</v>
      </c>
      <c r="AI97" s="203">
        <v>0</v>
      </c>
      <c r="AJ97" s="202">
        <v>0</v>
      </c>
      <c r="AK97" s="203">
        <v>0</v>
      </c>
      <c r="AL97" s="203">
        <v>0</v>
      </c>
      <c r="AM97" s="203">
        <v>0</v>
      </c>
      <c r="AN97" s="203"/>
      <c r="AO97" s="203">
        <v>0</v>
      </c>
    </row>
    <row r="98" spans="1:41" s="176" customFormat="1" ht="36" customHeight="1" x14ac:dyDescent="0.25">
      <c r="A98" s="176">
        <v>1</v>
      </c>
      <c r="B98" s="171">
        <f>SUBTOTAL(103,$A$16:A98)</f>
        <v>83</v>
      </c>
      <c r="C98" s="172" t="s">
        <v>1573</v>
      </c>
      <c r="D98" s="173">
        <v>1970</v>
      </c>
      <c r="E98" s="173"/>
      <c r="F98" s="174" t="s">
        <v>267</v>
      </c>
      <c r="G98" s="173">
        <v>5</v>
      </c>
      <c r="H98" s="173" t="s">
        <v>308</v>
      </c>
      <c r="I98" s="170">
        <v>12297.5</v>
      </c>
      <c r="J98" s="170">
        <v>3386.1</v>
      </c>
      <c r="K98" s="170">
        <v>3386.1</v>
      </c>
      <c r="L98" s="206">
        <v>153</v>
      </c>
      <c r="M98" s="173" t="s">
        <v>265</v>
      </c>
      <c r="N98" s="173" t="s">
        <v>269</v>
      </c>
      <c r="O98" s="175" t="s">
        <v>1577</v>
      </c>
      <c r="P98" s="170">
        <v>86742.97</v>
      </c>
      <c r="Q98" s="170">
        <v>0</v>
      </c>
      <c r="R98" s="170">
        <v>0</v>
      </c>
      <c r="S98" s="170">
        <f t="shared" si="7"/>
        <v>86742.97</v>
      </c>
      <c r="T98" s="170">
        <f t="shared" si="6"/>
        <v>7.0537076641593819</v>
      </c>
      <c r="U98" s="170">
        <v>7.0537076641593819</v>
      </c>
      <c r="V98" s="202">
        <f t="shared" si="8"/>
        <v>0</v>
      </c>
      <c r="W98" s="202">
        <f t="shared" si="9"/>
        <v>521.79052124415523</v>
      </c>
      <c r="X98" s="202">
        <v>0</v>
      </c>
      <c r="Y98" s="203">
        <v>0</v>
      </c>
      <c r="Z98" s="203">
        <v>0</v>
      </c>
      <c r="AA98" s="203">
        <v>0</v>
      </c>
      <c r="AB98" s="203">
        <v>0</v>
      </c>
      <c r="AC98" s="203">
        <v>0</v>
      </c>
      <c r="AD98" s="203">
        <v>0</v>
      </c>
      <c r="AE98" s="203">
        <v>1028.5</v>
      </c>
      <c r="AF98" s="202">
        <f t="shared" si="10"/>
        <v>521.79052124415523</v>
      </c>
      <c r="AG98" s="203">
        <v>0</v>
      </c>
      <c r="AH98" s="202">
        <v>0</v>
      </c>
      <c r="AI98" s="203">
        <v>0</v>
      </c>
      <c r="AJ98" s="202">
        <v>0</v>
      </c>
      <c r="AK98" s="203">
        <v>0</v>
      </c>
      <c r="AL98" s="203">
        <v>0</v>
      </c>
      <c r="AM98" s="203">
        <v>0</v>
      </c>
      <c r="AN98" s="203"/>
      <c r="AO98" s="203">
        <v>0</v>
      </c>
    </row>
    <row r="99" spans="1:41" s="176" customFormat="1" ht="36" customHeight="1" x14ac:dyDescent="0.25">
      <c r="A99" s="176">
        <v>1</v>
      </c>
      <c r="B99" s="171">
        <f>SUBTOTAL(103,$A$16:A99)</f>
        <v>84</v>
      </c>
      <c r="C99" s="172" t="s">
        <v>1575</v>
      </c>
      <c r="D99" s="173">
        <v>1961</v>
      </c>
      <c r="E99" s="173"/>
      <c r="F99" s="174" t="s">
        <v>267</v>
      </c>
      <c r="G99" s="173">
        <v>4</v>
      </c>
      <c r="H99" s="173" t="s">
        <v>303</v>
      </c>
      <c r="I99" s="170">
        <v>1732.3</v>
      </c>
      <c r="J99" s="170">
        <v>1276.7</v>
      </c>
      <c r="K99" s="170">
        <v>1276.7</v>
      </c>
      <c r="L99" s="206">
        <v>59</v>
      </c>
      <c r="M99" s="173" t="s">
        <v>265</v>
      </c>
      <c r="N99" s="173" t="s">
        <v>269</v>
      </c>
      <c r="O99" s="175" t="s">
        <v>1578</v>
      </c>
      <c r="P99" s="170">
        <v>70589.929999999993</v>
      </c>
      <c r="Q99" s="170">
        <v>0</v>
      </c>
      <c r="R99" s="170">
        <v>0</v>
      </c>
      <c r="S99" s="170">
        <f t="shared" si="7"/>
        <v>70589.929999999993</v>
      </c>
      <c r="T99" s="170">
        <f t="shared" si="6"/>
        <v>40.749252438953988</v>
      </c>
      <c r="U99" s="170">
        <v>40.749252438953988</v>
      </c>
      <c r="V99" s="202">
        <f t="shared" si="8"/>
        <v>0</v>
      </c>
      <c r="W99" s="202">
        <f t="shared" si="9"/>
        <v>1205.7882976389772</v>
      </c>
      <c r="X99" s="202">
        <v>0</v>
      </c>
      <c r="Y99" s="203">
        <v>0</v>
      </c>
      <c r="Z99" s="203">
        <v>0</v>
      </c>
      <c r="AA99" s="203">
        <v>0</v>
      </c>
      <c r="AB99" s="203">
        <v>0</v>
      </c>
      <c r="AC99" s="203">
        <v>0</v>
      </c>
      <c r="AD99" s="203">
        <v>0</v>
      </c>
      <c r="AE99" s="203">
        <v>334.8</v>
      </c>
      <c r="AF99" s="202">
        <f t="shared" si="10"/>
        <v>1205.7882976389772</v>
      </c>
      <c r="AG99" s="203">
        <v>0</v>
      </c>
      <c r="AH99" s="202">
        <v>0</v>
      </c>
      <c r="AI99" s="203">
        <v>0</v>
      </c>
      <c r="AJ99" s="202">
        <v>0</v>
      </c>
      <c r="AK99" s="203">
        <v>0</v>
      </c>
      <c r="AL99" s="203">
        <v>0</v>
      </c>
      <c r="AM99" s="203">
        <v>0</v>
      </c>
      <c r="AN99" s="203"/>
      <c r="AO99" s="203">
        <v>0</v>
      </c>
    </row>
    <row r="100" spans="1:41" s="176" customFormat="1" ht="36" customHeight="1" x14ac:dyDescent="0.25">
      <c r="A100" s="176">
        <v>1</v>
      </c>
      <c r="B100" s="171">
        <f>SUBTOTAL(103,$A$16:A100)</f>
        <v>85</v>
      </c>
      <c r="C100" s="172" t="s">
        <v>1576</v>
      </c>
      <c r="D100" s="173">
        <v>1953</v>
      </c>
      <c r="E100" s="173"/>
      <c r="F100" s="174" t="s">
        <v>267</v>
      </c>
      <c r="G100" s="173">
        <v>2</v>
      </c>
      <c r="H100" s="173" t="s">
        <v>303</v>
      </c>
      <c r="I100" s="170">
        <v>688.9</v>
      </c>
      <c r="J100" s="170">
        <v>620.29999999999995</v>
      </c>
      <c r="K100" s="170">
        <v>620.29999999999995</v>
      </c>
      <c r="L100" s="206">
        <v>39</v>
      </c>
      <c r="M100" s="173" t="s">
        <v>265</v>
      </c>
      <c r="N100" s="173" t="s">
        <v>269</v>
      </c>
      <c r="O100" s="175" t="s">
        <v>349</v>
      </c>
      <c r="P100" s="170">
        <v>2062889.95</v>
      </c>
      <c r="Q100" s="170">
        <v>0</v>
      </c>
      <c r="R100" s="170">
        <v>0</v>
      </c>
      <c r="S100" s="170">
        <f t="shared" si="7"/>
        <v>2062889.95</v>
      </c>
      <c r="T100" s="170">
        <f t="shared" si="6"/>
        <v>2994.4693714617506</v>
      </c>
      <c r="U100" s="170">
        <v>8422.8451154013655</v>
      </c>
      <c r="V100" s="202">
        <f t="shared" si="8"/>
        <v>5428.3757439396149</v>
      </c>
      <c r="W100" s="202">
        <f t="shared" si="9"/>
        <v>14354.292858179706</v>
      </c>
      <c r="X100" s="202">
        <v>0</v>
      </c>
      <c r="Y100" s="203">
        <v>0</v>
      </c>
      <c r="Z100" s="203">
        <v>0</v>
      </c>
      <c r="AA100" s="203">
        <v>0</v>
      </c>
      <c r="AB100" s="203">
        <v>0</v>
      </c>
      <c r="AC100" s="203">
        <v>0</v>
      </c>
      <c r="AD100" s="203">
        <v>0</v>
      </c>
      <c r="AE100" s="203">
        <v>1585</v>
      </c>
      <c r="AF100" s="202">
        <f t="shared" si="10"/>
        <v>14354.292858179706</v>
      </c>
      <c r="AG100" s="203">
        <v>0</v>
      </c>
      <c r="AH100" s="202">
        <v>0</v>
      </c>
      <c r="AI100" s="203">
        <v>0</v>
      </c>
      <c r="AJ100" s="202">
        <v>0</v>
      </c>
      <c r="AK100" s="203">
        <v>0</v>
      </c>
      <c r="AL100" s="203">
        <v>0</v>
      </c>
      <c r="AM100" s="203">
        <v>0</v>
      </c>
      <c r="AN100" s="203"/>
      <c r="AO100" s="203">
        <v>0</v>
      </c>
    </row>
    <row r="101" spans="1:41" s="176" customFormat="1" ht="36" customHeight="1" x14ac:dyDescent="0.25">
      <c r="A101" s="176">
        <v>1</v>
      </c>
      <c r="B101" s="171">
        <f>SUBTOTAL(103,$A$16:A101)</f>
        <v>86</v>
      </c>
      <c r="C101" s="172" t="s">
        <v>1598</v>
      </c>
      <c r="D101" s="173">
        <v>1959</v>
      </c>
      <c r="E101" s="173"/>
      <c r="F101" s="174" t="s">
        <v>267</v>
      </c>
      <c r="G101" s="173">
        <v>2</v>
      </c>
      <c r="H101" s="173" t="s">
        <v>304</v>
      </c>
      <c r="I101" s="170">
        <v>452.5</v>
      </c>
      <c r="J101" s="170">
        <v>412.6</v>
      </c>
      <c r="K101" s="170">
        <v>412.6</v>
      </c>
      <c r="L101" s="206">
        <v>20</v>
      </c>
      <c r="M101" s="173" t="s">
        <v>265</v>
      </c>
      <c r="N101" s="173" t="s">
        <v>269</v>
      </c>
      <c r="O101" s="175" t="s">
        <v>1374</v>
      </c>
      <c r="P101" s="170">
        <v>1414038.2200000002</v>
      </c>
      <c r="Q101" s="170">
        <v>0</v>
      </c>
      <c r="R101" s="170">
        <v>0</v>
      </c>
      <c r="S101" s="170">
        <f t="shared" si="7"/>
        <v>1414038.2200000002</v>
      </c>
      <c r="T101" s="170">
        <f t="shared" si="6"/>
        <v>3124.9463425414369</v>
      </c>
      <c r="U101" s="170">
        <v>4156.299005524862</v>
      </c>
      <c r="V101" s="202">
        <f t="shared" si="8"/>
        <v>1031.352662983425</v>
      </c>
      <c r="W101" s="202">
        <f t="shared" si="9"/>
        <v>22934.37103646409</v>
      </c>
      <c r="X101" s="202">
        <v>0</v>
      </c>
      <c r="Y101" s="203">
        <v>0</v>
      </c>
      <c r="Z101" s="203">
        <v>0</v>
      </c>
      <c r="AA101" s="203">
        <v>0</v>
      </c>
      <c r="AB101" s="203">
        <v>0</v>
      </c>
      <c r="AC101" s="203">
        <v>0</v>
      </c>
      <c r="AD101" s="203">
        <v>0</v>
      </c>
      <c r="AE101" s="203">
        <v>1663.4</v>
      </c>
      <c r="AF101" s="202">
        <f t="shared" si="10"/>
        <v>22934.37103646409</v>
      </c>
      <c r="AG101" s="203">
        <v>0</v>
      </c>
      <c r="AH101" s="202">
        <v>0</v>
      </c>
      <c r="AI101" s="203">
        <v>0</v>
      </c>
      <c r="AJ101" s="202">
        <v>0</v>
      </c>
      <c r="AK101" s="203">
        <v>0</v>
      </c>
      <c r="AL101" s="203">
        <v>0</v>
      </c>
      <c r="AM101" s="203">
        <v>0</v>
      </c>
      <c r="AN101" s="203"/>
      <c r="AO101" s="203">
        <v>0</v>
      </c>
    </row>
    <row r="102" spans="1:41" s="176" customFormat="1" ht="36" customHeight="1" x14ac:dyDescent="0.25">
      <c r="A102" s="176">
        <v>1</v>
      </c>
      <c r="B102" s="171">
        <f>SUBTOTAL(103,$A$16:A102)</f>
        <v>87</v>
      </c>
      <c r="C102" s="172" t="s">
        <v>1599</v>
      </c>
      <c r="D102" s="173">
        <v>1984</v>
      </c>
      <c r="E102" s="173"/>
      <c r="F102" s="174" t="s">
        <v>311</v>
      </c>
      <c r="G102" s="173">
        <v>14</v>
      </c>
      <c r="H102" s="173" t="s">
        <v>304</v>
      </c>
      <c r="I102" s="170">
        <v>4285.8999999999996</v>
      </c>
      <c r="J102" s="170">
        <v>4285.8999999999996</v>
      </c>
      <c r="K102" s="170">
        <v>4230</v>
      </c>
      <c r="L102" s="206">
        <v>208</v>
      </c>
      <c r="M102" s="173" t="s">
        <v>265</v>
      </c>
      <c r="N102" s="173" t="s">
        <v>269</v>
      </c>
      <c r="O102" s="175" t="s">
        <v>1373</v>
      </c>
      <c r="P102" s="170">
        <v>2070332.01</v>
      </c>
      <c r="Q102" s="170">
        <v>0</v>
      </c>
      <c r="R102" s="170">
        <v>0</v>
      </c>
      <c r="S102" s="170">
        <f t="shared" si="7"/>
        <v>2070332.01</v>
      </c>
      <c r="T102" s="170">
        <f t="shared" si="6"/>
        <v>483.05653655008285</v>
      </c>
      <c r="U102" s="170">
        <v>712.14704029492066</v>
      </c>
      <c r="V102" s="202">
        <f t="shared" si="8"/>
        <v>229.0905037448378</v>
      </c>
      <c r="W102" s="202">
        <f t="shared" si="9"/>
        <v>739.48675424064959</v>
      </c>
      <c r="X102" s="202">
        <v>0</v>
      </c>
      <c r="Y102" s="203">
        <v>0</v>
      </c>
      <c r="Z102" s="203">
        <v>0</v>
      </c>
      <c r="AA102" s="203">
        <v>0</v>
      </c>
      <c r="AB102" s="203">
        <v>0</v>
      </c>
      <c r="AC102" s="203">
        <v>0</v>
      </c>
      <c r="AD102" s="203">
        <v>0</v>
      </c>
      <c r="AE102" s="203">
        <v>508</v>
      </c>
      <c r="AF102" s="202">
        <f t="shared" si="10"/>
        <v>739.48675424064959</v>
      </c>
      <c r="AG102" s="203">
        <v>0</v>
      </c>
      <c r="AH102" s="202">
        <v>0</v>
      </c>
      <c r="AI102" s="203">
        <v>0</v>
      </c>
      <c r="AJ102" s="202">
        <v>0</v>
      </c>
      <c r="AK102" s="203">
        <v>0</v>
      </c>
      <c r="AL102" s="203">
        <v>0</v>
      </c>
      <c r="AM102" s="203">
        <v>0</v>
      </c>
      <c r="AN102" s="203"/>
      <c r="AO102" s="203">
        <v>0</v>
      </c>
    </row>
    <row r="103" spans="1:41" s="176" customFormat="1" ht="36" customHeight="1" x14ac:dyDescent="0.25">
      <c r="A103" s="176">
        <v>1</v>
      </c>
      <c r="B103" s="171">
        <f>SUBTOTAL(103,$A$16:A103)</f>
        <v>88</v>
      </c>
      <c r="C103" s="172" t="s">
        <v>1110</v>
      </c>
      <c r="D103" s="173">
        <v>1962</v>
      </c>
      <c r="E103" s="173"/>
      <c r="F103" s="174" t="s">
        <v>267</v>
      </c>
      <c r="G103" s="173">
        <v>4</v>
      </c>
      <c r="H103" s="173" t="s">
        <v>312</v>
      </c>
      <c r="I103" s="170">
        <v>2135.9</v>
      </c>
      <c r="J103" s="170">
        <v>1990.6</v>
      </c>
      <c r="K103" s="170">
        <v>1990.6</v>
      </c>
      <c r="L103" s="206">
        <v>103</v>
      </c>
      <c r="M103" s="173" t="s">
        <v>265</v>
      </c>
      <c r="N103" s="173" t="s">
        <v>269</v>
      </c>
      <c r="O103" s="175" t="s">
        <v>1628</v>
      </c>
      <c r="P103" s="170">
        <v>3278227.2600000002</v>
      </c>
      <c r="Q103" s="170">
        <v>0</v>
      </c>
      <c r="R103" s="170">
        <v>0</v>
      </c>
      <c r="S103" s="170">
        <f t="shared" si="7"/>
        <v>3278227.2600000002</v>
      </c>
      <c r="T103" s="170">
        <f t="shared" si="6"/>
        <v>1534.8224448710146</v>
      </c>
      <c r="U103" s="170">
        <v>6194.315908984503</v>
      </c>
      <c r="V103" s="202">
        <f t="shared" si="8"/>
        <v>4659.4934641134887</v>
      </c>
      <c r="W103" s="202">
        <f t="shared" si="9"/>
        <v>1039.8670162460789</v>
      </c>
      <c r="X103" s="202">
        <v>0</v>
      </c>
      <c r="Y103" s="203">
        <v>0</v>
      </c>
      <c r="Z103" s="203">
        <v>0</v>
      </c>
      <c r="AA103" s="203">
        <v>0</v>
      </c>
      <c r="AB103" s="203">
        <v>0</v>
      </c>
      <c r="AC103" s="203">
        <v>0</v>
      </c>
      <c r="AD103" s="203">
        <v>0</v>
      </c>
      <c r="AE103" s="203">
        <v>356</v>
      </c>
      <c r="AF103" s="202">
        <f t="shared" si="10"/>
        <v>1039.8670162460789</v>
      </c>
      <c r="AG103" s="203">
        <v>0</v>
      </c>
      <c r="AH103" s="202">
        <v>0</v>
      </c>
      <c r="AI103" s="203">
        <v>0</v>
      </c>
      <c r="AJ103" s="202">
        <v>0</v>
      </c>
      <c r="AK103" s="203">
        <v>0</v>
      </c>
      <c r="AL103" s="203">
        <v>0</v>
      </c>
      <c r="AM103" s="203">
        <v>0</v>
      </c>
      <c r="AN103" s="203"/>
      <c r="AO103" s="203">
        <v>0</v>
      </c>
    </row>
    <row r="104" spans="1:41" s="176" customFormat="1" ht="36" customHeight="1" x14ac:dyDescent="0.25">
      <c r="A104" s="176">
        <v>1</v>
      </c>
      <c r="B104" s="171">
        <f>SUBTOTAL(103,$A$16:A104)</f>
        <v>89</v>
      </c>
      <c r="C104" s="172" t="s">
        <v>530</v>
      </c>
      <c r="D104" s="173">
        <v>1994</v>
      </c>
      <c r="E104" s="173"/>
      <c r="F104" s="174" t="s">
        <v>311</v>
      </c>
      <c r="G104" s="173">
        <v>9</v>
      </c>
      <c r="H104" s="173" t="s">
        <v>304</v>
      </c>
      <c r="I104" s="170">
        <v>2342.1999999999998</v>
      </c>
      <c r="J104" s="170">
        <v>2320.3000000000002</v>
      </c>
      <c r="K104" s="170">
        <v>2280.8000000000002</v>
      </c>
      <c r="L104" s="206">
        <v>147</v>
      </c>
      <c r="M104" s="173" t="s">
        <v>265</v>
      </c>
      <c r="N104" s="173" t="s">
        <v>269</v>
      </c>
      <c r="O104" s="175" t="s">
        <v>1373</v>
      </c>
      <c r="P104" s="170">
        <v>1702747.3199999998</v>
      </c>
      <c r="Q104" s="170">
        <v>0</v>
      </c>
      <c r="R104" s="170">
        <v>0</v>
      </c>
      <c r="S104" s="170">
        <f t="shared" si="7"/>
        <v>1702747.3199999998</v>
      </c>
      <c r="T104" s="170">
        <f t="shared" si="6"/>
        <v>726.98630347536505</v>
      </c>
      <c r="U104" s="170">
        <v>1049.355306976347</v>
      </c>
      <c r="V104" s="202">
        <f t="shared" si="8"/>
        <v>322.36900350098199</v>
      </c>
      <c r="W104" s="202">
        <f t="shared" si="9"/>
        <v>2980.676411066519</v>
      </c>
      <c r="X104" s="202">
        <v>0</v>
      </c>
      <c r="Y104" s="203">
        <v>0</v>
      </c>
      <c r="Z104" s="203">
        <v>0</v>
      </c>
      <c r="AA104" s="203">
        <v>0</v>
      </c>
      <c r="AB104" s="203">
        <v>0</v>
      </c>
      <c r="AC104" s="203">
        <v>0</v>
      </c>
      <c r="AD104" s="203">
        <v>0</v>
      </c>
      <c r="AE104" s="203">
        <v>1119</v>
      </c>
      <c r="AF104" s="202">
        <f t="shared" si="10"/>
        <v>2980.676411066519</v>
      </c>
      <c r="AG104" s="203">
        <v>0</v>
      </c>
      <c r="AH104" s="202">
        <v>0</v>
      </c>
      <c r="AI104" s="203">
        <v>0</v>
      </c>
      <c r="AJ104" s="202">
        <v>0</v>
      </c>
      <c r="AK104" s="203">
        <v>0</v>
      </c>
      <c r="AL104" s="203">
        <v>0</v>
      </c>
      <c r="AM104" s="203">
        <v>0</v>
      </c>
      <c r="AN104" s="203"/>
      <c r="AO104" s="203">
        <v>0</v>
      </c>
    </row>
    <row r="105" spans="1:41" s="176" customFormat="1" ht="36" customHeight="1" x14ac:dyDescent="0.25">
      <c r="A105" s="176">
        <v>1</v>
      </c>
      <c r="B105" s="171">
        <f>SUBTOTAL(103,$A$16:A105)</f>
        <v>90</v>
      </c>
      <c r="C105" s="172" t="s">
        <v>531</v>
      </c>
      <c r="D105" s="173">
        <v>1995</v>
      </c>
      <c r="E105" s="173"/>
      <c r="F105" s="174" t="s">
        <v>311</v>
      </c>
      <c r="G105" s="173">
        <v>9</v>
      </c>
      <c r="H105" s="173" t="s">
        <v>304</v>
      </c>
      <c r="I105" s="170">
        <v>3212.7</v>
      </c>
      <c r="J105" s="170">
        <v>2297.9</v>
      </c>
      <c r="K105" s="170">
        <v>2290.8000000000002</v>
      </c>
      <c r="L105" s="206">
        <v>116</v>
      </c>
      <c r="M105" s="173" t="s">
        <v>265</v>
      </c>
      <c r="N105" s="173" t="s">
        <v>269</v>
      </c>
      <c r="O105" s="175" t="s">
        <v>1373</v>
      </c>
      <c r="P105" s="170">
        <v>1698388.8199999998</v>
      </c>
      <c r="Q105" s="170">
        <v>0</v>
      </c>
      <c r="R105" s="170">
        <v>0</v>
      </c>
      <c r="S105" s="170">
        <f t="shared" si="7"/>
        <v>1698388.8199999998</v>
      </c>
      <c r="T105" s="170">
        <f t="shared" si="6"/>
        <v>528.64843278239482</v>
      </c>
      <c r="U105" s="170">
        <v>765.02630186447539</v>
      </c>
      <c r="V105" s="202">
        <f t="shared" si="8"/>
        <v>236.37786908208057</v>
      </c>
      <c r="W105" s="202">
        <f t="shared" si="9"/>
        <v>3042.6050985152679</v>
      </c>
      <c r="X105" s="202">
        <v>0</v>
      </c>
      <c r="Y105" s="203">
        <v>0</v>
      </c>
      <c r="Z105" s="203">
        <v>0</v>
      </c>
      <c r="AA105" s="203">
        <v>0</v>
      </c>
      <c r="AB105" s="203">
        <v>0</v>
      </c>
      <c r="AC105" s="203">
        <v>0</v>
      </c>
      <c r="AD105" s="203">
        <v>0</v>
      </c>
      <c r="AE105" s="203">
        <v>0</v>
      </c>
      <c r="AF105" s="202">
        <v>0</v>
      </c>
      <c r="AG105" s="203">
        <v>0</v>
      </c>
      <c r="AH105" s="202">
        <v>0</v>
      </c>
      <c r="AI105" s="203">
        <v>1314</v>
      </c>
      <c r="AJ105" s="202">
        <f>7439.1*AI105/I105</f>
        <v>3042.6050985152679</v>
      </c>
      <c r="AK105" s="203">
        <v>0</v>
      </c>
      <c r="AL105" s="203">
        <v>0</v>
      </c>
      <c r="AM105" s="203">
        <v>0</v>
      </c>
      <c r="AN105" s="203"/>
      <c r="AO105" s="203">
        <v>0</v>
      </c>
    </row>
    <row r="106" spans="1:41" s="176" customFormat="1" ht="36" customHeight="1" x14ac:dyDescent="0.25">
      <c r="A106" s="176">
        <v>1</v>
      </c>
      <c r="B106" s="171">
        <f>SUBTOTAL(103,$A$16:A106)</f>
        <v>91</v>
      </c>
      <c r="C106" s="172" t="s">
        <v>1364</v>
      </c>
      <c r="D106" s="173">
        <v>1986</v>
      </c>
      <c r="E106" s="173"/>
      <c r="F106" s="174" t="s">
        <v>311</v>
      </c>
      <c r="G106" s="173">
        <v>9</v>
      </c>
      <c r="H106" s="173" t="s">
        <v>370</v>
      </c>
      <c r="I106" s="170">
        <v>14807.8</v>
      </c>
      <c r="J106" s="170">
        <v>11520.6</v>
      </c>
      <c r="K106" s="170">
        <v>11520.6</v>
      </c>
      <c r="L106" s="206">
        <v>529</v>
      </c>
      <c r="M106" s="173" t="s">
        <v>265</v>
      </c>
      <c r="N106" s="173" t="s">
        <v>269</v>
      </c>
      <c r="O106" s="175" t="s">
        <v>1077</v>
      </c>
      <c r="P106" s="170">
        <v>9902722.7999999989</v>
      </c>
      <c r="Q106" s="170">
        <v>0</v>
      </c>
      <c r="R106" s="170">
        <v>0</v>
      </c>
      <c r="S106" s="170">
        <f t="shared" si="7"/>
        <v>9902722.7999999989</v>
      </c>
      <c r="T106" s="170">
        <f t="shared" si="6"/>
        <v>668.75044233444532</v>
      </c>
      <c r="U106" s="170">
        <v>995.88054944015994</v>
      </c>
      <c r="V106" s="202">
        <f t="shared" si="8"/>
        <v>327.13010710571461</v>
      </c>
      <c r="W106" s="202">
        <f t="shared" si="9"/>
        <v>297.87742743689137</v>
      </c>
      <c r="X106" s="202">
        <v>0</v>
      </c>
      <c r="Y106" s="203">
        <v>0</v>
      </c>
      <c r="Z106" s="203">
        <v>0</v>
      </c>
      <c r="AA106" s="203">
        <v>0</v>
      </c>
      <c r="AB106" s="203">
        <v>0</v>
      </c>
      <c r="AC106" s="203">
        <v>0</v>
      </c>
      <c r="AD106" s="203">
        <v>0</v>
      </c>
      <c r="AE106" s="203">
        <v>707</v>
      </c>
      <c r="AF106" s="202">
        <f>6238.91*AE106/I106</f>
        <v>297.87742743689137</v>
      </c>
      <c r="AG106" s="203">
        <v>0</v>
      </c>
      <c r="AH106" s="202">
        <v>0</v>
      </c>
      <c r="AI106" s="203">
        <v>0</v>
      </c>
      <c r="AJ106" s="202">
        <v>0</v>
      </c>
      <c r="AK106" s="203">
        <v>0</v>
      </c>
      <c r="AL106" s="203">
        <v>0</v>
      </c>
      <c r="AM106" s="203">
        <v>0</v>
      </c>
      <c r="AN106" s="203"/>
      <c r="AO106" s="203">
        <v>0</v>
      </c>
    </row>
    <row r="107" spans="1:41" s="176" customFormat="1" ht="36" customHeight="1" x14ac:dyDescent="0.25">
      <c r="A107" s="176">
        <v>1</v>
      </c>
      <c r="B107" s="171">
        <f>SUBTOTAL(103,$A$16:A107)</f>
        <v>92</v>
      </c>
      <c r="C107" s="172" t="s">
        <v>545</v>
      </c>
      <c r="D107" s="173">
        <v>1993</v>
      </c>
      <c r="E107" s="173"/>
      <c r="F107" s="174" t="s">
        <v>267</v>
      </c>
      <c r="G107" s="173" t="s">
        <v>2252</v>
      </c>
      <c r="H107" s="173" t="s">
        <v>357</v>
      </c>
      <c r="I107" s="170">
        <v>14780.2</v>
      </c>
      <c r="J107" s="170">
        <v>12472.3</v>
      </c>
      <c r="K107" s="170">
        <v>9302.2999999999993</v>
      </c>
      <c r="L107" s="206">
        <v>342</v>
      </c>
      <c r="M107" s="173" t="s">
        <v>265</v>
      </c>
      <c r="N107" s="173" t="s">
        <v>269</v>
      </c>
      <c r="O107" s="175" t="s">
        <v>1077</v>
      </c>
      <c r="P107" s="170">
        <v>1918155.32</v>
      </c>
      <c r="Q107" s="170">
        <v>0</v>
      </c>
      <c r="R107" s="170">
        <v>0</v>
      </c>
      <c r="S107" s="170">
        <f t="shared" si="7"/>
        <v>1918155.32</v>
      </c>
      <c r="T107" s="170">
        <f t="shared" si="6"/>
        <v>129.7787120607299</v>
      </c>
      <c r="U107" s="170">
        <v>180.0962774522672</v>
      </c>
      <c r="V107" s="202">
        <f t="shared" si="8"/>
        <v>50.3175653915373</v>
      </c>
      <c r="W107" s="202">
        <f t="shared" si="9"/>
        <v>322.62507273243938</v>
      </c>
      <c r="X107" s="202">
        <v>0</v>
      </c>
      <c r="Y107" s="203">
        <v>0</v>
      </c>
      <c r="Z107" s="203">
        <v>0</v>
      </c>
      <c r="AA107" s="203">
        <v>0</v>
      </c>
      <c r="AB107" s="203">
        <v>0</v>
      </c>
      <c r="AC107" s="203">
        <v>0</v>
      </c>
      <c r="AD107" s="203">
        <v>0</v>
      </c>
      <c r="AE107" s="203">
        <v>0</v>
      </c>
      <c r="AF107" s="202">
        <v>0</v>
      </c>
      <c r="AG107" s="203">
        <v>0</v>
      </c>
      <c r="AH107" s="202">
        <v>0</v>
      </c>
      <c r="AI107" s="203">
        <v>641</v>
      </c>
      <c r="AJ107" s="202">
        <f>7439.1*AI107/I107</f>
        <v>322.62507273243938</v>
      </c>
      <c r="AK107" s="203"/>
      <c r="AL107" s="203">
        <v>0</v>
      </c>
      <c r="AM107" s="203">
        <v>0</v>
      </c>
      <c r="AN107" s="203"/>
      <c r="AO107" s="203">
        <v>0</v>
      </c>
    </row>
    <row r="108" spans="1:41" s="176" customFormat="1" ht="36" customHeight="1" x14ac:dyDescent="0.25">
      <c r="A108" s="176">
        <v>1</v>
      </c>
      <c r="B108" s="171">
        <f>SUBTOTAL(103,$A$16:A108)</f>
        <v>93</v>
      </c>
      <c r="C108" s="172" t="s">
        <v>1076</v>
      </c>
      <c r="D108" s="173">
        <v>1989</v>
      </c>
      <c r="E108" s="173"/>
      <c r="F108" s="174" t="s">
        <v>311</v>
      </c>
      <c r="G108" s="173">
        <v>9</v>
      </c>
      <c r="H108" s="173" t="s">
        <v>308</v>
      </c>
      <c r="I108" s="170">
        <v>10574</v>
      </c>
      <c r="J108" s="170">
        <v>7454.7</v>
      </c>
      <c r="K108" s="170">
        <v>7439.2</v>
      </c>
      <c r="L108" s="206">
        <v>312</v>
      </c>
      <c r="M108" s="173" t="s">
        <v>265</v>
      </c>
      <c r="N108" s="173" t="s">
        <v>269</v>
      </c>
      <c r="O108" s="175" t="s">
        <v>1077</v>
      </c>
      <c r="P108" s="170">
        <v>7396376.3500000006</v>
      </c>
      <c r="Q108" s="170">
        <v>0</v>
      </c>
      <c r="R108" s="170">
        <v>0</v>
      </c>
      <c r="S108" s="170">
        <f t="shared" si="7"/>
        <v>7396376.3500000006</v>
      </c>
      <c r="T108" s="170">
        <f t="shared" si="6"/>
        <v>699.48707679213169</v>
      </c>
      <c r="U108" s="170">
        <v>929.75222243238136</v>
      </c>
      <c r="V108" s="202">
        <f t="shared" si="8"/>
        <v>230.26514564024967</v>
      </c>
      <c r="W108" s="202">
        <f t="shared" si="9"/>
        <v>223.02893701532059</v>
      </c>
      <c r="X108" s="202">
        <v>0</v>
      </c>
      <c r="Y108" s="203">
        <v>0</v>
      </c>
      <c r="Z108" s="203">
        <v>0</v>
      </c>
      <c r="AA108" s="203">
        <v>0</v>
      </c>
      <c r="AB108" s="203">
        <v>0</v>
      </c>
      <c r="AC108" s="203">
        <v>0</v>
      </c>
      <c r="AD108" s="203">
        <v>0</v>
      </c>
      <c r="AE108" s="203">
        <v>378</v>
      </c>
      <c r="AF108" s="202">
        <f>6238.91*AE108/I108</f>
        <v>223.02893701532059</v>
      </c>
      <c r="AG108" s="203">
        <v>0</v>
      </c>
      <c r="AH108" s="202">
        <v>0</v>
      </c>
      <c r="AI108" s="203">
        <v>0</v>
      </c>
      <c r="AJ108" s="202">
        <v>0</v>
      </c>
      <c r="AK108" s="203">
        <v>0</v>
      </c>
      <c r="AL108" s="203">
        <v>0</v>
      </c>
      <c r="AM108" s="203">
        <v>0</v>
      </c>
      <c r="AN108" s="203"/>
      <c r="AO108" s="203">
        <v>0</v>
      </c>
    </row>
    <row r="109" spans="1:41" s="176" customFormat="1" ht="36" customHeight="1" x14ac:dyDescent="0.25">
      <c r="A109" s="176">
        <v>1</v>
      </c>
      <c r="B109" s="171">
        <f>SUBTOTAL(103,$A$16:A109)</f>
        <v>94</v>
      </c>
      <c r="C109" s="172" t="s">
        <v>553</v>
      </c>
      <c r="D109" s="173">
        <v>1973</v>
      </c>
      <c r="E109" s="173"/>
      <c r="F109" s="174" t="s">
        <v>311</v>
      </c>
      <c r="G109" s="173">
        <v>9</v>
      </c>
      <c r="H109" s="173" t="s">
        <v>304</v>
      </c>
      <c r="I109" s="170">
        <v>1914.68</v>
      </c>
      <c r="J109" s="170">
        <v>1914.68</v>
      </c>
      <c r="K109" s="170">
        <v>1914.68</v>
      </c>
      <c r="L109" s="206">
        <v>103</v>
      </c>
      <c r="M109" s="173" t="s">
        <v>265</v>
      </c>
      <c r="N109" s="173" t="s">
        <v>269</v>
      </c>
      <c r="O109" s="175" t="s">
        <v>1373</v>
      </c>
      <c r="P109" s="170">
        <v>1901891.1600000001</v>
      </c>
      <c r="Q109" s="170">
        <v>0</v>
      </c>
      <c r="R109" s="170">
        <v>0</v>
      </c>
      <c r="S109" s="170">
        <f t="shared" si="7"/>
        <v>1901891.1600000001</v>
      </c>
      <c r="T109" s="170">
        <f t="shared" si="6"/>
        <v>993.3206384356655</v>
      </c>
      <c r="U109" s="170">
        <v>1283.6609772912445</v>
      </c>
      <c r="V109" s="202">
        <f t="shared" si="8"/>
        <v>290.34033885557903</v>
      </c>
      <c r="W109" s="202">
        <f t="shared" si="9"/>
        <v>1594.0997973551716</v>
      </c>
      <c r="X109" s="202">
        <v>0</v>
      </c>
      <c r="Y109" s="203">
        <v>0</v>
      </c>
      <c r="Z109" s="203">
        <v>0</v>
      </c>
      <c r="AA109" s="203">
        <v>0</v>
      </c>
      <c r="AB109" s="203">
        <v>0</v>
      </c>
      <c r="AC109" s="203">
        <v>1</v>
      </c>
      <c r="AD109" s="202">
        <f>3052191*AC109/I109</f>
        <v>1594.0997973551716</v>
      </c>
      <c r="AE109" s="203">
        <v>0</v>
      </c>
      <c r="AF109" s="202">
        <v>0</v>
      </c>
      <c r="AG109" s="203">
        <v>0</v>
      </c>
      <c r="AH109" s="202">
        <v>0</v>
      </c>
      <c r="AI109" s="203">
        <v>0</v>
      </c>
      <c r="AJ109" s="202">
        <v>0</v>
      </c>
      <c r="AK109" s="203">
        <v>0</v>
      </c>
      <c r="AL109" s="203">
        <v>0</v>
      </c>
      <c r="AM109" s="203">
        <v>0</v>
      </c>
      <c r="AN109" s="203"/>
      <c r="AO109" s="203">
        <v>0</v>
      </c>
    </row>
    <row r="110" spans="1:41" s="176" customFormat="1" ht="36" customHeight="1" x14ac:dyDescent="0.25">
      <c r="A110" s="176">
        <v>1</v>
      </c>
      <c r="B110" s="171">
        <f>SUBTOTAL(103,$A$16:A110)</f>
        <v>95</v>
      </c>
      <c r="C110" s="172" t="s">
        <v>1107</v>
      </c>
      <c r="D110" s="173">
        <v>1960</v>
      </c>
      <c r="E110" s="173"/>
      <c r="F110" s="174" t="s">
        <v>1562</v>
      </c>
      <c r="G110" s="173" t="s">
        <v>312</v>
      </c>
      <c r="H110" s="173" t="s">
        <v>303</v>
      </c>
      <c r="I110" s="177">
        <v>969.7</v>
      </c>
      <c r="J110" s="177">
        <v>627.4</v>
      </c>
      <c r="K110" s="177">
        <v>627.4</v>
      </c>
      <c r="L110" s="206">
        <v>38</v>
      </c>
      <c r="M110" s="173" t="s">
        <v>265</v>
      </c>
      <c r="N110" s="173" t="s">
        <v>269</v>
      </c>
      <c r="O110" s="175" t="s">
        <v>2253</v>
      </c>
      <c r="P110" s="170">
        <v>814287.52</v>
      </c>
      <c r="Q110" s="170">
        <v>0</v>
      </c>
      <c r="R110" s="170">
        <v>0</v>
      </c>
      <c r="S110" s="170">
        <f t="shared" si="7"/>
        <v>814287.52</v>
      </c>
      <c r="T110" s="170">
        <f t="shared" si="6"/>
        <v>839.73138083943491</v>
      </c>
      <c r="U110" s="170">
        <v>3516.4531772713212</v>
      </c>
      <c r="V110" s="202">
        <f t="shared" si="8"/>
        <v>2676.7217964318861</v>
      </c>
      <c r="W110" s="202">
        <f t="shared" si="9"/>
        <v>13643.84794266268</v>
      </c>
      <c r="X110" s="202">
        <v>0</v>
      </c>
      <c r="Y110" s="203">
        <v>0</v>
      </c>
      <c r="Z110" s="203">
        <v>0</v>
      </c>
      <c r="AA110" s="203">
        <v>0</v>
      </c>
      <c r="AB110" s="203">
        <v>0</v>
      </c>
      <c r="AC110" s="203">
        <v>0</v>
      </c>
      <c r="AD110" s="203">
        <v>0</v>
      </c>
      <c r="AE110" s="203">
        <v>0</v>
      </c>
      <c r="AF110" s="202">
        <v>0</v>
      </c>
      <c r="AG110" s="203">
        <v>0</v>
      </c>
      <c r="AH110" s="202">
        <v>0</v>
      </c>
      <c r="AI110" s="203">
        <v>1778.5</v>
      </c>
      <c r="AJ110" s="202">
        <f>7439.1*AI110/I110</f>
        <v>13643.84794266268</v>
      </c>
      <c r="AK110" s="203">
        <v>0</v>
      </c>
      <c r="AL110" s="203">
        <v>0</v>
      </c>
      <c r="AM110" s="203">
        <v>0</v>
      </c>
      <c r="AN110" s="203"/>
      <c r="AO110" s="203">
        <v>0</v>
      </c>
    </row>
    <row r="111" spans="1:41" s="176" customFormat="1" ht="36" customHeight="1" x14ac:dyDescent="0.25">
      <c r="A111" s="176">
        <v>1</v>
      </c>
      <c r="B111" s="171">
        <f>SUBTOTAL(103,$A$16:A111)</f>
        <v>96</v>
      </c>
      <c r="C111" s="172" t="s">
        <v>1120</v>
      </c>
      <c r="D111" s="173">
        <v>1962</v>
      </c>
      <c r="E111" s="173"/>
      <c r="F111" s="174" t="s">
        <v>267</v>
      </c>
      <c r="G111" s="173">
        <v>2</v>
      </c>
      <c r="H111" s="173" t="s">
        <v>303</v>
      </c>
      <c r="I111" s="177">
        <v>628.29999999999995</v>
      </c>
      <c r="J111" s="177">
        <v>628.29999999999995</v>
      </c>
      <c r="K111" s="177">
        <v>628.29999999999995</v>
      </c>
      <c r="L111" s="206">
        <v>38</v>
      </c>
      <c r="M111" s="173" t="s">
        <v>265</v>
      </c>
      <c r="N111" s="173" t="s">
        <v>266</v>
      </c>
      <c r="O111" s="175" t="s">
        <v>1311</v>
      </c>
      <c r="P111" s="170">
        <v>52271.7</v>
      </c>
      <c r="Q111" s="170">
        <v>0</v>
      </c>
      <c r="R111" s="170">
        <v>0</v>
      </c>
      <c r="S111" s="170">
        <f t="shared" si="7"/>
        <v>52271.7</v>
      </c>
      <c r="T111" s="170">
        <f t="shared" si="6"/>
        <v>83.195448034378487</v>
      </c>
      <c r="U111" s="170">
        <v>83.195448034378487</v>
      </c>
      <c r="V111" s="202">
        <f t="shared" si="8"/>
        <v>0</v>
      </c>
      <c r="W111" s="202">
        <f t="shared" si="9"/>
        <v>9112.6017937291108</v>
      </c>
      <c r="X111" s="202">
        <v>0</v>
      </c>
      <c r="Y111" s="203">
        <v>0</v>
      </c>
      <c r="Z111" s="203">
        <v>0</v>
      </c>
      <c r="AA111" s="203">
        <v>0</v>
      </c>
      <c r="AB111" s="203">
        <v>0</v>
      </c>
      <c r="AC111" s="203">
        <v>0</v>
      </c>
      <c r="AD111" s="203">
        <v>0</v>
      </c>
      <c r="AE111" s="203">
        <v>917.7</v>
      </c>
      <c r="AF111" s="202">
        <f>6238.91*AE111/I111</f>
        <v>9112.6017937291108</v>
      </c>
      <c r="AG111" s="203">
        <v>0</v>
      </c>
      <c r="AH111" s="202">
        <v>0</v>
      </c>
      <c r="AI111" s="203">
        <v>0</v>
      </c>
      <c r="AJ111" s="202">
        <v>0</v>
      </c>
      <c r="AK111" s="203">
        <v>0</v>
      </c>
      <c r="AL111" s="203">
        <v>0</v>
      </c>
      <c r="AM111" s="203">
        <v>0</v>
      </c>
      <c r="AN111" s="203"/>
      <c r="AO111" s="203">
        <v>0</v>
      </c>
    </row>
    <row r="112" spans="1:41" s="176" customFormat="1" ht="36" customHeight="1" x14ac:dyDescent="0.25">
      <c r="A112" s="176">
        <v>1</v>
      </c>
      <c r="B112" s="171">
        <f>SUBTOTAL(103,$A$16:A112)</f>
        <v>97</v>
      </c>
      <c r="C112" s="172" t="s">
        <v>483</v>
      </c>
      <c r="D112" s="173">
        <v>1969</v>
      </c>
      <c r="E112" s="173"/>
      <c r="F112" s="174" t="s">
        <v>267</v>
      </c>
      <c r="G112" s="173">
        <v>5</v>
      </c>
      <c r="H112" s="173" t="s">
        <v>308</v>
      </c>
      <c r="I112" s="177">
        <v>3463.9</v>
      </c>
      <c r="J112" s="177">
        <v>3172.1</v>
      </c>
      <c r="K112" s="177">
        <v>3012</v>
      </c>
      <c r="L112" s="206">
        <v>132</v>
      </c>
      <c r="M112" s="173" t="s">
        <v>265</v>
      </c>
      <c r="N112" s="173" t="s">
        <v>269</v>
      </c>
      <c r="O112" s="175" t="s">
        <v>1077</v>
      </c>
      <c r="P112" s="170">
        <v>83051.86</v>
      </c>
      <c r="Q112" s="170">
        <v>0</v>
      </c>
      <c r="R112" s="170">
        <v>0</v>
      </c>
      <c r="S112" s="170">
        <f t="shared" si="7"/>
        <v>83051.86</v>
      </c>
      <c r="T112" s="170">
        <f t="shared" si="6"/>
        <v>23.976402321083171</v>
      </c>
      <c r="U112" s="170">
        <v>23.976402321083171</v>
      </c>
      <c r="V112" s="202">
        <f t="shared" si="8"/>
        <v>0</v>
      </c>
      <c r="W112" s="202">
        <f t="shared" si="9"/>
        <v>709.54704235110717</v>
      </c>
      <c r="X112" s="202">
        <v>0</v>
      </c>
      <c r="Y112" s="203">
        <v>0</v>
      </c>
      <c r="Z112" s="203">
        <v>0</v>
      </c>
      <c r="AA112" s="203">
        <v>0</v>
      </c>
      <c r="AB112" s="203">
        <v>0</v>
      </c>
      <c r="AC112" s="203">
        <v>1</v>
      </c>
      <c r="AD112" s="202">
        <f t="shared" ref="AD112:AD117" si="11">2457800*AC112/I112</f>
        <v>709.54704235110717</v>
      </c>
      <c r="AE112" s="203">
        <v>0</v>
      </c>
      <c r="AF112" s="202">
        <v>0</v>
      </c>
      <c r="AG112" s="203">
        <v>0</v>
      </c>
      <c r="AH112" s="202">
        <v>0</v>
      </c>
      <c r="AI112" s="203">
        <v>0</v>
      </c>
      <c r="AJ112" s="202">
        <v>0</v>
      </c>
      <c r="AK112" s="203">
        <v>0</v>
      </c>
      <c r="AL112" s="203">
        <v>0</v>
      </c>
      <c r="AM112" s="203">
        <v>0</v>
      </c>
      <c r="AN112" s="203"/>
      <c r="AO112" s="203">
        <v>0</v>
      </c>
    </row>
    <row r="113" spans="1:41" s="176" customFormat="1" ht="36" customHeight="1" x14ac:dyDescent="0.25">
      <c r="A113" s="176">
        <v>1</v>
      </c>
      <c r="B113" s="171">
        <f>SUBTOTAL(103,$A$16:A113)</f>
        <v>98</v>
      </c>
      <c r="C113" s="172" t="s">
        <v>1121</v>
      </c>
      <c r="D113" s="173">
        <v>1964</v>
      </c>
      <c r="E113" s="173"/>
      <c r="F113" s="174" t="s">
        <v>267</v>
      </c>
      <c r="G113" s="173">
        <v>2</v>
      </c>
      <c r="H113" s="173" t="s">
        <v>303</v>
      </c>
      <c r="I113" s="177">
        <v>669.2</v>
      </c>
      <c r="J113" s="177">
        <v>667</v>
      </c>
      <c r="K113" s="177">
        <v>667</v>
      </c>
      <c r="L113" s="206">
        <v>30</v>
      </c>
      <c r="M113" s="173" t="s">
        <v>265</v>
      </c>
      <c r="N113" s="173" t="s">
        <v>269</v>
      </c>
      <c r="O113" s="175" t="s">
        <v>1311</v>
      </c>
      <c r="P113" s="170">
        <v>50689.120000000003</v>
      </c>
      <c r="Q113" s="170">
        <v>0</v>
      </c>
      <c r="R113" s="170">
        <v>0</v>
      </c>
      <c r="S113" s="170">
        <f t="shared" si="7"/>
        <v>50689.120000000003</v>
      </c>
      <c r="T113" s="170">
        <f t="shared" si="6"/>
        <v>75.745845786013149</v>
      </c>
      <c r="U113" s="170">
        <v>75.745845786013149</v>
      </c>
      <c r="V113" s="202">
        <f t="shared" si="8"/>
        <v>0</v>
      </c>
      <c r="W113" s="202">
        <f t="shared" si="9"/>
        <v>3672.7435744172144</v>
      </c>
      <c r="X113" s="202">
        <v>0</v>
      </c>
      <c r="Y113" s="203">
        <v>0</v>
      </c>
      <c r="Z113" s="203">
        <v>0</v>
      </c>
      <c r="AA113" s="203">
        <v>0</v>
      </c>
      <c r="AB113" s="203">
        <v>0</v>
      </c>
      <c r="AC113" s="203">
        <v>1</v>
      </c>
      <c r="AD113" s="202">
        <f t="shared" si="11"/>
        <v>3672.7435744172144</v>
      </c>
      <c r="AE113" s="203">
        <v>0</v>
      </c>
      <c r="AF113" s="202">
        <v>0</v>
      </c>
      <c r="AG113" s="203">
        <v>0</v>
      </c>
      <c r="AH113" s="202">
        <v>0</v>
      </c>
      <c r="AI113" s="203">
        <v>0</v>
      </c>
      <c r="AJ113" s="202">
        <v>0</v>
      </c>
      <c r="AK113" s="203">
        <v>0</v>
      </c>
      <c r="AL113" s="203">
        <v>0</v>
      </c>
      <c r="AM113" s="203">
        <v>0</v>
      </c>
      <c r="AN113" s="203"/>
      <c r="AO113" s="203">
        <v>0</v>
      </c>
    </row>
    <row r="114" spans="1:41" s="176" customFormat="1" ht="36" customHeight="1" x14ac:dyDescent="0.25">
      <c r="A114" s="176">
        <v>1</v>
      </c>
      <c r="B114" s="171">
        <f>SUBTOTAL(103,$A$16:A114)</f>
        <v>99</v>
      </c>
      <c r="C114" s="172" t="s">
        <v>497</v>
      </c>
      <c r="D114" s="173">
        <v>1960</v>
      </c>
      <c r="E114" s="173"/>
      <c r="F114" s="174" t="s">
        <v>267</v>
      </c>
      <c r="G114" s="173">
        <v>5</v>
      </c>
      <c r="H114" s="173" t="s">
        <v>312</v>
      </c>
      <c r="I114" s="177">
        <v>3202.4</v>
      </c>
      <c r="J114" s="177">
        <v>2438.9</v>
      </c>
      <c r="K114" s="177">
        <v>2438.9</v>
      </c>
      <c r="L114" s="206">
        <v>120</v>
      </c>
      <c r="M114" s="173" t="s">
        <v>265</v>
      </c>
      <c r="N114" s="173" t="s">
        <v>269</v>
      </c>
      <c r="O114" s="175" t="s">
        <v>1077</v>
      </c>
      <c r="P114" s="170">
        <v>95587.09</v>
      </c>
      <c r="Q114" s="170">
        <v>0</v>
      </c>
      <c r="R114" s="170">
        <v>0</v>
      </c>
      <c r="S114" s="170">
        <f t="shared" si="7"/>
        <v>95587.09</v>
      </c>
      <c r="T114" s="170">
        <f t="shared" si="6"/>
        <v>29.848579190607044</v>
      </c>
      <c r="U114" s="170">
        <v>29.848579190607044</v>
      </c>
      <c r="V114" s="202">
        <f t="shared" si="8"/>
        <v>0</v>
      </c>
      <c r="W114" s="202">
        <f t="shared" si="9"/>
        <v>4604.9213090182366</v>
      </c>
      <c r="X114" s="202">
        <v>0</v>
      </c>
      <c r="Y114" s="203">
        <v>0</v>
      </c>
      <c r="Z114" s="203">
        <v>0</v>
      </c>
      <c r="AA114" s="203">
        <v>0</v>
      </c>
      <c r="AB114" s="203">
        <v>0</v>
      </c>
      <c r="AC114" s="203">
        <v>6</v>
      </c>
      <c r="AD114" s="202">
        <f t="shared" si="11"/>
        <v>4604.9213090182366</v>
      </c>
      <c r="AE114" s="203">
        <v>0</v>
      </c>
      <c r="AF114" s="202">
        <v>0</v>
      </c>
      <c r="AG114" s="203">
        <v>0</v>
      </c>
      <c r="AH114" s="202">
        <v>0</v>
      </c>
      <c r="AI114" s="203">
        <v>0</v>
      </c>
      <c r="AJ114" s="202">
        <v>0</v>
      </c>
      <c r="AK114" s="203">
        <v>0</v>
      </c>
      <c r="AL114" s="203">
        <v>0</v>
      </c>
      <c r="AM114" s="203">
        <v>0</v>
      </c>
      <c r="AN114" s="203"/>
      <c r="AO114" s="203">
        <v>0</v>
      </c>
    </row>
    <row r="115" spans="1:41" s="176" customFormat="1" ht="36" customHeight="1" x14ac:dyDescent="0.25">
      <c r="A115" s="176">
        <v>1</v>
      </c>
      <c r="B115" s="171">
        <f>SUBTOTAL(103,$A$16:A115)</f>
        <v>100</v>
      </c>
      <c r="C115" s="172" t="s">
        <v>1055</v>
      </c>
      <c r="D115" s="173">
        <v>1941</v>
      </c>
      <c r="E115" s="173"/>
      <c r="F115" s="174" t="s">
        <v>267</v>
      </c>
      <c r="G115" s="173">
        <v>3</v>
      </c>
      <c r="H115" s="173" t="s">
        <v>303</v>
      </c>
      <c r="I115" s="177">
        <v>1265</v>
      </c>
      <c r="J115" s="177">
        <v>1152.5999999999999</v>
      </c>
      <c r="K115" s="177">
        <v>1105.5</v>
      </c>
      <c r="L115" s="206">
        <v>60</v>
      </c>
      <c r="M115" s="173" t="s">
        <v>265</v>
      </c>
      <c r="N115" s="173" t="s">
        <v>269</v>
      </c>
      <c r="O115" s="175" t="s">
        <v>1063</v>
      </c>
      <c r="P115" s="170">
        <v>79784.160000000003</v>
      </c>
      <c r="Q115" s="170">
        <v>0</v>
      </c>
      <c r="R115" s="170">
        <v>0</v>
      </c>
      <c r="S115" s="170">
        <f t="shared" si="7"/>
        <v>79784.160000000003</v>
      </c>
      <c r="T115" s="170">
        <f t="shared" si="6"/>
        <v>63.070482213438737</v>
      </c>
      <c r="U115" s="170">
        <v>63.070482213438737</v>
      </c>
      <c r="V115" s="202">
        <f t="shared" si="8"/>
        <v>0</v>
      </c>
      <c r="W115" s="202">
        <f t="shared" si="9"/>
        <v>1942.9249011857708</v>
      </c>
      <c r="X115" s="202">
        <v>0</v>
      </c>
      <c r="Y115" s="203">
        <v>0</v>
      </c>
      <c r="Z115" s="203">
        <v>0</v>
      </c>
      <c r="AA115" s="203">
        <v>0</v>
      </c>
      <c r="AB115" s="203">
        <v>0</v>
      </c>
      <c r="AC115" s="203">
        <v>1</v>
      </c>
      <c r="AD115" s="202">
        <f t="shared" si="11"/>
        <v>1942.9249011857708</v>
      </c>
      <c r="AE115" s="203">
        <v>0</v>
      </c>
      <c r="AF115" s="202">
        <v>0</v>
      </c>
      <c r="AG115" s="203">
        <v>0</v>
      </c>
      <c r="AH115" s="202">
        <v>0</v>
      </c>
      <c r="AI115" s="203">
        <v>0</v>
      </c>
      <c r="AJ115" s="202">
        <v>0</v>
      </c>
      <c r="AK115" s="203">
        <v>0</v>
      </c>
      <c r="AL115" s="203">
        <v>0</v>
      </c>
      <c r="AM115" s="203">
        <v>0</v>
      </c>
      <c r="AN115" s="203"/>
      <c r="AO115" s="203">
        <v>0</v>
      </c>
    </row>
    <row r="116" spans="1:41" s="176" customFormat="1" ht="36" customHeight="1" x14ac:dyDescent="0.25">
      <c r="A116" s="176">
        <v>1</v>
      </c>
      <c r="B116" s="171">
        <f>SUBTOTAL(103,$A$16:A116)</f>
        <v>101</v>
      </c>
      <c r="C116" s="172" t="s">
        <v>1388</v>
      </c>
      <c r="D116" s="173">
        <v>1961</v>
      </c>
      <c r="E116" s="173"/>
      <c r="F116" s="174" t="s">
        <v>267</v>
      </c>
      <c r="G116" s="173" t="s">
        <v>370</v>
      </c>
      <c r="H116" s="173" t="s">
        <v>312</v>
      </c>
      <c r="I116" s="177">
        <v>2941.6</v>
      </c>
      <c r="J116" s="177">
        <v>2564.1</v>
      </c>
      <c r="K116" s="177">
        <v>2365.9</v>
      </c>
      <c r="L116" s="206">
        <v>130</v>
      </c>
      <c r="M116" s="173" t="s">
        <v>265</v>
      </c>
      <c r="N116" s="173" t="s">
        <v>269</v>
      </c>
      <c r="O116" s="175" t="s">
        <v>1372</v>
      </c>
      <c r="P116" s="170">
        <v>71679.100000000006</v>
      </c>
      <c r="Q116" s="170">
        <v>0</v>
      </c>
      <c r="R116" s="170">
        <v>0</v>
      </c>
      <c r="S116" s="170">
        <f t="shared" si="7"/>
        <v>71679.100000000006</v>
      </c>
      <c r="T116" s="170">
        <f t="shared" si="6"/>
        <v>24.367385096546101</v>
      </c>
      <c r="U116" s="170">
        <v>24.367385096546101</v>
      </c>
      <c r="V116" s="202">
        <f t="shared" si="8"/>
        <v>0</v>
      </c>
      <c r="W116" s="202">
        <f t="shared" si="9"/>
        <v>3342.12673375034</v>
      </c>
      <c r="X116" s="202">
        <v>0</v>
      </c>
      <c r="Y116" s="203">
        <v>0</v>
      </c>
      <c r="Z116" s="203">
        <v>0</v>
      </c>
      <c r="AA116" s="203">
        <v>0</v>
      </c>
      <c r="AB116" s="203">
        <v>0</v>
      </c>
      <c r="AC116" s="203">
        <v>4</v>
      </c>
      <c r="AD116" s="202">
        <f t="shared" si="11"/>
        <v>3342.12673375034</v>
      </c>
      <c r="AE116" s="203">
        <v>0</v>
      </c>
      <c r="AF116" s="202">
        <v>0</v>
      </c>
      <c r="AG116" s="203">
        <v>0</v>
      </c>
      <c r="AH116" s="202">
        <v>0</v>
      </c>
      <c r="AI116" s="203">
        <v>0</v>
      </c>
      <c r="AJ116" s="202">
        <v>0</v>
      </c>
      <c r="AK116" s="203">
        <v>0</v>
      </c>
      <c r="AL116" s="203">
        <v>0</v>
      </c>
      <c r="AM116" s="203">
        <v>0</v>
      </c>
      <c r="AN116" s="203"/>
      <c r="AO116" s="203">
        <v>0</v>
      </c>
    </row>
    <row r="117" spans="1:41" s="176" customFormat="1" ht="36" customHeight="1" x14ac:dyDescent="0.25">
      <c r="A117" s="176">
        <v>1</v>
      </c>
      <c r="B117" s="171">
        <f>SUBTOTAL(103,$A$16:A117)</f>
        <v>102</v>
      </c>
      <c r="C117" s="172" t="s">
        <v>1361</v>
      </c>
      <c r="D117" s="173">
        <v>1973</v>
      </c>
      <c r="E117" s="173"/>
      <c r="F117" s="174" t="s">
        <v>267</v>
      </c>
      <c r="G117" s="173">
        <v>9</v>
      </c>
      <c r="H117" s="173" t="s">
        <v>304</v>
      </c>
      <c r="I117" s="177">
        <v>1958.4</v>
      </c>
      <c r="J117" s="177">
        <v>1958.4</v>
      </c>
      <c r="K117" s="177">
        <v>1941.8</v>
      </c>
      <c r="L117" s="206">
        <v>92</v>
      </c>
      <c r="M117" s="173" t="s">
        <v>265</v>
      </c>
      <c r="N117" s="173" t="s">
        <v>269</v>
      </c>
      <c r="O117" s="175" t="s">
        <v>1373</v>
      </c>
      <c r="P117" s="170">
        <v>55904.38</v>
      </c>
      <c r="Q117" s="170">
        <v>0</v>
      </c>
      <c r="R117" s="170">
        <v>0</v>
      </c>
      <c r="S117" s="170">
        <f t="shared" si="7"/>
        <v>55904.38</v>
      </c>
      <c r="T117" s="170">
        <f t="shared" si="6"/>
        <v>28.545945669934639</v>
      </c>
      <c r="U117" s="170">
        <v>28.545945669934639</v>
      </c>
      <c r="V117" s="202">
        <f t="shared" si="8"/>
        <v>0</v>
      </c>
      <c r="W117" s="202">
        <f t="shared" si="9"/>
        <v>1255.0040849673203</v>
      </c>
      <c r="X117" s="202">
        <v>0</v>
      </c>
      <c r="Y117" s="203">
        <v>0</v>
      </c>
      <c r="Z117" s="203">
        <v>0</v>
      </c>
      <c r="AA117" s="203">
        <v>0</v>
      </c>
      <c r="AB117" s="203">
        <v>0</v>
      </c>
      <c r="AC117" s="203">
        <v>1</v>
      </c>
      <c r="AD117" s="202">
        <f t="shared" si="11"/>
        <v>1255.0040849673203</v>
      </c>
      <c r="AE117" s="203">
        <v>0</v>
      </c>
      <c r="AF117" s="202">
        <v>0</v>
      </c>
      <c r="AG117" s="203">
        <v>0</v>
      </c>
      <c r="AH117" s="202">
        <v>0</v>
      </c>
      <c r="AI117" s="203">
        <v>0</v>
      </c>
      <c r="AJ117" s="202">
        <v>0</v>
      </c>
      <c r="AK117" s="203">
        <v>0</v>
      </c>
      <c r="AL117" s="203">
        <v>0</v>
      </c>
      <c r="AM117" s="203">
        <v>0</v>
      </c>
      <c r="AN117" s="203"/>
      <c r="AO117" s="203">
        <v>0</v>
      </c>
    </row>
    <row r="118" spans="1:41" s="176" customFormat="1" ht="36" customHeight="1" x14ac:dyDescent="0.25">
      <c r="A118" s="176">
        <v>1</v>
      </c>
      <c r="B118" s="171">
        <f>SUBTOTAL(103,$A$16:A118)</f>
        <v>103</v>
      </c>
      <c r="C118" s="172" t="s">
        <v>1673</v>
      </c>
      <c r="D118" s="173">
        <v>1989</v>
      </c>
      <c r="E118" s="173"/>
      <c r="F118" s="174" t="s">
        <v>318</v>
      </c>
      <c r="G118" s="173">
        <v>7</v>
      </c>
      <c r="H118" s="173" t="s">
        <v>303</v>
      </c>
      <c r="I118" s="177">
        <v>4121.3999999999996</v>
      </c>
      <c r="J118" s="177">
        <v>3057</v>
      </c>
      <c r="K118" s="177">
        <v>3057</v>
      </c>
      <c r="L118" s="206">
        <v>163</v>
      </c>
      <c r="M118" s="173" t="s">
        <v>265</v>
      </c>
      <c r="N118" s="173" t="s">
        <v>269</v>
      </c>
      <c r="O118" s="175" t="s">
        <v>1676</v>
      </c>
      <c r="P118" s="170">
        <v>100382.56</v>
      </c>
      <c r="Q118" s="170">
        <v>0</v>
      </c>
      <c r="R118" s="170">
        <v>0</v>
      </c>
      <c r="S118" s="170">
        <f>P118-Q118-R118</f>
        <v>100382.56</v>
      </c>
      <c r="T118" s="170">
        <f t="shared" si="6"/>
        <v>24.356422574853205</v>
      </c>
      <c r="U118" s="170">
        <v>24.356422574853205</v>
      </c>
      <c r="V118" s="202">
        <f>U118-T118</f>
        <v>0</v>
      </c>
      <c r="W118" s="202">
        <f>X118+Y118+Z118+AA118+AB118+AD118+AF118+AH118+AJ118+AL118+AN118+AO118</f>
        <v>1329.1024845926142</v>
      </c>
      <c r="X118" s="202">
        <v>0</v>
      </c>
      <c r="Y118" s="203">
        <v>0</v>
      </c>
      <c r="Z118" s="203">
        <v>0</v>
      </c>
      <c r="AA118" s="203">
        <v>0</v>
      </c>
      <c r="AB118" s="203">
        <v>0</v>
      </c>
      <c r="AC118" s="203">
        <v>0</v>
      </c>
      <c r="AD118" s="203">
        <v>0</v>
      </c>
      <c r="AE118" s="203">
        <v>878</v>
      </c>
      <c r="AF118" s="202">
        <f>6238.91*AE118/I118</f>
        <v>1329.1024845926142</v>
      </c>
      <c r="AG118" s="203">
        <v>0</v>
      </c>
      <c r="AH118" s="202">
        <v>0</v>
      </c>
      <c r="AI118" s="203">
        <v>0</v>
      </c>
      <c r="AJ118" s="202">
        <v>0</v>
      </c>
      <c r="AK118" s="203">
        <v>0</v>
      </c>
      <c r="AL118" s="203">
        <v>0</v>
      </c>
      <c r="AM118" s="203">
        <v>0</v>
      </c>
      <c r="AN118" s="203"/>
      <c r="AO118" s="203">
        <v>0</v>
      </c>
    </row>
    <row r="119" spans="1:41" s="176" customFormat="1" ht="36" customHeight="1" x14ac:dyDescent="0.25">
      <c r="A119" s="176">
        <v>1</v>
      </c>
      <c r="B119" s="171">
        <f>SUBTOTAL(103,$A$16:A119)</f>
        <v>104</v>
      </c>
      <c r="C119" s="172" t="s">
        <v>523</v>
      </c>
      <c r="D119" s="173">
        <v>1997</v>
      </c>
      <c r="E119" s="173"/>
      <c r="F119" s="174" t="s">
        <v>267</v>
      </c>
      <c r="G119" s="173">
        <v>4</v>
      </c>
      <c r="H119" s="173" t="s">
        <v>312</v>
      </c>
      <c r="I119" s="170">
        <v>2862.3</v>
      </c>
      <c r="J119" s="170">
        <v>2046.7</v>
      </c>
      <c r="K119" s="170">
        <v>2046.7</v>
      </c>
      <c r="L119" s="206">
        <v>95</v>
      </c>
      <c r="M119" s="173" t="s">
        <v>265</v>
      </c>
      <c r="N119" s="173" t="s">
        <v>269</v>
      </c>
      <c r="O119" s="175" t="s">
        <v>1387</v>
      </c>
      <c r="P119" s="170">
        <v>82721.55</v>
      </c>
      <c r="Q119" s="170">
        <v>0</v>
      </c>
      <c r="R119" s="170">
        <v>0</v>
      </c>
      <c r="S119" s="170">
        <f t="shared" si="7"/>
        <v>82721.55</v>
      </c>
      <c r="T119" s="170">
        <f t="shared" si="6"/>
        <v>28.900377318939313</v>
      </c>
      <c r="U119" s="170">
        <v>28.900377318939313</v>
      </c>
      <c r="V119" s="202">
        <f t="shared" si="8"/>
        <v>0</v>
      </c>
      <c r="W119" s="202">
        <f t="shared" si="9"/>
        <v>1743.7473360584145</v>
      </c>
      <c r="X119" s="202">
        <v>0</v>
      </c>
      <c r="Y119" s="203">
        <v>0</v>
      </c>
      <c r="Z119" s="203">
        <v>0</v>
      </c>
      <c r="AA119" s="203">
        <v>0</v>
      </c>
      <c r="AB119" s="203">
        <v>0</v>
      </c>
      <c r="AC119" s="203">
        <v>0</v>
      </c>
      <c r="AD119" s="203">
        <v>0</v>
      </c>
      <c r="AE119" s="203">
        <v>800</v>
      </c>
      <c r="AF119" s="202">
        <f>6238.91*AE119/I119</f>
        <v>1743.7473360584145</v>
      </c>
      <c r="AG119" s="203">
        <v>0</v>
      </c>
      <c r="AH119" s="202">
        <v>0</v>
      </c>
      <c r="AI119" s="203">
        <v>0</v>
      </c>
      <c r="AJ119" s="202">
        <v>0</v>
      </c>
      <c r="AK119" s="203">
        <v>0</v>
      </c>
      <c r="AL119" s="203">
        <v>0</v>
      </c>
      <c r="AM119" s="203">
        <v>0</v>
      </c>
      <c r="AN119" s="203"/>
      <c r="AO119" s="203">
        <v>0</v>
      </c>
    </row>
    <row r="120" spans="1:41" s="176" customFormat="1" ht="36" customHeight="1" x14ac:dyDescent="0.25">
      <c r="B120" s="172" t="s">
        <v>748</v>
      </c>
      <c r="C120" s="359"/>
      <c r="D120" s="173" t="s">
        <v>882</v>
      </c>
      <c r="E120" s="173" t="s">
        <v>882</v>
      </c>
      <c r="F120" s="173" t="s">
        <v>882</v>
      </c>
      <c r="G120" s="173" t="s">
        <v>882</v>
      </c>
      <c r="H120" s="173" t="s">
        <v>882</v>
      </c>
      <c r="I120" s="177">
        <f>SUM(I121:I149)</f>
        <v>54718.7</v>
      </c>
      <c r="J120" s="177">
        <f>SUM(J121:J149)</f>
        <v>51101.900000000009</v>
      </c>
      <c r="K120" s="177">
        <f>SUM(K121:K149)</f>
        <v>48430.100000000006</v>
      </c>
      <c r="L120" s="357">
        <f>SUM(L121:L149)</f>
        <v>2187</v>
      </c>
      <c r="M120" s="173" t="s">
        <v>882</v>
      </c>
      <c r="N120" s="173" t="s">
        <v>882</v>
      </c>
      <c r="O120" s="175" t="s">
        <v>882</v>
      </c>
      <c r="P120" s="177">
        <v>50842017.239999995</v>
      </c>
      <c r="Q120" s="177">
        <f>SUM(Q121:Q149)</f>
        <v>0</v>
      </c>
      <c r="R120" s="177">
        <f>SUM(R121:R149)</f>
        <v>0</v>
      </c>
      <c r="S120" s="177">
        <f>SUM(S121:S149)</f>
        <v>50842017.239999995</v>
      </c>
      <c r="T120" s="170">
        <f t="shared" si="6"/>
        <v>929.1525061816161</v>
      </c>
      <c r="U120" s="170">
        <f>MAX(U121:U149)</f>
        <v>9318.6816113342247</v>
      </c>
      <c r="V120" s="202">
        <f t="shared" si="8"/>
        <v>8389.5291051526092</v>
      </c>
      <c r="W120" s="202"/>
      <c r="X120" s="202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</row>
    <row r="121" spans="1:41" s="176" customFormat="1" ht="61.5" x14ac:dyDescent="0.25">
      <c r="A121" s="176">
        <v>1</v>
      </c>
      <c r="B121" s="171">
        <f>SUBTOTAL(103,$A$16:A121)</f>
        <v>105</v>
      </c>
      <c r="C121" s="172" t="s">
        <v>440</v>
      </c>
      <c r="D121" s="173">
        <v>1966</v>
      </c>
      <c r="E121" s="173"/>
      <c r="F121" s="174" t="s">
        <v>267</v>
      </c>
      <c r="G121" s="173">
        <v>2</v>
      </c>
      <c r="H121" s="173" t="s">
        <v>303</v>
      </c>
      <c r="I121" s="170">
        <v>766.7</v>
      </c>
      <c r="J121" s="170">
        <v>707.3</v>
      </c>
      <c r="K121" s="170">
        <v>707.3</v>
      </c>
      <c r="L121" s="206">
        <v>39</v>
      </c>
      <c r="M121" s="173" t="s">
        <v>265</v>
      </c>
      <c r="N121" s="173" t="s">
        <v>269</v>
      </c>
      <c r="O121" s="175" t="s">
        <v>340</v>
      </c>
      <c r="P121" s="170">
        <v>2291514.0300000003</v>
      </c>
      <c r="Q121" s="170">
        <v>0</v>
      </c>
      <c r="R121" s="170">
        <v>0</v>
      </c>
      <c r="S121" s="170">
        <f t="shared" ref="S121:S149" si="12">P121-Q121-R121</f>
        <v>2291514.0300000003</v>
      </c>
      <c r="T121" s="170">
        <f t="shared" si="6"/>
        <v>2988.8013955914962</v>
      </c>
      <c r="U121" s="170">
        <v>5400.1093217686184</v>
      </c>
      <c r="V121" s="202">
        <f t="shared" si="8"/>
        <v>2411.3079261771222</v>
      </c>
      <c r="W121" s="202">
        <f t="shared" ref="W121:W148" si="13">X121+Y121+Z121+AA121+AB121+AD121+AF121+AH121+AJ121+AL121+AN121+AO121</f>
        <v>4866.138228772661</v>
      </c>
      <c r="X121" s="202">
        <v>0</v>
      </c>
      <c r="Y121" s="203">
        <v>0</v>
      </c>
      <c r="Z121" s="203">
        <v>0</v>
      </c>
      <c r="AA121" s="203">
        <v>0</v>
      </c>
      <c r="AB121" s="203">
        <v>0</v>
      </c>
      <c r="AC121" s="203">
        <v>0</v>
      </c>
      <c r="AD121" s="203">
        <v>0</v>
      </c>
      <c r="AE121" s="203">
        <v>598</v>
      </c>
      <c r="AF121" s="202">
        <f>6238.91*AE121/I121</f>
        <v>4866.138228772661</v>
      </c>
      <c r="AG121" s="203">
        <v>0</v>
      </c>
      <c r="AH121" s="202">
        <v>0</v>
      </c>
      <c r="AI121" s="203">
        <v>0</v>
      </c>
      <c r="AJ121" s="202">
        <v>0</v>
      </c>
      <c r="AK121" s="203">
        <v>0</v>
      </c>
      <c r="AL121" s="203">
        <v>0</v>
      </c>
      <c r="AM121" s="203">
        <v>0</v>
      </c>
      <c r="AN121" s="203"/>
      <c r="AO121" s="203">
        <v>0</v>
      </c>
    </row>
    <row r="122" spans="1:41" s="176" customFormat="1" ht="36" customHeight="1" x14ac:dyDescent="0.25">
      <c r="A122" s="176">
        <v>1</v>
      </c>
      <c r="B122" s="171">
        <f>SUBTOTAL(103,$A$16:A122)</f>
        <v>106</v>
      </c>
      <c r="C122" s="172" t="s">
        <v>441</v>
      </c>
      <c r="D122" s="173">
        <v>1959</v>
      </c>
      <c r="E122" s="173"/>
      <c r="F122" s="174" t="s">
        <v>267</v>
      </c>
      <c r="G122" s="173">
        <v>2</v>
      </c>
      <c r="H122" s="173" t="s">
        <v>303</v>
      </c>
      <c r="I122" s="170">
        <v>680.5</v>
      </c>
      <c r="J122" s="170">
        <v>632.1</v>
      </c>
      <c r="K122" s="170">
        <v>632.1</v>
      </c>
      <c r="L122" s="206">
        <v>38</v>
      </c>
      <c r="M122" s="173" t="s">
        <v>265</v>
      </c>
      <c r="N122" s="173" t="s">
        <v>266</v>
      </c>
      <c r="O122" s="175" t="s">
        <v>268</v>
      </c>
      <c r="P122" s="170">
        <v>2189911.6500000004</v>
      </c>
      <c r="Q122" s="170">
        <v>0</v>
      </c>
      <c r="R122" s="170">
        <v>0</v>
      </c>
      <c r="S122" s="170">
        <f t="shared" si="12"/>
        <v>2189911.6500000004</v>
      </c>
      <c r="T122" s="170">
        <f t="shared" si="6"/>
        <v>3218.09206465834</v>
      </c>
      <c r="U122" s="170">
        <v>5600.0647215282879</v>
      </c>
      <c r="V122" s="202">
        <f t="shared" si="8"/>
        <v>2381.972656869948</v>
      </c>
      <c r="W122" s="202">
        <f t="shared" si="13"/>
        <v>5429.3644408523151</v>
      </c>
      <c r="X122" s="202">
        <v>0</v>
      </c>
      <c r="Y122" s="203">
        <v>0</v>
      </c>
      <c r="Z122" s="203">
        <v>0</v>
      </c>
      <c r="AA122" s="203">
        <v>0</v>
      </c>
      <c r="AB122" s="203">
        <v>0</v>
      </c>
      <c r="AC122" s="203">
        <v>0</v>
      </c>
      <c r="AD122" s="203">
        <v>0</v>
      </c>
      <c r="AE122" s="203">
        <v>592.20000000000005</v>
      </c>
      <c r="AF122" s="202">
        <f>6238.91*AE122/I122</f>
        <v>5429.3644408523151</v>
      </c>
      <c r="AG122" s="203">
        <v>0</v>
      </c>
      <c r="AH122" s="202">
        <v>0</v>
      </c>
      <c r="AI122" s="203">
        <v>0</v>
      </c>
      <c r="AJ122" s="202">
        <v>0</v>
      </c>
      <c r="AK122" s="203">
        <v>0</v>
      </c>
      <c r="AL122" s="203">
        <v>0</v>
      </c>
      <c r="AM122" s="203">
        <v>0</v>
      </c>
      <c r="AN122" s="203"/>
      <c r="AO122" s="203">
        <v>0</v>
      </c>
    </row>
    <row r="123" spans="1:41" s="176" customFormat="1" ht="36" customHeight="1" x14ac:dyDescent="0.25">
      <c r="A123" s="176">
        <v>1</v>
      </c>
      <c r="B123" s="171">
        <f>SUBTOTAL(103,$A$16:A123)</f>
        <v>107</v>
      </c>
      <c r="C123" s="172" t="s">
        <v>442</v>
      </c>
      <c r="D123" s="173">
        <v>1958</v>
      </c>
      <c r="E123" s="173"/>
      <c r="F123" s="174" t="s">
        <v>267</v>
      </c>
      <c r="G123" s="173">
        <v>2</v>
      </c>
      <c r="H123" s="173" t="s">
        <v>303</v>
      </c>
      <c r="I123" s="170">
        <v>615</v>
      </c>
      <c r="J123" s="170">
        <v>568.29999999999995</v>
      </c>
      <c r="K123" s="170">
        <v>568.29999999999995</v>
      </c>
      <c r="L123" s="206">
        <v>25</v>
      </c>
      <c r="M123" s="173" t="s">
        <v>265</v>
      </c>
      <c r="N123" s="173" t="s">
        <v>266</v>
      </c>
      <c r="O123" s="175" t="s">
        <v>268</v>
      </c>
      <c r="P123" s="170">
        <v>2241889.83</v>
      </c>
      <c r="Q123" s="170">
        <v>0</v>
      </c>
      <c r="R123" s="170">
        <v>0</v>
      </c>
      <c r="S123" s="170">
        <f t="shared" si="12"/>
        <v>2241889.83</v>
      </c>
      <c r="T123" s="170">
        <f t="shared" si="6"/>
        <v>3645.3493170731708</v>
      </c>
      <c r="U123" s="170">
        <v>5453.5584162601626</v>
      </c>
      <c r="V123" s="202">
        <f t="shared" si="8"/>
        <v>1808.2090991869918</v>
      </c>
      <c r="W123" s="202">
        <f t="shared" si="13"/>
        <v>5477.0528601626011</v>
      </c>
      <c r="X123" s="202">
        <v>0</v>
      </c>
      <c r="Y123" s="203">
        <v>0</v>
      </c>
      <c r="Z123" s="203">
        <v>0</v>
      </c>
      <c r="AA123" s="203">
        <v>0</v>
      </c>
      <c r="AB123" s="203">
        <v>0</v>
      </c>
      <c r="AC123" s="203">
        <v>0</v>
      </c>
      <c r="AD123" s="203">
        <v>0</v>
      </c>
      <c r="AE123" s="203">
        <v>539.9</v>
      </c>
      <c r="AF123" s="202">
        <f>6238.91*AE123/I123</f>
        <v>5477.0528601626011</v>
      </c>
      <c r="AG123" s="203">
        <v>0</v>
      </c>
      <c r="AH123" s="202">
        <v>0</v>
      </c>
      <c r="AI123" s="203">
        <v>0</v>
      </c>
      <c r="AJ123" s="202">
        <v>0</v>
      </c>
      <c r="AK123" s="203">
        <v>0</v>
      </c>
      <c r="AL123" s="203">
        <v>0</v>
      </c>
      <c r="AM123" s="203">
        <v>0</v>
      </c>
      <c r="AN123" s="203"/>
      <c r="AO123" s="203">
        <v>0</v>
      </c>
    </row>
    <row r="124" spans="1:41" s="176" customFormat="1" ht="36" customHeight="1" x14ac:dyDescent="0.25">
      <c r="A124" s="176">
        <v>1</v>
      </c>
      <c r="B124" s="171">
        <f>SUBTOTAL(103,$A$16:A124)</f>
        <v>108</v>
      </c>
      <c r="C124" s="172" t="s">
        <v>443</v>
      </c>
      <c r="D124" s="173">
        <v>1969</v>
      </c>
      <c r="E124" s="173"/>
      <c r="F124" s="174" t="s">
        <v>267</v>
      </c>
      <c r="G124" s="173">
        <v>2</v>
      </c>
      <c r="H124" s="173" t="s">
        <v>303</v>
      </c>
      <c r="I124" s="170">
        <v>725.2</v>
      </c>
      <c r="J124" s="170">
        <v>674.9</v>
      </c>
      <c r="K124" s="170">
        <v>674.9</v>
      </c>
      <c r="L124" s="206">
        <v>25</v>
      </c>
      <c r="M124" s="173" t="s">
        <v>265</v>
      </c>
      <c r="N124" s="173" t="s">
        <v>266</v>
      </c>
      <c r="O124" s="175" t="s">
        <v>268</v>
      </c>
      <c r="P124" s="170">
        <v>55080.59</v>
      </c>
      <c r="Q124" s="170">
        <v>0</v>
      </c>
      <c r="R124" s="170">
        <v>0</v>
      </c>
      <c r="S124" s="170">
        <f t="shared" si="12"/>
        <v>55080.59</v>
      </c>
      <c r="T124" s="170">
        <f t="shared" si="6"/>
        <v>75.952275234418082</v>
      </c>
      <c r="U124" s="170">
        <v>75.952275234418082</v>
      </c>
      <c r="V124" s="202">
        <f t="shared" si="8"/>
        <v>0</v>
      </c>
      <c r="W124" s="202">
        <f>T124</f>
        <v>75.952275234418082</v>
      </c>
      <c r="X124" s="202">
        <v>0</v>
      </c>
      <c r="Y124" s="203">
        <v>0</v>
      </c>
      <c r="Z124" s="203">
        <v>0</v>
      </c>
      <c r="AA124" s="203">
        <v>0</v>
      </c>
      <c r="AB124" s="203">
        <v>0</v>
      </c>
      <c r="AC124" s="203">
        <v>0</v>
      </c>
      <c r="AD124" s="203">
        <v>0</v>
      </c>
      <c r="AE124" s="203">
        <v>0</v>
      </c>
      <c r="AF124" s="202">
        <v>0</v>
      </c>
      <c r="AG124" s="203">
        <v>0</v>
      </c>
      <c r="AH124" s="202">
        <v>0</v>
      </c>
      <c r="AI124" s="203">
        <v>0</v>
      </c>
      <c r="AJ124" s="202">
        <v>0</v>
      </c>
      <c r="AK124" s="203">
        <v>0</v>
      </c>
      <c r="AL124" s="203">
        <v>0</v>
      </c>
      <c r="AM124" s="203">
        <v>0</v>
      </c>
      <c r="AN124" s="203"/>
      <c r="AO124" s="203">
        <v>0</v>
      </c>
    </row>
    <row r="125" spans="1:41" s="176" customFormat="1" ht="36" customHeight="1" x14ac:dyDescent="0.25">
      <c r="A125" s="176">
        <v>1</v>
      </c>
      <c r="B125" s="171">
        <f>SUBTOTAL(103,$A$16:A125)</f>
        <v>109</v>
      </c>
      <c r="C125" s="172" t="s">
        <v>444</v>
      </c>
      <c r="D125" s="173">
        <v>1959</v>
      </c>
      <c r="E125" s="173"/>
      <c r="F125" s="174" t="s">
        <v>267</v>
      </c>
      <c r="G125" s="173">
        <v>2</v>
      </c>
      <c r="H125" s="173" t="s">
        <v>303</v>
      </c>
      <c r="I125" s="170">
        <v>654.20000000000005</v>
      </c>
      <c r="J125" s="170">
        <v>602.9</v>
      </c>
      <c r="K125" s="170">
        <v>602.9</v>
      </c>
      <c r="L125" s="206">
        <v>34</v>
      </c>
      <c r="M125" s="173" t="s">
        <v>265</v>
      </c>
      <c r="N125" s="173" t="s">
        <v>266</v>
      </c>
      <c r="O125" s="175" t="s">
        <v>268</v>
      </c>
      <c r="P125" s="170">
        <v>2479536.17</v>
      </c>
      <c r="Q125" s="170">
        <v>0</v>
      </c>
      <c r="R125" s="170">
        <v>0</v>
      </c>
      <c r="S125" s="170">
        <f t="shared" si="12"/>
        <v>2479536.17</v>
      </c>
      <c r="T125" s="170">
        <f t="shared" si="6"/>
        <v>3790.1806328339953</v>
      </c>
      <c r="U125" s="170">
        <v>5946.9555044328954</v>
      </c>
      <c r="V125" s="202">
        <f t="shared" si="8"/>
        <v>2156.7748715989001</v>
      </c>
      <c r="W125" s="202">
        <f t="shared" si="13"/>
        <v>5757.4019506267196</v>
      </c>
      <c r="X125" s="202">
        <v>0</v>
      </c>
      <c r="Y125" s="203">
        <v>0</v>
      </c>
      <c r="Z125" s="203">
        <v>0</v>
      </c>
      <c r="AA125" s="203">
        <v>0</v>
      </c>
      <c r="AB125" s="203">
        <v>0</v>
      </c>
      <c r="AC125" s="203">
        <v>0</v>
      </c>
      <c r="AD125" s="203">
        <v>0</v>
      </c>
      <c r="AE125" s="203">
        <v>603.71</v>
      </c>
      <c r="AF125" s="202">
        <f t="shared" ref="AF125:AF132" si="14">6238.91*AE125/I125</f>
        <v>5757.4019506267196</v>
      </c>
      <c r="AG125" s="203">
        <v>0</v>
      </c>
      <c r="AH125" s="202">
        <v>0</v>
      </c>
      <c r="AI125" s="203">
        <v>0</v>
      </c>
      <c r="AJ125" s="202">
        <v>0</v>
      </c>
      <c r="AK125" s="203">
        <v>0</v>
      </c>
      <c r="AL125" s="203">
        <v>0</v>
      </c>
      <c r="AM125" s="203">
        <v>0</v>
      </c>
      <c r="AN125" s="203"/>
      <c r="AO125" s="203">
        <v>0</v>
      </c>
    </row>
    <row r="126" spans="1:41" s="176" customFormat="1" ht="61.5" x14ac:dyDescent="0.25">
      <c r="A126" s="176">
        <v>1</v>
      </c>
      <c r="B126" s="171">
        <f>SUBTOTAL(103,$A$16:A126)</f>
        <v>110</v>
      </c>
      <c r="C126" s="172" t="s">
        <v>445</v>
      </c>
      <c r="D126" s="173">
        <v>1959</v>
      </c>
      <c r="E126" s="173"/>
      <c r="F126" s="174" t="s">
        <v>267</v>
      </c>
      <c r="G126" s="173">
        <v>2</v>
      </c>
      <c r="H126" s="173" t="s">
        <v>303</v>
      </c>
      <c r="I126" s="170">
        <v>673.3</v>
      </c>
      <c r="J126" s="170">
        <v>622.29999999999995</v>
      </c>
      <c r="K126" s="170">
        <v>622.29999999999995</v>
      </c>
      <c r="L126" s="206">
        <v>42</v>
      </c>
      <c r="M126" s="173" t="s">
        <v>265</v>
      </c>
      <c r="N126" s="173" t="s">
        <v>269</v>
      </c>
      <c r="O126" s="175" t="s">
        <v>340</v>
      </c>
      <c r="P126" s="170">
        <v>2128855.41</v>
      </c>
      <c r="Q126" s="170">
        <v>0</v>
      </c>
      <c r="R126" s="170">
        <v>0</v>
      </c>
      <c r="S126" s="170">
        <f t="shared" si="12"/>
        <v>2128855.41</v>
      </c>
      <c r="T126" s="170">
        <f t="shared" si="6"/>
        <v>3161.8229763849699</v>
      </c>
      <c r="U126" s="170">
        <v>5974.9442833803651</v>
      </c>
      <c r="V126" s="202">
        <f t="shared" si="8"/>
        <v>2813.1213069953951</v>
      </c>
      <c r="W126" s="202">
        <f t="shared" si="13"/>
        <v>5728.1588946977572</v>
      </c>
      <c r="X126" s="202">
        <v>0</v>
      </c>
      <c r="Y126" s="203">
        <v>0</v>
      </c>
      <c r="Z126" s="203">
        <v>0</v>
      </c>
      <c r="AA126" s="203">
        <v>0</v>
      </c>
      <c r="AB126" s="203">
        <v>0</v>
      </c>
      <c r="AC126" s="203">
        <v>0</v>
      </c>
      <c r="AD126" s="203">
        <v>0</v>
      </c>
      <c r="AE126" s="203">
        <v>618.17999999999995</v>
      </c>
      <c r="AF126" s="202">
        <f t="shared" si="14"/>
        <v>5728.1588946977572</v>
      </c>
      <c r="AG126" s="203">
        <v>0</v>
      </c>
      <c r="AH126" s="202">
        <v>0</v>
      </c>
      <c r="AI126" s="203">
        <v>0</v>
      </c>
      <c r="AJ126" s="202">
        <v>0</v>
      </c>
      <c r="AK126" s="203">
        <v>0</v>
      </c>
      <c r="AL126" s="203">
        <v>0</v>
      </c>
      <c r="AM126" s="203">
        <v>0</v>
      </c>
      <c r="AN126" s="203"/>
      <c r="AO126" s="203">
        <v>0</v>
      </c>
    </row>
    <row r="127" spans="1:41" s="176" customFormat="1" ht="61.5" x14ac:dyDescent="0.25">
      <c r="A127" s="176">
        <v>1</v>
      </c>
      <c r="B127" s="171">
        <f>SUBTOTAL(103,$A$16:A127)</f>
        <v>111</v>
      </c>
      <c r="C127" s="172" t="s">
        <v>446</v>
      </c>
      <c r="D127" s="173">
        <v>1962</v>
      </c>
      <c r="E127" s="173"/>
      <c r="F127" s="174" t="s">
        <v>267</v>
      </c>
      <c r="G127" s="173">
        <v>3</v>
      </c>
      <c r="H127" s="173" t="s">
        <v>303</v>
      </c>
      <c r="I127" s="170">
        <v>1048.8</v>
      </c>
      <c r="J127" s="170">
        <v>975.2</v>
      </c>
      <c r="K127" s="170">
        <v>975.2</v>
      </c>
      <c r="L127" s="206">
        <v>56</v>
      </c>
      <c r="M127" s="173" t="s">
        <v>265</v>
      </c>
      <c r="N127" s="173" t="s">
        <v>269</v>
      </c>
      <c r="O127" s="175" t="s">
        <v>346</v>
      </c>
      <c r="P127" s="170">
        <v>2540318.89</v>
      </c>
      <c r="Q127" s="170">
        <v>0</v>
      </c>
      <c r="R127" s="170">
        <v>0</v>
      </c>
      <c r="S127" s="170">
        <f t="shared" si="12"/>
        <v>2540318.89</v>
      </c>
      <c r="T127" s="170">
        <f t="shared" si="6"/>
        <v>2422.1194603356221</v>
      </c>
      <c r="U127" s="170">
        <v>3402.3332770785664</v>
      </c>
      <c r="V127" s="202">
        <f t="shared" si="8"/>
        <v>980.21381674294435</v>
      </c>
      <c r="W127" s="202">
        <f t="shared" si="13"/>
        <v>3303.8026553203663</v>
      </c>
      <c r="X127" s="202">
        <v>0</v>
      </c>
      <c r="Y127" s="203">
        <v>0</v>
      </c>
      <c r="Z127" s="203">
        <v>0</v>
      </c>
      <c r="AA127" s="203">
        <v>0</v>
      </c>
      <c r="AB127" s="203">
        <v>0</v>
      </c>
      <c r="AC127" s="203">
        <v>0</v>
      </c>
      <c r="AD127" s="203">
        <v>0</v>
      </c>
      <c r="AE127" s="203">
        <v>555.39</v>
      </c>
      <c r="AF127" s="202">
        <f t="shared" si="14"/>
        <v>3303.8026553203663</v>
      </c>
      <c r="AG127" s="203">
        <v>0</v>
      </c>
      <c r="AH127" s="202">
        <v>0</v>
      </c>
      <c r="AI127" s="203">
        <v>0</v>
      </c>
      <c r="AJ127" s="202">
        <v>0</v>
      </c>
      <c r="AK127" s="203">
        <v>0</v>
      </c>
      <c r="AL127" s="203">
        <v>0</v>
      </c>
      <c r="AM127" s="203">
        <v>0</v>
      </c>
      <c r="AN127" s="203"/>
      <c r="AO127" s="203">
        <v>0</v>
      </c>
    </row>
    <row r="128" spans="1:41" s="176" customFormat="1" ht="61.5" x14ac:dyDescent="0.25">
      <c r="A128" s="176">
        <v>1</v>
      </c>
      <c r="B128" s="171">
        <f>SUBTOTAL(103,$A$16:A128)</f>
        <v>112</v>
      </c>
      <c r="C128" s="172" t="s">
        <v>447</v>
      </c>
      <c r="D128" s="173">
        <v>1962</v>
      </c>
      <c r="E128" s="173"/>
      <c r="F128" s="174" t="s">
        <v>267</v>
      </c>
      <c r="G128" s="173">
        <v>2</v>
      </c>
      <c r="H128" s="173" t="s">
        <v>303</v>
      </c>
      <c r="I128" s="170">
        <v>679.6</v>
      </c>
      <c r="J128" s="170">
        <v>631.6</v>
      </c>
      <c r="K128" s="170">
        <v>631.6</v>
      </c>
      <c r="L128" s="206">
        <v>42</v>
      </c>
      <c r="M128" s="173" t="s">
        <v>265</v>
      </c>
      <c r="N128" s="173" t="s">
        <v>269</v>
      </c>
      <c r="O128" s="175" t="s">
        <v>340</v>
      </c>
      <c r="P128" s="170">
        <v>2317566.0299999998</v>
      </c>
      <c r="Q128" s="170">
        <v>0</v>
      </c>
      <c r="R128" s="170">
        <v>0</v>
      </c>
      <c r="S128" s="170">
        <f t="shared" si="12"/>
        <v>2317566.0299999998</v>
      </c>
      <c r="T128" s="170">
        <f t="shared" si="6"/>
        <v>3410.1913331371393</v>
      </c>
      <c r="U128" s="170">
        <v>5376.2258505002947</v>
      </c>
      <c r="V128" s="202">
        <f t="shared" si="8"/>
        <v>1966.0345173631554</v>
      </c>
      <c r="W128" s="202">
        <f t="shared" si="13"/>
        <v>5297.0145232489695</v>
      </c>
      <c r="X128" s="202">
        <v>0</v>
      </c>
      <c r="Y128" s="203">
        <v>0</v>
      </c>
      <c r="Z128" s="203">
        <v>0</v>
      </c>
      <c r="AA128" s="203">
        <v>0</v>
      </c>
      <c r="AB128" s="203">
        <v>0</v>
      </c>
      <c r="AC128" s="203">
        <v>0</v>
      </c>
      <c r="AD128" s="203">
        <v>0</v>
      </c>
      <c r="AE128" s="203">
        <v>577</v>
      </c>
      <c r="AF128" s="202">
        <f t="shared" si="14"/>
        <v>5297.0145232489695</v>
      </c>
      <c r="AG128" s="203">
        <v>0</v>
      </c>
      <c r="AH128" s="202">
        <v>0</v>
      </c>
      <c r="AI128" s="203">
        <v>0</v>
      </c>
      <c r="AJ128" s="202">
        <v>0</v>
      </c>
      <c r="AK128" s="203">
        <v>0</v>
      </c>
      <c r="AL128" s="203">
        <v>0</v>
      </c>
      <c r="AM128" s="203">
        <v>0</v>
      </c>
      <c r="AN128" s="203"/>
      <c r="AO128" s="203">
        <v>0</v>
      </c>
    </row>
    <row r="129" spans="1:41" s="176" customFormat="1" ht="61.5" x14ac:dyDescent="0.25">
      <c r="A129" s="176">
        <v>1</v>
      </c>
      <c r="B129" s="171">
        <f>SUBTOTAL(103,$A$16:A129)</f>
        <v>113</v>
      </c>
      <c r="C129" s="172" t="s">
        <v>448</v>
      </c>
      <c r="D129" s="173">
        <v>1962</v>
      </c>
      <c r="E129" s="173"/>
      <c r="F129" s="174" t="s">
        <v>267</v>
      </c>
      <c r="G129" s="173">
        <v>2</v>
      </c>
      <c r="H129" s="173" t="s">
        <v>303</v>
      </c>
      <c r="I129" s="170">
        <v>696.3</v>
      </c>
      <c r="J129" s="170">
        <v>645.29999999999995</v>
      </c>
      <c r="K129" s="170">
        <v>645.29999999999995</v>
      </c>
      <c r="L129" s="206">
        <v>42</v>
      </c>
      <c r="M129" s="173" t="s">
        <v>265</v>
      </c>
      <c r="N129" s="173" t="s">
        <v>269</v>
      </c>
      <c r="O129" s="175" t="s">
        <v>340</v>
      </c>
      <c r="P129" s="170">
        <v>2392182.6</v>
      </c>
      <c r="Q129" s="170">
        <v>0</v>
      </c>
      <c r="R129" s="170">
        <v>0</v>
      </c>
      <c r="S129" s="170">
        <f t="shared" si="12"/>
        <v>2392182.6</v>
      </c>
      <c r="T129" s="170">
        <f t="shared" si="6"/>
        <v>3435.5631193451104</v>
      </c>
      <c r="U129" s="170">
        <v>5475.9823452534829</v>
      </c>
      <c r="V129" s="202">
        <f t="shared" si="8"/>
        <v>2040.4192259083725</v>
      </c>
      <c r="W129" s="202">
        <f t="shared" si="13"/>
        <v>5249.8057706448371</v>
      </c>
      <c r="X129" s="202">
        <v>0</v>
      </c>
      <c r="Y129" s="203">
        <v>0</v>
      </c>
      <c r="Z129" s="203">
        <v>0</v>
      </c>
      <c r="AA129" s="203">
        <v>0</v>
      </c>
      <c r="AB129" s="203">
        <v>0</v>
      </c>
      <c r="AC129" s="203">
        <v>0</v>
      </c>
      <c r="AD129" s="203">
        <v>0</v>
      </c>
      <c r="AE129" s="203">
        <v>585.91</v>
      </c>
      <c r="AF129" s="202">
        <f t="shared" si="14"/>
        <v>5249.8057706448371</v>
      </c>
      <c r="AG129" s="203">
        <v>0</v>
      </c>
      <c r="AH129" s="202">
        <v>0</v>
      </c>
      <c r="AI129" s="203">
        <v>0</v>
      </c>
      <c r="AJ129" s="202">
        <v>0</v>
      </c>
      <c r="AK129" s="203">
        <v>0</v>
      </c>
      <c r="AL129" s="203">
        <v>0</v>
      </c>
      <c r="AM129" s="203">
        <v>0</v>
      </c>
      <c r="AN129" s="203"/>
      <c r="AO129" s="203">
        <v>0</v>
      </c>
    </row>
    <row r="130" spans="1:41" s="176" customFormat="1" ht="61.5" x14ac:dyDescent="0.25">
      <c r="A130" s="176">
        <v>1</v>
      </c>
      <c r="B130" s="171">
        <f>SUBTOTAL(103,$A$16:A130)</f>
        <v>114</v>
      </c>
      <c r="C130" s="172" t="s">
        <v>449</v>
      </c>
      <c r="D130" s="173">
        <v>1963</v>
      </c>
      <c r="E130" s="173"/>
      <c r="F130" s="174" t="s">
        <v>267</v>
      </c>
      <c r="G130" s="173">
        <v>4</v>
      </c>
      <c r="H130" s="173" t="s">
        <v>312</v>
      </c>
      <c r="I130" s="170">
        <v>2252.4</v>
      </c>
      <c r="J130" s="170">
        <v>2107.9</v>
      </c>
      <c r="K130" s="170">
        <v>1530.2</v>
      </c>
      <c r="L130" s="206">
        <v>83</v>
      </c>
      <c r="M130" s="173" t="s">
        <v>265</v>
      </c>
      <c r="N130" s="173" t="s">
        <v>269</v>
      </c>
      <c r="O130" s="175" t="s">
        <v>346</v>
      </c>
      <c r="P130" s="170">
        <v>3299178.75</v>
      </c>
      <c r="Q130" s="170">
        <v>0</v>
      </c>
      <c r="R130" s="170">
        <v>0</v>
      </c>
      <c r="S130" s="170">
        <f t="shared" si="12"/>
        <v>3299178.75</v>
      </c>
      <c r="T130" s="170">
        <f t="shared" si="6"/>
        <v>1464.7392781033564</v>
      </c>
      <c r="U130" s="170">
        <v>2449.4018953116674</v>
      </c>
      <c r="V130" s="202">
        <f t="shared" si="8"/>
        <v>984.66261720831108</v>
      </c>
      <c r="W130" s="202">
        <f t="shared" si="13"/>
        <v>2396.2909870360504</v>
      </c>
      <c r="X130" s="202">
        <v>0</v>
      </c>
      <c r="Y130" s="203">
        <v>0</v>
      </c>
      <c r="Z130" s="203">
        <v>0</v>
      </c>
      <c r="AA130" s="203">
        <v>0</v>
      </c>
      <c r="AB130" s="203">
        <v>0</v>
      </c>
      <c r="AC130" s="203">
        <v>0</v>
      </c>
      <c r="AD130" s="203">
        <v>0</v>
      </c>
      <c r="AE130" s="203">
        <v>865.12</v>
      </c>
      <c r="AF130" s="202">
        <f t="shared" si="14"/>
        <v>2396.2909870360504</v>
      </c>
      <c r="AG130" s="203">
        <v>0</v>
      </c>
      <c r="AH130" s="202">
        <v>0</v>
      </c>
      <c r="AI130" s="203">
        <v>0</v>
      </c>
      <c r="AJ130" s="202">
        <v>0</v>
      </c>
      <c r="AK130" s="203">
        <v>0</v>
      </c>
      <c r="AL130" s="203">
        <v>0</v>
      </c>
      <c r="AM130" s="203">
        <v>0</v>
      </c>
      <c r="AN130" s="203"/>
      <c r="AO130" s="203">
        <v>0</v>
      </c>
    </row>
    <row r="131" spans="1:41" s="176" customFormat="1" ht="61.5" x14ac:dyDescent="0.25">
      <c r="A131" s="176">
        <v>1</v>
      </c>
      <c r="B131" s="171">
        <f>SUBTOTAL(103,$A$16:A131)</f>
        <v>115</v>
      </c>
      <c r="C131" s="172" t="s">
        <v>450</v>
      </c>
      <c r="D131" s="173">
        <v>1961</v>
      </c>
      <c r="E131" s="173"/>
      <c r="F131" s="174" t="s">
        <v>267</v>
      </c>
      <c r="G131" s="173">
        <v>2</v>
      </c>
      <c r="H131" s="173" t="s">
        <v>303</v>
      </c>
      <c r="I131" s="170">
        <v>695.8</v>
      </c>
      <c r="J131" s="170">
        <v>646.6</v>
      </c>
      <c r="K131" s="170">
        <v>646.6</v>
      </c>
      <c r="L131" s="206">
        <v>42</v>
      </c>
      <c r="M131" s="173" t="s">
        <v>265</v>
      </c>
      <c r="N131" s="173" t="s">
        <v>269</v>
      </c>
      <c r="O131" s="175" t="s">
        <v>340</v>
      </c>
      <c r="P131" s="170">
        <v>2218259.69</v>
      </c>
      <c r="Q131" s="170">
        <v>0</v>
      </c>
      <c r="R131" s="170">
        <v>0</v>
      </c>
      <c r="S131" s="170">
        <f t="shared" si="12"/>
        <v>2218259.69</v>
      </c>
      <c r="T131" s="170">
        <f t="shared" si="6"/>
        <v>3188.0708393216441</v>
      </c>
      <c r="U131" s="170">
        <v>5434.649668008049</v>
      </c>
      <c r="V131" s="202">
        <f t="shared" si="8"/>
        <v>2246.5788286864049</v>
      </c>
      <c r="W131" s="202">
        <f t="shared" si="13"/>
        <v>4992.5626444380569</v>
      </c>
      <c r="X131" s="202">
        <v>0</v>
      </c>
      <c r="Y131" s="203">
        <v>0</v>
      </c>
      <c r="Z131" s="203">
        <v>0</v>
      </c>
      <c r="AA131" s="203">
        <v>0</v>
      </c>
      <c r="AB131" s="203">
        <v>0</v>
      </c>
      <c r="AC131" s="203">
        <v>0</v>
      </c>
      <c r="AD131" s="203">
        <v>0</v>
      </c>
      <c r="AE131" s="203">
        <v>556.79999999999995</v>
      </c>
      <c r="AF131" s="202">
        <f t="shared" si="14"/>
        <v>4992.5626444380569</v>
      </c>
      <c r="AG131" s="203">
        <v>0</v>
      </c>
      <c r="AH131" s="202">
        <v>0</v>
      </c>
      <c r="AI131" s="203">
        <v>0</v>
      </c>
      <c r="AJ131" s="202">
        <v>0</v>
      </c>
      <c r="AK131" s="203">
        <v>0</v>
      </c>
      <c r="AL131" s="203">
        <v>0</v>
      </c>
      <c r="AM131" s="203">
        <v>0</v>
      </c>
      <c r="AN131" s="203"/>
      <c r="AO131" s="203">
        <v>0</v>
      </c>
    </row>
    <row r="132" spans="1:41" s="176" customFormat="1" ht="36" customHeight="1" x14ac:dyDescent="0.25">
      <c r="A132" s="176">
        <v>1</v>
      </c>
      <c r="B132" s="171">
        <f>SUBTOTAL(103,$A$16:A132)</f>
        <v>116</v>
      </c>
      <c r="C132" s="172" t="s">
        <v>451</v>
      </c>
      <c r="D132" s="173">
        <v>1962</v>
      </c>
      <c r="E132" s="173"/>
      <c r="F132" s="174" t="s">
        <v>267</v>
      </c>
      <c r="G132" s="173" t="s">
        <v>312</v>
      </c>
      <c r="H132" s="173" t="s">
        <v>312</v>
      </c>
      <c r="I132" s="170">
        <v>1651.8</v>
      </c>
      <c r="J132" s="170">
        <v>1537.5</v>
      </c>
      <c r="K132" s="170">
        <v>1462.9</v>
      </c>
      <c r="L132" s="206">
        <v>58</v>
      </c>
      <c r="M132" s="173" t="s">
        <v>265</v>
      </c>
      <c r="N132" s="173" t="s">
        <v>341</v>
      </c>
      <c r="O132" s="175" t="s">
        <v>347</v>
      </c>
      <c r="P132" s="170">
        <v>91764.43</v>
      </c>
      <c r="Q132" s="170">
        <v>0</v>
      </c>
      <c r="R132" s="170">
        <v>0</v>
      </c>
      <c r="S132" s="170">
        <f t="shared" si="12"/>
        <v>91764.43</v>
      </c>
      <c r="T132" s="170">
        <f t="shared" si="6"/>
        <v>55.554201477176413</v>
      </c>
      <c r="U132" s="170">
        <v>55.554201477176413</v>
      </c>
      <c r="V132" s="202">
        <f t="shared" si="8"/>
        <v>0</v>
      </c>
      <c r="W132" s="202">
        <f t="shared" si="13"/>
        <v>3251.6890713766797</v>
      </c>
      <c r="X132" s="202">
        <v>0</v>
      </c>
      <c r="Y132" s="203">
        <v>0</v>
      </c>
      <c r="Z132" s="203">
        <v>0</v>
      </c>
      <c r="AA132" s="203">
        <v>0</v>
      </c>
      <c r="AB132" s="203">
        <v>0</v>
      </c>
      <c r="AC132" s="203">
        <v>0</v>
      </c>
      <c r="AD132" s="203">
        <v>0</v>
      </c>
      <c r="AE132" s="203">
        <v>860.91</v>
      </c>
      <c r="AF132" s="202">
        <f t="shared" si="14"/>
        <v>3251.6890713766797</v>
      </c>
      <c r="AG132" s="203">
        <v>0</v>
      </c>
      <c r="AH132" s="202">
        <v>0</v>
      </c>
      <c r="AI132" s="203">
        <v>0</v>
      </c>
      <c r="AJ132" s="202">
        <v>0</v>
      </c>
      <c r="AK132" s="203">
        <v>0</v>
      </c>
      <c r="AL132" s="203">
        <v>0</v>
      </c>
      <c r="AM132" s="203">
        <v>0</v>
      </c>
      <c r="AN132" s="203"/>
      <c r="AO132" s="203">
        <v>0</v>
      </c>
    </row>
    <row r="133" spans="1:41" s="176" customFormat="1" ht="36" customHeight="1" x14ac:dyDescent="0.25">
      <c r="A133" s="176">
        <v>1</v>
      </c>
      <c r="B133" s="171">
        <f>SUBTOTAL(103,$A$16:A133)</f>
        <v>117</v>
      </c>
      <c r="C133" s="172" t="s">
        <v>452</v>
      </c>
      <c r="D133" s="173">
        <v>1937</v>
      </c>
      <c r="E133" s="173">
        <v>2010</v>
      </c>
      <c r="F133" s="174" t="s">
        <v>330</v>
      </c>
      <c r="G133" s="173">
        <v>2</v>
      </c>
      <c r="H133" s="173" t="s">
        <v>303</v>
      </c>
      <c r="I133" s="170">
        <v>522</v>
      </c>
      <c r="J133" s="170">
        <v>471.4</v>
      </c>
      <c r="K133" s="170">
        <v>471.4</v>
      </c>
      <c r="L133" s="206">
        <v>22</v>
      </c>
      <c r="M133" s="173" t="s">
        <v>265</v>
      </c>
      <c r="N133" s="173" t="s">
        <v>266</v>
      </c>
      <c r="O133" s="175" t="s">
        <v>268</v>
      </c>
      <c r="P133" s="170">
        <v>45369.9</v>
      </c>
      <c r="Q133" s="170">
        <v>0</v>
      </c>
      <c r="R133" s="170">
        <v>0</v>
      </c>
      <c r="S133" s="170">
        <f t="shared" si="12"/>
        <v>45369.9</v>
      </c>
      <c r="T133" s="170">
        <f t="shared" si="6"/>
        <v>86.91551724137932</v>
      </c>
      <c r="U133" s="170">
        <v>86.91551724137932</v>
      </c>
      <c r="V133" s="202">
        <f t="shared" si="8"/>
        <v>0</v>
      </c>
      <c r="W133" s="202">
        <f>T133</f>
        <v>86.91551724137932</v>
      </c>
      <c r="X133" s="202">
        <v>0</v>
      </c>
      <c r="Y133" s="203">
        <v>0</v>
      </c>
      <c r="Z133" s="203">
        <v>0</v>
      </c>
      <c r="AA133" s="203">
        <v>0</v>
      </c>
      <c r="AB133" s="203">
        <v>0</v>
      </c>
      <c r="AC133" s="203">
        <v>0</v>
      </c>
      <c r="AD133" s="203">
        <v>0</v>
      </c>
      <c r="AE133" s="203">
        <v>0</v>
      </c>
      <c r="AF133" s="202">
        <v>0</v>
      </c>
      <c r="AG133" s="203">
        <v>0</v>
      </c>
      <c r="AH133" s="202">
        <v>0</v>
      </c>
      <c r="AI133" s="203">
        <v>0</v>
      </c>
      <c r="AJ133" s="202">
        <v>0</v>
      </c>
      <c r="AK133" s="203">
        <v>0</v>
      </c>
      <c r="AL133" s="203">
        <v>0</v>
      </c>
      <c r="AM133" s="203">
        <v>0</v>
      </c>
      <c r="AN133" s="203"/>
      <c r="AO133" s="203">
        <v>0</v>
      </c>
    </row>
    <row r="134" spans="1:41" s="176" customFormat="1" ht="36" customHeight="1" x14ac:dyDescent="0.25">
      <c r="A134" s="176">
        <v>1</v>
      </c>
      <c r="B134" s="171">
        <f>SUBTOTAL(103,$A$16:A134)</f>
        <v>118</v>
      </c>
      <c r="C134" s="172" t="s">
        <v>1124</v>
      </c>
      <c r="D134" s="173">
        <v>1979</v>
      </c>
      <c r="E134" s="173">
        <v>2008</v>
      </c>
      <c r="F134" s="174" t="s">
        <v>311</v>
      </c>
      <c r="G134" s="173">
        <v>5</v>
      </c>
      <c r="H134" s="173" t="s">
        <v>370</v>
      </c>
      <c r="I134" s="170">
        <v>5005</v>
      </c>
      <c r="J134" s="170">
        <v>4545.8</v>
      </c>
      <c r="K134" s="170">
        <v>4545.8</v>
      </c>
      <c r="L134" s="206">
        <v>153</v>
      </c>
      <c r="M134" s="173" t="s">
        <v>265</v>
      </c>
      <c r="N134" s="173" t="s">
        <v>269</v>
      </c>
      <c r="O134" s="175" t="s">
        <v>1290</v>
      </c>
      <c r="P134" s="170">
        <v>2872501.01</v>
      </c>
      <c r="Q134" s="170">
        <v>0</v>
      </c>
      <c r="R134" s="170">
        <v>0</v>
      </c>
      <c r="S134" s="170">
        <f t="shared" si="12"/>
        <v>2872501.01</v>
      </c>
      <c r="T134" s="170">
        <f t="shared" si="6"/>
        <v>573.92627572427568</v>
      </c>
      <c r="U134" s="170">
        <v>4070.12</v>
      </c>
      <c r="V134" s="202">
        <f t="shared" si="8"/>
        <v>3496.193724275724</v>
      </c>
      <c r="W134" s="202">
        <f t="shared" si="13"/>
        <v>4054.97</v>
      </c>
      <c r="X134" s="202">
        <v>0</v>
      </c>
      <c r="Y134" s="203">
        <v>0</v>
      </c>
      <c r="Z134" s="203">
        <v>3259.66</v>
      </c>
      <c r="AA134" s="203">
        <v>0</v>
      </c>
      <c r="AB134" s="203">
        <v>795.31</v>
      </c>
      <c r="AC134" s="203">
        <v>0</v>
      </c>
      <c r="AD134" s="203">
        <v>0</v>
      </c>
      <c r="AE134" s="203">
        <v>0</v>
      </c>
      <c r="AF134" s="202">
        <v>0</v>
      </c>
      <c r="AG134" s="203">
        <v>0</v>
      </c>
      <c r="AH134" s="202">
        <v>0</v>
      </c>
      <c r="AI134" s="203">
        <v>0</v>
      </c>
      <c r="AJ134" s="202">
        <v>0</v>
      </c>
      <c r="AK134" s="203">
        <v>0</v>
      </c>
      <c r="AL134" s="203">
        <v>0</v>
      </c>
      <c r="AM134" s="203">
        <v>0</v>
      </c>
      <c r="AN134" s="203"/>
      <c r="AO134" s="203">
        <v>0</v>
      </c>
    </row>
    <row r="135" spans="1:41" s="176" customFormat="1" ht="36" customHeight="1" x14ac:dyDescent="0.25">
      <c r="A135" s="176">
        <v>1</v>
      </c>
      <c r="B135" s="171">
        <f>SUBTOTAL(103,$A$16:A135)</f>
        <v>119</v>
      </c>
      <c r="C135" s="172" t="s">
        <v>1125</v>
      </c>
      <c r="D135" s="173">
        <v>1933</v>
      </c>
      <c r="E135" s="173">
        <v>2008</v>
      </c>
      <c r="F135" s="174" t="s">
        <v>267</v>
      </c>
      <c r="G135" s="173">
        <v>3</v>
      </c>
      <c r="H135" s="173" t="s">
        <v>308</v>
      </c>
      <c r="I135" s="170">
        <v>1863.4</v>
      </c>
      <c r="J135" s="170">
        <v>1677.4</v>
      </c>
      <c r="K135" s="170">
        <v>1677.4</v>
      </c>
      <c r="L135" s="206">
        <v>86</v>
      </c>
      <c r="M135" s="173" t="s">
        <v>265</v>
      </c>
      <c r="N135" s="173" t="s">
        <v>269</v>
      </c>
      <c r="O135" s="175" t="s">
        <v>346</v>
      </c>
      <c r="P135" s="170">
        <v>985412.63</v>
      </c>
      <c r="Q135" s="170">
        <v>0</v>
      </c>
      <c r="R135" s="170">
        <v>0</v>
      </c>
      <c r="S135" s="170">
        <f t="shared" si="12"/>
        <v>985412.63</v>
      </c>
      <c r="T135" s="170">
        <f t="shared" si="6"/>
        <v>528.82506708167864</v>
      </c>
      <c r="U135" s="170">
        <v>810.46</v>
      </c>
      <c r="V135" s="202">
        <f t="shared" si="8"/>
        <v>281.6349329183214</v>
      </c>
      <c r="W135" s="202">
        <f t="shared" si="13"/>
        <v>795.31</v>
      </c>
      <c r="X135" s="202">
        <v>0</v>
      </c>
      <c r="Y135" s="203">
        <v>0</v>
      </c>
      <c r="Z135" s="203">
        <v>0</v>
      </c>
      <c r="AA135" s="203">
        <v>0</v>
      </c>
      <c r="AB135" s="203">
        <v>795.31</v>
      </c>
      <c r="AC135" s="203">
        <v>0</v>
      </c>
      <c r="AD135" s="203">
        <v>0</v>
      </c>
      <c r="AE135" s="203">
        <v>0</v>
      </c>
      <c r="AF135" s="202">
        <v>0</v>
      </c>
      <c r="AG135" s="203">
        <v>0</v>
      </c>
      <c r="AH135" s="202">
        <v>0</v>
      </c>
      <c r="AI135" s="203">
        <v>0</v>
      </c>
      <c r="AJ135" s="202">
        <v>0</v>
      </c>
      <c r="AK135" s="203">
        <v>0</v>
      </c>
      <c r="AL135" s="203">
        <v>0</v>
      </c>
      <c r="AM135" s="203">
        <v>0</v>
      </c>
      <c r="AN135" s="203"/>
      <c r="AO135" s="203">
        <v>0</v>
      </c>
    </row>
    <row r="136" spans="1:41" s="176" customFormat="1" ht="36" customHeight="1" x14ac:dyDescent="0.25">
      <c r="A136" s="176">
        <v>1</v>
      </c>
      <c r="B136" s="171">
        <f>SUBTOTAL(103,$A$16:A136)</f>
        <v>120</v>
      </c>
      <c r="C136" s="172" t="s">
        <v>1127</v>
      </c>
      <c r="D136" s="173" t="s">
        <v>1316</v>
      </c>
      <c r="E136" s="173"/>
      <c r="F136" s="174" t="s">
        <v>267</v>
      </c>
      <c r="G136" s="173" t="s">
        <v>303</v>
      </c>
      <c r="H136" s="173" t="s">
        <v>303</v>
      </c>
      <c r="I136" s="170">
        <v>823.9</v>
      </c>
      <c r="J136" s="170">
        <v>758.2</v>
      </c>
      <c r="K136" s="170">
        <v>758.2</v>
      </c>
      <c r="L136" s="206">
        <v>35</v>
      </c>
      <c r="M136" s="173" t="s">
        <v>265</v>
      </c>
      <c r="N136" s="173" t="s">
        <v>269</v>
      </c>
      <c r="O136" s="175" t="s">
        <v>346</v>
      </c>
      <c r="P136" s="170">
        <v>1787071.37</v>
      </c>
      <c r="Q136" s="170">
        <v>0</v>
      </c>
      <c r="R136" s="170">
        <v>0</v>
      </c>
      <c r="S136" s="170">
        <f t="shared" si="12"/>
        <v>1787071.37</v>
      </c>
      <c r="T136" s="170">
        <f t="shared" si="6"/>
        <v>2169.0391673746817</v>
      </c>
      <c r="U136" s="170">
        <v>7820.6710231824245</v>
      </c>
      <c r="V136" s="202">
        <f t="shared" si="8"/>
        <v>5651.6318558077428</v>
      </c>
      <c r="W136" s="202">
        <f t="shared" si="13"/>
        <v>6698.1696128170897</v>
      </c>
      <c r="X136" s="202">
        <v>0</v>
      </c>
      <c r="Y136" s="203">
        <v>0</v>
      </c>
      <c r="Z136" s="203">
        <v>0</v>
      </c>
      <c r="AA136" s="203">
        <v>0</v>
      </c>
      <c r="AB136" s="203">
        <v>0</v>
      </c>
      <c r="AC136" s="203">
        <v>0</v>
      </c>
      <c r="AD136" s="203">
        <v>0</v>
      </c>
      <c r="AE136" s="203">
        <v>0</v>
      </c>
      <c r="AF136" s="202">
        <v>0</v>
      </c>
      <c r="AG136" s="203">
        <v>0</v>
      </c>
      <c r="AH136" s="202">
        <v>0</v>
      </c>
      <c r="AI136" s="203">
        <v>741.84</v>
      </c>
      <c r="AJ136" s="202">
        <f>7439.1*AI136/I136</f>
        <v>6698.1696128170897</v>
      </c>
      <c r="AK136" s="203">
        <v>0</v>
      </c>
      <c r="AL136" s="203">
        <v>0</v>
      </c>
      <c r="AM136" s="203">
        <v>0</v>
      </c>
      <c r="AN136" s="203"/>
      <c r="AO136" s="203">
        <v>0</v>
      </c>
    </row>
    <row r="137" spans="1:41" s="176" customFormat="1" ht="36" customHeight="1" x14ac:dyDescent="0.25">
      <c r="A137" s="176">
        <v>1</v>
      </c>
      <c r="B137" s="171">
        <f>SUBTOTAL(103,$A$16:A137)</f>
        <v>121</v>
      </c>
      <c r="C137" s="172" t="s">
        <v>1128</v>
      </c>
      <c r="D137" s="173">
        <v>1956</v>
      </c>
      <c r="E137" s="173"/>
      <c r="F137" s="174" t="s">
        <v>267</v>
      </c>
      <c r="G137" s="173">
        <v>2</v>
      </c>
      <c r="H137" s="173" t="s">
        <v>304</v>
      </c>
      <c r="I137" s="170">
        <v>420.5</v>
      </c>
      <c r="J137" s="170">
        <v>420.5</v>
      </c>
      <c r="K137" s="170">
        <v>420.5</v>
      </c>
      <c r="L137" s="206">
        <v>20</v>
      </c>
      <c r="M137" s="173" t="s">
        <v>265</v>
      </c>
      <c r="N137" s="173" t="s">
        <v>266</v>
      </c>
      <c r="O137" s="175" t="s">
        <v>268</v>
      </c>
      <c r="P137" s="170">
        <v>121797.55</v>
      </c>
      <c r="Q137" s="170">
        <v>0</v>
      </c>
      <c r="R137" s="170">
        <v>0</v>
      </c>
      <c r="S137" s="170">
        <f t="shared" si="12"/>
        <v>121797.55</v>
      </c>
      <c r="T137" s="170">
        <f t="shared" si="6"/>
        <v>289.64934601664686</v>
      </c>
      <c r="U137" s="170">
        <v>810.46</v>
      </c>
      <c r="V137" s="202">
        <f t="shared" si="8"/>
        <v>520.81065398335318</v>
      </c>
      <c r="W137" s="202">
        <f t="shared" si="13"/>
        <v>15323.307624256837</v>
      </c>
      <c r="X137" s="202">
        <v>0</v>
      </c>
      <c r="Y137" s="203">
        <v>0</v>
      </c>
      <c r="Z137" s="203">
        <v>0</v>
      </c>
      <c r="AA137" s="203">
        <v>0</v>
      </c>
      <c r="AB137" s="203">
        <v>0</v>
      </c>
      <c r="AC137" s="203">
        <v>0</v>
      </c>
      <c r="AD137" s="203">
        <v>0</v>
      </c>
      <c r="AE137" s="203">
        <v>0</v>
      </c>
      <c r="AF137" s="202">
        <v>0</v>
      </c>
      <c r="AG137" s="203">
        <v>0</v>
      </c>
      <c r="AH137" s="202">
        <v>0</v>
      </c>
      <c r="AI137" s="203">
        <v>866.16</v>
      </c>
      <c r="AJ137" s="202">
        <f>7439.1*AI137/I137</f>
        <v>15323.307624256837</v>
      </c>
      <c r="AK137" s="203">
        <v>0</v>
      </c>
      <c r="AL137" s="203">
        <v>0</v>
      </c>
      <c r="AM137" s="203">
        <v>0</v>
      </c>
      <c r="AN137" s="203"/>
      <c r="AO137" s="203">
        <v>0</v>
      </c>
    </row>
    <row r="138" spans="1:41" s="176" customFormat="1" ht="36" customHeight="1" x14ac:dyDescent="0.25">
      <c r="A138" s="176">
        <v>1</v>
      </c>
      <c r="B138" s="171">
        <f>SUBTOTAL(103,$A$16:A138)</f>
        <v>122</v>
      </c>
      <c r="C138" s="172" t="s">
        <v>1129</v>
      </c>
      <c r="D138" s="173">
        <v>1949</v>
      </c>
      <c r="E138" s="173">
        <v>2008</v>
      </c>
      <c r="F138" s="174" t="s">
        <v>267</v>
      </c>
      <c r="G138" s="173" t="s">
        <v>303</v>
      </c>
      <c r="H138" s="173" t="s">
        <v>304</v>
      </c>
      <c r="I138" s="170">
        <v>446.3</v>
      </c>
      <c r="J138" s="170">
        <v>446.3</v>
      </c>
      <c r="K138" s="170">
        <v>446.3</v>
      </c>
      <c r="L138" s="206">
        <v>28</v>
      </c>
      <c r="M138" s="173" t="s">
        <v>265</v>
      </c>
      <c r="N138" s="173" t="s">
        <v>266</v>
      </c>
      <c r="O138" s="175" t="s">
        <v>268</v>
      </c>
      <c r="P138" s="170">
        <v>940372.45000000007</v>
      </c>
      <c r="Q138" s="170">
        <v>0</v>
      </c>
      <c r="R138" s="170">
        <v>0</v>
      </c>
      <c r="S138" s="170">
        <f t="shared" si="12"/>
        <v>940372.45000000007</v>
      </c>
      <c r="T138" s="170">
        <f t="shared" si="6"/>
        <v>2107.0411158413626</v>
      </c>
      <c r="U138" s="170">
        <v>7265.748801254761</v>
      </c>
      <c r="V138" s="202">
        <f t="shared" si="8"/>
        <v>5158.7076854133984</v>
      </c>
      <c r="W138" s="202">
        <f t="shared" si="13"/>
        <v>795.31</v>
      </c>
      <c r="X138" s="202">
        <v>0</v>
      </c>
      <c r="Y138" s="203">
        <v>0</v>
      </c>
      <c r="Z138" s="203">
        <v>0</v>
      </c>
      <c r="AA138" s="203">
        <v>0</v>
      </c>
      <c r="AB138" s="203">
        <v>795.31</v>
      </c>
      <c r="AC138" s="203">
        <v>0</v>
      </c>
      <c r="AD138" s="203">
        <v>0</v>
      </c>
      <c r="AE138" s="203">
        <v>0</v>
      </c>
      <c r="AF138" s="202">
        <v>0</v>
      </c>
      <c r="AG138" s="203">
        <v>0</v>
      </c>
      <c r="AH138" s="202">
        <v>0</v>
      </c>
      <c r="AI138" s="203">
        <v>0</v>
      </c>
      <c r="AJ138" s="202">
        <v>0</v>
      </c>
      <c r="AK138" s="203">
        <v>0</v>
      </c>
      <c r="AL138" s="203">
        <v>0</v>
      </c>
      <c r="AM138" s="203">
        <v>0</v>
      </c>
      <c r="AN138" s="203"/>
      <c r="AO138" s="203">
        <v>0</v>
      </c>
    </row>
    <row r="139" spans="1:41" s="176" customFormat="1" ht="36" customHeight="1" x14ac:dyDescent="0.25">
      <c r="A139" s="176">
        <v>1</v>
      </c>
      <c r="B139" s="171">
        <f>SUBTOTAL(103,$A$16:A139)</f>
        <v>123</v>
      </c>
      <c r="C139" s="172" t="s">
        <v>1130</v>
      </c>
      <c r="D139" s="173">
        <v>1964</v>
      </c>
      <c r="E139" s="173"/>
      <c r="F139" s="174" t="s">
        <v>267</v>
      </c>
      <c r="G139" s="173">
        <v>2</v>
      </c>
      <c r="H139" s="173" t="s">
        <v>304</v>
      </c>
      <c r="I139" s="170">
        <v>380.8</v>
      </c>
      <c r="J139" s="170">
        <v>380.8</v>
      </c>
      <c r="K139" s="170">
        <v>380.8</v>
      </c>
      <c r="L139" s="206">
        <v>13</v>
      </c>
      <c r="M139" s="173" t="s">
        <v>265</v>
      </c>
      <c r="N139" s="173" t="s">
        <v>266</v>
      </c>
      <c r="O139" s="175" t="s">
        <v>268</v>
      </c>
      <c r="P139" s="170">
        <v>291919.45999999996</v>
      </c>
      <c r="Q139" s="170">
        <v>0</v>
      </c>
      <c r="R139" s="170">
        <v>0</v>
      </c>
      <c r="S139" s="170">
        <f t="shared" si="12"/>
        <v>291919.45999999996</v>
      </c>
      <c r="T139" s="170">
        <f t="shared" si="6"/>
        <v>766.59522058823518</v>
      </c>
      <c r="U139" s="170">
        <v>1108.53</v>
      </c>
      <c r="V139" s="202">
        <f t="shared" si="8"/>
        <v>341.93477941176479</v>
      </c>
      <c r="W139" s="202">
        <f t="shared" si="13"/>
        <v>9572.3713235294108</v>
      </c>
      <c r="X139" s="202">
        <v>0</v>
      </c>
      <c r="Y139" s="203">
        <v>0</v>
      </c>
      <c r="Z139" s="203">
        <v>0</v>
      </c>
      <c r="AA139" s="203">
        <v>0</v>
      </c>
      <c r="AB139" s="203">
        <v>0</v>
      </c>
      <c r="AC139" s="203">
        <v>0</v>
      </c>
      <c r="AD139" s="203">
        <v>0</v>
      </c>
      <c r="AE139" s="203">
        <v>0</v>
      </c>
      <c r="AF139" s="202">
        <v>0</v>
      </c>
      <c r="AG139" s="203">
        <v>0</v>
      </c>
      <c r="AH139" s="202">
        <v>0</v>
      </c>
      <c r="AI139" s="203">
        <v>490</v>
      </c>
      <c r="AJ139" s="202">
        <f>7439.1*AI139/I139</f>
        <v>9572.3713235294108</v>
      </c>
      <c r="AK139" s="203">
        <v>0</v>
      </c>
      <c r="AL139" s="203">
        <v>0</v>
      </c>
      <c r="AM139" s="203">
        <v>0</v>
      </c>
      <c r="AN139" s="203"/>
      <c r="AO139" s="203">
        <v>0</v>
      </c>
    </row>
    <row r="140" spans="1:41" s="176" customFormat="1" ht="36" customHeight="1" x14ac:dyDescent="0.25">
      <c r="A140" s="176">
        <v>1</v>
      </c>
      <c r="B140" s="171">
        <f>SUBTOTAL(103,$A$16:A140)</f>
        <v>124</v>
      </c>
      <c r="C140" s="172" t="s">
        <v>1131</v>
      </c>
      <c r="D140" s="173">
        <v>1956</v>
      </c>
      <c r="E140" s="173"/>
      <c r="F140" s="174" t="s">
        <v>324</v>
      </c>
      <c r="G140" s="173">
        <v>2</v>
      </c>
      <c r="H140" s="173" t="s">
        <v>303</v>
      </c>
      <c r="I140" s="170">
        <v>672.3</v>
      </c>
      <c r="J140" s="170">
        <v>672.3</v>
      </c>
      <c r="K140" s="170">
        <v>577.9</v>
      </c>
      <c r="L140" s="206">
        <v>17</v>
      </c>
      <c r="M140" s="173" t="s">
        <v>265</v>
      </c>
      <c r="N140" s="173" t="s">
        <v>266</v>
      </c>
      <c r="O140" s="175" t="s">
        <v>268</v>
      </c>
      <c r="P140" s="170">
        <v>1755092.12</v>
      </c>
      <c r="Q140" s="170">
        <v>0</v>
      </c>
      <c r="R140" s="170">
        <v>0</v>
      </c>
      <c r="S140" s="170">
        <f t="shared" si="12"/>
        <v>1755092.12</v>
      </c>
      <c r="T140" s="170">
        <f t="shared" si="6"/>
        <v>2610.5787892309986</v>
      </c>
      <c r="U140" s="170">
        <v>9318.6816113342247</v>
      </c>
      <c r="V140" s="202">
        <f t="shared" si="8"/>
        <v>6708.1028221032266</v>
      </c>
      <c r="W140" s="202">
        <f t="shared" si="13"/>
        <v>1081.8399999999999</v>
      </c>
      <c r="X140" s="202">
        <v>101.55</v>
      </c>
      <c r="Y140" s="203">
        <v>0</v>
      </c>
      <c r="Z140" s="203">
        <v>0</v>
      </c>
      <c r="AA140" s="203">
        <v>184.98</v>
      </c>
      <c r="AB140" s="203">
        <v>795.31</v>
      </c>
      <c r="AC140" s="203">
        <v>0</v>
      </c>
      <c r="AD140" s="203">
        <v>0</v>
      </c>
      <c r="AE140" s="203">
        <v>0</v>
      </c>
      <c r="AF140" s="202">
        <v>0</v>
      </c>
      <c r="AG140" s="203">
        <v>0</v>
      </c>
      <c r="AH140" s="202">
        <v>0</v>
      </c>
      <c r="AI140" s="203">
        <v>0</v>
      </c>
      <c r="AJ140" s="202">
        <v>0</v>
      </c>
      <c r="AK140" s="203">
        <v>0</v>
      </c>
      <c r="AL140" s="203">
        <v>0</v>
      </c>
      <c r="AM140" s="203">
        <v>0</v>
      </c>
      <c r="AN140" s="203"/>
      <c r="AO140" s="203">
        <v>0</v>
      </c>
    </row>
    <row r="141" spans="1:41" s="176" customFormat="1" ht="36" customHeight="1" x14ac:dyDescent="0.25">
      <c r="A141" s="176">
        <v>1</v>
      </c>
      <c r="B141" s="171">
        <f>SUBTOTAL(103,$A$16:A141)</f>
        <v>125</v>
      </c>
      <c r="C141" s="172" t="s">
        <v>1132</v>
      </c>
      <c r="D141" s="173">
        <v>1961</v>
      </c>
      <c r="E141" s="173"/>
      <c r="F141" s="174" t="s">
        <v>267</v>
      </c>
      <c r="G141" s="173">
        <v>2</v>
      </c>
      <c r="H141" s="173" t="s">
        <v>303</v>
      </c>
      <c r="I141" s="170">
        <v>546.70000000000005</v>
      </c>
      <c r="J141" s="170">
        <v>546.70000000000005</v>
      </c>
      <c r="K141" s="170">
        <v>546.70000000000005</v>
      </c>
      <c r="L141" s="206">
        <v>45</v>
      </c>
      <c r="M141" s="173" t="s">
        <v>265</v>
      </c>
      <c r="N141" s="173" t="s">
        <v>266</v>
      </c>
      <c r="O141" s="175" t="s">
        <v>268</v>
      </c>
      <c r="P141" s="170">
        <v>1184059.1499999999</v>
      </c>
      <c r="Q141" s="170">
        <v>0</v>
      </c>
      <c r="R141" s="170">
        <v>0</v>
      </c>
      <c r="S141" s="170">
        <f t="shared" si="12"/>
        <v>1184059.1499999999</v>
      </c>
      <c r="T141" s="170">
        <f t="shared" ref="T141:T204" si="15">P141/I141</f>
        <v>2165.8297969635996</v>
      </c>
      <c r="U141" s="170">
        <v>7798.604338759832</v>
      </c>
      <c r="V141" s="202">
        <f t="shared" si="8"/>
        <v>5632.7745417962324</v>
      </c>
      <c r="W141" s="202">
        <f t="shared" si="13"/>
        <v>11459.574990488383</v>
      </c>
      <c r="X141" s="202">
        <v>0</v>
      </c>
      <c r="Y141" s="203">
        <v>0</v>
      </c>
      <c r="Z141" s="203">
        <v>0</v>
      </c>
      <c r="AA141" s="203">
        <v>0</v>
      </c>
      <c r="AB141" s="203">
        <v>0</v>
      </c>
      <c r="AC141" s="203">
        <v>0</v>
      </c>
      <c r="AD141" s="203">
        <v>0</v>
      </c>
      <c r="AE141" s="203">
        <v>0</v>
      </c>
      <c r="AF141" s="202">
        <v>0</v>
      </c>
      <c r="AG141" s="203">
        <v>0</v>
      </c>
      <c r="AH141" s="202">
        <v>0</v>
      </c>
      <c r="AI141" s="203">
        <v>802.93</v>
      </c>
      <c r="AJ141" s="202">
        <f>7802.61*AI141/I141</f>
        <v>11459.574990488383</v>
      </c>
      <c r="AK141" s="203">
        <v>0</v>
      </c>
      <c r="AL141" s="203">
        <v>0</v>
      </c>
      <c r="AM141" s="203">
        <v>0</v>
      </c>
      <c r="AN141" s="203"/>
      <c r="AO141" s="203">
        <v>0</v>
      </c>
    </row>
    <row r="142" spans="1:41" s="176" customFormat="1" ht="36" customHeight="1" x14ac:dyDescent="0.25">
      <c r="A142" s="176">
        <v>1</v>
      </c>
      <c r="B142" s="171">
        <f>SUBTOTAL(103,$A$16:A142)</f>
        <v>126</v>
      </c>
      <c r="C142" s="172" t="s">
        <v>1134</v>
      </c>
      <c r="D142" s="173">
        <v>1993</v>
      </c>
      <c r="E142" s="173">
        <v>2016</v>
      </c>
      <c r="F142" s="174" t="s">
        <v>287</v>
      </c>
      <c r="G142" s="173">
        <v>9</v>
      </c>
      <c r="H142" s="173" t="s">
        <v>308</v>
      </c>
      <c r="I142" s="170">
        <v>9105.2999999999993</v>
      </c>
      <c r="J142" s="170">
        <v>9105.2999999999993</v>
      </c>
      <c r="K142" s="170">
        <v>9105.2999999999993</v>
      </c>
      <c r="L142" s="206">
        <v>293</v>
      </c>
      <c r="M142" s="173" t="s">
        <v>265</v>
      </c>
      <c r="N142" s="173" t="s">
        <v>341</v>
      </c>
      <c r="O142" s="175" t="s">
        <v>1317</v>
      </c>
      <c r="P142" s="170">
        <v>5593558.4000000004</v>
      </c>
      <c r="Q142" s="170">
        <v>0</v>
      </c>
      <c r="R142" s="170">
        <v>0</v>
      </c>
      <c r="S142" s="170">
        <f t="shared" si="12"/>
        <v>5593558.4000000004</v>
      </c>
      <c r="T142" s="170">
        <f t="shared" si="15"/>
        <v>614.31895709092521</v>
      </c>
      <c r="U142" s="170">
        <v>1079.7227988094846</v>
      </c>
      <c r="V142" s="202">
        <f t="shared" si="8"/>
        <v>465.40384171855942</v>
      </c>
      <c r="W142" s="202">
        <f t="shared" si="13"/>
        <v>468.24343975486812</v>
      </c>
      <c r="X142" s="202">
        <v>0</v>
      </c>
      <c r="Y142" s="203">
        <v>0</v>
      </c>
      <c r="Z142" s="203">
        <v>0</v>
      </c>
      <c r="AA142" s="203">
        <v>0</v>
      </c>
      <c r="AB142" s="203">
        <v>0</v>
      </c>
      <c r="AC142" s="203">
        <v>0</v>
      </c>
      <c r="AD142" s="203">
        <v>0</v>
      </c>
      <c r="AE142" s="203">
        <v>0</v>
      </c>
      <c r="AF142" s="202">
        <v>0</v>
      </c>
      <c r="AG142" s="203">
        <v>0</v>
      </c>
      <c r="AH142" s="202">
        <v>0</v>
      </c>
      <c r="AI142" s="203">
        <v>573.12</v>
      </c>
      <c r="AJ142" s="202">
        <f>7439.1*AI142/I142</f>
        <v>468.24343975486812</v>
      </c>
      <c r="AK142" s="203">
        <v>0</v>
      </c>
      <c r="AL142" s="203">
        <v>0</v>
      </c>
      <c r="AM142" s="203">
        <v>0</v>
      </c>
      <c r="AN142" s="203"/>
      <c r="AO142" s="203">
        <v>0</v>
      </c>
    </row>
    <row r="143" spans="1:41" s="176" customFormat="1" ht="36" customHeight="1" x14ac:dyDescent="0.25">
      <c r="A143" s="176">
        <v>1</v>
      </c>
      <c r="B143" s="171">
        <f>SUBTOTAL(103,$A$16:A143)</f>
        <v>127</v>
      </c>
      <c r="C143" s="172" t="s">
        <v>1135</v>
      </c>
      <c r="D143" s="173">
        <v>1977</v>
      </c>
      <c r="E143" s="173">
        <v>2014</v>
      </c>
      <c r="F143" s="174" t="s">
        <v>267</v>
      </c>
      <c r="G143" s="173">
        <v>5</v>
      </c>
      <c r="H143" s="173" t="s">
        <v>308</v>
      </c>
      <c r="I143" s="170">
        <v>3912.3</v>
      </c>
      <c r="J143" s="170">
        <v>3639.1</v>
      </c>
      <c r="K143" s="170">
        <v>2732.3</v>
      </c>
      <c r="L143" s="206">
        <v>140</v>
      </c>
      <c r="M143" s="173" t="s">
        <v>265</v>
      </c>
      <c r="N143" s="173" t="s">
        <v>269</v>
      </c>
      <c r="O143" s="175" t="s">
        <v>1290</v>
      </c>
      <c r="P143" s="170">
        <v>1052135.68</v>
      </c>
      <c r="Q143" s="170">
        <v>0</v>
      </c>
      <c r="R143" s="170">
        <v>0</v>
      </c>
      <c r="S143" s="170">
        <f t="shared" si="12"/>
        <v>1052135.68</v>
      </c>
      <c r="T143" s="170">
        <f t="shared" si="15"/>
        <v>268.93021496306517</v>
      </c>
      <c r="U143" s="170">
        <v>1108.53</v>
      </c>
      <c r="V143" s="202">
        <f t="shared" si="8"/>
        <v>839.5997850369348</v>
      </c>
      <c r="W143" s="202">
        <f t="shared" si="13"/>
        <v>2512.8952278710731</v>
      </c>
      <c r="X143" s="202">
        <v>0</v>
      </c>
      <c r="Y143" s="203">
        <v>0</v>
      </c>
      <c r="Z143" s="203">
        <v>0</v>
      </c>
      <c r="AA143" s="203">
        <v>0</v>
      </c>
      <c r="AB143" s="203">
        <v>0</v>
      </c>
      <c r="AC143" s="203">
        <v>4</v>
      </c>
      <c r="AD143" s="202">
        <f>2457800*AC143/I143</f>
        <v>2512.8952278710731</v>
      </c>
      <c r="AE143" s="203">
        <v>0</v>
      </c>
      <c r="AF143" s="202">
        <v>0</v>
      </c>
      <c r="AG143" s="203">
        <v>0</v>
      </c>
      <c r="AH143" s="202">
        <v>0</v>
      </c>
      <c r="AI143" s="203">
        <v>0</v>
      </c>
      <c r="AJ143" s="202">
        <v>0</v>
      </c>
      <c r="AK143" s="203">
        <v>0</v>
      </c>
      <c r="AL143" s="203">
        <v>0</v>
      </c>
      <c r="AM143" s="203">
        <v>0</v>
      </c>
      <c r="AN143" s="203"/>
      <c r="AO143" s="203">
        <v>0</v>
      </c>
    </row>
    <row r="144" spans="1:41" s="176" customFormat="1" ht="36" customHeight="1" x14ac:dyDescent="0.25">
      <c r="A144" s="176">
        <v>1</v>
      </c>
      <c r="B144" s="171">
        <f>SUBTOTAL(103,$A$16:A144)</f>
        <v>128</v>
      </c>
      <c r="C144" s="172" t="s">
        <v>1136</v>
      </c>
      <c r="D144" s="173">
        <v>1970</v>
      </c>
      <c r="E144" s="173"/>
      <c r="F144" s="174" t="s">
        <v>267</v>
      </c>
      <c r="G144" s="173">
        <v>5</v>
      </c>
      <c r="H144" s="173" t="s">
        <v>308</v>
      </c>
      <c r="I144" s="170">
        <v>3635.4</v>
      </c>
      <c r="J144" s="170">
        <v>3360</v>
      </c>
      <c r="K144" s="170">
        <v>3247.2</v>
      </c>
      <c r="L144" s="206">
        <v>167</v>
      </c>
      <c r="M144" s="173" t="s">
        <v>265</v>
      </c>
      <c r="N144" s="173" t="s">
        <v>269</v>
      </c>
      <c r="O144" s="175" t="s">
        <v>1318</v>
      </c>
      <c r="P144" s="170">
        <v>1528398.16</v>
      </c>
      <c r="Q144" s="170">
        <v>0</v>
      </c>
      <c r="R144" s="170">
        <v>0</v>
      </c>
      <c r="S144" s="170">
        <f t="shared" si="12"/>
        <v>1528398.16</v>
      </c>
      <c r="T144" s="170">
        <f t="shared" si="15"/>
        <v>420.42090553996803</v>
      </c>
      <c r="U144" s="170">
        <v>1371.2800000000002</v>
      </c>
      <c r="V144" s="202">
        <f t="shared" si="8"/>
        <v>950.85909446003211</v>
      </c>
      <c r="W144" s="202">
        <f t="shared" si="13"/>
        <v>1081.8399999999999</v>
      </c>
      <c r="X144" s="202">
        <v>101.55</v>
      </c>
      <c r="Y144" s="203">
        <v>0</v>
      </c>
      <c r="Z144" s="203">
        <v>0</v>
      </c>
      <c r="AA144" s="203">
        <v>184.98</v>
      </c>
      <c r="AB144" s="203">
        <v>795.31</v>
      </c>
      <c r="AC144" s="203">
        <v>0</v>
      </c>
      <c r="AD144" s="203">
        <v>0</v>
      </c>
      <c r="AE144" s="203">
        <v>0</v>
      </c>
      <c r="AF144" s="202">
        <v>0</v>
      </c>
      <c r="AG144" s="203">
        <v>0</v>
      </c>
      <c r="AH144" s="202">
        <v>0</v>
      </c>
      <c r="AI144" s="203">
        <v>0</v>
      </c>
      <c r="AJ144" s="202">
        <v>0</v>
      </c>
      <c r="AK144" s="203">
        <v>0</v>
      </c>
      <c r="AL144" s="203">
        <v>0</v>
      </c>
      <c r="AM144" s="203">
        <v>0</v>
      </c>
      <c r="AN144" s="203"/>
      <c r="AO144" s="203">
        <v>0</v>
      </c>
    </row>
    <row r="145" spans="1:41" s="176" customFormat="1" ht="36" customHeight="1" x14ac:dyDescent="0.25">
      <c r="A145" s="176">
        <v>1</v>
      </c>
      <c r="B145" s="171">
        <f>SUBTOTAL(103,$A$16:A145)</f>
        <v>129</v>
      </c>
      <c r="C145" s="172" t="s">
        <v>1137</v>
      </c>
      <c r="D145" s="173">
        <v>1985</v>
      </c>
      <c r="E145" s="173">
        <v>2014</v>
      </c>
      <c r="F145" s="174" t="s">
        <v>267</v>
      </c>
      <c r="G145" s="173">
        <v>9</v>
      </c>
      <c r="H145" s="173" t="s">
        <v>312</v>
      </c>
      <c r="I145" s="170">
        <v>7073.4</v>
      </c>
      <c r="J145" s="170">
        <v>6236.1</v>
      </c>
      <c r="K145" s="170">
        <v>5330.6</v>
      </c>
      <c r="L145" s="206">
        <v>229</v>
      </c>
      <c r="M145" s="173" t="s">
        <v>265</v>
      </c>
      <c r="N145" s="173" t="s">
        <v>269</v>
      </c>
      <c r="O145" s="175" t="s">
        <v>1318</v>
      </c>
      <c r="P145" s="170">
        <v>285579.52000000002</v>
      </c>
      <c r="Q145" s="170">
        <v>0</v>
      </c>
      <c r="R145" s="170">
        <v>0</v>
      </c>
      <c r="S145" s="170">
        <f t="shared" si="12"/>
        <v>285579.52000000002</v>
      </c>
      <c r="T145" s="170">
        <f t="shared" si="15"/>
        <v>40.373726920575685</v>
      </c>
      <c r="U145" s="170">
        <v>184.98</v>
      </c>
      <c r="V145" s="202">
        <f t="shared" ref="V145:V208" si="16">U145-T145</f>
        <v>144.60627307942431</v>
      </c>
      <c r="W145" s="202">
        <f t="shared" si="13"/>
        <v>4586.9399999999996</v>
      </c>
      <c r="X145" s="202">
        <v>101.55</v>
      </c>
      <c r="Y145" s="203">
        <v>245.44</v>
      </c>
      <c r="Z145" s="203">
        <v>3259.66</v>
      </c>
      <c r="AA145" s="203">
        <v>184.98</v>
      </c>
      <c r="AB145" s="203">
        <v>795.31</v>
      </c>
      <c r="AC145" s="203">
        <v>0</v>
      </c>
      <c r="AD145" s="203">
        <v>0</v>
      </c>
      <c r="AE145" s="203">
        <v>0</v>
      </c>
      <c r="AF145" s="202">
        <v>0</v>
      </c>
      <c r="AG145" s="203">
        <v>0</v>
      </c>
      <c r="AH145" s="202">
        <v>0</v>
      </c>
      <c r="AI145" s="203">
        <v>0</v>
      </c>
      <c r="AJ145" s="202">
        <v>0</v>
      </c>
      <c r="AK145" s="203">
        <v>0</v>
      </c>
      <c r="AL145" s="203">
        <v>0</v>
      </c>
      <c r="AM145" s="203">
        <v>0</v>
      </c>
      <c r="AN145" s="203"/>
      <c r="AO145" s="203">
        <v>0</v>
      </c>
    </row>
    <row r="146" spans="1:41" s="176" customFormat="1" ht="36" customHeight="1" x14ac:dyDescent="0.25">
      <c r="A146" s="176">
        <v>1</v>
      </c>
      <c r="B146" s="171">
        <f>SUBTOTAL(103,$A$16:A146)</f>
        <v>130</v>
      </c>
      <c r="C146" s="172" t="s">
        <v>1138</v>
      </c>
      <c r="D146" s="173">
        <v>1966</v>
      </c>
      <c r="E146" s="173"/>
      <c r="F146" s="174" t="s">
        <v>267</v>
      </c>
      <c r="G146" s="173">
        <v>2</v>
      </c>
      <c r="H146" s="173" t="s">
        <v>303</v>
      </c>
      <c r="I146" s="170">
        <v>787.5</v>
      </c>
      <c r="J146" s="170">
        <v>727.8</v>
      </c>
      <c r="K146" s="170">
        <v>727.8</v>
      </c>
      <c r="L146" s="206">
        <v>35</v>
      </c>
      <c r="M146" s="173" t="s">
        <v>265</v>
      </c>
      <c r="N146" s="173" t="s">
        <v>266</v>
      </c>
      <c r="O146" s="175" t="s">
        <v>268</v>
      </c>
      <c r="P146" s="170">
        <v>2415665.65</v>
      </c>
      <c r="Q146" s="170">
        <v>0</v>
      </c>
      <c r="R146" s="170">
        <v>0</v>
      </c>
      <c r="S146" s="170">
        <f t="shared" si="12"/>
        <v>2415665.65</v>
      </c>
      <c r="T146" s="170">
        <f t="shared" si="15"/>
        <v>3067.5119365079363</v>
      </c>
      <c r="U146" s="170">
        <v>5115.2587936507935</v>
      </c>
      <c r="V146" s="202">
        <f t="shared" si="16"/>
        <v>2047.7468571428572</v>
      </c>
      <c r="W146" s="202">
        <f t="shared" si="13"/>
        <v>184.98</v>
      </c>
      <c r="X146" s="202">
        <v>0</v>
      </c>
      <c r="Y146" s="203">
        <v>0</v>
      </c>
      <c r="Z146" s="203">
        <v>0</v>
      </c>
      <c r="AA146" s="203">
        <v>184.98</v>
      </c>
      <c r="AB146" s="203">
        <v>0</v>
      </c>
      <c r="AC146" s="203">
        <v>0</v>
      </c>
      <c r="AD146" s="203">
        <v>0</v>
      </c>
      <c r="AE146" s="203">
        <v>0</v>
      </c>
      <c r="AF146" s="202">
        <v>0</v>
      </c>
      <c r="AG146" s="203">
        <v>0</v>
      </c>
      <c r="AH146" s="202">
        <v>0</v>
      </c>
      <c r="AI146" s="203">
        <v>0</v>
      </c>
      <c r="AJ146" s="202">
        <v>0</v>
      </c>
      <c r="AK146" s="203">
        <v>0</v>
      </c>
      <c r="AL146" s="203">
        <v>0</v>
      </c>
      <c r="AM146" s="203">
        <v>0</v>
      </c>
      <c r="AN146" s="203"/>
      <c r="AO146" s="203">
        <v>0</v>
      </c>
    </row>
    <row r="147" spans="1:41" s="176" customFormat="1" ht="36" customHeight="1" x14ac:dyDescent="0.25">
      <c r="A147" s="176">
        <v>1</v>
      </c>
      <c r="B147" s="171">
        <f>SUBTOTAL(103,$A$16:A147)</f>
        <v>131</v>
      </c>
      <c r="C147" s="172" t="s">
        <v>1274</v>
      </c>
      <c r="D147" s="173">
        <v>1977</v>
      </c>
      <c r="E147" s="173"/>
      <c r="F147" s="174" t="s">
        <v>318</v>
      </c>
      <c r="G147" s="173">
        <v>5</v>
      </c>
      <c r="H147" s="173" t="s">
        <v>2250</v>
      </c>
      <c r="I147" s="170">
        <v>6715.9</v>
      </c>
      <c r="J147" s="170">
        <v>6150.8</v>
      </c>
      <c r="K147" s="170">
        <v>6150.8</v>
      </c>
      <c r="L147" s="206">
        <v>309</v>
      </c>
      <c r="M147" s="173" t="s">
        <v>265</v>
      </c>
      <c r="N147" s="173" t="s">
        <v>269</v>
      </c>
      <c r="O147" s="175" t="s">
        <v>1342</v>
      </c>
      <c r="P147" s="170">
        <v>5623327.0800000001</v>
      </c>
      <c r="Q147" s="170">
        <v>0</v>
      </c>
      <c r="R147" s="170">
        <v>0</v>
      </c>
      <c r="S147" s="170">
        <f t="shared" si="12"/>
        <v>5623327.0800000001</v>
      </c>
      <c r="T147" s="170">
        <f t="shared" si="15"/>
        <v>837.31548712756296</v>
      </c>
      <c r="U147" s="170">
        <v>1450.3782376152117</v>
      </c>
      <c r="V147" s="202">
        <f t="shared" si="16"/>
        <v>613.06275048764871</v>
      </c>
      <c r="W147" s="202">
        <f t="shared" si="13"/>
        <v>575.03615152101736</v>
      </c>
      <c r="X147" s="202">
        <v>0</v>
      </c>
      <c r="Y147" s="203">
        <v>0</v>
      </c>
      <c r="Z147" s="203">
        <v>0</v>
      </c>
      <c r="AA147" s="203">
        <v>0</v>
      </c>
      <c r="AB147" s="203">
        <v>0</v>
      </c>
      <c r="AC147" s="203">
        <v>0</v>
      </c>
      <c r="AD147" s="203">
        <v>0</v>
      </c>
      <c r="AE147" s="203">
        <v>619</v>
      </c>
      <c r="AF147" s="202">
        <f>6238.91*AE147/I147</f>
        <v>575.03615152101736</v>
      </c>
      <c r="AG147" s="203">
        <v>0</v>
      </c>
      <c r="AH147" s="202">
        <v>0</v>
      </c>
      <c r="AI147" s="203">
        <v>0</v>
      </c>
      <c r="AJ147" s="202">
        <v>0</v>
      </c>
      <c r="AK147" s="203">
        <v>0</v>
      </c>
      <c r="AL147" s="203">
        <v>0</v>
      </c>
      <c r="AM147" s="203">
        <v>0</v>
      </c>
      <c r="AN147" s="203"/>
      <c r="AO147" s="203">
        <v>0</v>
      </c>
    </row>
    <row r="148" spans="1:41" s="176" customFormat="1" ht="36" customHeight="1" x14ac:dyDescent="0.25">
      <c r="A148" s="176">
        <v>1</v>
      </c>
      <c r="B148" s="171">
        <f>SUBTOTAL(103,$A$16:A148)</f>
        <v>132</v>
      </c>
      <c r="C148" s="172" t="s">
        <v>460</v>
      </c>
      <c r="D148" s="173">
        <v>1970</v>
      </c>
      <c r="E148" s="173"/>
      <c r="F148" s="174" t="s">
        <v>267</v>
      </c>
      <c r="G148" s="173">
        <v>2</v>
      </c>
      <c r="H148" s="173" t="s">
        <v>303</v>
      </c>
      <c r="I148" s="170">
        <v>794.7</v>
      </c>
      <c r="J148" s="170">
        <v>737.8</v>
      </c>
      <c r="K148" s="170">
        <v>737.8</v>
      </c>
      <c r="L148" s="206">
        <v>38</v>
      </c>
      <c r="M148" s="173" t="s">
        <v>265</v>
      </c>
      <c r="N148" s="173" t="s">
        <v>266</v>
      </c>
      <c r="O148" s="175" t="s">
        <v>268</v>
      </c>
      <c r="P148" s="170">
        <v>52567.68</v>
      </c>
      <c r="Q148" s="170">
        <v>0</v>
      </c>
      <c r="R148" s="170">
        <v>0</v>
      </c>
      <c r="S148" s="170">
        <f t="shared" si="12"/>
        <v>52567.68</v>
      </c>
      <c r="T148" s="170">
        <f t="shared" si="15"/>
        <v>66.147829369573415</v>
      </c>
      <c r="U148" s="170">
        <v>66.147829369573415</v>
      </c>
      <c r="V148" s="202">
        <f t="shared" si="16"/>
        <v>0</v>
      </c>
      <c r="W148" s="202">
        <f t="shared" si="13"/>
        <v>11750.692978230778</v>
      </c>
      <c r="X148" s="202">
        <v>0</v>
      </c>
      <c r="Y148" s="203">
        <v>0</v>
      </c>
      <c r="Z148" s="203">
        <v>0</v>
      </c>
      <c r="AA148" s="203">
        <v>0</v>
      </c>
      <c r="AB148" s="203">
        <v>0</v>
      </c>
      <c r="AC148" s="203">
        <v>0</v>
      </c>
      <c r="AD148" s="203">
        <v>0</v>
      </c>
      <c r="AE148" s="203">
        <v>1496.78</v>
      </c>
      <c r="AF148" s="202">
        <f>6238.91*AE148/I148</f>
        <v>11750.692978230778</v>
      </c>
      <c r="AG148" s="203">
        <v>0</v>
      </c>
      <c r="AH148" s="202">
        <v>0</v>
      </c>
      <c r="AI148" s="203">
        <v>0</v>
      </c>
      <c r="AJ148" s="202">
        <v>0</v>
      </c>
      <c r="AK148" s="203">
        <v>0</v>
      </c>
      <c r="AL148" s="203">
        <v>0</v>
      </c>
      <c r="AM148" s="203">
        <v>0</v>
      </c>
      <c r="AN148" s="203"/>
      <c r="AO148" s="203">
        <v>0</v>
      </c>
    </row>
    <row r="149" spans="1:41" s="176" customFormat="1" ht="36" customHeight="1" x14ac:dyDescent="0.25">
      <c r="A149" s="176">
        <v>1</v>
      </c>
      <c r="B149" s="171">
        <f>SUBTOTAL(103,$A$16:A149)</f>
        <v>133</v>
      </c>
      <c r="C149" s="172" t="s">
        <v>1275</v>
      </c>
      <c r="D149" s="173">
        <v>1978</v>
      </c>
      <c r="E149" s="173"/>
      <c r="F149" s="174" t="s">
        <v>330</v>
      </c>
      <c r="G149" s="173" t="s">
        <v>303</v>
      </c>
      <c r="H149" s="173" t="s">
        <v>312</v>
      </c>
      <c r="I149" s="170">
        <v>873.7</v>
      </c>
      <c r="J149" s="170">
        <v>873.7</v>
      </c>
      <c r="K149" s="170">
        <v>873.7</v>
      </c>
      <c r="L149" s="206">
        <v>31</v>
      </c>
      <c r="M149" s="173" t="s">
        <v>265</v>
      </c>
      <c r="N149" s="173" t="s">
        <v>266</v>
      </c>
      <c r="O149" s="175" t="s">
        <v>268</v>
      </c>
      <c r="P149" s="170">
        <v>61131.360000000001</v>
      </c>
      <c r="Q149" s="170">
        <v>0</v>
      </c>
      <c r="R149" s="170">
        <v>0</v>
      </c>
      <c r="S149" s="170">
        <f t="shared" si="12"/>
        <v>61131.360000000001</v>
      </c>
      <c r="T149" s="170">
        <f t="shared" si="15"/>
        <v>69.968364427148899</v>
      </c>
      <c r="U149" s="170">
        <v>69.968364427148899</v>
      </c>
      <c r="V149" s="202">
        <f t="shared" si="16"/>
        <v>0</v>
      </c>
      <c r="W149" s="202">
        <f>T149</f>
        <v>69.968364427148899</v>
      </c>
      <c r="X149" s="202">
        <v>0</v>
      </c>
      <c r="Y149" s="203">
        <v>0</v>
      </c>
      <c r="Z149" s="203">
        <v>0</v>
      </c>
      <c r="AA149" s="203">
        <v>0</v>
      </c>
      <c r="AB149" s="203">
        <v>0</v>
      </c>
      <c r="AC149" s="203">
        <v>0</v>
      </c>
      <c r="AD149" s="203">
        <v>0</v>
      </c>
      <c r="AE149" s="203">
        <v>625.1</v>
      </c>
      <c r="AF149" s="202">
        <f>6436.53*AE149/I149</f>
        <v>4605.098893212773</v>
      </c>
      <c r="AG149" s="203">
        <v>0</v>
      </c>
      <c r="AH149" s="202">
        <v>0</v>
      </c>
      <c r="AI149" s="203">
        <v>0</v>
      </c>
      <c r="AJ149" s="202">
        <v>0</v>
      </c>
      <c r="AK149" s="203">
        <v>0</v>
      </c>
      <c r="AL149" s="203">
        <v>0</v>
      </c>
      <c r="AM149" s="203">
        <v>0</v>
      </c>
      <c r="AN149" s="203"/>
      <c r="AO149" s="203">
        <v>0</v>
      </c>
    </row>
    <row r="150" spans="1:41" s="176" customFormat="1" ht="36" customHeight="1" x14ac:dyDescent="0.25">
      <c r="B150" s="172" t="s">
        <v>749</v>
      </c>
      <c r="C150" s="359"/>
      <c r="D150" s="173" t="s">
        <v>882</v>
      </c>
      <c r="E150" s="173" t="s">
        <v>882</v>
      </c>
      <c r="F150" s="173" t="s">
        <v>882</v>
      </c>
      <c r="G150" s="173" t="s">
        <v>882</v>
      </c>
      <c r="H150" s="173" t="s">
        <v>882</v>
      </c>
      <c r="I150" s="177">
        <f>SUM(I151:I195)</f>
        <v>122338.65999999997</v>
      </c>
      <c r="J150" s="177">
        <f>SUM(J151:J195)</f>
        <v>104282.45000000003</v>
      </c>
      <c r="K150" s="177">
        <f>SUM(K151:K195)</f>
        <v>101660.15000000001</v>
      </c>
      <c r="L150" s="357">
        <f>SUM(L151:L195)</f>
        <v>4539</v>
      </c>
      <c r="M150" s="173" t="s">
        <v>882</v>
      </c>
      <c r="N150" s="173" t="s">
        <v>882</v>
      </c>
      <c r="O150" s="175" t="s">
        <v>882</v>
      </c>
      <c r="P150" s="177">
        <v>112751259.44999994</v>
      </c>
      <c r="Q150" s="177">
        <f>SUM(Q151:Q195)</f>
        <v>0</v>
      </c>
      <c r="R150" s="177">
        <f>SUM(R151:R195)</f>
        <v>0</v>
      </c>
      <c r="S150" s="177">
        <f>SUM(S151:S195)</f>
        <v>112751259.44999994</v>
      </c>
      <c r="T150" s="170">
        <f t="shared" si="15"/>
        <v>921.63229064303925</v>
      </c>
      <c r="U150" s="170">
        <f>MAX(U151:U195)</f>
        <v>8001.7673725392779</v>
      </c>
      <c r="V150" s="202">
        <f t="shared" si="16"/>
        <v>7080.1350818962383</v>
      </c>
      <c r="W150" s="202"/>
      <c r="X150" s="202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</row>
    <row r="151" spans="1:41" s="176" customFormat="1" ht="36" customHeight="1" x14ac:dyDescent="0.25">
      <c r="A151" s="176">
        <v>1</v>
      </c>
      <c r="B151" s="171">
        <f>SUBTOTAL(103,$A$16:A151)</f>
        <v>134</v>
      </c>
      <c r="C151" s="172" t="s">
        <v>384</v>
      </c>
      <c r="D151" s="173">
        <v>1974</v>
      </c>
      <c r="E151" s="173"/>
      <c r="F151" s="174" t="s">
        <v>311</v>
      </c>
      <c r="G151" s="173">
        <v>5</v>
      </c>
      <c r="H151" s="173" t="s">
        <v>370</v>
      </c>
      <c r="I151" s="170">
        <v>4987.2</v>
      </c>
      <c r="J151" s="170">
        <v>4580.7</v>
      </c>
      <c r="K151" s="170">
        <v>4580.7</v>
      </c>
      <c r="L151" s="206">
        <v>117</v>
      </c>
      <c r="M151" s="173" t="s">
        <v>265</v>
      </c>
      <c r="N151" s="173" t="s">
        <v>269</v>
      </c>
      <c r="O151" s="175" t="s">
        <v>321</v>
      </c>
      <c r="P151" s="170">
        <v>2649277.08</v>
      </c>
      <c r="Q151" s="170">
        <v>0</v>
      </c>
      <c r="R151" s="170">
        <v>0</v>
      </c>
      <c r="S151" s="170">
        <f t="shared" ref="S151:S185" si="17">P151-Q151-R151</f>
        <v>2649277.08</v>
      </c>
      <c r="T151" s="170">
        <f t="shared" si="15"/>
        <v>531.21532723772862</v>
      </c>
      <c r="U151" s="170">
        <v>1447.0863703079885</v>
      </c>
      <c r="V151" s="202">
        <f t="shared" si="16"/>
        <v>915.87104307025993</v>
      </c>
      <c r="W151" s="202">
        <f t="shared" ref="W151:W194" si="18">X151+Y151+Z151+AA151+AB151+AD151+AF151+AH151+AJ151+AL151+AN151+AO151</f>
        <v>1387.3168134023099</v>
      </c>
      <c r="X151" s="202">
        <v>0</v>
      </c>
      <c r="Y151" s="203">
        <v>0</v>
      </c>
      <c r="Z151" s="203">
        <v>0</v>
      </c>
      <c r="AA151" s="203">
        <v>0</v>
      </c>
      <c r="AB151" s="203">
        <v>0</v>
      </c>
      <c r="AC151" s="203">
        <v>0</v>
      </c>
      <c r="AD151" s="203">
        <v>0</v>
      </c>
      <c r="AE151" s="203">
        <v>1108.98</v>
      </c>
      <c r="AF151" s="202">
        <f>6238.91*AE151/I151</f>
        <v>1387.3168134023099</v>
      </c>
      <c r="AG151" s="203">
        <v>0</v>
      </c>
      <c r="AH151" s="202">
        <v>0</v>
      </c>
      <c r="AI151" s="203">
        <v>0</v>
      </c>
      <c r="AJ151" s="202">
        <v>0</v>
      </c>
      <c r="AK151" s="203">
        <v>0</v>
      </c>
      <c r="AL151" s="203">
        <v>0</v>
      </c>
      <c r="AM151" s="203">
        <v>0</v>
      </c>
      <c r="AN151" s="203"/>
      <c r="AO151" s="203">
        <v>0</v>
      </c>
    </row>
    <row r="152" spans="1:41" s="176" customFormat="1" ht="36" customHeight="1" x14ac:dyDescent="0.25">
      <c r="A152" s="176">
        <v>1</v>
      </c>
      <c r="B152" s="171">
        <f>SUBTOTAL(103,$A$16:A152)</f>
        <v>135</v>
      </c>
      <c r="C152" s="172" t="s">
        <v>385</v>
      </c>
      <c r="D152" s="173">
        <v>1975</v>
      </c>
      <c r="E152" s="173"/>
      <c r="F152" s="174" t="s">
        <v>311</v>
      </c>
      <c r="G152" s="173">
        <v>5</v>
      </c>
      <c r="H152" s="173" t="s">
        <v>2250</v>
      </c>
      <c r="I152" s="170">
        <v>6679</v>
      </c>
      <c r="J152" s="170">
        <v>6109.3</v>
      </c>
      <c r="K152" s="170">
        <v>6109.3</v>
      </c>
      <c r="L152" s="206">
        <v>285</v>
      </c>
      <c r="M152" s="173" t="s">
        <v>265</v>
      </c>
      <c r="N152" s="173" t="s">
        <v>269</v>
      </c>
      <c r="O152" s="175" t="s">
        <v>981</v>
      </c>
      <c r="P152" s="170">
        <v>2599693.37</v>
      </c>
      <c r="Q152" s="170">
        <v>0</v>
      </c>
      <c r="R152" s="170">
        <v>0</v>
      </c>
      <c r="S152" s="170">
        <f t="shared" si="17"/>
        <v>2599693.37</v>
      </c>
      <c r="T152" s="170">
        <f t="shared" si="15"/>
        <v>389.23392274292559</v>
      </c>
      <c r="U152" s="170">
        <v>3635.5</v>
      </c>
      <c r="V152" s="202">
        <f t="shared" si="16"/>
        <v>3246.2660772570744</v>
      </c>
      <c r="W152" s="202">
        <f t="shared" si="18"/>
        <v>3606.6499999999996</v>
      </c>
      <c r="X152" s="202">
        <v>101.55</v>
      </c>
      <c r="Y152" s="203">
        <v>245.44</v>
      </c>
      <c r="Z152" s="203">
        <v>3259.66</v>
      </c>
      <c r="AA152" s="203">
        <v>0</v>
      </c>
      <c r="AB152" s="203">
        <v>0</v>
      </c>
      <c r="AC152" s="203">
        <v>0</v>
      </c>
      <c r="AD152" s="203">
        <v>0</v>
      </c>
      <c r="AE152" s="203">
        <v>0</v>
      </c>
      <c r="AF152" s="202">
        <v>0</v>
      </c>
      <c r="AG152" s="203">
        <v>0</v>
      </c>
      <c r="AH152" s="202">
        <v>0</v>
      </c>
      <c r="AI152" s="203">
        <v>0</v>
      </c>
      <c r="AJ152" s="202">
        <v>0</v>
      </c>
      <c r="AK152" s="203">
        <v>0</v>
      </c>
      <c r="AL152" s="203">
        <v>0</v>
      </c>
      <c r="AM152" s="203">
        <v>0</v>
      </c>
      <c r="AN152" s="203"/>
      <c r="AO152" s="203">
        <v>0</v>
      </c>
    </row>
    <row r="153" spans="1:41" s="176" customFormat="1" ht="36" customHeight="1" x14ac:dyDescent="0.25">
      <c r="A153" s="176">
        <v>1</v>
      </c>
      <c r="B153" s="171">
        <f>SUBTOTAL(103,$A$16:A153)</f>
        <v>136</v>
      </c>
      <c r="C153" s="172" t="s">
        <v>386</v>
      </c>
      <c r="D153" s="173">
        <v>1954</v>
      </c>
      <c r="E153" s="173"/>
      <c r="F153" s="174" t="s">
        <v>267</v>
      </c>
      <c r="G153" s="173">
        <v>2</v>
      </c>
      <c r="H153" s="173" t="s">
        <v>312</v>
      </c>
      <c r="I153" s="170">
        <v>641.79999999999995</v>
      </c>
      <c r="J153" s="170">
        <v>552.29999999999995</v>
      </c>
      <c r="K153" s="170">
        <v>552.29999999999995</v>
      </c>
      <c r="L153" s="206">
        <v>34</v>
      </c>
      <c r="M153" s="173" t="s">
        <v>265</v>
      </c>
      <c r="N153" s="173" t="s">
        <v>269</v>
      </c>
      <c r="O153" s="175" t="s">
        <v>321</v>
      </c>
      <c r="P153" s="170">
        <v>3188621.1</v>
      </c>
      <c r="Q153" s="170">
        <v>0</v>
      </c>
      <c r="R153" s="170">
        <v>0</v>
      </c>
      <c r="S153" s="170">
        <f t="shared" si="17"/>
        <v>3188621.1</v>
      </c>
      <c r="T153" s="170">
        <f t="shared" si="15"/>
        <v>4968.2472732938613</v>
      </c>
      <c r="U153" s="170">
        <v>6083.8578996572141</v>
      </c>
      <c r="V153" s="202">
        <f t="shared" si="16"/>
        <v>1115.6106263633528</v>
      </c>
      <c r="W153" s="202">
        <f t="shared" si="18"/>
        <v>5832.5740105952018</v>
      </c>
      <c r="X153" s="202">
        <v>0</v>
      </c>
      <c r="Y153" s="203">
        <v>0</v>
      </c>
      <c r="Z153" s="203">
        <v>0</v>
      </c>
      <c r="AA153" s="203">
        <v>0</v>
      </c>
      <c r="AB153" s="203">
        <v>0</v>
      </c>
      <c r="AC153" s="203">
        <v>0</v>
      </c>
      <c r="AD153" s="203">
        <v>0</v>
      </c>
      <c r="AE153" s="203">
        <v>600</v>
      </c>
      <c r="AF153" s="202">
        <f>6238.91*AE153/I153</f>
        <v>5832.5740105952018</v>
      </c>
      <c r="AG153" s="203">
        <v>0</v>
      </c>
      <c r="AH153" s="202">
        <v>0</v>
      </c>
      <c r="AI153" s="203">
        <v>0</v>
      </c>
      <c r="AJ153" s="202">
        <v>0</v>
      </c>
      <c r="AK153" s="203">
        <v>0</v>
      </c>
      <c r="AL153" s="203">
        <v>0</v>
      </c>
      <c r="AM153" s="203">
        <v>0</v>
      </c>
      <c r="AN153" s="203"/>
      <c r="AO153" s="203">
        <v>0</v>
      </c>
    </row>
    <row r="154" spans="1:41" s="176" customFormat="1" ht="36" customHeight="1" x14ac:dyDescent="0.25">
      <c r="A154" s="176">
        <v>1</v>
      </c>
      <c r="B154" s="171">
        <f>SUBTOTAL(103,$A$16:A154)</f>
        <v>137</v>
      </c>
      <c r="C154" s="172" t="s">
        <v>387</v>
      </c>
      <c r="D154" s="173">
        <v>1975</v>
      </c>
      <c r="E154" s="173"/>
      <c r="F154" s="174" t="s">
        <v>267</v>
      </c>
      <c r="G154" s="173">
        <v>5</v>
      </c>
      <c r="H154" s="173" t="s">
        <v>308</v>
      </c>
      <c r="I154" s="170">
        <v>3325.2</v>
      </c>
      <c r="J154" s="170">
        <v>3325.2</v>
      </c>
      <c r="K154" s="170">
        <v>3325.2</v>
      </c>
      <c r="L154" s="206">
        <v>111</v>
      </c>
      <c r="M154" s="173" t="s">
        <v>265</v>
      </c>
      <c r="N154" s="173" t="s">
        <v>269</v>
      </c>
      <c r="O154" s="175" t="s">
        <v>322</v>
      </c>
      <c r="P154" s="170">
        <v>5265781.6800000006</v>
      </c>
      <c r="Q154" s="170">
        <v>0</v>
      </c>
      <c r="R154" s="170">
        <v>0</v>
      </c>
      <c r="S154" s="170">
        <f t="shared" si="17"/>
        <v>5265781.6800000006</v>
      </c>
      <c r="T154" s="170">
        <f t="shared" si="15"/>
        <v>1583.5984843016963</v>
      </c>
      <c r="U154" s="170">
        <v>2139.0942198965477</v>
      </c>
      <c r="V154" s="202">
        <f t="shared" si="16"/>
        <v>555.49573559485134</v>
      </c>
      <c r="W154" s="202">
        <f t="shared" si="18"/>
        <v>2050.7424004571153</v>
      </c>
      <c r="X154" s="202">
        <v>0</v>
      </c>
      <c r="Y154" s="203">
        <v>0</v>
      </c>
      <c r="Z154" s="203">
        <v>0</v>
      </c>
      <c r="AA154" s="203">
        <v>0</v>
      </c>
      <c r="AB154" s="203">
        <v>0</v>
      </c>
      <c r="AC154" s="203">
        <v>0</v>
      </c>
      <c r="AD154" s="203">
        <v>0</v>
      </c>
      <c r="AE154" s="203">
        <v>1093</v>
      </c>
      <c r="AF154" s="202">
        <f>6238.91*AE154/I154</f>
        <v>2050.7424004571153</v>
      </c>
      <c r="AG154" s="203">
        <v>0</v>
      </c>
      <c r="AH154" s="202">
        <v>0</v>
      </c>
      <c r="AI154" s="203">
        <v>0</v>
      </c>
      <c r="AJ154" s="202">
        <v>0</v>
      </c>
      <c r="AK154" s="203">
        <v>0</v>
      </c>
      <c r="AL154" s="203">
        <v>0</v>
      </c>
      <c r="AM154" s="203">
        <v>0</v>
      </c>
      <c r="AN154" s="203"/>
      <c r="AO154" s="203">
        <v>0</v>
      </c>
    </row>
    <row r="155" spans="1:41" s="176" customFormat="1" ht="36" customHeight="1" x14ac:dyDescent="0.25">
      <c r="A155" s="176">
        <v>1</v>
      </c>
      <c r="B155" s="171">
        <f>SUBTOTAL(103,$A$16:A155)</f>
        <v>138</v>
      </c>
      <c r="C155" s="172" t="s">
        <v>388</v>
      </c>
      <c r="D155" s="173">
        <v>1966</v>
      </c>
      <c r="E155" s="173"/>
      <c r="F155" s="174" t="s">
        <v>267</v>
      </c>
      <c r="G155" s="173">
        <v>4</v>
      </c>
      <c r="H155" s="173" t="s">
        <v>308</v>
      </c>
      <c r="I155" s="170">
        <v>2747.7</v>
      </c>
      <c r="J155" s="170">
        <v>2553.9</v>
      </c>
      <c r="K155" s="170">
        <v>2553.9</v>
      </c>
      <c r="L155" s="206">
        <v>120</v>
      </c>
      <c r="M155" s="173" t="s">
        <v>265</v>
      </c>
      <c r="N155" s="173" t="s">
        <v>269</v>
      </c>
      <c r="O155" s="175" t="s">
        <v>981</v>
      </c>
      <c r="P155" s="170">
        <v>5393074.9299999997</v>
      </c>
      <c r="Q155" s="170">
        <v>0</v>
      </c>
      <c r="R155" s="170">
        <v>0</v>
      </c>
      <c r="S155" s="170">
        <f t="shared" si="17"/>
        <v>5393074.9299999997</v>
      </c>
      <c r="T155" s="170">
        <f t="shared" si="15"/>
        <v>1962.7597372347782</v>
      </c>
      <c r="U155" s="170">
        <v>2587.5905513702369</v>
      </c>
      <c r="V155" s="202">
        <f t="shared" si="16"/>
        <v>624.8308141354587</v>
      </c>
      <c r="W155" s="202">
        <f t="shared" si="18"/>
        <v>2216.0993412672419</v>
      </c>
      <c r="X155" s="202">
        <v>0</v>
      </c>
      <c r="Y155" s="203">
        <v>0</v>
      </c>
      <c r="Z155" s="203">
        <v>0</v>
      </c>
      <c r="AA155" s="203">
        <v>0</v>
      </c>
      <c r="AB155" s="203">
        <v>0</v>
      </c>
      <c r="AC155" s="203">
        <v>0</v>
      </c>
      <c r="AD155" s="203">
        <v>0</v>
      </c>
      <c r="AE155" s="203">
        <v>976</v>
      </c>
      <c r="AF155" s="202">
        <f>6238.91*AE155/I155</f>
        <v>2216.0993412672419</v>
      </c>
      <c r="AG155" s="203">
        <v>0</v>
      </c>
      <c r="AH155" s="202">
        <v>0</v>
      </c>
      <c r="AI155" s="203">
        <v>0</v>
      </c>
      <c r="AJ155" s="202">
        <v>0</v>
      </c>
      <c r="AK155" s="203">
        <v>0</v>
      </c>
      <c r="AL155" s="203">
        <v>0</v>
      </c>
      <c r="AM155" s="203">
        <v>0</v>
      </c>
      <c r="AN155" s="203"/>
      <c r="AO155" s="203">
        <v>0</v>
      </c>
    </row>
    <row r="156" spans="1:41" s="176" customFormat="1" ht="36" customHeight="1" x14ac:dyDescent="0.25">
      <c r="A156" s="176">
        <v>1</v>
      </c>
      <c r="B156" s="171">
        <f>SUBTOTAL(103,$A$16:A156)</f>
        <v>139</v>
      </c>
      <c r="C156" s="172" t="s">
        <v>389</v>
      </c>
      <c r="D156" s="173" t="s">
        <v>323</v>
      </c>
      <c r="E156" s="173"/>
      <c r="F156" s="174" t="s">
        <v>267</v>
      </c>
      <c r="G156" s="173">
        <v>9</v>
      </c>
      <c r="H156" s="173" t="s">
        <v>312</v>
      </c>
      <c r="I156" s="170">
        <v>6434.3</v>
      </c>
      <c r="J156" s="170">
        <v>5754.2</v>
      </c>
      <c r="K156" s="170">
        <v>5754.2</v>
      </c>
      <c r="L156" s="206">
        <v>247</v>
      </c>
      <c r="M156" s="173" t="s">
        <v>265</v>
      </c>
      <c r="N156" s="173" t="s">
        <v>269</v>
      </c>
      <c r="O156" s="175" t="s">
        <v>322</v>
      </c>
      <c r="P156" s="170">
        <v>4873547.67</v>
      </c>
      <c r="Q156" s="170">
        <v>0</v>
      </c>
      <c r="R156" s="170">
        <v>0</v>
      </c>
      <c r="S156" s="170">
        <f t="shared" si="17"/>
        <v>4873547.67</v>
      </c>
      <c r="T156" s="170">
        <f t="shared" si="15"/>
        <v>757.43245885333283</v>
      </c>
      <c r="U156" s="170">
        <v>1145.9521626284134</v>
      </c>
      <c r="V156" s="202">
        <f t="shared" si="16"/>
        <v>388.51970377508053</v>
      </c>
      <c r="W156" s="202">
        <f t="shared" si="18"/>
        <v>1145.9521626284134</v>
      </c>
      <c r="X156" s="202">
        <v>0</v>
      </c>
      <c r="Y156" s="203">
        <v>0</v>
      </c>
      <c r="Z156" s="203">
        <v>0</v>
      </c>
      <c r="AA156" s="203">
        <v>0</v>
      </c>
      <c r="AB156" s="203">
        <v>0</v>
      </c>
      <c r="AC156" s="203">
        <v>3</v>
      </c>
      <c r="AD156" s="202">
        <f>2457800*AC156/I156</f>
        <v>1145.9521626284134</v>
      </c>
      <c r="AE156" s="203">
        <v>0</v>
      </c>
      <c r="AF156" s="202">
        <v>0</v>
      </c>
      <c r="AG156" s="203">
        <v>0</v>
      </c>
      <c r="AH156" s="202">
        <v>0</v>
      </c>
      <c r="AI156" s="203">
        <v>0</v>
      </c>
      <c r="AJ156" s="202">
        <v>0</v>
      </c>
      <c r="AK156" s="203">
        <v>0</v>
      </c>
      <c r="AL156" s="203">
        <v>0</v>
      </c>
      <c r="AM156" s="203">
        <v>0</v>
      </c>
      <c r="AN156" s="203"/>
      <c r="AO156" s="203">
        <v>0</v>
      </c>
    </row>
    <row r="157" spans="1:41" s="176" customFormat="1" ht="36" customHeight="1" x14ac:dyDescent="0.25">
      <c r="A157" s="176">
        <v>1</v>
      </c>
      <c r="B157" s="171">
        <f>SUBTOTAL(103,$A$16:A157)</f>
        <v>140</v>
      </c>
      <c r="C157" s="172" t="s">
        <v>390</v>
      </c>
      <c r="D157" s="173">
        <v>1949</v>
      </c>
      <c r="E157" s="173"/>
      <c r="F157" s="174" t="s">
        <v>324</v>
      </c>
      <c r="G157" s="173">
        <v>2</v>
      </c>
      <c r="H157" s="173" t="s">
        <v>304</v>
      </c>
      <c r="I157" s="170">
        <v>499.5</v>
      </c>
      <c r="J157" s="170">
        <v>450.4</v>
      </c>
      <c r="K157" s="170">
        <v>450.4</v>
      </c>
      <c r="L157" s="206">
        <v>16</v>
      </c>
      <c r="M157" s="173" t="s">
        <v>265</v>
      </c>
      <c r="N157" s="173" t="s">
        <v>266</v>
      </c>
      <c r="O157" s="175" t="s">
        <v>268</v>
      </c>
      <c r="P157" s="170">
        <v>2215482.85</v>
      </c>
      <c r="Q157" s="170">
        <v>0</v>
      </c>
      <c r="R157" s="170">
        <v>0</v>
      </c>
      <c r="S157" s="170">
        <f t="shared" si="17"/>
        <v>2215482.85</v>
      </c>
      <c r="T157" s="170">
        <f t="shared" si="15"/>
        <v>4435.4011011011016</v>
      </c>
      <c r="U157" s="170">
        <v>5782.0165365365365</v>
      </c>
      <c r="V157" s="202">
        <f t="shared" si="16"/>
        <v>1346.6154354354348</v>
      </c>
      <c r="W157" s="202">
        <f t="shared" si="18"/>
        <v>5543.1997157157157</v>
      </c>
      <c r="X157" s="202">
        <v>0</v>
      </c>
      <c r="Y157" s="203">
        <v>0</v>
      </c>
      <c r="Z157" s="203">
        <v>0</v>
      </c>
      <c r="AA157" s="203">
        <v>0</v>
      </c>
      <c r="AB157" s="203">
        <v>0</v>
      </c>
      <c r="AC157" s="203">
        <v>0</v>
      </c>
      <c r="AD157" s="203">
        <v>0</v>
      </c>
      <c r="AE157" s="203">
        <v>443.8</v>
      </c>
      <c r="AF157" s="202">
        <f>6238.91*AE157/I157</f>
        <v>5543.1997157157157</v>
      </c>
      <c r="AG157" s="203">
        <v>0</v>
      </c>
      <c r="AH157" s="202">
        <v>0</v>
      </c>
      <c r="AI157" s="203">
        <v>0</v>
      </c>
      <c r="AJ157" s="202">
        <v>0</v>
      </c>
      <c r="AK157" s="203">
        <v>0</v>
      </c>
      <c r="AL157" s="203">
        <v>0</v>
      </c>
      <c r="AM157" s="203">
        <v>0</v>
      </c>
      <c r="AN157" s="203"/>
      <c r="AO157" s="203">
        <v>0</v>
      </c>
    </row>
    <row r="158" spans="1:41" s="176" customFormat="1" ht="36" customHeight="1" x14ac:dyDescent="0.25">
      <c r="A158" s="176">
        <v>1</v>
      </c>
      <c r="B158" s="171">
        <f>SUBTOTAL(103,$A$16:A158)</f>
        <v>141</v>
      </c>
      <c r="C158" s="172" t="s">
        <v>391</v>
      </c>
      <c r="D158" s="173">
        <v>1992</v>
      </c>
      <c r="E158" s="173"/>
      <c r="F158" s="174" t="s">
        <v>267</v>
      </c>
      <c r="G158" s="173">
        <v>9</v>
      </c>
      <c r="H158" s="173" t="s">
        <v>312</v>
      </c>
      <c r="I158" s="170">
        <v>6502.8</v>
      </c>
      <c r="J158" s="170">
        <v>5914.7</v>
      </c>
      <c r="K158" s="170">
        <v>5914.7</v>
      </c>
      <c r="L158" s="206">
        <v>287</v>
      </c>
      <c r="M158" s="173" t="s">
        <v>265</v>
      </c>
      <c r="N158" s="173" t="s">
        <v>269</v>
      </c>
      <c r="O158" s="175" t="s">
        <v>981</v>
      </c>
      <c r="P158" s="170">
        <v>4885396.4400000004</v>
      </c>
      <c r="Q158" s="170">
        <v>0</v>
      </c>
      <c r="R158" s="170">
        <v>0</v>
      </c>
      <c r="S158" s="170">
        <f t="shared" si="17"/>
        <v>4885396.4400000004</v>
      </c>
      <c r="T158" s="170">
        <f t="shared" si="15"/>
        <v>751.27582579811781</v>
      </c>
      <c r="U158" s="170">
        <v>1133.8807898136188</v>
      </c>
      <c r="V158" s="202">
        <f t="shared" si="16"/>
        <v>382.60496401550097</v>
      </c>
      <c r="W158" s="202">
        <f t="shared" si="18"/>
        <v>1133.8807898136188</v>
      </c>
      <c r="X158" s="202">
        <v>0</v>
      </c>
      <c r="Y158" s="203">
        <v>0</v>
      </c>
      <c r="Z158" s="203">
        <v>0</v>
      </c>
      <c r="AA158" s="203">
        <v>0</v>
      </c>
      <c r="AB158" s="203">
        <v>0</v>
      </c>
      <c r="AC158" s="203">
        <v>3</v>
      </c>
      <c r="AD158" s="202">
        <f>2457800*AC158/I158</f>
        <v>1133.8807898136188</v>
      </c>
      <c r="AE158" s="203">
        <v>0</v>
      </c>
      <c r="AF158" s="202">
        <v>0</v>
      </c>
      <c r="AG158" s="203">
        <v>0</v>
      </c>
      <c r="AH158" s="202">
        <v>0</v>
      </c>
      <c r="AI158" s="203">
        <v>0</v>
      </c>
      <c r="AJ158" s="202">
        <v>0</v>
      </c>
      <c r="AK158" s="203">
        <v>0</v>
      </c>
      <c r="AL158" s="203">
        <v>0</v>
      </c>
      <c r="AM158" s="203">
        <v>0</v>
      </c>
      <c r="AN158" s="203"/>
      <c r="AO158" s="203">
        <v>0</v>
      </c>
    </row>
    <row r="159" spans="1:41" s="176" customFormat="1" ht="36" customHeight="1" x14ac:dyDescent="0.25">
      <c r="A159" s="176">
        <v>1</v>
      </c>
      <c r="B159" s="171">
        <f>SUBTOTAL(103,$A$16:A159)</f>
        <v>142</v>
      </c>
      <c r="C159" s="172" t="s">
        <v>392</v>
      </c>
      <c r="D159" s="173">
        <v>1974</v>
      </c>
      <c r="E159" s="173"/>
      <c r="F159" s="174" t="s">
        <v>267</v>
      </c>
      <c r="G159" s="173">
        <v>5</v>
      </c>
      <c r="H159" s="173" t="s">
        <v>370</v>
      </c>
      <c r="I159" s="170">
        <v>5896.3</v>
      </c>
      <c r="J159" s="170">
        <v>4495.2</v>
      </c>
      <c r="K159" s="170">
        <v>4495.2</v>
      </c>
      <c r="L159" s="206">
        <v>192</v>
      </c>
      <c r="M159" s="173" t="s">
        <v>265</v>
      </c>
      <c r="N159" s="173" t="s">
        <v>269</v>
      </c>
      <c r="O159" s="175" t="s">
        <v>325</v>
      </c>
      <c r="P159" s="170">
        <v>7884254.25</v>
      </c>
      <c r="Q159" s="170">
        <v>0</v>
      </c>
      <c r="R159" s="170">
        <v>0</v>
      </c>
      <c r="S159" s="170">
        <f t="shared" si="17"/>
        <v>7884254.25</v>
      </c>
      <c r="T159" s="170">
        <f t="shared" si="15"/>
        <v>1337.1528331326424</v>
      </c>
      <c r="U159" s="170">
        <v>1658.9044799280903</v>
      </c>
      <c r="V159" s="202">
        <f t="shared" si="16"/>
        <v>321.75164679544787</v>
      </c>
      <c r="W159" s="202">
        <f t="shared" si="18"/>
        <v>1590.3861193460305</v>
      </c>
      <c r="X159" s="202">
        <v>0</v>
      </c>
      <c r="Y159" s="203">
        <v>0</v>
      </c>
      <c r="Z159" s="203">
        <v>0</v>
      </c>
      <c r="AA159" s="203">
        <v>0</v>
      </c>
      <c r="AB159" s="203">
        <v>0</v>
      </c>
      <c r="AC159" s="203">
        <v>0</v>
      </c>
      <c r="AD159" s="203">
        <v>0</v>
      </c>
      <c r="AE159" s="203">
        <v>1503.05</v>
      </c>
      <c r="AF159" s="202">
        <f>6238.91*AE159/I159</f>
        <v>1590.3861193460305</v>
      </c>
      <c r="AG159" s="203">
        <v>0</v>
      </c>
      <c r="AH159" s="202">
        <v>0</v>
      </c>
      <c r="AI159" s="203">
        <v>0</v>
      </c>
      <c r="AJ159" s="202">
        <v>0</v>
      </c>
      <c r="AK159" s="203">
        <v>0</v>
      </c>
      <c r="AL159" s="203">
        <v>0</v>
      </c>
      <c r="AM159" s="203">
        <v>0</v>
      </c>
      <c r="AN159" s="203"/>
      <c r="AO159" s="203">
        <v>0</v>
      </c>
    </row>
    <row r="160" spans="1:41" s="176" customFormat="1" ht="36" customHeight="1" x14ac:dyDescent="0.25">
      <c r="A160" s="176">
        <v>1</v>
      </c>
      <c r="B160" s="171">
        <f>SUBTOTAL(103,$A$16:A160)</f>
        <v>143</v>
      </c>
      <c r="C160" s="172" t="s">
        <v>393</v>
      </c>
      <c r="D160" s="173">
        <v>1974</v>
      </c>
      <c r="E160" s="173"/>
      <c r="F160" s="174" t="s">
        <v>267</v>
      </c>
      <c r="G160" s="173">
        <v>5</v>
      </c>
      <c r="H160" s="173" t="s">
        <v>308</v>
      </c>
      <c r="I160" s="170">
        <v>3647.3</v>
      </c>
      <c r="J160" s="170">
        <v>3647.3</v>
      </c>
      <c r="K160" s="170">
        <v>2672.9</v>
      </c>
      <c r="L160" s="206">
        <v>113</v>
      </c>
      <c r="M160" s="173" t="s">
        <v>265</v>
      </c>
      <c r="N160" s="173" t="s">
        <v>269</v>
      </c>
      <c r="O160" s="175" t="s">
        <v>326</v>
      </c>
      <c r="P160" s="170">
        <v>2908813.4299999997</v>
      </c>
      <c r="Q160" s="170">
        <v>0</v>
      </c>
      <c r="R160" s="170">
        <v>0</v>
      </c>
      <c r="S160" s="170">
        <f t="shared" si="17"/>
        <v>2908813.4299999997</v>
      </c>
      <c r="T160" s="170">
        <f t="shared" si="15"/>
        <v>797.52513640227005</v>
      </c>
      <c r="U160" s="170">
        <v>1668.667560661311</v>
      </c>
      <c r="V160" s="202">
        <f t="shared" si="16"/>
        <v>871.14242425904092</v>
      </c>
      <c r="W160" s="202">
        <f t="shared" si="18"/>
        <v>1599.7459518547967</v>
      </c>
      <c r="X160" s="202">
        <v>0</v>
      </c>
      <c r="Y160" s="203">
        <v>0</v>
      </c>
      <c r="Z160" s="203">
        <v>0</v>
      </c>
      <c r="AA160" s="203">
        <v>0</v>
      </c>
      <c r="AB160" s="203">
        <v>0</v>
      </c>
      <c r="AC160" s="203">
        <v>0</v>
      </c>
      <c r="AD160" s="203">
        <v>0</v>
      </c>
      <c r="AE160" s="203">
        <v>935.22</v>
      </c>
      <c r="AF160" s="202">
        <f>6238.91*AE160/I160</f>
        <v>1599.7459518547967</v>
      </c>
      <c r="AG160" s="203">
        <v>0</v>
      </c>
      <c r="AH160" s="202">
        <v>0</v>
      </c>
      <c r="AI160" s="203">
        <v>0</v>
      </c>
      <c r="AJ160" s="202">
        <v>0</v>
      </c>
      <c r="AK160" s="203">
        <v>0</v>
      </c>
      <c r="AL160" s="203">
        <v>0</v>
      </c>
      <c r="AM160" s="203">
        <v>0</v>
      </c>
      <c r="AN160" s="203"/>
      <c r="AO160" s="203">
        <v>0</v>
      </c>
    </row>
    <row r="161" spans="1:41" s="176" customFormat="1" ht="36" customHeight="1" x14ac:dyDescent="0.25">
      <c r="A161" s="176">
        <v>1</v>
      </c>
      <c r="B161" s="171">
        <f>SUBTOTAL(103,$A$16:A161)</f>
        <v>144</v>
      </c>
      <c r="C161" s="172" t="s">
        <v>394</v>
      </c>
      <c r="D161" s="173">
        <v>1958</v>
      </c>
      <c r="E161" s="173"/>
      <c r="F161" s="174" t="s">
        <v>267</v>
      </c>
      <c r="G161" s="173">
        <v>2</v>
      </c>
      <c r="H161" s="173" t="s">
        <v>303</v>
      </c>
      <c r="I161" s="170">
        <v>592.70000000000005</v>
      </c>
      <c r="J161" s="170">
        <v>548</v>
      </c>
      <c r="K161" s="170">
        <v>548</v>
      </c>
      <c r="L161" s="206">
        <v>26</v>
      </c>
      <c r="M161" s="173" t="s">
        <v>265</v>
      </c>
      <c r="N161" s="173" t="s">
        <v>266</v>
      </c>
      <c r="O161" s="175" t="s">
        <v>268</v>
      </c>
      <c r="P161" s="170">
        <v>2189551</v>
      </c>
      <c r="Q161" s="170">
        <v>0</v>
      </c>
      <c r="R161" s="170">
        <v>0</v>
      </c>
      <c r="S161" s="170">
        <f t="shared" si="17"/>
        <v>2189551</v>
      </c>
      <c r="T161" s="170">
        <f t="shared" si="15"/>
        <v>3694.197739159777</v>
      </c>
      <c r="U161" s="170">
        <v>5193.4234857432084</v>
      </c>
      <c r="V161" s="202">
        <f t="shared" si="16"/>
        <v>1499.2257465834314</v>
      </c>
      <c r="W161" s="202">
        <f t="shared" si="18"/>
        <v>4978.9175468196381</v>
      </c>
      <c r="X161" s="202">
        <v>0</v>
      </c>
      <c r="Y161" s="203">
        <v>0</v>
      </c>
      <c r="Z161" s="203">
        <v>0</v>
      </c>
      <c r="AA161" s="203">
        <v>0</v>
      </c>
      <c r="AB161" s="203">
        <v>0</v>
      </c>
      <c r="AC161" s="203">
        <v>0</v>
      </c>
      <c r="AD161" s="203">
        <v>0</v>
      </c>
      <c r="AE161" s="203">
        <v>473</v>
      </c>
      <c r="AF161" s="202">
        <f>6238.91*AE161/I161</f>
        <v>4978.9175468196381</v>
      </c>
      <c r="AG161" s="203">
        <v>0</v>
      </c>
      <c r="AH161" s="202">
        <v>0</v>
      </c>
      <c r="AI161" s="203">
        <v>0</v>
      </c>
      <c r="AJ161" s="202">
        <v>0</v>
      </c>
      <c r="AK161" s="203">
        <v>0</v>
      </c>
      <c r="AL161" s="203">
        <v>0</v>
      </c>
      <c r="AM161" s="203">
        <v>0</v>
      </c>
      <c r="AN161" s="203"/>
      <c r="AO161" s="203">
        <v>0</v>
      </c>
    </row>
    <row r="162" spans="1:41" s="176" customFormat="1" ht="36" customHeight="1" x14ac:dyDescent="0.25">
      <c r="A162" s="176">
        <v>1</v>
      </c>
      <c r="B162" s="171">
        <f>SUBTOTAL(103,$A$16:A162)</f>
        <v>145</v>
      </c>
      <c r="C162" s="172" t="s">
        <v>395</v>
      </c>
      <c r="D162" s="173">
        <v>1961</v>
      </c>
      <c r="E162" s="173"/>
      <c r="F162" s="174" t="s">
        <v>267</v>
      </c>
      <c r="G162" s="173">
        <v>2</v>
      </c>
      <c r="H162" s="173" t="s">
        <v>303</v>
      </c>
      <c r="I162" s="170">
        <v>679.5</v>
      </c>
      <c r="J162" s="170">
        <v>630.79999999999995</v>
      </c>
      <c r="K162" s="170">
        <v>630.79999999999995</v>
      </c>
      <c r="L162" s="206">
        <v>43</v>
      </c>
      <c r="M162" s="173" t="s">
        <v>265</v>
      </c>
      <c r="N162" s="173" t="s">
        <v>269</v>
      </c>
      <c r="O162" s="175" t="s">
        <v>325</v>
      </c>
      <c r="P162" s="170">
        <v>2855710.47</v>
      </c>
      <c r="Q162" s="170">
        <v>0</v>
      </c>
      <c r="R162" s="170">
        <v>0</v>
      </c>
      <c r="S162" s="170">
        <f t="shared" si="17"/>
        <v>2855710.47</v>
      </c>
      <c r="T162" s="170">
        <f t="shared" si="15"/>
        <v>4202.6644150110378</v>
      </c>
      <c r="U162" s="170">
        <v>5267.4540103016925</v>
      </c>
      <c r="V162" s="202">
        <f t="shared" si="16"/>
        <v>1064.7895952906547</v>
      </c>
      <c r="W162" s="202">
        <f t="shared" si="18"/>
        <v>5049.890360559235</v>
      </c>
      <c r="X162" s="202">
        <v>0</v>
      </c>
      <c r="Y162" s="203">
        <v>0</v>
      </c>
      <c r="Z162" s="203">
        <v>0</v>
      </c>
      <c r="AA162" s="203">
        <v>0</v>
      </c>
      <c r="AB162" s="203">
        <v>0</v>
      </c>
      <c r="AC162" s="203">
        <v>0</v>
      </c>
      <c r="AD162" s="203">
        <v>0</v>
      </c>
      <c r="AE162" s="203">
        <v>550</v>
      </c>
      <c r="AF162" s="202">
        <f>6238.91*AE162/I162</f>
        <v>5049.890360559235</v>
      </c>
      <c r="AG162" s="203">
        <v>0</v>
      </c>
      <c r="AH162" s="202">
        <v>0</v>
      </c>
      <c r="AI162" s="203">
        <v>0</v>
      </c>
      <c r="AJ162" s="202">
        <v>0</v>
      </c>
      <c r="AK162" s="203">
        <v>0</v>
      </c>
      <c r="AL162" s="203">
        <v>0</v>
      </c>
      <c r="AM162" s="203">
        <v>0</v>
      </c>
      <c r="AN162" s="203"/>
      <c r="AO162" s="203">
        <v>0</v>
      </c>
    </row>
    <row r="163" spans="1:41" s="176" customFormat="1" ht="36" customHeight="1" x14ac:dyDescent="0.25">
      <c r="A163" s="176">
        <v>1</v>
      </c>
      <c r="B163" s="171">
        <f>SUBTOTAL(103,$A$16:A163)</f>
        <v>146</v>
      </c>
      <c r="C163" s="172" t="s">
        <v>396</v>
      </c>
      <c r="D163" s="173">
        <v>1973</v>
      </c>
      <c r="E163" s="173"/>
      <c r="F163" s="174" t="s">
        <v>267</v>
      </c>
      <c r="G163" s="173">
        <v>5</v>
      </c>
      <c r="H163" s="173" t="s">
        <v>303</v>
      </c>
      <c r="I163" s="170">
        <v>4577.26</v>
      </c>
      <c r="J163" s="170">
        <v>2855</v>
      </c>
      <c r="K163" s="170">
        <v>2787.4</v>
      </c>
      <c r="L163" s="206">
        <v>181</v>
      </c>
      <c r="M163" s="173" t="s">
        <v>265</v>
      </c>
      <c r="N163" s="173" t="s">
        <v>269</v>
      </c>
      <c r="O163" s="175" t="s">
        <v>321</v>
      </c>
      <c r="P163" s="170">
        <v>3945816.73</v>
      </c>
      <c r="Q163" s="170">
        <v>0</v>
      </c>
      <c r="R163" s="170">
        <v>0</v>
      </c>
      <c r="S163" s="170">
        <f t="shared" si="17"/>
        <v>3945816.73</v>
      </c>
      <c r="T163" s="170">
        <f t="shared" si="15"/>
        <v>862.04776001363257</v>
      </c>
      <c r="U163" s="170">
        <v>3259.66</v>
      </c>
      <c r="V163" s="202">
        <f t="shared" si="16"/>
        <v>2397.6122399863671</v>
      </c>
      <c r="W163" s="202">
        <f t="shared" si="18"/>
        <v>3259.66</v>
      </c>
      <c r="X163" s="202">
        <v>0</v>
      </c>
      <c r="Y163" s="203">
        <v>0</v>
      </c>
      <c r="Z163" s="203">
        <v>3259.66</v>
      </c>
      <c r="AA163" s="203">
        <v>0</v>
      </c>
      <c r="AB163" s="203">
        <v>0</v>
      </c>
      <c r="AC163" s="203">
        <v>0</v>
      </c>
      <c r="AD163" s="203">
        <v>0</v>
      </c>
      <c r="AE163" s="203">
        <v>0</v>
      </c>
      <c r="AF163" s="202">
        <v>0</v>
      </c>
      <c r="AG163" s="203">
        <v>0</v>
      </c>
      <c r="AH163" s="202">
        <v>0</v>
      </c>
      <c r="AI163" s="203">
        <v>0</v>
      </c>
      <c r="AJ163" s="202">
        <v>0</v>
      </c>
      <c r="AK163" s="203">
        <v>0</v>
      </c>
      <c r="AL163" s="203">
        <v>0</v>
      </c>
      <c r="AM163" s="203">
        <v>0</v>
      </c>
      <c r="AN163" s="203"/>
      <c r="AO163" s="203">
        <v>0</v>
      </c>
    </row>
    <row r="164" spans="1:41" s="176" customFormat="1" ht="36" customHeight="1" x14ac:dyDescent="0.25">
      <c r="A164" s="176">
        <v>1</v>
      </c>
      <c r="B164" s="171">
        <f>SUBTOTAL(103,$A$16:A164)</f>
        <v>147</v>
      </c>
      <c r="C164" s="172" t="s">
        <v>197</v>
      </c>
      <c r="D164" s="173">
        <v>1986</v>
      </c>
      <c r="E164" s="173"/>
      <c r="F164" s="174" t="s">
        <v>311</v>
      </c>
      <c r="G164" s="173">
        <v>5</v>
      </c>
      <c r="H164" s="173" t="s">
        <v>370</v>
      </c>
      <c r="I164" s="170">
        <v>6281</v>
      </c>
      <c r="J164" s="170">
        <v>4728.1000000000004</v>
      </c>
      <c r="K164" s="170">
        <v>4728.1000000000004</v>
      </c>
      <c r="L164" s="206">
        <v>195</v>
      </c>
      <c r="M164" s="173" t="s">
        <v>265</v>
      </c>
      <c r="N164" s="173" t="s">
        <v>269</v>
      </c>
      <c r="O164" s="175" t="s">
        <v>326</v>
      </c>
      <c r="P164" s="170">
        <v>2766905.7600000002</v>
      </c>
      <c r="Q164" s="170">
        <v>0</v>
      </c>
      <c r="R164" s="170">
        <v>0</v>
      </c>
      <c r="S164" s="170">
        <f t="shared" si="17"/>
        <v>2766905.7600000002</v>
      </c>
      <c r="T164" s="170">
        <f t="shared" si="15"/>
        <v>440.51994268428598</v>
      </c>
      <c r="U164" s="170">
        <v>1233.3650819933132</v>
      </c>
      <c r="V164" s="202">
        <f t="shared" si="16"/>
        <v>792.84513930902722</v>
      </c>
      <c r="W164" s="202">
        <f t="shared" si="18"/>
        <v>1182.4229364750836</v>
      </c>
      <c r="X164" s="202">
        <v>0</v>
      </c>
      <c r="Y164" s="203">
        <v>0</v>
      </c>
      <c r="Z164" s="203">
        <v>0</v>
      </c>
      <c r="AA164" s="203">
        <v>0</v>
      </c>
      <c r="AB164" s="203">
        <v>0</v>
      </c>
      <c r="AC164" s="203">
        <v>0</v>
      </c>
      <c r="AD164" s="203">
        <v>0</v>
      </c>
      <c r="AE164" s="203">
        <v>1190.4000000000001</v>
      </c>
      <c r="AF164" s="202">
        <f>6238.91*AE164/I164</f>
        <v>1182.4229364750836</v>
      </c>
      <c r="AG164" s="203">
        <v>0</v>
      </c>
      <c r="AH164" s="202">
        <v>0</v>
      </c>
      <c r="AI164" s="203">
        <v>0</v>
      </c>
      <c r="AJ164" s="202">
        <v>0</v>
      </c>
      <c r="AK164" s="203">
        <v>0</v>
      </c>
      <c r="AL164" s="203">
        <v>0</v>
      </c>
      <c r="AM164" s="203">
        <v>0</v>
      </c>
      <c r="AN164" s="203"/>
      <c r="AO164" s="203">
        <v>0</v>
      </c>
    </row>
    <row r="165" spans="1:41" s="176" customFormat="1" ht="36" customHeight="1" x14ac:dyDescent="0.25">
      <c r="A165" s="176">
        <v>1</v>
      </c>
      <c r="B165" s="171">
        <f>SUBTOTAL(103,$A$16:A165)</f>
        <v>148</v>
      </c>
      <c r="C165" s="172" t="s">
        <v>397</v>
      </c>
      <c r="D165" s="173">
        <v>1948</v>
      </c>
      <c r="E165" s="173"/>
      <c r="F165" s="174" t="s">
        <v>324</v>
      </c>
      <c r="G165" s="173">
        <v>2</v>
      </c>
      <c r="H165" s="173" t="s">
        <v>304</v>
      </c>
      <c r="I165" s="170">
        <v>380.35</v>
      </c>
      <c r="J165" s="170">
        <v>328.8</v>
      </c>
      <c r="K165" s="170">
        <v>328.8</v>
      </c>
      <c r="L165" s="206">
        <v>16</v>
      </c>
      <c r="M165" s="173" t="s">
        <v>265</v>
      </c>
      <c r="N165" s="173" t="s">
        <v>269</v>
      </c>
      <c r="O165" s="175" t="s">
        <v>321</v>
      </c>
      <c r="P165" s="170">
        <v>1828369.47</v>
      </c>
      <c r="Q165" s="170">
        <v>0</v>
      </c>
      <c r="R165" s="170">
        <v>0</v>
      </c>
      <c r="S165" s="170">
        <f t="shared" si="17"/>
        <v>1828369.47</v>
      </c>
      <c r="T165" s="170">
        <f t="shared" si="15"/>
        <v>4807.0710398317333</v>
      </c>
      <c r="U165" s="170">
        <v>5851.5404232943338</v>
      </c>
      <c r="V165" s="202">
        <f t="shared" si="16"/>
        <v>1044.4693834626005</v>
      </c>
      <c r="W165" s="202">
        <f t="shared" si="18"/>
        <v>5609.8520310240556</v>
      </c>
      <c r="X165" s="202">
        <v>0</v>
      </c>
      <c r="Y165" s="203">
        <v>0</v>
      </c>
      <c r="Z165" s="203">
        <v>0</v>
      </c>
      <c r="AA165" s="203">
        <v>0</v>
      </c>
      <c r="AB165" s="203">
        <v>0</v>
      </c>
      <c r="AC165" s="203">
        <v>0</v>
      </c>
      <c r="AD165" s="203">
        <v>0</v>
      </c>
      <c r="AE165" s="203">
        <v>342</v>
      </c>
      <c r="AF165" s="202">
        <f>6238.91*AE165/I165</f>
        <v>5609.8520310240556</v>
      </c>
      <c r="AG165" s="203">
        <v>0</v>
      </c>
      <c r="AH165" s="202">
        <v>0</v>
      </c>
      <c r="AI165" s="203">
        <v>0</v>
      </c>
      <c r="AJ165" s="202">
        <v>0</v>
      </c>
      <c r="AK165" s="203">
        <v>0</v>
      </c>
      <c r="AL165" s="203">
        <v>0</v>
      </c>
      <c r="AM165" s="203">
        <v>0</v>
      </c>
      <c r="AN165" s="203"/>
      <c r="AO165" s="203">
        <v>0</v>
      </c>
    </row>
    <row r="166" spans="1:41" s="176" customFormat="1" ht="36" customHeight="1" x14ac:dyDescent="0.25">
      <c r="A166" s="176">
        <v>1</v>
      </c>
      <c r="B166" s="171">
        <f>SUBTOTAL(103,$A$16:A166)</f>
        <v>149</v>
      </c>
      <c r="C166" s="172" t="s">
        <v>398</v>
      </c>
      <c r="D166" s="173">
        <v>1972</v>
      </c>
      <c r="E166" s="173"/>
      <c r="F166" s="174" t="s">
        <v>267</v>
      </c>
      <c r="G166" s="173">
        <v>5</v>
      </c>
      <c r="H166" s="173" t="s">
        <v>2250</v>
      </c>
      <c r="I166" s="170">
        <v>6552.34</v>
      </c>
      <c r="J166" s="170">
        <v>6023.94</v>
      </c>
      <c r="K166" s="170">
        <v>6023.94</v>
      </c>
      <c r="L166" s="206">
        <v>307</v>
      </c>
      <c r="M166" s="173" t="s">
        <v>265</v>
      </c>
      <c r="N166" s="173" t="s">
        <v>269</v>
      </c>
      <c r="O166" s="175" t="s">
        <v>328</v>
      </c>
      <c r="P166" s="170">
        <v>9316893.9800000004</v>
      </c>
      <c r="Q166" s="170">
        <v>0</v>
      </c>
      <c r="R166" s="170">
        <v>0</v>
      </c>
      <c r="S166" s="170">
        <f t="shared" si="17"/>
        <v>9316893.9800000004</v>
      </c>
      <c r="T166" s="170">
        <f t="shared" si="15"/>
        <v>1421.9185787062331</v>
      </c>
      <c r="U166" s="170">
        <v>2000.2789537783447</v>
      </c>
      <c r="V166" s="202">
        <f t="shared" si="16"/>
        <v>578.36037507211154</v>
      </c>
      <c r="W166" s="202">
        <f t="shared" si="18"/>
        <v>1925.277995342122</v>
      </c>
      <c r="X166" s="202">
        <v>0</v>
      </c>
      <c r="Y166" s="203">
        <v>0</v>
      </c>
      <c r="Z166" s="203">
        <v>0</v>
      </c>
      <c r="AA166" s="203">
        <v>0</v>
      </c>
      <c r="AB166" s="203">
        <v>0</v>
      </c>
      <c r="AC166" s="203">
        <v>0</v>
      </c>
      <c r="AD166" s="203">
        <v>0</v>
      </c>
      <c r="AE166" s="203">
        <v>2022</v>
      </c>
      <c r="AF166" s="202">
        <f>6238.91*AE166/I166</f>
        <v>1925.277995342122</v>
      </c>
      <c r="AG166" s="203">
        <v>0</v>
      </c>
      <c r="AH166" s="202">
        <v>0</v>
      </c>
      <c r="AI166" s="203">
        <v>0</v>
      </c>
      <c r="AJ166" s="202">
        <v>0</v>
      </c>
      <c r="AK166" s="203">
        <v>0</v>
      </c>
      <c r="AL166" s="203">
        <v>0</v>
      </c>
      <c r="AM166" s="203">
        <v>0</v>
      </c>
      <c r="AN166" s="203"/>
      <c r="AO166" s="203">
        <v>0</v>
      </c>
    </row>
    <row r="167" spans="1:41" s="176" customFormat="1" ht="36" customHeight="1" x14ac:dyDescent="0.25">
      <c r="A167" s="176">
        <v>1</v>
      </c>
      <c r="B167" s="171">
        <f>SUBTOTAL(103,$A$16:A167)</f>
        <v>150</v>
      </c>
      <c r="C167" s="172" t="s">
        <v>1139</v>
      </c>
      <c r="D167" s="173">
        <v>1958</v>
      </c>
      <c r="E167" s="173"/>
      <c r="F167" s="174" t="s">
        <v>267</v>
      </c>
      <c r="G167" s="173">
        <v>2</v>
      </c>
      <c r="H167" s="173" t="s">
        <v>303</v>
      </c>
      <c r="I167" s="170">
        <v>731.63</v>
      </c>
      <c r="J167" s="170">
        <v>675.13</v>
      </c>
      <c r="K167" s="170">
        <v>675.13</v>
      </c>
      <c r="L167" s="206">
        <v>27</v>
      </c>
      <c r="M167" s="173" t="s">
        <v>265</v>
      </c>
      <c r="N167" s="173" t="s">
        <v>266</v>
      </c>
      <c r="O167" s="175" t="s">
        <v>268</v>
      </c>
      <c r="P167" s="170">
        <v>1472380.11</v>
      </c>
      <c r="Q167" s="170">
        <v>0</v>
      </c>
      <c r="R167" s="170">
        <v>0</v>
      </c>
      <c r="S167" s="170">
        <f t="shared" si="17"/>
        <v>1472380.11</v>
      </c>
      <c r="T167" s="170">
        <f t="shared" si="15"/>
        <v>2012.4654675177346</v>
      </c>
      <c r="U167" s="170">
        <v>4255.1000000000004</v>
      </c>
      <c r="V167" s="202">
        <f t="shared" si="16"/>
        <v>2242.634532482266</v>
      </c>
      <c r="W167" s="202">
        <f t="shared" si="18"/>
        <v>4341.5</v>
      </c>
      <c r="X167" s="202">
        <v>101.55</v>
      </c>
      <c r="Y167" s="203">
        <v>0</v>
      </c>
      <c r="Z167" s="203">
        <v>3259.66</v>
      </c>
      <c r="AA167" s="203">
        <v>184.98</v>
      </c>
      <c r="AB167" s="203">
        <v>795.31</v>
      </c>
      <c r="AC167" s="203">
        <v>0</v>
      </c>
      <c r="AD167" s="203">
        <v>0</v>
      </c>
      <c r="AE167" s="203">
        <v>0</v>
      </c>
      <c r="AF167" s="202">
        <v>0</v>
      </c>
      <c r="AG167" s="203">
        <v>0</v>
      </c>
      <c r="AH167" s="202">
        <v>0</v>
      </c>
      <c r="AI167" s="203">
        <v>0</v>
      </c>
      <c r="AJ167" s="202">
        <v>0</v>
      </c>
      <c r="AK167" s="203">
        <v>0</v>
      </c>
      <c r="AL167" s="203">
        <v>0</v>
      </c>
      <c r="AM167" s="203">
        <v>0</v>
      </c>
      <c r="AN167" s="203"/>
      <c r="AO167" s="203">
        <v>0</v>
      </c>
    </row>
    <row r="168" spans="1:41" s="176" customFormat="1" ht="36" customHeight="1" x14ac:dyDescent="0.25">
      <c r="A168" s="176">
        <v>1</v>
      </c>
      <c r="B168" s="171">
        <f>SUBTOTAL(103,$A$16:A168)</f>
        <v>151</v>
      </c>
      <c r="C168" s="172" t="s">
        <v>1140</v>
      </c>
      <c r="D168" s="173">
        <v>1963</v>
      </c>
      <c r="E168" s="173"/>
      <c r="F168" s="174" t="s">
        <v>267</v>
      </c>
      <c r="G168" s="173">
        <v>3</v>
      </c>
      <c r="H168" s="173" t="s">
        <v>303</v>
      </c>
      <c r="I168" s="170">
        <v>518.79999999999995</v>
      </c>
      <c r="J168" s="170">
        <v>518.73</v>
      </c>
      <c r="K168" s="170">
        <v>518.73</v>
      </c>
      <c r="L168" s="206">
        <v>28</v>
      </c>
      <c r="M168" s="173" t="s">
        <v>265</v>
      </c>
      <c r="N168" s="173" t="s">
        <v>266</v>
      </c>
      <c r="O168" s="175" t="s">
        <v>268</v>
      </c>
      <c r="P168" s="170">
        <v>1557950.91</v>
      </c>
      <c r="Q168" s="170">
        <v>0</v>
      </c>
      <c r="R168" s="170">
        <v>0</v>
      </c>
      <c r="S168" s="170">
        <f t="shared" si="17"/>
        <v>1557950.91</v>
      </c>
      <c r="T168" s="170">
        <f t="shared" si="15"/>
        <v>3002.9894178874329</v>
      </c>
      <c r="U168" s="170">
        <v>4151.9828450269852</v>
      </c>
      <c r="V168" s="202">
        <f t="shared" si="16"/>
        <v>1148.9934271395523</v>
      </c>
      <c r="W168" s="202">
        <f t="shared" si="18"/>
        <v>3980.491923670008</v>
      </c>
      <c r="X168" s="202">
        <v>0</v>
      </c>
      <c r="Y168" s="203">
        <v>0</v>
      </c>
      <c r="Z168" s="203">
        <v>0</v>
      </c>
      <c r="AA168" s="203">
        <v>0</v>
      </c>
      <c r="AB168" s="203">
        <v>0</v>
      </c>
      <c r="AC168" s="203">
        <v>0</v>
      </c>
      <c r="AD168" s="203">
        <v>0</v>
      </c>
      <c r="AE168" s="203">
        <v>331</v>
      </c>
      <c r="AF168" s="202">
        <f>6238.91*AE168/I168</f>
        <v>3980.491923670008</v>
      </c>
      <c r="AG168" s="203">
        <v>0</v>
      </c>
      <c r="AH168" s="202">
        <v>0</v>
      </c>
      <c r="AI168" s="203">
        <v>0</v>
      </c>
      <c r="AJ168" s="202">
        <v>0</v>
      </c>
      <c r="AK168" s="203">
        <v>0</v>
      </c>
      <c r="AL168" s="203">
        <v>0</v>
      </c>
      <c r="AM168" s="203">
        <v>0</v>
      </c>
      <c r="AN168" s="203"/>
      <c r="AO168" s="203">
        <v>0</v>
      </c>
    </row>
    <row r="169" spans="1:41" s="176" customFormat="1" ht="36" customHeight="1" x14ac:dyDescent="0.25">
      <c r="A169" s="176">
        <v>1</v>
      </c>
      <c r="B169" s="171">
        <f>SUBTOTAL(103,$A$16:A169)</f>
        <v>152</v>
      </c>
      <c r="C169" s="172" t="s">
        <v>1142</v>
      </c>
      <c r="D169" s="173">
        <v>1989</v>
      </c>
      <c r="E169" s="173"/>
      <c r="F169" s="174" t="s">
        <v>267</v>
      </c>
      <c r="G169" s="173">
        <v>9</v>
      </c>
      <c r="H169" s="173" t="s">
        <v>303</v>
      </c>
      <c r="I169" s="170">
        <v>4913</v>
      </c>
      <c r="J169" s="170">
        <v>3935.8</v>
      </c>
      <c r="K169" s="170">
        <v>3935.8</v>
      </c>
      <c r="L169" s="206">
        <v>173</v>
      </c>
      <c r="M169" s="173" t="s">
        <v>265</v>
      </c>
      <c r="N169" s="173" t="s">
        <v>269</v>
      </c>
      <c r="O169" s="175" t="s">
        <v>325</v>
      </c>
      <c r="P169" s="170">
        <v>2712861.94</v>
      </c>
      <c r="Q169" s="170">
        <v>0</v>
      </c>
      <c r="R169" s="170">
        <v>0</v>
      </c>
      <c r="S169" s="170">
        <f t="shared" si="17"/>
        <v>2712861.94</v>
      </c>
      <c r="T169" s="170">
        <f t="shared" si="15"/>
        <v>552.18032566659883</v>
      </c>
      <c r="U169" s="170">
        <v>1000.5292082230816</v>
      </c>
      <c r="V169" s="202">
        <f t="shared" si="16"/>
        <v>448.34888255648275</v>
      </c>
      <c r="W169" s="202">
        <f t="shared" si="18"/>
        <v>1000.5292082230816</v>
      </c>
      <c r="X169" s="202">
        <v>0</v>
      </c>
      <c r="Y169" s="203">
        <v>0</v>
      </c>
      <c r="Z169" s="203">
        <v>0</v>
      </c>
      <c r="AA169" s="203">
        <v>0</v>
      </c>
      <c r="AB169" s="203">
        <v>0</v>
      </c>
      <c r="AC169" s="203">
        <v>2</v>
      </c>
      <c r="AD169" s="202">
        <f>2457800*AC169/I169</f>
        <v>1000.5292082230816</v>
      </c>
      <c r="AE169" s="203">
        <v>0</v>
      </c>
      <c r="AF169" s="202">
        <v>0</v>
      </c>
      <c r="AG169" s="203">
        <v>0</v>
      </c>
      <c r="AH169" s="202">
        <v>0</v>
      </c>
      <c r="AI169" s="203">
        <v>0</v>
      </c>
      <c r="AJ169" s="202">
        <v>0</v>
      </c>
      <c r="AK169" s="203">
        <v>0</v>
      </c>
      <c r="AL169" s="203">
        <v>0</v>
      </c>
      <c r="AM169" s="203">
        <v>0</v>
      </c>
      <c r="AN169" s="203"/>
      <c r="AO169" s="203">
        <v>0</v>
      </c>
    </row>
    <row r="170" spans="1:41" s="176" customFormat="1" ht="36" customHeight="1" x14ac:dyDescent="0.25">
      <c r="A170" s="176">
        <v>1</v>
      </c>
      <c r="B170" s="171">
        <f>SUBTOTAL(103,$A$16:A170)</f>
        <v>153</v>
      </c>
      <c r="C170" s="172" t="s">
        <v>1143</v>
      </c>
      <c r="D170" s="173">
        <v>1964</v>
      </c>
      <c r="E170" s="173"/>
      <c r="F170" s="174" t="s">
        <v>267</v>
      </c>
      <c r="G170" s="173">
        <v>2</v>
      </c>
      <c r="H170" s="173" t="s">
        <v>303</v>
      </c>
      <c r="I170" s="170">
        <v>384.9</v>
      </c>
      <c r="J170" s="170">
        <v>384.9</v>
      </c>
      <c r="K170" s="170">
        <v>384.9</v>
      </c>
      <c r="L170" s="206">
        <v>27</v>
      </c>
      <c r="M170" s="173" t="s">
        <v>265</v>
      </c>
      <c r="N170" s="173" t="s">
        <v>269</v>
      </c>
      <c r="O170" s="175" t="s">
        <v>326</v>
      </c>
      <c r="P170" s="170">
        <v>211626.35</v>
      </c>
      <c r="Q170" s="170">
        <v>0</v>
      </c>
      <c r="R170" s="170">
        <v>0</v>
      </c>
      <c r="S170" s="170">
        <f t="shared" si="17"/>
        <v>211626.35</v>
      </c>
      <c r="T170" s="170">
        <f t="shared" si="15"/>
        <v>549.82164198493115</v>
      </c>
      <c r="U170" s="170">
        <v>1673.2996024941544</v>
      </c>
      <c r="V170" s="202">
        <f t="shared" si="16"/>
        <v>1123.4779605092233</v>
      </c>
      <c r="W170" s="202">
        <f t="shared" si="18"/>
        <v>3803.7451062613673</v>
      </c>
      <c r="X170" s="202">
        <v>0</v>
      </c>
      <c r="Y170" s="203">
        <v>0</v>
      </c>
      <c r="Z170" s="203">
        <v>0</v>
      </c>
      <c r="AA170" s="203">
        <v>0</v>
      </c>
      <c r="AB170" s="203">
        <v>0</v>
      </c>
      <c r="AC170" s="203">
        <v>0</v>
      </c>
      <c r="AD170" s="203">
        <v>0</v>
      </c>
      <c r="AE170" s="203">
        <v>0</v>
      </c>
      <c r="AF170" s="202">
        <v>0</v>
      </c>
      <c r="AG170" s="203">
        <v>0</v>
      </c>
      <c r="AH170" s="202">
        <v>0</v>
      </c>
      <c r="AI170" s="203">
        <v>0</v>
      </c>
      <c r="AJ170" s="202">
        <v>0</v>
      </c>
      <c r="AK170" s="203">
        <v>19.07</v>
      </c>
      <c r="AL170" s="202">
        <f>76773.02*AK170/I170</f>
        <v>3803.7451062613673</v>
      </c>
      <c r="AM170" s="203">
        <v>0</v>
      </c>
      <c r="AN170" s="203"/>
      <c r="AO170" s="203">
        <v>0</v>
      </c>
    </row>
    <row r="171" spans="1:41" s="176" customFormat="1" ht="36" customHeight="1" x14ac:dyDescent="0.25">
      <c r="A171" s="176">
        <v>1</v>
      </c>
      <c r="B171" s="171">
        <f>SUBTOTAL(103,$A$16:A171)</f>
        <v>154</v>
      </c>
      <c r="C171" s="172" t="s">
        <v>1144</v>
      </c>
      <c r="D171" s="173">
        <v>1971</v>
      </c>
      <c r="E171" s="173"/>
      <c r="F171" s="174" t="s">
        <v>267</v>
      </c>
      <c r="G171" s="173">
        <v>5</v>
      </c>
      <c r="H171" s="173" t="s">
        <v>370</v>
      </c>
      <c r="I171" s="170">
        <v>5698.2</v>
      </c>
      <c r="J171" s="170">
        <v>5283.5</v>
      </c>
      <c r="K171" s="170">
        <v>4475.3999999999996</v>
      </c>
      <c r="L171" s="206">
        <v>198</v>
      </c>
      <c r="M171" s="173" t="s">
        <v>265</v>
      </c>
      <c r="N171" s="173" t="s">
        <v>269</v>
      </c>
      <c r="O171" s="175" t="s">
        <v>328</v>
      </c>
      <c r="P171" s="170">
        <v>2148296.4200000004</v>
      </c>
      <c r="Q171" s="170">
        <v>0</v>
      </c>
      <c r="R171" s="170">
        <v>0</v>
      </c>
      <c r="S171" s="170">
        <f t="shared" si="17"/>
        <v>2148296.4200000004</v>
      </c>
      <c r="T171" s="170">
        <f t="shared" si="15"/>
        <v>377.01316556105445</v>
      </c>
      <c r="U171" s="170">
        <v>1129.3822926538207</v>
      </c>
      <c r="V171" s="202">
        <f t="shared" si="16"/>
        <v>752.36912709276635</v>
      </c>
      <c r="W171" s="202">
        <f t="shared" si="18"/>
        <v>1129.3822926538207</v>
      </c>
      <c r="X171" s="202">
        <v>0</v>
      </c>
      <c r="Y171" s="203">
        <v>0</v>
      </c>
      <c r="Z171" s="203">
        <v>0</v>
      </c>
      <c r="AA171" s="203">
        <v>0</v>
      </c>
      <c r="AB171" s="203">
        <v>0</v>
      </c>
      <c r="AC171" s="203">
        <v>0</v>
      </c>
      <c r="AD171" s="203">
        <v>0</v>
      </c>
      <c r="AE171" s="203">
        <v>0</v>
      </c>
      <c r="AF171" s="202">
        <v>0</v>
      </c>
      <c r="AG171" s="203">
        <v>725.5</v>
      </c>
      <c r="AH171" s="202">
        <f>8870.36*AG171/I171</f>
        <v>1129.3822926538207</v>
      </c>
      <c r="AI171" s="203">
        <v>0</v>
      </c>
      <c r="AJ171" s="202">
        <v>0</v>
      </c>
      <c r="AK171" s="203">
        <v>0</v>
      </c>
      <c r="AL171" s="203">
        <v>0</v>
      </c>
      <c r="AM171" s="203">
        <v>0</v>
      </c>
      <c r="AN171" s="203"/>
      <c r="AO171" s="203">
        <v>0</v>
      </c>
    </row>
    <row r="172" spans="1:41" s="176" customFormat="1" ht="36" customHeight="1" x14ac:dyDescent="0.25">
      <c r="A172" s="176">
        <v>1</v>
      </c>
      <c r="B172" s="171">
        <f>SUBTOTAL(103,$A$16:A172)</f>
        <v>155</v>
      </c>
      <c r="C172" s="172" t="s">
        <v>1145</v>
      </c>
      <c r="D172" s="173">
        <v>1991</v>
      </c>
      <c r="E172" s="173"/>
      <c r="F172" s="174" t="s">
        <v>287</v>
      </c>
      <c r="G172" s="173">
        <v>9</v>
      </c>
      <c r="H172" s="173" t="s">
        <v>303</v>
      </c>
      <c r="I172" s="170">
        <v>4196.7</v>
      </c>
      <c r="J172" s="170">
        <v>3776.7</v>
      </c>
      <c r="K172" s="170">
        <v>3776.7</v>
      </c>
      <c r="L172" s="206">
        <v>175</v>
      </c>
      <c r="M172" s="173" t="s">
        <v>265</v>
      </c>
      <c r="N172" s="173" t="s">
        <v>269</v>
      </c>
      <c r="O172" s="175" t="s">
        <v>321</v>
      </c>
      <c r="P172" s="170">
        <v>2712861.94</v>
      </c>
      <c r="Q172" s="170">
        <v>0</v>
      </c>
      <c r="R172" s="170">
        <v>0</v>
      </c>
      <c r="S172" s="170">
        <f t="shared" si="17"/>
        <v>2712861.94</v>
      </c>
      <c r="T172" s="170">
        <f t="shared" si="15"/>
        <v>646.42741677985089</v>
      </c>
      <c r="U172" s="170">
        <v>1171.3012605142137</v>
      </c>
      <c r="V172" s="202">
        <f t="shared" si="16"/>
        <v>524.87384373436282</v>
      </c>
      <c r="W172" s="202">
        <f t="shared" si="18"/>
        <v>1171.3012605142137</v>
      </c>
      <c r="X172" s="202">
        <v>0</v>
      </c>
      <c r="Y172" s="203">
        <v>0</v>
      </c>
      <c r="Z172" s="203">
        <v>0</v>
      </c>
      <c r="AA172" s="203">
        <v>0</v>
      </c>
      <c r="AB172" s="203">
        <v>0</v>
      </c>
      <c r="AC172" s="203">
        <v>2</v>
      </c>
      <c r="AD172" s="202">
        <f>2457800*AC172/I172</f>
        <v>1171.3012605142137</v>
      </c>
      <c r="AE172" s="203">
        <v>0</v>
      </c>
      <c r="AF172" s="202">
        <v>0</v>
      </c>
      <c r="AG172" s="203">
        <v>0</v>
      </c>
      <c r="AH172" s="202">
        <v>0</v>
      </c>
      <c r="AI172" s="203">
        <v>0</v>
      </c>
      <c r="AJ172" s="202">
        <v>0</v>
      </c>
      <c r="AK172" s="203">
        <v>0</v>
      </c>
      <c r="AL172" s="203">
        <v>0</v>
      </c>
      <c r="AM172" s="203">
        <v>0</v>
      </c>
      <c r="AN172" s="203"/>
      <c r="AO172" s="203">
        <v>0</v>
      </c>
    </row>
    <row r="173" spans="1:41" s="176" customFormat="1" ht="36" customHeight="1" x14ac:dyDescent="0.25">
      <c r="A173" s="176">
        <v>1</v>
      </c>
      <c r="B173" s="171">
        <f>SUBTOTAL(103,$A$16:A173)</f>
        <v>156</v>
      </c>
      <c r="C173" s="172" t="s">
        <v>1146</v>
      </c>
      <c r="D173" s="173">
        <v>1963</v>
      </c>
      <c r="E173" s="173"/>
      <c r="F173" s="174" t="s">
        <v>267</v>
      </c>
      <c r="G173" s="173">
        <v>4</v>
      </c>
      <c r="H173" s="173" t="s">
        <v>308</v>
      </c>
      <c r="I173" s="170">
        <v>2775</v>
      </c>
      <c r="J173" s="170">
        <v>2580</v>
      </c>
      <c r="K173" s="170">
        <v>2580</v>
      </c>
      <c r="L173" s="206">
        <v>110</v>
      </c>
      <c r="M173" s="173" t="s">
        <v>265</v>
      </c>
      <c r="N173" s="173" t="s">
        <v>269</v>
      </c>
      <c r="O173" s="175" t="s">
        <v>981</v>
      </c>
      <c r="P173" s="170">
        <v>2237682.5499999998</v>
      </c>
      <c r="Q173" s="170">
        <v>0</v>
      </c>
      <c r="R173" s="170">
        <v>0</v>
      </c>
      <c r="S173" s="170">
        <f t="shared" si="17"/>
        <v>2237682.5499999998</v>
      </c>
      <c r="T173" s="170">
        <f t="shared" si="15"/>
        <v>806.37209009009007</v>
      </c>
      <c r="U173" s="170">
        <v>3259.66</v>
      </c>
      <c r="V173" s="202">
        <f t="shared" si="16"/>
        <v>2453.28790990991</v>
      </c>
      <c r="W173" s="202">
        <f t="shared" si="18"/>
        <v>3259.66</v>
      </c>
      <c r="X173" s="202">
        <v>0</v>
      </c>
      <c r="Y173" s="203">
        <v>0</v>
      </c>
      <c r="Z173" s="203">
        <v>3259.66</v>
      </c>
      <c r="AA173" s="203">
        <v>0</v>
      </c>
      <c r="AB173" s="203">
        <v>0</v>
      </c>
      <c r="AC173" s="203">
        <v>0</v>
      </c>
      <c r="AD173" s="203">
        <v>0</v>
      </c>
      <c r="AE173" s="203">
        <v>0</v>
      </c>
      <c r="AF173" s="202">
        <v>0</v>
      </c>
      <c r="AG173" s="203">
        <v>0</v>
      </c>
      <c r="AH173" s="202">
        <v>0</v>
      </c>
      <c r="AI173" s="203">
        <v>0</v>
      </c>
      <c r="AJ173" s="202">
        <v>0</v>
      </c>
      <c r="AK173" s="203">
        <v>0</v>
      </c>
      <c r="AL173" s="203">
        <v>0</v>
      </c>
      <c r="AM173" s="203">
        <v>0</v>
      </c>
      <c r="AN173" s="203"/>
      <c r="AO173" s="203">
        <v>0</v>
      </c>
    </row>
    <row r="174" spans="1:41" s="176" customFormat="1" ht="36" customHeight="1" x14ac:dyDescent="0.25">
      <c r="A174" s="176">
        <v>1</v>
      </c>
      <c r="B174" s="171">
        <f>SUBTOTAL(103,$A$16:A174)</f>
        <v>157</v>
      </c>
      <c r="C174" s="172" t="s">
        <v>1147</v>
      </c>
      <c r="D174" s="173">
        <v>1959</v>
      </c>
      <c r="E174" s="173"/>
      <c r="F174" s="174" t="s">
        <v>267</v>
      </c>
      <c r="G174" s="173">
        <v>2</v>
      </c>
      <c r="H174" s="173" t="s">
        <v>303</v>
      </c>
      <c r="I174" s="170">
        <v>598.02</v>
      </c>
      <c r="J174" s="170">
        <v>552.79999999999995</v>
      </c>
      <c r="K174" s="170">
        <v>552.79999999999995</v>
      </c>
      <c r="L174" s="206">
        <v>28</v>
      </c>
      <c r="M174" s="173" t="s">
        <v>265</v>
      </c>
      <c r="N174" s="173" t="s">
        <v>269</v>
      </c>
      <c r="O174" s="175" t="s">
        <v>328</v>
      </c>
      <c r="P174" s="170">
        <v>2418873.6</v>
      </c>
      <c r="Q174" s="170">
        <v>0</v>
      </c>
      <c r="R174" s="170">
        <v>0</v>
      </c>
      <c r="S174" s="170">
        <f t="shared" si="17"/>
        <v>2418873.6</v>
      </c>
      <c r="T174" s="170">
        <f t="shared" si="15"/>
        <v>4044.8038527139565</v>
      </c>
      <c r="U174" s="170">
        <v>5381.5137971974173</v>
      </c>
      <c r="V174" s="202">
        <f t="shared" si="16"/>
        <v>1336.7099444834607</v>
      </c>
      <c r="W174" s="202">
        <f t="shared" si="18"/>
        <v>4976.3554228955554</v>
      </c>
      <c r="X174" s="202">
        <v>0</v>
      </c>
      <c r="Y174" s="203">
        <v>0</v>
      </c>
      <c r="Z174" s="203">
        <v>0</v>
      </c>
      <c r="AA174" s="203">
        <v>0</v>
      </c>
      <c r="AB174" s="203">
        <v>0</v>
      </c>
      <c r="AC174" s="203">
        <v>0</v>
      </c>
      <c r="AD174" s="203">
        <v>0</v>
      </c>
      <c r="AE174" s="203">
        <v>477</v>
      </c>
      <c r="AF174" s="202">
        <f>6238.91*AE174/I174</f>
        <v>4976.3554228955554</v>
      </c>
      <c r="AG174" s="203">
        <v>0</v>
      </c>
      <c r="AH174" s="202">
        <v>0</v>
      </c>
      <c r="AI174" s="203">
        <v>0</v>
      </c>
      <c r="AJ174" s="202">
        <v>0</v>
      </c>
      <c r="AK174" s="203">
        <v>0</v>
      </c>
      <c r="AL174" s="203">
        <v>0</v>
      </c>
      <c r="AM174" s="203">
        <v>0</v>
      </c>
      <c r="AN174" s="203"/>
      <c r="AO174" s="203">
        <v>0</v>
      </c>
    </row>
    <row r="175" spans="1:41" s="176" customFormat="1" ht="36" customHeight="1" x14ac:dyDescent="0.25">
      <c r="A175" s="176">
        <v>1</v>
      </c>
      <c r="B175" s="171">
        <f>SUBTOTAL(103,$A$16:A175)</f>
        <v>158</v>
      </c>
      <c r="C175" s="172" t="s">
        <v>1150</v>
      </c>
      <c r="D175" s="173">
        <v>1989</v>
      </c>
      <c r="E175" s="173"/>
      <c r="F175" s="174" t="s">
        <v>267</v>
      </c>
      <c r="G175" s="173">
        <v>9</v>
      </c>
      <c r="H175" s="173" t="s">
        <v>304</v>
      </c>
      <c r="I175" s="170">
        <v>3493.71</v>
      </c>
      <c r="J175" s="170">
        <v>3277.11</v>
      </c>
      <c r="K175" s="170">
        <v>3277.11</v>
      </c>
      <c r="L175" s="206">
        <v>159</v>
      </c>
      <c r="M175" s="173" t="s">
        <v>265</v>
      </c>
      <c r="N175" s="173" t="s">
        <v>269</v>
      </c>
      <c r="O175" s="175" t="s">
        <v>1329</v>
      </c>
      <c r="P175" s="170">
        <v>1640571.49</v>
      </c>
      <c r="Q175" s="170">
        <v>0</v>
      </c>
      <c r="R175" s="170">
        <v>0</v>
      </c>
      <c r="S175" s="170">
        <f t="shared" si="17"/>
        <v>1640571.49</v>
      </c>
      <c r="T175" s="170">
        <f t="shared" si="15"/>
        <v>469.57861127569259</v>
      </c>
      <c r="U175" s="170">
        <v>703.4928485764417</v>
      </c>
      <c r="V175" s="202">
        <f t="shared" si="16"/>
        <v>233.91423730074911</v>
      </c>
      <c r="W175" s="202">
        <f t="shared" si="18"/>
        <v>795.31</v>
      </c>
      <c r="X175" s="202">
        <v>0</v>
      </c>
      <c r="Y175" s="203">
        <v>0</v>
      </c>
      <c r="Z175" s="203">
        <v>0</v>
      </c>
      <c r="AA175" s="203">
        <v>0</v>
      </c>
      <c r="AB175" s="203">
        <v>795.31</v>
      </c>
      <c r="AC175" s="203">
        <v>0</v>
      </c>
      <c r="AD175" s="203">
        <v>0</v>
      </c>
      <c r="AE175" s="203">
        <v>0</v>
      </c>
      <c r="AF175" s="202">
        <v>0</v>
      </c>
      <c r="AG175" s="203">
        <v>0</v>
      </c>
      <c r="AH175" s="202">
        <v>0</v>
      </c>
      <c r="AI175" s="203">
        <v>0</v>
      </c>
      <c r="AJ175" s="202">
        <v>0</v>
      </c>
      <c r="AK175" s="203">
        <v>0</v>
      </c>
      <c r="AL175" s="203">
        <v>0</v>
      </c>
      <c r="AM175" s="203">
        <v>0</v>
      </c>
      <c r="AN175" s="203"/>
      <c r="AO175" s="203">
        <v>0</v>
      </c>
    </row>
    <row r="176" spans="1:41" s="176" customFormat="1" ht="36" customHeight="1" x14ac:dyDescent="0.25">
      <c r="A176" s="176">
        <v>1</v>
      </c>
      <c r="B176" s="171">
        <f>SUBTOTAL(103,$A$16:A176)</f>
        <v>159</v>
      </c>
      <c r="C176" s="172" t="s">
        <v>1151</v>
      </c>
      <c r="D176" s="173">
        <v>1992</v>
      </c>
      <c r="E176" s="173"/>
      <c r="F176" s="174" t="s">
        <v>267</v>
      </c>
      <c r="G176" s="173">
        <v>9</v>
      </c>
      <c r="H176" s="173" t="s">
        <v>304</v>
      </c>
      <c r="I176" s="170">
        <v>2755.2</v>
      </c>
      <c r="J176" s="170">
        <v>2755.2</v>
      </c>
      <c r="K176" s="170">
        <v>2755.2</v>
      </c>
      <c r="L176" s="206">
        <v>117</v>
      </c>
      <c r="M176" s="173" t="s">
        <v>265</v>
      </c>
      <c r="N176" s="173" t="s">
        <v>269</v>
      </c>
      <c r="O176" s="175" t="s">
        <v>1330</v>
      </c>
      <c r="P176" s="170">
        <v>1784450.96</v>
      </c>
      <c r="Q176" s="170">
        <v>0</v>
      </c>
      <c r="R176" s="170">
        <v>0</v>
      </c>
      <c r="S176" s="170">
        <f t="shared" si="17"/>
        <v>1784450.96</v>
      </c>
      <c r="T176" s="170">
        <f t="shared" si="15"/>
        <v>647.66657955865276</v>
      </c>
      <c r="U176" s="170">
        <v>892.05865272938445</v>
      </c>
      <c r="V176" s="202">
        <f t="shared" si="16"/>
        <v>244.39207317073169</v>
      </c>
      <c r="W176" s="202">
        <f t="shared" si="18"/>
        <v>795.31</v>
      </c>
      <c r="X176" s="202">
        <v>0</v>
      </c>
      <c r="Y176" s="203">
        <v>0</v>
      </c>
      <c r="Z176" s="203">
        <v>0</v>
      </c>
      <c r="AA176" s="203">
        <v>0</v>
      </c>
      <c r="AB176" s="203">
        <v>795.31</v>
      </c>
      <c r="AC176" s="203">
        <v>0</v>
      </c>
      <c r="AD176" s="203">
        <v>0</v>
      </c>
      <c r="AE176" s="203">
        <v>0</v>
      </c>
      <c r="AF176" s="202">
        <v>0</v>
      </c>
      <c r="AG176" s="203">
        <v>0</v>
      </c>
      <c r="AH176" s="202">
        <v>0</v>
      </c>
      <c r="AI176" s="203">
        <v>0</v>
      </c>
      <c r="AJ176" s="202">
        <v>0</v>
      </c>
      <c r="AK176" s="203">
        <v>0</v>
      </c>
      <c r="AL176" s="203">
        <v>0</v>
      </c>
      <c r="AM176" s="203">
        <v>0</v>
      </c>
      <c r="AN176" s="203"/>
      <c r="AO176" s="203">
        <v>0</v>
      </c>
    </row>
    <row r="177" spans="1:41" s="176" customFormat="1" ht="36" customHeight="1" x14ac:dyDescent="0.25">
      <c r="A177" s="176">
        <v>1</v>
      </c>
      <c r="B177" s="171">
        <f>SUBTOTAL(103,$A$16:A177)</f>
        <v>160</v>
      </c>
      <c r="C177" s="172" t="s">
        <v>1152</v>
      </c>
      <c r="D177" s="173">
        <v>1992</v>
      </c>
      <c r="E177" s="173"/>
      <c r="F177" s="174" t="s">
        <v>311</v>
      </c>
      <c r="G177" s="173">
        <v>9</v>
      </c>
      <c r="H177" s="173" t="s">
        <v>308</v>
      </c>
      <c r="I177" s="170">
        <v>8435</v>
      </c>
      <c r="J177" s="170">
        <v>4621</v>
      </c>
      <c r="K177" s="170">
        <v>4597</v>
      </c>
      <c r="L177" s="206">
        <v>317</v>
      </c>
      <c r="M177" s="173" t="s">
        <v>265</v>
      </c>
      <c r="N177" s="173" t="s">
        <v>269</v>
      </c>
      <c r="O177" s="175" t="s">
        <v>1331</v>
      </c>
      <c r="P177" s="170">
        <v>6364982.3099999996</v>
      </c>
      <c r="Q177" s="170">
        <v>0</v>
      </c>
      <c r="R177" s="170">
        <v>0</v>
      </c>
      <c r="S177" s="170">
        <f t="shared" si="17"/>
        <v>6364982.3099999996</v>
      </c>
      <c r="T177" s="170">
        <f t="shared" si="15"/>
        <v>754.59185655008889</v>
      </c>
      <c r="U177" s="170">
        <v>1165.5245998814464</v>
      </c>
      <c r="V177" s="202">
        <f t="shared" si="16"/>
        <v>410.93274333135753</v>
      </c>
      <c r="W177" s="202">
        <f t="shared" si="18"/>
        <v>291.38114997036161</v>
      </c>
      <c r="X177" s="202">
        <v>0</v>
      </c>
      <c r="Y177" s="203">
        <v>0</v>
      </c>
      <c r="Z177" s="203">
        <v>0</v>
      </c>
      <c r="AA177" s="203">
        <v>0</v>
      </c>
      <c r="AB177" s="203">
        <v>0</v>
      </c>
      <c r="AC177" s="203">
        <v>1</v>
      </c>
      <c r="AD177" s="202">
        <f>2457800*AC177/I177</f>
        <v>291.38114997036161</v>
      </c>
      <c r="AE177" s="203">
        <v>0</v>
      </c>
      <c r="AF177" s="202">
        <v>0</v>
      </c>
      <c r="AG177" s="203">
        <v>0</v>
      </c>
      <c r="AH177" s="202">
        <v>0</v>
      </c>
      <c r="AI177" s="203">
        <v>0</v>
      </c>
      <c r="AJ177" s="202">
        <v>0</v>
      </c>
      <c r="AK177" s="203">
        <v>0</v>
      </c>
      <c r="AL177" s="203">
        <v>0</v>
      </c>
      <c r="AM177" s="203">
        <v>0</v>
      </c>
      <c r="AN177" s="203"/>
      <c r="AO177" s="203">
        <v>0</v>
      </c>
    </row>
    <row r="178" spans="1:41" s="176" customFormat="1" ht="36" customHeight="1" x14ac:dyDescent="0.25">
      <c r="A178" s="176">
        <v>1</v>
      </c>
      <c r="B178" s="171">
        <f>SUBTOTAL(103,$A$16:A178)</f>
        <v>161</v>
      </c>
      <c r="C178" s="172" t="s">
        <v>1268</v>
      </c>
      <c r="D178" s="173">
        <v>1968</v>
      </c>
      <c r="E178" s="173"/>
      <c r="F178" s="174" t="s">
        <v>267</v>
      </c>
      <c r="G178" s="173">
        <v>5</v>
      </c>
      <c r="H178" s="173" t="s">
        <v>308</v>
      </c>
      <c r="I178" s="170">
        <v>3582.37</v>
      </c>
      <c r="J178" s="170">
        <v>3313</v>
      </c>
      <c r="K178" s="170">
        <v>3252.7</v>
      </c>
      <c r="L178" s="206">
        <v>144</v>
      </c>
      <c r="M178" s="173" t="s">
        <v>265</v>
      </c>
      <c r="N178" s="173" t="s">
        <v>269</v>
      </c>
      <c r="O178" s="175" t="s">
        <v>327</v>
      </c>
      <c r="P178" s="170">
        <v>2331324.81</v>
      </c>
      <c r="Q178" s="170">
        <v>0</v>
      </c>
      <c r="R178" s="170">
        <v>0</v>
      </c>
      <c r="S178" s="170">
        <f t="shared" si="17"/>
        <v>2331324.81</v>
      </c>
      <c r="T178" s="170">
        <f t="shared" si="15"/>
        <v>650.777225691372</v>
      </c>
      <c r="U178" s="170">
        <v>3259.66</v>
      </c>
      <c r="V178" s="202">
        <f t="shared" si="16"/>
        <v>2608.8827743086276</v>
      </c>
      <c r="W178" s="202">
        <f t="shared" si="18"/>
        <v>686.08211882078069</v>
      </c>
      <c r="X178" s="202">
        <v>0</v>
      </c>
      <c r="Y178" s="203">
        <v>0</v>
      </c>
      <c r="Z178" s="203">
        <v>0</v>
      </c>
      <c r="AA178" s="203">
        <v>0</v>
      </c>
      <c r="AB178" s="203">
        <v>0</v>
      </c>
      <c r="AC178" s="203">
        <v>1</v>
      </c>
      <c r="AD178" s="202">
        <f>2457800*AC178/I178</f>
        <v>686.08211882078069</v>
      </c>
      <c r="AE178" s="203">
        <v>0</v>
      </c>
      <c r="AF178" s="202">
        <v>0</v>
      </c>
      <c r="AG178" s="203">
        <v>0</v>
      </c>
      <c r="AH178" s="202">
        <v>0</v>
      </c>
      <c r="AI178" s="203">
        <v>0</v>
      </c>
      <c r="AJ178" s="202">
        <v>0</v>
      </c>
      <c r="AK178" s="203">
        <v>0</v>
      </c>
      <c r="AL178" s="203">
        <v>0</v>
      </c>
      <c r="AM178" s="203">
        <v>0</v>
      </c>
      <c r="AN178" s="203"/>
      <c r="AO178" s="203">
        <v>0</v>
      </c>
    </row>
    <row r="179" spans="1:41" s="176" customFormat="1" ht="36" customHeight="1" x14ac:dyDescent="0.25">
      <c r="A179" s="176">
        <v>1</v>
      </c>
      <c r="B179" s="171">
        <f>SUBTOTAL(103,$A$16:A179)</f>
        <v>162</v>
      </c>
      <c r="C179" s="172" t="s">
        <v>1281</v>
      </c>
      <c r="D179" s="173">
        <v>1958</v>
      </c>
      <c r="E179" s="173"/>
      <c r="F179" s="174" t="s">
        <v>267</v>
      </c>
      <c r="G179" s="173">
        <v>4</v>
      </c>
      <c r="H179" s="173" t="s">
        <v>308</v>
      </c>
      <c r="I179" s="170">
        <v>5856.4</v>
      </c>
      <c r="J179" s="170">
        <v>3235.1</v>
      </c>
      <c r="K179" s="170">
        <v>2625</v>
      </c>
      <c r="L179" s="206">
        <v>86</v>
      </c>
      <c r="M179" s="173" t="s">
        <v>265</v>
      </c>
      <c r="N179" s="173" t="s">
        <v>269</v>
      </c>
      <c r="O179" s="175" t="s">
        <v>1343</v>
      </c>
      <c r="P179" s="170">
        <v>131828.92000000001</v>
      </c>
      <c r="Q179" s="170">
        <v>0</v>
      </c>
      <c r="R179" s="170">
        <v>0</v>
      </c>
      <c r="S179" s="170">
        <f t="shared" si="17"/>
        <v>131828.92000000001</v>
      </c>
      <c r="T179" s="170">
        <f t="shared" si="15"/>
        <v>22.510231541561371</v>
      </c>
      <c r="U179" s="170">
        <v>22.510231541561371</v>
      </c>
      <c r="V179" s="202">
        <f t="shared" si="16"/>
        <v>0</v>
      </c>
      <c r="W179" s="202">
        <f t="shared" si="18"/>
        <v>1678.7104705962709</v>
      </c>
      <c r="X179" s="202">
        <v>0</v>
      </c>
      <c r="Y179" s="203">
        <v>0</v>
      </c>
      <c r="Z179" s="203">
        <v>0</v>
      </c>
      <c r="AA179" s="203">
        <v>0</v>
      </c>
      <c r="AB179" s="203">
        <v>0</v>
      </c>
      <c r="AC179" s="203">
        <v>4</v>
      </c>
      <c r="AD179" s="202">
        <f>2457800*AC179/I179</f>
        <v>1678.7104705962709</v>
      </c>
      <c r="AE179" s="203">
        <v>0</v>
      </c>
      <c r="AF179" s="202">
        <v>0</v>
      </c>
      <c r="AG179" s="203">
        <v>0</v>
      </c>
      <c r="AH179" s="202">
        <v>0</v>
      </c>
      <c r="AI179" s="203">
        <v>0</v>
      </c>
      <c r="AJ179" s="202">
        <v>0</v>
      </c>
      <c r="AK179" s="203">
        <v>0</v>
      </c>
      <c r="AL179" s="203">
        <v>0</v>
      </c>
      <c r="AM179" s="203">
        <v>0</v>
      </c>
      <c r="AN179" s="203"/>
      <c r="AO179" s="203">
        <v>0</v>
      </c>
    </row>
    <row r="180" spans="1:41" s="176" customFormat="1" ht="36" customHeight="1" x14ac:dyDescent="0.25">
      <c r="A180" s="176">
        <v>1</v>
      </c>
      <c r="B180" s="171">
        <f>SUBTOTAL(103,$A$16:A180)</f>
        <v>163</v>
      </c>
      <c r="C180" s="172" t="s">
        <v>1282</v>
      </c>
      <c r="D180" s="173">
        <v>1968</v>
      </c>
      <c r="E180" s="173"/>
      <c r="F180" s="174" t="s">
        <v>267</v>
      </c>
      <c r="G180" s="173">
        <v>2</v>
      </c>
      <c r="H180" s="173" t="s">
        <v>303</v>
      </c>
      <c r="I180" s="170">
        <v>610.4</v>
      </c>
      <c r="J180" s="170">
        <v>567</v>
      </c>
      <c r="K180" s="170">
        <v>489.2</v>
      </c>
      <c r="L180" s="206">
        <v>29</v>
      </c>
      <c r="M180" s="173" t="s">
        <v>265</v>
      </c>
      <c r="N180" s="173" t="s">
        <v>269</v>
      </c>
      <c r="O180" s="175" t="s">
        <v>1343</v>
      </c>
      <c r="P180" s="170">
        <v>2376594.88</v>
      </c>
      <c r="Q180" s="170">
        <v>0</v>
      </c>
      <c r="R180" s="170">
        <v>0</v>
      </c>
      <c r="S180" s="170">
        <f t="shared" si="17"/>
        <v>2376594.88</v>
      </c>
      <c r="T180" s="170">
        <f t="shared" si="15"/>
        <v>3893.5040629095674</v>
      </c>
      <c r="U180" s="170">
        <v>5106.796035386632</v>
      </c>
      <c r="V180" s="202">
        <f t="shared" si="16"/>
        <v>1213.2919724770645</v>
      </c>
      <c r="W180" s="202">
        <f t="shared" si="18"/>
        <v>3259.66</v>
      </c>
      <c r="X180" s="202">
        <v>0</v>
      </c>
      <c r="Y180" s="203">
        <v>0</v>
      </c>
      <c r="Z180" s="203">
        <v>3259.66</v>
      </c>
      <c r="AA180" s="203">
        <v>0</v>
      </c>
      <c r="AB180" s="203">
        <v>0</v>
      </c>
      <c r="AC180" s="203">
        <v>0</v>
      </c>
      <c r="AD180" s="203">
        <v>0</v>
      </c>
      <c r="AE180" s="203">
        <v>0</v>
      </c>
      <c r="AF180" s="202">
        <v>0</v>
      </c>
      <c r="AG180" s="203">
        <v>0</v>
      </c>
      <c r="AH180" s="202">
        <v>0</v>
      </c>
      <c r="AI180" s="203">
        <v>0</v>
      </c>
      <c r="AJ180" s="202">
        <v>0</v>
      </c>
      <c r="AK180" s="203">
        <v>0</v>
      </c>
      <c r="AL180" s="203">
        <v>0</v>
      </c>
      <c r="AM180" s="203">
        <v>0</v>
      </c>
      <c r="AN180" s="203"/>
      <c r="AO180" s="203">
        <v>0</v>
      </c>
    </row>
    <row r="181" spans="1:41" s="176" customFormat="1" ht="36" customHeight="1" x14ac:dyDescent="0.25">
      <c r="A181" s="176">
        <v>1</v>
      </c>
      <c r="B181" s="171">
        <f>SUBTOTAL(103,$A$16:A181)</f>
        <v>164</v>
      </c>
      <c r="C181" s="172" t="s">
        <v>1283</v>
      </c>
      <c r="D181" s="173">
        <v>1958</v>
      </c>
      <c r="E181" s="173"/>
      <c r="F181" s="174" t="s">
        <v>267</v>
      </c>
      <c r="G181" s="173">
        <v>2</v>
      </c>
      <c r="H181" s="173" t="s">
        <v>303</v>
      </c>
      <c r="I181" s="170">
        <v>822.2</v>
      </c>
      <c r="J181" s="170">
        <v>822.2</v>
      </c>
      <c r="K181" s="170">
        <v>822.2</v>
      </c>
      <c r="L181" s="206">
        <v>22</v>
      </c>
      <c r="M181" s="173" t="s">
        <v>265</v>
      </c>
      <c r="N181" s="173" t="s">
        <v>269</v>
      </c>
      <c r="O181" s="175" t="s">
        <v>1343</v>
      </c>
      <c r="P181" s="170">
        <v>3042838.07</v>
      </c>
      <c r="Q181" s="170">
        <v>0</v>
      </c>
      <c r="R181" s="170">
        <v>0</v>
      </c>
      <c r="S181" s="170">
        <f t="shared" si="17"/>
        <v>3042838.07</v>
      </c>
      <c r="T181" s="170">
        <f t="shared" si="15"/>
        <v>3700.8490270007292</v>
      </c>
      <c r="U181" s="170">
        <v>5177.9826562880071</v>
      </c>
      <c r="V181" s="202">
        <f t="shared" si="16"/>
        <v>1477.1336292872779</v>
      </c>
      <c r="W181" s="202">
        <f>T181</f>
        <v>3700.8490270007292</v>
      </c>
      <c r="X181" s="202">
        <v>0</v>
      </c>
      <c r="Y181" s="203">
        <v>0</v>
      </c>
      <c r="Z181" s="203">
        <v>0</v>
      </c>
      <c r="AA181" s="203">
        <v>0</v>
      </c>
      <c r="AB181" s="203">
        <v>0</v>
      </c>
      <c r="AC181" s="203">
        <v>0</v>
      </c>
      <c r="AD181" s="203">
        <v>0</v>
      </c>
      <c r="AE181" s="203">
        <v>0</v>
      </c>
      <c r="AF181" s="202">
        <v>0</v>
      </c>
      <c r="AG181" s="203">
        <v>0</v>
      </c>
      <c r="AH181" s="202">
        <v>0</v>
      </c>
      <c r="AI181" s="203">
        <v>0</v>
      </c>
      <c r="AJ181" s="202">
        <v>0</v>
      </c>
      <c r="AK181" s="203">
        <v>0</v>
      </c>
      <c r="AL181" s="203">
        <v>0</v>
      </c>
      <c r="AM181" s="203">
        <v>0</v>
      </c>
      <c r="AN181" s="203"/>
      <c r="AO181" s="203">
        <v>0</v>
      </c>
    </row>
    <row r="182" spans="1:41" s="176" customFormat="1" ht="36" customHeight="1" x14ac:dyDescent="0.25">
      <c r="A182" s="176">
        <v>1</v>
      </c>
      <c r="B182" s="171">
        <f>SUBTOTAL(103,$A$16:A182)</f>
        <v>165</v>
      </c>
      <c r="C182" s="172" t="s">
        <v>1284</v>
      </c>
      <c r="D182" s="173">
        <v>1959</v>
      </c>
      <c r="E182" s="173"/>
      <c r="F182" s="174" t="s">
        <v>267</v>
      </c>
      <c r="G182" s="173">
        <v>2</v>
      </c>
      <c r="H182" s="173" t="s">
        <v>304</v>
      </c>
      <c r="I182" s="170">
        <v>310.3</v>
      </c>
      <c r="J182" s="170">
        <v>310.3</v>
      </c>
      <c r="K182" s="170">
        <v>310.3</v>
      </c>
      <c r="L182" s="206">
        <v>10</v>
      </c>
      <c r="M182" s="173" t="s">
        <v>265</v>
      </c>
      <c r="N182" s="173" t="s">
        <v>269</v>
      </c>
      <c r="O182" s="175" t="s">
        <v>1343</v>
      </c>
      <c r="P182" s="170">
        <v>1139819.0599999998</v>
      </c>
      <c r="Q182" s="170">
        <v>0</v>
      </c>
      <c r="R182" s="170">
        <v>0</v>
      </c>
      <c r="S182" s="170">
        <f t="shared" si="17"/>
        <v>1139819.0599999998</v>
      </c>
      <c r="T182" s="170">
        <f t="shared" si="15"/>
        <v>3673.2808894618106</v>
      </c>
      <c r="U182" s="170">
        <v>5447.7607218820494</v>
      </c>
      <c r="V182" s="202">
        <f t="shared" si="16"/>
        <v>1774.4798324202388</v>
      </c>
      <c r="W182" s="202">
        <f t="shared" si="18"/>
        <v>11862.574605220754</v>
      </c>
      <c r="X182" s="202">
        <v>0</v>
      </c>
      <c r="Y182" s="203">
        <v>0</v>
      </c>
      <c r="Z182" s="203">
        <v>0</v>
      </c>
      <c r="AA182" s="203">
        <v>0</v>
      </c>
      <c r="AB182" s="203">
        <v>0</v>
      </c>
      <c r="AC182" s="203">
        <v>0</v>
      </c>
      <c r="AD182" s="203">
        <v>0</v>
      </c>
      <c r="AE182" s="203">
        <v>590</v>
      </c>
      <c r="AF182" s="202">
        <f t="shared" ref="AF182:AF190" si="19">6238.91*AE182/I182</f>
        <v>11862.574605220754</v>
      </c>
      <c r="AG182" s="203">
        <v>0</v>
      </c>
      <c r="AH182" s="202">
        <v>0</v>
      </c>
      <c r="AI182" s="203">
        <v>0</v>
      </c>
      <c r="AJ182" s="202">
        <v>0</v>
      </c>
      <c r="AK182" s="203">
        <v>0</v>
      </c>
      <c r="AL182" s="203">
        <v>0</v>
      </c>
      <c r="AM182" s="203">
        <v>0</v>
      </c>
      <c r="AN182" s="203"/>
      <c r="AO182" s="203">
        <v>0</v>
      </c>
    </row>
    <row r="183" spans="1:41" s="176" customFormat="1" ht="36" customHeight="1" x14ac:dyDescent="0.25">
      <c r="A183" s="176">
        <v>1</v>
      </c>
      <c r="B183" s="171">
        <f>SUBTOTAL(103,$A$16:A183)</f>
        <v>166</v>
      </c>
      <c r="C183" s="172" t="s">
        <v>1285</v>
      </c>
      <c r="D183" s="173">
        <v>1959</v>
      </c>
      <c r="E183" s="173"/>
      <c r="F183" s="174" t="s">
        <v>267</v>
      </c>
      <c r="G183" s="173">
        <v>2</v>
      </c>
      <c r="H183" s="173" t="s">
        <v>304</v>
      </c>
      <c r="I183" s="170">
        <v>287</v>
      </c>
      <c r="J183" s="170">
        <v>287</v>
      </c>
      <c r="K183" s="170">
        <v>287</v>
      </c>
      <c r="L183" s="206">
        <v>18</v>
      </c>
      <c r="M183" s="173" t="s">
        <v>265</v>
      </c>
      <c r="N183" s="173" t="s">
        <v>266</v>
      </c>
      <c r="O183" s="175" t="s">
        <v>268</v>
      </c>
      <c r="P183" s="170">
        <v>1396947.25</v>
      </c>
      <c r="Q183" s="170">
        <v>0</v>
      </c>
      <c r="R183" s="170">
        <v>0</v>
      </c>
      <c r="S183" s="170">
        <f t="shared" si="17"/>
        <v>1396947.25</v>
      </c>
      <c r="T183" s="170">
        <f t="shared" si="15"/>
        <v>4867.4120209059238</v>
      </c>
      <c r="U183" s="170">
        <v>5784.370278745645</v>
      </c>
      <c r="V183" s="202">
        <f t="shared" si="16"/>
        <v>916.95825783972123</v>
      </c>
      <c r="W183" s="202">
        <f t="shared" si="18"/>
        <v>14456.010975609755</v>
      </c>
      <c r="X183" s="202">
        <v>0</v>
      </c>
      <c r="Y183" s="203">
        <v>0</v>
      </c>
      <c r="Z183" s="203">
        <v>0</v>
      </c>
      <c r="AA183" s="203">
        <v>0</v>
      </c>
      <c r="AB183" s="203">
        <v>0</v>
      </c>
      <c r="AC183" s="203">
        <v>0</v>
      </c>
      <c r="AD183" s="203">
        <v>0</v>
      </c>
      <c r="AE183" s="203">
        <v>665</v>
      </c>
      <c r="AF183" s="202">
        <f t="shared" si="19"/>
        <v>14456.010975609755</v>
      </c>
      <c r="AG183" s="203">
        <v>0</v>
      </c>
      <c r="AH183" s="202">
        <v>0</v>
      </c>
      <c r="AI183" s="203">
        <v>0</v>
      </c>
      <c r="AJ183" s="202">
        <v>0</v>
      </c>
      <c r="AK183" s="203">
        <v>0</v>
      </c>
      <c r="AL183" s="203">
        <v>0</v>
      </c>
      <c r="AM183" s="203">
        <v>0</v>
      </c>
      <c r="AN183" s="203"/>
      <c r="AO183" s="203">
        <v>0</v>
      </c>
    </row>
    <row r="184" spans="1:41" s="176" customFormat="1" ht="36" customHeight="1" x14ac:dyDescent="0.25">
      <c r="A184" s="176">
        <v>1</v>
      </c>
      <c r="B184" s="171">
        <f>SUBTOTAL(103,$A$16:A184)</f>
        <v>167</v>
      </c>
      <c r="C184" s="172" t="s">
        <v>1537</v>
      </c>
      <c r="D184" s="173">
        <v>1952</v>
      </c>
      <c r="E184" s="173"/>
      <c r="F184" s="174" t="s">
        <v>1332</v>
      </c>
      <c r="G184" s="173">
        <v>2</v>
      </c>
      <c r="H184" s="173" t="s">
        <v>303</v>
      </c>
      <c r="I184" s="170">
        <v>644.12</v>
      </c>
      <c r="J184" s="170">
        <v>644.12</v>
      </c>
      <c r="K184" s="170">
        <v>644.12</v>
      </c>
      <c r="L184" s="206">
        <v>31</v>
      </c>
      <c r="M184" s="173" t="s">
        <v>265</v>
      </c>
      <c r="N184" s="173" t="s">
        <v>266</v>
      </c>
      <c r="O184" s="175" t="s">
        <v>268</v>
      </c>
      <c r="P184" s="170">
        <v>2343822.52</v>
      </c>
      <c r="Q184" s="170">
        <v>0</v>
      </c>
      <c r="R184" s="170">
        <v>0</v>
      </c>
      <c r="S184" s="170">
        <f t="shared" si="17"/>
        <v>2343822.52</v>
      </c>
      <c r="T184" s="170">
        <f t="shared" si="15"/>
        <v>3638.7979258523255</v>
      </c>
      <c r="U184" s="170">
        <v>8001.7673725392779</v>
      </c>
      <c r="V184" s="202">
        <f t="shared" si="16"/>
        <v>4362.9694466869523</v>
      </c>
      <c r="W184" s="202">
        <f t="shared" si="18"/>
        <v>2382.7421287958764</v>
      </c>
      <c r="X184" s="202">
        <v>0</v>
      </c>
      <c r="Y184" s="203">
        <v>0</v>
      </c>
      <c r="Z184" s="203">
        <v>0</v>
      </c>
      <c r="AA184" s="203">
        <v>0</v>
      </c>
      <c r="AB184" s="203">
        <v>0</v>
      </c>
      <c r="AC184" s="203">
        <v>0</v>
      </c>
      <c r="AD184" s="203">
        <v>0</v>
      </c>
      <c r="AE184" s="203">
        <v>246</v>
      </c>
      <c r="AF184" s="202">
        <f t="shared" si="19"/>
        <v>2382.7421287958764</v>
      </c>
      <c r="AG184" s="203">
        <v>0</v>
      </c>
      <c r="AH184" s="202">
        <v>0</v>
      </c>
      <c r="AI184" s="203">
        <v>0</v>
      </c>
      <c r="AJ184" s="202">
        <v>0</v>
      </c>
      <c r="AK184" s="203">
        <v>0</v>
      </c>
      <c r="AL184" s="203">
        <v>0</v>
      </c>
      <c r="AM184" s="203">
        <v>0</v>
      </c>
      <c r="AN184" s="203"/>
      <c r="AO184" s="203">
        <v>0</v>
      </c>
    </row>
    <row r="185" spans="1:41" s="176" customFormat="1" ht="36" customHeight="1" x14ac:dyDescent="0.25">
      <c r="A185" s="176">
        <v>1</v>
      </c>
      <c r="B185" s="171">
        <f>SUBTOTAL(103,$A$16:A185)</f>
        <v>168</v>
      </c>
      <c r="C185" s="172" t="s">
        <v>1549</v>
      </c>
      <c r="D185" s="173">
        <v>1968</v>
      </c>
      <c r="E185" s="173"/>
      <c r="F185" s="174" t="s">
        <v>311</v>
      </c>
      <c r="G185" s="173">
        <v>2</v>
      </c>
      <c r="H185" s="173" t="s">
        <v>303</v>
      </c>
      <c r="I185" s="170">
        <v>632.6</v>
      </c>
      <c r="J185" s="170">
        <v>632.6</v>
      </c>
      <c r="K185" s="170">
        <v>632.6</v>
      </c>
      <c r="L185" s="206">
        <v>23</v>
      </c>
      <c r="M185" s="173" t="s">
        <v>265</v>
      </c>
      <c r="N185" s="173" t="s">
        <v>266</v>
      </c>
      <c r="O185" s="175" t="s">
        <v>268</v>
      </c>
      <c r="P185" s="170">
        <v>2905261.2600000002</v>
      </c>
      <c r="Q185" s="170">
        <v>0</v>
      </c>
      <c r="R185" s="170">
        <v>0</v>
      </c>
      <c r="S185" s="170">
        <f t="shared" si="17"/>
        <v>2905261.2600000002</v>
      </c>
      <c r="T185" s="170">
        <f t="shared" si="15"/>
        <v>4592.572336389504</v>
      </c>
      <c r="U185" s="170">
        <v>5688.8367056591842</v>
      </c>
      <c r="V185" s="202">
        <f t="shared" si="16"/>
        <v>1096.2643692696802</v>
      </c>
      <c r="W185" s="202">
        <f t="shared" si="18"/>
        <v>2495.1695067973442</v>
      </c>
      <c r="X185" s="202">
        <v>0</v>
      </c>
      <c r="Y185" s="203">
        <v>0</v>
      </c>
      <c r="Z185" s="203">
        <v>0</v>
      </c>
      <c r="AA185" s="203">
        <v>0</v>
      </c>
      <c r="AB185" s="203">
        <v>0</v>
      </c>
      <c r="AC185" s="203">
        <v>0</v>
      </c>
      <c r="AD185" s="203">
        <v>0</v>
      </c>
      <c r="AE185" s="203">
        <v>253</v>
      </c>
      <c r="AF185" s="202">
        <f t="shared" si="19"/>
        <v>2495.1695067973442</v>
      </c>
      <c r="AG185" s="203">
        <v>0</v>
      </c>
      <c r="AH185" s="202">
        <v>0</v>
      </c>
      <c r="AI185" s="203">
        <v>0</v>
      </c>
      <c r="AJ185" s="202">
        <v>0</v>
      </c>
      <c r="AK185" s="203">
        <v>0</v>
      </c>
      <c r="AL185" s="203">
        <v>0</v>
      </c>
      <c r="AM185" s="203">
        <v>0</v>
      </c>
      <c r="AN185" s="203"/>
      <c r="AO185" s="203">
        <v>0</v>
      </c>
    </row>
    <row r="186" spans="1:41" s="176" customFormat="1" ht="36" customHeight="1" x14ac:dyDescent="0.25">
      <c r="A186" s="176">
        <v>1</v>
      </c>
      <c r="B186" s="171">
        <f>SUBTOTAL(103,$A$16:A186)</f>
        <v>169</v>
      </c>
      <c r="C186" s="172" t="s">
        <v>1550</v>
      </c>
      <c r="D186" s="173">
        <v>1941</v>
      </c>
      <c r="E186" s="173"/>
      <c r="F186" s="174" t="s">
        <v>267</v>
      </c>
      <c r="G186" s="173">
        <v>2</v>
      </c>
      <c r="H186" s="173" t="s">
        <v>303</v>
      </c>
      <c r="I186" s="170">
        <v>733.92</v>
      </c>
      <c r="J186" s="170">
        <v>662.9</v>
      </c>
      <c r="K186" s="170">
        <v>662.9</v>
      </c>
      <c r="L186" s="206">
        <v>22</v>
      </c>
      <c r="M186" s="173" t="s">
        <v>265</v>
      </c>
      <c r="N186" s="173" t="s">
        <v>269</v>
      </c>
      <c r="O186" s="175" t="s">
        <v>327</v>
      </c>
      <c r="P186" s="170">
        <v>2908972.99</v>
      </c>
      <c r="Q186" s="170">
        <v>0</v>
      </c>
      <c r="R186" s="170">
        <v>0</v>
      </c>
      <c r="S186" s="170">
        <f>P186-R186-Q186</f>
        <v>2908972.99</v>
      </c>
      <c r="T186" s="170">
        <f t="shared" si="15"/>
        <v>3963.6104616306961</v>
      </c>
      <c r="U186" s="170">
        <v>5123.9093116415961</v>
      </c>
      <c r="V186" s="202">
        <f t="shared" si="16"/>
        <v>1160.2988500109</v>
      </c>
      <c r="W186" s="202">
        <f t="shared" si="18"/>
        <v>6732.6366906474823</v>
      </c>
      <c r="X186" s="202">
        <v>0</v>
      </c>
      <c r="Y186" s="203">
        <v>0</v>
      </c>
      <c r="Z186" s="203">
        <v>0</v>
      </c>
      <c r="AA186" s="203">
        <v>0</v>
      </c>
      <c r="AB186" s="203">
        <v>0</v>
      </c>
      <c r="AC186" s="203">
        <v>0</v>
      </c>
      <c r="AD186" s="203">
        <v>0</v>
      </c>
      <c r="AE186" s="203">
        <v>792</v>
      </c>
      <c r="AF186" s="202">
        <f t="shared" si="19"/>
        <v>6732.6366906474823</v>
      </c>
      <c r="AG186" s="203">
        <v>0</v>
      </c>
      <c r="AH186" s="202">
        <v>0</v>
      </c>
      <c r="AI186" s="203">
        <v>0</v>
      </c>
      <c r="AJ186" s="202">
        <v>0</v>
      </c>
      <c r="AK186" s="203">
        <v>0</v>
      </c>
      <c r="AL186" s="203">
        <v>0</v>
      </c>
      <c r="AM186" s="203">
        <v>0</v>
      </c>
      <c r="AN186" s="203"/>
      <c r="AO186" s="203">
        <v>0</v>
      </c>
    </row>
    <row r="187" spans="1:41" s="176" customFormat="1" ht="36" customHeight="1" x14ac:dyDescent="0.25">
      <c r="A187" s="176">
        <v>1</v>
      </c>
      <c r="B187" s="171">
        <f>SUBTOTAL(103,$A$16:A187)</f>
        <v>170</v>
      </c>
      <c r="C187" s="172" t="s">
        <v>1579</v>
      </c>
      <c r="D187" s="173">
        <v>1986</v>
      </c>
      <c r="E187" s="173"/>
      <c r="F187" s="174" t="s">
        <v>318</v>
      </c>
      <c r="G187" s="173">
        <v>5</v>
      </c>
      <c r="H187" s="173" t="s">
        <v>308</v>
      </c>
      <c r="I187" s="170">
        <v>3450.6</v>
      </c>
      <c r="J187" s="170">
        <v>3118.5</v>
      </c>
      <c r="K187" s="170">
        <v>3118.5</v>
      </c>
      <c r="L187" s="206">
        <v>32</v>
      </c>
      <c r="M187" s="173" t="s">
        <v>265</v>
      </c>
      <c r="N187" s="173" t="s">
        <v>269</v>
      </c>
      <c r="O187" s="175" t="s">
        <v>1343</v>
      </c>
      <c r="P187" s="170">
        <v>2039264.59</v>
      </c>
      <c r="Q187" s="170">
        <v>0</v>
      </c>
      <c r="R187" s="170">
        <v>0</v>
      </c>
      <c r="S187" s="170">
        <f>P187-R187-Q187</f>
        <v>2039264.59</v>
      </c>
      <c r="T187" s="170">
        <f t="shared" si="15"/>
        <v>590.98840491508724</v>
      </c>
      <c r="U187" s="170">
        <v>1495.5300370949979</v>
      </c>
      <c r="V187" s="202">
        <f t="shared" si="16"/>
        <v>904.54163217991061</v>
      </c>
      <c r="W187" s="202">
        <f t="shared" si="18"/>
        <v>911.26489306207623</v>
      </c>
      <c r="X187" s="202">
        <v>0</v>
      </c>
      <c r="Y187" s="203">
        <v>0</v>
      </c>
      <c r="Z187" s="203">
        <v>0</v>
      </c>
      <c r="AA187" s="203">
        <v>0</v>
      </c>
      <c r="AB187" s="203">
        <v>0</v>
      </c>
      <c r="AC187" s="203">
        <v>0</v>
      </c>
      <c r="AD187" s="203">
        <v>0</v>
      </c>
      <c r="AE187" s="203">
        <v>504</v>
      </c>
      <c r="AF187" s="202">
        <f t="shared" si="19"/>
        <v>911.26489306207623</v>
      </c>
      <c r="AG187" s="203">
        <v>0</v>
      </c>
      <c r="AH187" s="202">
        <v>0</v>
      </c>
      <c r="AI187" s="203">
        <v>0</v>
      </c>
      <c r="AJ187" s="202">
        <v>0</v>
      </c>
      <c r="AK187" s="203">
        <v>0</v>
      </c>
      <c r="AL187" s="203">
        <v>0</v>
      </c>
      <c r="AM187" s="203">
        <v>0</v>
      </c>
      <c r="AN187" s="203"/>
      <c r="AO187" s="203">
        <v>0</v>
      </c>
    </row>
    <row r="188" spans="1:41" s="176" customFormat="1" ht="36" customHeight="1" x14ac:dyDescent="0.25">
      <c r="A188" s="176">
        <v>1</v>
      </c>
      <c r="B188" s="171">
        <f>SUBTOTAL(103,$A$16:A188)</f>
        <v>171</v>
      </c>
      <c r="C188" s="172" t="s">
        <v>400</v>
      </c>
      <c r="D188" s="173" t="s">
        <v>329</v>
      </c>
      <c r="E188" s="173"/>
      <c r="F188" s="174" t="s">
        <v>267</v>
      </c>
      <c r="G188" s="173">
        <v>9</v>
      </c>
      <c r="H188" s="173" t="s">
        <v>304</v>
      </c>
      <c r="I188" s="170">
        <v>2760.5</v>
      </c>
      <c r="J188" s="170">
        <v>2760.5</v>
      </c>
      <c r="K188" s="170">
        <v>2760.5</v>
      </c>
      <c r="L188" s="206">
        <v>140</v>
      </c>
      <c r="M188" s="173" t="s">
        <v>265</v>
      </c>
      <c r="N188" s="173" t="s">
        <v>269</v>
      </c>
      <c r="O188" s="175" t="s">
        <v>322</v>
      </c>
      <c r="P188" s="170">
        <v>1604039.9000000001</v>
      </c>
      <c r="Q188" s="170">
        <v>0</v>
      </c>
      <c r="R188" s="170">
        <v>0</v>
      </c>
      <c r="S188" s="170">
        <f>P188-R188-Q188</f>
        <v>1604039.9000000001</v>
      </c>
      <c r="T188" s="170">
        <f t="shared" si="15"/>
        <v>581.0686107589205</v>
      </c>
      <c r="U188" s="170">
        <v>890.3459518203224</v>
      </c>
      <c r="V188" s="202">
        <f>U188-T188</f>
        <v>309.2773410614019</v>
      </c>
      <c r="W188" s="202">
        <f>X188+Y188+Z188+AA188+AB188+AD188+AF188+AH188+AJ188+AL188+AN188+AO188</f>
        <v>1139.0728636116646</v>
      </c>
      <c r="X188" s="202">
        <v>0</v>
      </c>
      <c r="Y188" s="203">
        <v>0</v>
      </c>
      <c r="Z188" s="203">
        <v>0</v>
      </c>
      <c r="AA188" s="203">
        <v>0</v>
      </c>
      <c r="AB188" s="203">
        <v>0</v>
      </c>
      <c r="AC188" s="203">
        <v>0</v>
      </c>
      <c r="AD188" s="203">
        <v>0</v>
      </c>
      <c r="AE188" s="203">
        <v>504</v>
      </c>
      <c r="AF188" s="202">
        <f t="shared" si="19"/>
        <v>1139.0728636116646</v>
      </c>
      <c r="AG188" s="203">
        <v>0</v>
      </c>
      <c r="AH188" s="202">
        <v>0</v>
      </c>
      <c r="AI188" s="203">
        <v>0</v>
      </c>
      <c r="AJ188" s="202">
        <v>0</v>
      </c>
      <c r="AK188" s="203">
        <v>0</v>
      </c>
      <c r="AL188" s="203">
        <v>0</v>
      </c>
      <c r="AM188" s="203">
        <v>0</v>
      </c>
      <c r="AN188" s="203"/>
      <c r="AO188" s="203">
        <v>0</v>
      </c>
    </row>
    <row r="189" spans="1:41" s="176" customFormat="1" ht="36" customHeight="1" x14ac:dyDescent="0.25">
      <c r="A189" s="176">
        <v>1</v>
      </c>
      <c r="B189" s="171">
        <f>SUBTOTAL(103,$A$16:A189)</f>
        <v>172</v>
      </c>
      <c r="C189" s="172" t="s">
        <v>436</v>
      </c>
      <c r="D189" s="173">
        <v>1994</v>
      </c>
      <c r="E189" s="173"/>
      <c r="F189" s="174" t="s">
        <v>311</v>
      </c>
      <c r="G189" s="173">
        <v>9</v>
      </c>
      <c r="H189" s="173" t="s">
        <v>303</v>
      </c>
      <c r="I189" s="177">
        <v>4306.3</v>
      </c>
      <c r="J189" s="170">
        <v>3866</v>
      </c>
      <c r="K189" s="170">
        <v>3866</v>
      </c>
      <c r="L189" s="206">
        <v>182</v>
      </c>
      <c r="M189" s="173" t="s">
        <v>265</v>
      </c>
      <c r="N189" s="173" t="s">
        <v>269</v>
      </c>
      <c r="O189" s="175" t="s">
        <v>321</v>
      </c>
      <c r="P189" s="170">
        <v>105635.39</v>
      </c>
      <c r="Q189" s="170">
        <v>0</v>
      </c>
      <c r="R189" s="170">
        <v>0</v>
      </c>
      <c r="S189" s="170">
        <f>P189-R189-Q189</f>
        <v>105635.39</v>
      </c>
      <c r="T189" s="170">
        <f t="shared" si="15"/>
        <v>24.530429835357499</v>
      </c>
      <c r="U189" s="170">
        <v>24.530429835357499</v>
      </c>
      <c r="V189" s="202">
        <f>U189-T189</f>
        <v>0</v>
      </c>
      <c r="W189" s="202">
        <f>X189+Y189+Z189+AA189+AB189+AD189+AF189+AH189+AJ189+AL189+AN189+AO189</f>
        <v>912.73559668392807</v>
      </c>
      <c r="X189" s="202">
        <v>0</v>
      </c>
      <c r="Y189" s="203">
        <v>0</v>
      </c>
      <c r="Z189" s="203">
        <v>0</v>
      </c>
      <c r="AA189" s="203">
        <v>0</v>
      </c>
      <c r="AB189" s="203">
        <v>0</v>
      </c>
      <c r="AC189" s="203">
        <v>0</v>
      </c>
      <c r="AD189" s="203">
        <v>0</v>
      </c>
      <c r="AE189" s="203">
        <v>630</v>
      </c>
      <c r="AF189" s="202">
        <f t="shared" si="19"/>
        <v>912.73559668392807</v>
      </c>
      <c r="AG189" s="203">
        <v>0</v>
      </c>
      <c r="AH189" s="202">
        <v>0</v>
      </c>
      <c r="AI189" s="203">
        <v>0</v>
      </c>
      <c r="AJ189" s="202">
        <v>0</v>
      </c>
      <c r="AK189" s="203">
        <v>0</v>
      </c>
      <c r="AL189" s="203">
        <v>0</v>
      </c>
      <c r="AM189" s="203">
        <v>0</v>
      </c>
      <c r="AN189" s="203"/>
      <c r="AO189" s="203">
        <v>0</v>
      </c>
    </row>
    <row r="190" spans="1:41" s="176" customFormat="1" ht="36" customHeight="1" x14ac:dyDescent="0.25">
      <c r="A190" s="176">
        <v>1</v>
      </c>
      <c r="B190" s="171">
        <f>SUBTOTAL(103,$A$16:A190)</f>
        <v>173</v>
      </c>
      <c r="C190" s="172" t="s">
        <v>404</v>
      </c>
      <c r="D190" s="173">
        <v>1957</v>
      </c>
      <c r="E190" s="173"/>
      <c r="F190" s="174" t="s">
        <v>267</v>
      </c>
      <c r="G190" s="173">
        <v>2</v>
      </c>
      <c r="H190" s="173" t="s">
        <v>303</v>
      </c>
      <c r="I190" s="170">
        <v>706.7</v>
      </c>
      <c r="J190" s="170">
        <v>646.1</v>
      </c>
      <c r="K190" s="170">
        <v>646.1</v>
      </c>
      <c r="L190" s="206">
        <v>18</v>
      </c>
      <c r="M190" s="173" t="s">
        <v>265</v>
      </c>
      <c r="N190" s="173" t="s">
        <v>269</v>
      </c>
      <c r="O190" s="175" t="s">
        <v>325</v>
      </c>
      <c r="P190" s="170">
        <v>81776.960000000006</v>
      </c>
      <c r="Q190" s="170">
        <v>0</v>
      </c>
      <c r="R190" s="170">
        <v>0</v>
      </c>
      <c r="S190" s="170">
        <f>P190-Q190-R190</f>
        <v>81776.960000000006</v>
      </c>
      <c r="T190" s="170">
        <f t="shared" si="15"/>
        <v>115.71665487477006</v>
      </c>
      <c r="U190" s="170">
        <v>115.71665487477006</v>
      </c>
      <c r="V190" s="202">
        <f>U190-T190</f>
        <v>0</v>
      </c>
      <c r="W190" s="202">
        <f>X190+Y190+Z190+AA190+AB190+AD190+AF190+AH190+AJ190+AL190+AN190+AO190</f>
        <v>7000.6096671855103</v>
      </c>
      <c r="X190" s="202">
        <v>0</v>
      </c>
      <c r="Y190" s="203">
        <v>0</v>
      </c>
      <c r="Z190" s="203">
        <v>0</v>
      </c>
      <c r="AA190" s="203">
        <v>0</v>
      </c>
      <c r="AB190" s="203">
        <v>0</v>
      </c>
      <c r="AC190" s="203">
        <v>0</v>
      </c>
      <c r="AD190" s="203">
        <v>0</v>
      </c>
      <c r="AE190" s="203">
        <v>792.98</v>
      </c>
      <c r="AF190" s="202">
        <f t="shared" si="19"/>
        <v>7000.6096671855103</v>
      </c>
      <c r="AG190" s="203">
        <v>0</v>
      </c>
      <c r="AH190" s="202">
        <v>0</v>
      </c>
      <c r="AI190" s="203">
        <v>0</v>
      </c>
      <c r="AJ190" s="202">
        <v>0</v>
      </c>
      <c r="AK190" s="203">
        <v>0</v>
      </c>
      <c r="AL190" s="203">
        <v>0</v>
      </c>
      <c r="AM190" s="203">
        <v>0</v>
      </c>
      <c r="AN190" s="203"/>
      <c r="AO190" s="203">
        <v>0</v>
      </c>
    </row>
    <row r="191" spans="1:41" s="176" customFormat="1" ht="36" customHeight="1" x14ac:dyDescent="0.25">
      <c r="A191" s="176">
        <v>1</v>
      </c>
      <c r="B191" s="171">
        <f>SUBTOTAL(103,$A$16:A191)</f>
        <v>174</v>
      </c>
      <c r="C191" s="172" t="s">
        <v>405</v>
      </c>
      <c r="D191" s="173">
        <v>1960</v>
      </c>
      <c r="E191" s="173"/>
      <c r="F191" s="174" t="s">
        <v>267</v>
      </c>
      <c r="G191" s="173">
        <v>2</v>
      </c>
      <c r="H191" s="173" t="s">
        <v>303</v>
      </c>
      <c r="I191" s="177">
        <v>582.70000000000005</v>
      </c>
      <c r="J191" s="177">
        <v>576.70000000000005</v>
      </c>
      <c r="K191" s="177">
        <v>576.70000000000005</v>
      </c>
      <c r="L191" s="206">
        <v>31</v>
      </c>
      <c r="M191" s="173" t="s">
        <v>265</v>
      </c>
      <c r="N191" s="173" t="s">
        <v>269</v>
      </c>
      <c r="O191" s="175" t="s">
        <v>321</v>
      </c>
      <c r="P191" s="170">
        <v>64771.71</v>
      </c>
      <c r="Q191" s="170">
        <v>0</v>
      </c>
      <c r="R191" s="170">
        <v>0</v>
      </c>
      <c r="S191" s="170">
        <f>P191-Q191-R191</f>
        <v>64771.71</v>
      </c>
      <c r="T191" s="170">
        <f t="shared" si="15"/>
        <v>111.15790286596875</v>
      </c>
      <c r="U191" s="170">
        <v>111.15790286596875</v>
      </c>
      <c r="V191" s="202">
        <f>U191-T191</f>
        <v>0</v>
      </c>
      <c r="W191" s="202">
        <f>X191+Y191+Z191+AA191+AB191+AD191+AF191+AH191+AJ191+AL191+AN191+AO191</f>
        <v>4217.9509181396943</v>
      </c>
      <c r="X191" s="202">
        <v>0</v>
      </c>
      <c r="Y191" s="203">
        <v>0</v>
      </c>
      <c r="Z191" s="203">
        <v>0</v>
      </c>
      <c r="AA191" s="203">
        <v>0</v>
      </c>
      <c r="AB191" s="203">
        <v>0</v>
      </c>
      <c r="AC191" s="203">
        <v>1</v>
      </c>
      <c r="AD191" s="202">
        <f>2457800*AC191/I191</f>
        <v>4217.9509181396943</v>
      </c>
      <c r="AE191" s="203">
        <v>0</v>
      </c>
      <c r="AF191" s="202">
        <v>0</v>
      </c>
      <c r="AG191" s="203">
        <v>0</v>
      </c>
      <c r="AH191" s="202">
        <v>0</v>
      </c>
      <c r="AI191" s="203">
        <v>0</v>
      </c>
      <c r="AJ191" s="202">
        <v>0</v>
      </c>
      <c r="AK191" s="203">
        <v>0</v>
      </c>
      <c r="AL191" s="203">
        <v>0</v>
      </c>
      <c r="AM191" s="203">
        <v>0</v>
      </c>
      <c r="AN191" s="203"/>
      <c r="AO191" s="203">
        <v>0</v>
      </c>
    </row>
    <row r="192" spans="1:41" s="176" customFormat="1" ht="36" customHeight="1" x14ac:dyDescent="0.25">
      <c r="A192" s="176">
        <v>1</v>
      </c>
      <c r="B192" s="171">
        <f>SUBTOTAL(103,$A$16:A192)</f>
        <v>175</v>
      </c>
      <c r="C192" s="172" t="s">
        <v>406</v>
      </c>
      <c r="D192" s="173">
        <v>1960</v>
      </c>
      <c r="E192" s="173"/>
      <c r="F192" s="174" t="s">
        <v>267</v>
      </c>
      <c r="G192" s="173">
        <v>2</v>
      </c>
      <c r="H192" s="173" t="s">
        <v>303</v>
      </c>
      <c r="I192" s="170">
        <v>592.20000000000005</v>
      </c>
      <c r="J192" s="170">
        <v>550.70000000000005</v>
      </c>
      <c r="K192" s="170">
        <v>550.70000000000005</v>
      </c>
      <c r="L192" s="206">
        <v>37</v>
      </c>
      <c r="M192" s="173" t="s">
        <v>265</v>
      </c>
      <c r="N192" s="173" t="s">
        <v>269</v>
      </c>
      <c r="O192" s="175" t="s">
        <v>328</v>
      </c>
      <c r="P192" s="170">
        <v>64458.1</v>
      </c>
      <c r="Q192" s="170">
        <v>0</v>
      </c>
      <c r="R192" s="170">
        <v>0</v>
      </c>
      <c r="S192" s="170">
        <f>P192-R192-Q192</f>
        <v>64458.1</v>
      </c>
      <c r="T192" s="170">
        <f t="shared" si="15"/>
        <v>108.84515366430259</v>
      </c>
      <c r="U192" s="170">
        <v>108.84515366430259</v>
      </c>
      <c r="V192" s="202">
        <f t="shared" si="16"/>
        <v>0</v>
      </c>
      <c r="W192" s="202">
        <f t="shared" si="18"/>
        <v>5309.7106382978718</v>
      </c>
      <c r="X192" s="202">
        <v>0</v>
      </c>
      <c r="Y192" s="203">
        <v>0</v>
      </c>
      <c r="Z192" s="203">
        <v>0</v>
      </c>
      <c r="AA192" s="203">
        <v>0</v>
      </c>
      <c r="AB192" s="203">
        <v>0</v>
      </c>
      <c r="AC192" s="203">
        <v>0</v>
      </c>
      <c r="AD192" s="203">
        <v>0</v>
      </c>
      <c r="AE192" s="203">
        <v>504</v>
      </c>
      <c r="AF192" s="202">
        <f>6238.91*AE192/I192</f>
        <v>5309.7106382978718</v>
      </c>
      <c r="AG192" s="203">
        <v>0</v>
      </c>
      <c r="AH192" s="202">
        <v>0</v>
      </c>
      <c r="AI192" s="203">
        <v>0</v>
      </c>
      <c r="AJ192" s="202">
        <v>0</v>
      </c>
      <c r="AK192" s="203">
        <v>0</v>
      </c>
      <c r="AL192" s="203">
        <v>0</v>
      </c>
      <c r="AM192" s="203">
        <v>0</v>
      </c>
      <c r="AN192" s="203"/>
      <c r="AO192" s="203">
        <v>0</v>
      </c>
    </row>
    <row r="193" spans="1:41" s="176" customFormat="1" ht="36" customHeight="1" x14ac:dyDescent="0.25">
      <c r="A193" s="176">
        <v>1</v>
      </c>
      <c r="B193" s="171">
        <f>SUBTOTAL(103,$A$16:A193)</f>
        <v>176</v>
      </c>
      <c r="C193" s="172" t="s">
        <v>411</v>
      </c>
      <c r="D193" s="173">
        <v>1958</v>
      </c>
      <c r="E193" s="173"/>
      <c r="F193" s="174" t="s">
        <v>267</v>
      </c>
      <c r="G193" s="173">
        <v>2</v>
      </c>
      <c r="H193" s="173" t="s">
        <v>303</v>
      </c>
      <c r="I193" s="177">
        <v>653.29999999999995</v>
      </c>
      <c r="J193" s="170">
        <v>605.6</v>
      </c>
      <c r="K193" s="170">
        <v>605.6</v>
      </c>
      <c r="L193" s="206">
        <v>30</v>
      </c>
      <c r="M193" s="173" t="s">
        <v>265</v>
      </c>
      <c r="N193" s="173" t="s">
        <v>269</v>
      </c>
      <c r="O193" s="175" t="s">
        <v>325</v>
      </c>
      <c r="P193" s="170">
        <v>68984.12</v>
      </c>
      <c r="Q193" s="170">
        <v>0</v>
      </c>
      <c r="R193" s="170">
        <v>0</v>
      </c>
      <c r="S193" s="170">
        <f>P193-R193-Q193</f>
        <v>68984.12</v>
      </c>
      <c r="T193" s="170">
        <f t="shared" si="15"/>
        <v>105.59332619011174</v>
      </c>
      <c r="U193" s="170">
        <v>105.59332619011174</v>
      </c>
      <c r="V193" s="202">
        <f t="shared" si="16"/>
        <v>0</v>
      </c>
      <c r="W193" s="202">
        <f t="shared" si="18"/>
        <v>6016.3987448339203</v>
      </c>
      <c r="X193" s="202">
        <v>0</v>
      </c>
      <c r="Y193" s="203">
        <v>0</v>
      </c>
      <c r="Z193" s="203">
        <v>0</v>
      </c>
      <c r="AA193" s="203">
        <v>0</v>
      </c>
      <c r="AB193" s="203">
        <v>0</v>
      </c>
      <c r="AC193" s="203">
        <v>0</v>
      </c>
      <c r="AD193" s="203">
        <v>0</v>
      </c>
      <c r="AE193" s="203">
        <v>630</v>
      </c>
      <c r="AF193" s="202">
        <f>6238.91*AE193/I193</f>
        <v>6016.3987448339203</v>
      </c>
      <c r="AG193" s="203">
        <v>0</v>
      </c>
      <c r="AH193" s="202">
        <v>0</v>
      </c>
      <c r="AI193" s="203">
        <v>0</v>
      </c>
      <c r="AJ193" s="202">
        <v>0</v>
      </c>
      <c r="AK193" s="203">
        <v>0</v>
      </c>
      <c r="AL193" s="203">
        <v>0</v>
      </c>
      <c r="AM193" s="203">
        <v>0</v>
      </c>
      <c r="AN193" s="203"/>
      <c r="AO193" s="203">
        <v>0</v>
      </c>
    </row>
    <row r="194" spans="1:41" s="176" customFormat="1" ht="36" customHeight="1" x14ac:dyDescent="0.25">
      <c r="A194" s="176">
        <v>1</v>
      </c>
      <c r="B194" s="171">
        <f>SUBTOTAL(103,$A$16:A194)</f>
        <v>177</v>
      </c>
      <c r="C194" s="172" t="s">
        <v>412</v>
      </c>
      <c r="D194" s="173">
        <v>1961</v>
      </c>
      <c r="E194" s="173"/>
      <c r="F194" s="174" t="s">
        <v>267</v>
      </c>
      <c r="G194" s="173">
        <v>2</v>
      </c>
      <c r="H194" s="173" t="s">
        <v>304</v>
      </c>
      <c r="I194" s="170">
        <v>291.64999999999998</v>
      </c>
      <c r="J194" s="170">
        <v>275.13</v>
      </c>
      <c r="K194" s="170">
        <v>275.13</v>
      </c>
      <c r="L194" s="206">
        <v>17</v>
      </c>
      <c r="M194" s="173" t="s">
        <v>265</v>
      </c>
      <c r="N194" s="173" t="s">
        <v>266</v>
      </c>
      <c r="O194" s="175" t="s">
        <v>268</v>
      </c>
      <c r="P194" s="170">
        <v>49086.239999999998</v>
      </c>
      <c r="Q194" s="170">
        <v>0</v>
      </c>
      <c r="R194" s="170">
        <v>0</v>
      </c>
      <c r="S194" s="170">
        <f>P194-Q194-R194</f>
        <v>49086.239999999998</v>
      </c>
      <c r="T194" s="170">
        <f t="shared" si="15"/>
        <v>168.30529744556833</v>
      </c>
      <c r="U194" s="170">
        <v>168.30529744556833</v>
      </c>
      <c r="V194" s="202">
        <f t="shared" si="16"/>
        <v>0</v>
      </c>
      <c r="W194" s="202">
        <f t="shared" si="18"/>
        <v>16963.246534544833</v>
      </c>
      <c r="X194" s="202">
        <v>0</v>
      </c>
      <c r="Y194" s="203">
        <v>0</v>
      </c>
      <c r="Z194" s="203">
        <v>0</v>
      </c>
      <c r="AA194" s="203">
        <v>0</v>
      </c>
      <c r="AB194" s="203">
        <v>0</v>
      </c>
      <c r="AC194" s="203">
        <v>0</v>
      </c>
      <c r="AD194" s="203">
        <v>0</v>
      </c>
      <c r="AE194" s="203">
        <v>792.98</v>
      </c>
      <c r="AF194" s="202">
        <f>6238.91*AE194/I194</f>
        <v>16963.246534544833</v>
      </c>
      <c r="AG194" s="203">
        <v>0</v>
      </c>
      <c r="AH194" s="202">
        <v>0</v>
      </c>
      <c r="AI194" s="203">
        <v>0</v>
      </c>
      <c r="AJ194" s="202">
        <v>0</v>
      </c>
      <c r="AK194" s="203">
        <v>0</v>
      </c>
      <c r="AL194" s="203">
        <v>0</v>
      </c>
      <c r="AM194" s="203">
        <v>0</v>
      </c>
      <c r="AN194" s="203"/>
      <c r="AO194" s="203">
        <v>0</v>
      </c>
    </row>
    <row r="195" spans="1:41" s="176" customFormat="1" ht="36" customHeight="1" x14ac:dyDescent="0.25">
      <c r="A195" s="176">
        <v>1</v>
      </c>
      <c r="B195" s="171">
        <f>SUBTOTAL(103,$A$16:A195)</f>
        <v>178</v>
      </c>
      <c r="C195" s="172" t="s">
        <v>420</v>
      </c>
      <c r="D195" s="173">
        <v>1962</v>
      </c>
      <c r="E195" s="173"/>
      <c r="F195" s="174" t="s">
        <v>324</v>
      </c>
      <c r="G195" s="173">
        <v>2</v>
      </c>
      <c r="H195" s="173" t="s">
        <v>303</v>
      </c>
      <c r="I195" s="177">
        <v>590.99</v>
      </c>
      <c r="J195" s="177">
        <v>550.29</v>
      </c>
      <c r="K195" s="177">
        <v>550.29</v>
      </c>
      <c r="L195" s="206">
        <v>18</v>
      </c>
      <c r="M195" s="173" t="s">
        <v>265</v>
      </c>
      <c r="N195" s="173" t="s">
        <v>269</v>
      </c>
      <c r="O195" s="175" t="s">
        <v>328</v>
      </c>
      <c r="P195" s="170">
        <v>66103.89</v>
      </c>
      <c r="Q195" s="170">
        <v>0</v>
      </c>
      <c r="R195" s="170">
        <v>0</v>
      </c>
      <c r="S195" s="170">
        <f>P195-Q195-R195</f>
        <v>66103.89</v>
      </c>
      <c r="T195" s="170">
        <f t="shared" si="15"/>
        <v>111.85280630805936</v>
      </c>
      <c r="U195" s="170">
        <v>111.85280630805936</v>
      </c>
      <c r="V195" s="202">
        <f>U195-T195</f>
        <v>0</v>
      </c>
      <c r="W195" s="202">
        <f>X195+Y195+Z195+AA195+AB195+AD195+AF195+AH195+AJ195+AL195+AN195+AO195</f>
        <v>4158.7844125958136</v>
      </c>
      <c r="X195" s="202">
        <v>0</v>
      </c>
      <c r="Y195" s="203">
        <v>0</v>
      </c>
      <c r="Z195" s="203">
        <v>0</v>
      </c>
      <c r="AA195" s="203">
        <v>0</v>
      </c>
      <c r="AB195" s="203">
        <v>0</v>
      </c>
      <c r="AC195" s="203">
        <v>1</v>
      </c>
      <c r="AD195" s="202">
        <f>2457800*AC195/I195</f>
        <v>4158.7844125958136</v>
      </c>
      <c r="AE195" s="203">
        <v>0</v>
      </c>
      <c r="AF195" s="202">
        <v>0</v>
      </c>
      <c r="AG195" s="203">
        <v>0</v>
      </c>
      <c r="AH195" s="202">
        <v>0</v>
      </c>
      <c r="AI195" s="203">
        <v>0</v>
      </c>
      <c r="AJ195" s="202">
        <v>0</v>
      </c>
      <c r="AK195" s="203">
        <v>0</v>
      </c>
      <c r="AL195" s="203">
        <v>0</v>
      </c>
      <c r="AM195" s="203">
        <v>0</v>
      </c>
      <c r="AN195" s="203"/>
      <c r="AO195" s="203">
        <v>0</v>
      </c>
    </row>
    <row r="196" spans="1:41" s="176" customFormat="1" ht="36" customHeight="1" x14ac:dyDescent="0.25">
      <c r="B196" s="172" t="s">
        <v>752</v>
      </c>
      <c r="C196" s="359"/>
      <c r="D196" s="173" t="s">
        <v>882</v>
      </c>
      <c r="E196" s="173" t="s">
        <v>882</v>
      </c>
      <c r="F196" s="173" t="s">
        <v>882</v>
      </c>
      <c r="G196" s="173" t="s">
        <v>882</v>
      </c>
      <c r="H196" s="173" t="s">
        <v>882</v>
      </c>
      <c r="I196" s="177">
        <f>SUM(I197:I232)</f>
        <v>218132.8</v>
      </c>
      <c r="J196" s="177">
        <f>SUM(J197:J232)</f>
        <v>185137.02000000002</v>
      </c>
      <c r="K196" s="177">
        <f>SUM(K197:K232)</f>
        <v>177475.53000000003</v>
      </c>
      <c r="L196" s="357">
        <f>SUM(L197:L232)</f>
        <v>7911</v>
      </c>
      <c r="M196" s="173" t="s">
        <v>882</v>
      </c>
      <c r="N196" s="173" t="s">
        <v>882</v>
      </c>
      <c r="O196" s="175" t="s">
        <v>882</v>
      </c>
      <c r="P196" s="177">
        <v>128937901.11000001</v>
      </c>
      <c r="Q196" s="177">
        <f>SUM(Q197:Q232)</f>
        <v>0</v>
      </c>
      <c r="R196" s="177">
        <f>SUM(R197:R232)</f>
        <v>0</v>
      </c>
      <c r="S196" s="177">
        <f>SUM(S197:S232)</f>
        <v>128937901.11000001</v>
      </c>
      <c r="T196" s="170">
        <f t="shared" si="15"/>
        <v>591.09818014530606</v>
      </c>
      <c r="U196" s="170">
        <f>MAX(U197:U232)</f>
        <v>9917.957710597826</v>
      </c>
      <c r="V196" s="202">
        <f t="shared" si="16"/>
        <v>9326.8595304525206</v>
      </c>
      <c r="W196" s="202"/>
      <c r="X196" s="202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</row>
    <row r="197" spans="1:41" s="176" customFormat="1" ht="36" customHeight="1" x14ac:dyDescent="0.25">
      <c r="A197" s="176">
        <v>1</v>
      </c>
      <c r="B197" s="171">
        <f>SUBTOTAL(103,$A$16:A197)</f>
        <v>179</v>
      </c>
      <c r="C197" s="172" t="s">
        <v>753</v>
      </c>
      <c r="D197" s="173">
        <v>1960</v>
      </c>
      <c r="E197" s="173"/>
      <c r="F197" s="174" t="s">
        <v>267</v>
      </c>
      <c r="G197" s="173">
        <v>4</v>
      </c>
      <c r="H197" s="173" t="s">
        <v>312</v>
      </c>
      <c r="I197" s="170">
        <v>2116.5</v>
      </c>
      <c r="J197" s="170">
        <v>1931.2</v>
      </c>
      <c r="K197" s="170">
        <v>1680.5</v>
      </c>
      <c r="L197" s="206">
        <v>73</v>
      </c>
      <c r="M197" s="173" t="s">
        <v>265</v>
      </c>
      <c r="N197" s="173" t="s">
        <v>269</v>
      </c>
      <c r="O197" s="175" t="s">
        <v>793</v>
      </c>
      <c r="P197" s="170">
        <v>131699.56</v>
      </c>
      <c r="Q197" s="170">
        <v>0</v>
      </c>
      <c r="R197" s="170">
        <v>0</v>
      </c>
      <c r="S197" s="170">
        <f t="shared" ref="S197:S224" si="20">P197-Q197-R197</f>
        <v>131699.56</v>
      </c>
      <c r="T197" s="170">
        <f t="shared" si="15"/>
        <v>62.225164186156391</v>
      </c>
      <c r="U197" s="170">
        <v>62.225164186156391</v>
      </c>
      <c r="V197" s="202">
        <f t="shared" si="16"/>
        <v>0</v>
      </c>
      <c r="W197" s="202">
        <f t="shared" ref="W197:W232" si="21">X197+Y197+Z197+AA197+AB197+AD197+AF197+AH197+AJ197+AL197+AN197+AO197</f>
        <v>4927.7666902905748</v>
      </c>
      <c r="X197" s="202">
        <v>0</v>
      </c>
      <c r="Y197" s="203">
        <v>0</v>
      </c>
      <c r="Z197" s="203">
        <v>0</v>
      </c>
      <c r="AA197" s="203">
        <v>0</v>
      </c>
      <c r="AB197" s="203">
        <v>0</v>
      </c>
      <c r="AC197" s="203">
        <v>0</v>
      </c>
      <c r="AD197" s="203">
        <v>0</v>
      </c>
      <c r="AE197" s="203">
        <v>0</v>
      </c>
      <c r="AF197" s="202">
        <v>0</v>
      </c>
      <c r="AG197" s="203">
        <v>0</v>
      </c>
      <c r="AH197" s="202">
        <v>0</v>
      </c>
      <c r="AI197" s="203">
        <v>1402</v>
      </c>
      <c r="AJ197" s="202">
        <f>7439.1*AI197/I197</f>
        <v>4927.7666902905748</v>
      </c>
      <c r="AK197" s="203">
        <v>0</v>
      </c>
      <c r="AL197" s="203">
        <v>0</v>
      </c>
      <c r="AM197" s="203">
        <v>0</v>
      </c>
      <c r="AN197" s="203"/>
      <c r="AO197" s="203">
        <v>0</v>
      </c>
    </row>
    <row r="198" spans="1:41" s="176" customFormat="1" ht="36" customHeight="1" x14ac:dyDescent="0.25">
      <c r="A198" s="176">
        <v>1</v>
      </c>
      <c r="B198" s="171">
        <f>SUBTOTAL(103,$A$16:A198)</f>
        <v>180</v>
      </c>
      <c r="C198" s="172" t="s">
        <v>754</v>
      </c>
      <c r="D198" s="173">
        <v>1938</v>
      </c>
      <c r="E198" s="173"/>
      <c r="F198" s="174" t="s">
        <v>324</v>
      </c>
      <c r="G198" s="173">
        <v>2</v>
      </c>
      <c r="H198" s="173" t="s">
        <v>303</v>
      </c>
      <c r="I198" s="170">
        <v>692.4</v>
      </c>
      <c r="J198" s="170">
        <v>692.4</v>
      </c>
      <c r="K198" s="170">
        <v>632.79999999999995</v>
      </c>
      <c r="L198" s="206">
        <v>23</v>
      </c>
      <c r="M198" s="173" t="s">
        <v>265</v>
      </c>
      <c r="N198" s="173" t="s">
        <v>266</v>
      </c>
      <c r="O198" s="175" t="s">
        <v>268</v>
      </c>
      <c r="P198" s="170">
        <v>2194413.6799999997</v>
      </c>
      <c r="Q198" s="170">
        <v>0</v>
      </c>
      <c r="R198" s="170">
        <v>0</v>
      </c>
      <c r="S198" s="170">
        <f t="shared" si="20"/>
        <v>2194413.6799999997</v>
      </c>
      <c r="T198" s="170">
        <f t="shared" si="15"/>
        <v>3169.2860774119004</v>
      </c>
      <c r="U198" s="170">
        <v>5078.8068298671287</v>
      </c>
      <c r="V198" s="202">
        <f t="shared" si="16"/>
        <v>1909.5207524552284</v>
      </c>
      <c r="W198" s="202">
        <f t="shared" si="21"/>
        <v>4869.0349461294045</v>
      </c>
      <c r="X198" s="202">
        <v>0</v>
      </c>
      <c r="Y198" s="203">
        <v>0</v>
      </c>
      <c r="Z198" s="203">
        <v>0</v>
      </c>
      <c r="AA198" s="203">
        <v>0</v>
      </c>
      <c r="AB198" s="203">
        <v>0</v>
      </c>
      <c r="AC198" s="203">
        <v>0</v>
      </c>
      <c r="AD198" s="203">
        <v>0</v>
      </c>
      <c r="AE198" s="203">
        <v>540.37</v>
      </c>
      <c r="AF198" s="202">
        <f>6238.91*AE198/I198</f>
        <v>4869.0349461294045</v>
      </c>
      <c r="AG198" s="203">
        <v>0</v>
      </c>
      <c r="AH198" s="202">
        <v>0</v>
      </c>
      <c r="AI198" s="203">
        <v>0</v>
      </c>
      <c r="AJ198" s="202">
        <v>0</v>
      </c>
      <c r="AK198" s="203">
        <v>0</v>
      </c>
      <c r="AL198" s="203">
        <v>0</v>
      </c>
      <c r="AM198" s="203">
        <v>0</v>
      </c>
      <c r="AN198" s="203"/>
      <c r="AO198" s="203">
        <v>0</v>
      </c>
    </row>
    <row r="199" spans="1:41" s="176" customFormat="1" ht="36" customHeight="1" x14ac:dyDescent="0.25">
      <c r="A199" s="176">
        <v>1</v>
      </c>
      <c r="B199" s="171">
        <f>SUBTOTAL(103,$A$16:A199)</f>
        <v>181</v>
      </c>
      <c r="C199" s="172" t="s">
        <v>755</v>
      </c>
      <c r="D199" s="173">
        <v>1961</v>
      </c>
      <c r="E199" s="173"/>
      <c r="F199" s="174" t="s">
        <v>267</v>
      </c>
      <c r="G199" s="173">
        <v>2</v>
      </c>
      <c r="H199" s="173" t="s">
        <v>304</v>
      </c>
      <c r="I199" s="170">
        <v>296.39999999999998</v>
      </c>
      <c r="J199" s="170">
        <v>275.5</v>
      </c>
      <c r="K199" s="170">
        <v>275.5</v>
      </c>
      <c r="L199" s="206">
        <v>8</v>
      </c>
      <c r="M199" s="173" t="s">
        <v>265</v>
      </c>
      <c r="N199" s="173" t="s">
        <v>269</v>
      </c>
      <c r="O199" s="175" t="s">
        <v>794</v>
      </c>
      <c r="P199" s="170">
        <v>62023.07</v>
      </c>
      <c r="Q199" s="170">
        <v>0</v>
      </c>
      <c r="R199" s="170">
        <v>0</v>
      </c>
      <c r="S199" s="170">
        <f t="shared" si="20"/>
        <v>62023.07</v>
      </c>
      <c r="T199" s="170">
        <f t="shared" si="15"/>
        <v>209.25462213225373</v>
      </c>
      <c r="U199" s="170">
        <v>209.25462213225373</v>
      </c>
      <c r="V199" s="202">
        <f t="shared" si="16"/>
        <v>0</v>
      </c>
      <c r="W199" s="202">
        <f t="shared" si="21"/>
        <v>5577.9728407557359</v>
      </c>
      <c r="X199" s="202">
        <v>0</v>
      </c>
      <c r="Y199" s="203">
        <v>0</v>
      </c>
      <c r="Z199" s="203">
        <v>0</v>
      </c>
      <c r="AA199" s="203">
        <v>0</v>
      </c>
      <c r="AB199" s="203">
        <v>0</v>
      </c>
      <c r="AC199" s="203">
        <v>0</v>
      </c>
      <c r="AD199" s="203">
        <v>0</v>
      </c>
      <c r="AE199" s="203">
        <v>265</v>
      </c>
      <c r="AF199" s="202">
        <f>6238.91*AE199/I199</f>
        <v>5577.9728407557359</v>
      </c>
      <c r="AG199" s="203">
        <v>0</v>
      </c>
      <c r="AH199" s="202">
        <v>0</v>
      </c>
      <c r="AI199" s="203">
        <v>0</v>
      </c>
      <c r="AJ199" s="202">
        <v>0</v>
      </c>
      <c r="AK199" s="203">
        <v>0</v>
      </c>
      <c r="AL199" s="203">
        <v>0</v>
      </c>
      <c r="AM199" s="203">
        <v>0</v>
      </c>
      <c r="AN199" s="203"/>
      <c r="AO199" s="203">
        <v>0</v>
      </c>
    </row>
    <row r="200" spans="1:41" s="176" customFormat="1" ht="36" customHeight="1" x14ac:dyDescent="0.25">
      <c r="A200" s="176">
        <v>1</v>
      </c>
      <c r="B200" s="171">
        <f>SUBTOTAL(103,$A$16:A200)</f>
        <v>182</v>
      </c>
      <c r="C200" s="172" t="s">
        <v>756</v>
      </c>
      <c r="D200" s="173">
        <v>1988</v>
      </c>
      <c r="E200" s="173"/>
      <c r="F200" s="174" t="s">
        <v>318</v>
      </c>
      <c r="G200" s="173">
        <v>9</v>
      </c>
      <c r="H200" s="173" t="s">
        <v>312</v>
      </c>
      <c r="I200" s="170">
        <v>6561.4</v>
      </c>
      <c r="J200" s="170">
        <v>5844</v>
      </c>
      <c r="K200" s="170">
        <v>5844</v>
      </c>
      <c r="L200" s="206">
        <v>243</v>
      </c>
      <c r="M200" s="173" t="s">
        <v>265</v>
      </c>
      <c r="N200" s="173" t="s">
        <v>269</v>
      </c>
      <c r="O200" s="175" t="s">
        <v>795</v>
      </c>
      <c r="P200" s="170">
        <v>4939980.5199999996</v>
      </c>
      <c r="Q200" s="170">
        <v>0</v>
      </c>
      <c r="R200" s="170">
        <v>0</v>
      </c>
      <c r="S200" s="170">
        <f t="shared" si="20"/>
        <v>4939980.5199999996</v>
      </c>
      <c r="T200" s="170">
        <f t="shared" si="15"/>
        <v>752.88513427012526</v>
      </c>
      <c r="U200" s="170">
        <v>1123.7540768738379</v>
      </c>
      <c r="V200" s="202">
        <f t="shared" si="16"/>
        <v>370.86894260371264</v>
      </c>
      <c r="W200" s="202">
        <f t="shared" si="21"/>
        <v>1123.7540768738379</v>
      </c>
      <c r="X200" s="202">
        <v>0</v>
      </c>
      <c r="Y200" s="203">
        <v>0</v>
      </c>
      <c r="Z200" s="203">
        <v>0</v>
      </c>
      <c r="AA200" s="203">
        <v>0</v>
      </c>
      <c r="AB200" s="203">
        <v>0</v>
      </c>
      <c r="AC200" s="203">
        <v>3</v>
      </c>
      <c r="AD200" s="202">
        <f>2457800*AC200/I200</f>
        <v>1123.7540768738379</v>
      </c>
      <c r="AE200" s="203">
        <v>0</v>
      </c>
      <c r="AF200" s="202">
        <v>0</v>
      </c>
      <c r="AG200" s="203">
        <v>0</v>
      </c>
      <c r="AH200" s="202">
        <v>0</v>
      </c>
      <c r="AI200" s="203">
        <v>0</v>
      </c>
      <c r="AJ200" s="202">
        <v>0</v>
      </c>
      <c r="AK200" s="203">
        <v>0</v>
      </c>
      <c r="AL200" s="203">
        <v>0</v>
      </c>
      <c r="AM200" s="203">
        <v>0</v>
      </c>
      <c r="AN200" s="203"/>
      <c r="AO200" s="203">
        <v>0</v>
      </c>
    </row>
    <row r="201" spans="1:41" s="176" customFormat="1" ht="36" customHeight="1" x14ac:dyDescent="0.25">
      <c r="A201" s="176">
        <v>1</v>
      </c>
      <c r="B201" s="171">
        <f>SUBTOTAL(103,$A$16:A201)</f>
        <v>183</v>
      </c>
      <c r="C201" s="172" t="s">
        <v>757</v>
      </c>
      <c r="D201" s="173">
        <v>1988</v>
      </c>
      <c r="E201" s="173"/>
      <c r="F201" s="174" t="s">
        <v>267</v>
      </c>
      <c r="G201" s="173">
        <v>9</v>
      </c>
      <c r="H201" s="173" t="s">
        <v>308</v>
      </c>
      <c r="I201" s="170">
        <v>9256.7000000000007</v>
      </c>
      <c r="J201" s="170">
        <v>8471</v>
      </c>
      <c r="K201" s="170">
        <v>8471</v>
      </c>
      <c r="L201" s="206">
        <v>378</v>
      </c>
      <c r="M201" s="173" t="s">
        <v>265</v>
      </c>
      <c r="N201" s="173" t="s">
        <v>269</v>
      </c>
      <c r="O201" s="175" t="s">
        <v>794</v>
      </c>
      <c r="P201" s="170">
        <v>6608023.2199999997</v>
      </c>
      <c r="Q201" s="170">
        <v>0</v>
      </c>
      <c r="R201" s="170">
        <v>0</v>
      </c>
      <c r="S201" s="170">
        <f t="shared" si="20"/>
        <v>6608023.2199999997</v>
      </c>
      <c r="T201" s="170">
        <f t="shared" si="15"/>
        <v>713.8638197197705</v>
      </c>
      <c r="U201" s="170">
        <v>1062.0631542558363</v>
      </c>
      <c r="V201" s="202">
        <f t="shared" si="16"/>
        <v>348.19933453606575</v>
      </c>
      <c r="W201" s="202">
        <f t="shared" si="21"/>
        <v>1062.0631542558363</v>
      </c>
      <c r="X201" s="202">
        <v>0</v>
      </c>
      <c r="Y201" s="203">
        <v>0</v>
      </c>
      <c r="Z201" s="203">
        <v>0</v>
      </c>
      <c r="AA201" s="203">
        <v>0</v>
      </c>
      <c r="AB201" s="203">
        <v>0</v>
      </c>
      <c r="AC201" s="203">
        <v>4</v>
      </c>
      <c r="AD201" s="202">
        <f>2457800*AC201/I201</f>
        <v>1062.0631542558363</v>
      </c>
      <c r="AE201" s="203">
        <v>0</v>
      </c>
      <c r="AF201" s="202">
        <v>0</v>
      </c>
      <c r="AG201" s="203">
        <v>0</v>
      </c>
      <c r="AH201" s="202">
        <v>0</v>
      </c>
      <c r="AI201" s="203">
        <v>0</v>
      </c>
      <c r="AJ201" s="202">
        <v>0</v>
      </c>
      <c r="AK201" s="203">
        <v>0</v>
      </c>
      <c r="AL201" s="203">
        <v>0</v>
      </c>
      <c r="AM201" s="203">
        <v>0</v>
      </c>
      <c r="AN201" s="203"/>
      <c r="AO201" s="203">
        <v>0</v>
      </c>
    </row>
    <row r="202" spans="1:41" s="176" customFormat="1" ht="36" customHeight="1" x14ac:dyDescent="0.25">
      <c r="A202" s="176">
        <v>1</v>
      </c>
      <c r="B202" s="171">
        <f>SUBTOTAL(103,$A$16:A202)</f>
        <v>184</v>
      </c>
      <c r="C202" s="172" t="s">
        <v>758</v>
      </c>
      <c r="D202" s="173">
        <v>1984</v>
      </c>
      <c r="E202" s="173"/>
      <c r="F202" s="174" t="s">
        <v>318</v>
      </c>
      <c r="G202" s="173">
        <v>9</v>
      </c>
      <c r="H202" s="173" t="s">
        <v>351</v>
      </c>
      <c r="I202" s="170">
        <v>12333.3</v>
      </c>
      <c r="J202" s="170">
        <v>9669.2000000000007</v>
      </c>
      <c r="K202" s="170">
        <v>9669.2000000000007</v>
      </c>
      <c r="L202" s="206">
        <v>396</v>
      </c>
      <c r="M202" s="173" t="s">
        <v>265</v>
      </c>
      <c r="N202" s="173" t="s">
        <v>269</v>
      </c>
      <c r="O202" s="175" t="s">
        <v>796</v>
      </c>
      <c r="P202" s="170">
        <v>8162096.2000000002</v>
      </c>
      <c r="Q202" s="170">
        <v>0</v>
      </c>
      <c r="R202" s="170">
        <v>0</v>
      </c>
      <c r="S202" s="170">
        <f t="shared" si="20"/>
        <v>8162096.2000000002</v>
      </c>
      <c r="T202" s="170">
        <f t="shared" si="15"/>
        <v>661.79337241452015</v>
      </c>
      <c r="U202" s="170">
        <v>996.408098400266</v>
      </c>
      <c r="V202" s="202">
        <f t="shared" si="16"/>
        <v>334.61472598574585</v>
      </c>
      <c r="W202" s="202">
        <f t="shared" si="21"/>
        <v>996.408098400266</v>
      </c>
      <c r="X202" s="202">
        <v>0</v>
      </c>
      <c r="Y202" s="203">
        <v>0</v>
      </c>
      <c r="Z202" s="203">
        <v>0</v>
      </c>
      <c r="AA202" s="203">
        <v>0</v>
      </c>
      <c r="AB202" s="203">
        <v>0</v>
      </c>
      <c r="AC202" s="203">
        <v>5</v>
      </c>
      <c r="AD202" s="202">
        <f>2457800*AC202/I202</f>
        <v>996.408098400266</v>
      </c>
      <c r="AE202" s="203">
        <v>0</v>
      </c>
      <c r="AF202" s="202">
        <v>0</v>
      </c>
      <c r="AG202" s="203">
        <v>0</v>
      </c>
      <c r="AH202" s="202">
        <v>0</v>
      </c>
      <c r="AI202" s="203">
        <v>0</v>
      </c>
      <c r="AJ202" s="202">
        <v>0</v>
      </c>
      <c r="AK202" s="203">
        <v>0</v>
      </c>
      <c r="AL202" s="203">
        <v>0</v>
      </c>
      <c r="AM202" s="203">
        <v>0</v>
      </c>
      <c r="AN202" s="203"/>
      <c r="AO202" s="203">
        <v>0</v>
      </c>
    </row>
    <row r="203" spans="1:41" s="176" customFormat="1" ht="36" customHeight="1" x14ac:dyDescent="0.25">
      <c r="A203" s="176">
        <v>1</v>
      </c>
      <c r="B203" s="171">
        <f>SUBTOTAL(103,$A$16:A203)</f>
        <v>185</v>
      </c>
      <c r="C203" s="172" t="s">
        <v>759</v>
      </c>
      <c r="D203" s="173">
        <v>1987</v>
      </c>
      <c r="E203" s="173"/>
      <c r="F203" s="174" t="s">
        <v>318</v>
      </c>
      <c r="G203" s="173">
        <v>9</v>
      </c>
      <c r="H203" s="173" t="s">
        <v>351</v>
      </c>
      <c r="I203" s="170">
        <v>12462.6</v>
      </c>
      <c r="J203" s="170">
        <v>9746.7999999999993</v>
      </c>
      <c r="K203" s="170">
        <v>9746.7999999999993</v>
      </c>
      <c r="L203" s="206">
        <v>398</v>
      </c>
      <c r="M203" s="173" t="s">
        <v>265</v>
      </c>
      <c r="N203" s="173" t="s">
        <v>269</v>
      </c>
      <c r="O203" s="175" t="s">
        <v>796</v>
      </c>
      <c r="P203" s="170">
        <v>7899262.5999999996</v>
      </c>
      <c r="Q203" s="170">
        <v>0</v>
      </c>
      <c r="R203" s="170">
        <v>0</v>
      </c>
      <c r="S203" s="170">
        <f t="shared" si="20"/>
        <v>7899262.5999999996</v>
      </c>
      <c r="T203" s="170">
        <f t="shared" si="15"/>
        <v>633.83744964935079</v>
      </c>
      <c r="U203" s="170">
        <v>986.07032240463468</v>
      </c>
      <c r="V203" s="202">
        <f t="shared" si="16"/>
        <v>352.23287275528389</v>
      </c>
      <c r="W203" s="202">
        <f t="shared" si="21"/>
        <v>986.07032240463468</v>
      </c>
      <c r="X203" s="202">
        <v>0</v>
      </c>
      <c r="Y203" s="203">
        <v>0</v>
      </c>
      <c r="Z203" s="203">
        <v>0</v>
      </c>
      <c r="AA203" s="203">
        <v>0</v>
      </c>
      <c r="AB203" s="203">
        <v>0</v>
      </c>
      <c r="AC203" s="203">
        <v>5</v>
      </c>
      <c r="AD203" s="202">
        <f>2457800*AC203/I203</f>
        <v>986.07032240463468</v>
      </c>
      <c r="AE203" s="203">
        <v>0</v>
      </c>
      <c r="AF203" s="202">
        <v>0</v>
      </c>
      <c r="AG203" s="203">
        <v>0</v>
      </c>
      <c r="AH203" s="202">
        <v>0</v>
      </c>
      <c r="AI203" s="203">
        <v>0</v>
      </c>
      <c r="AJ203" s="202">
        <v>0</v>
      </c>
      <c r="AK203" s="203">
        <v>0</v>
      </c>
      <c r="AL203" s="203">
        <v>0</v>
      </c>
      <c r="AM203" s="203">
        <v>0</v>
      </c>
      <c r="AN203" s="203"/>
      <c r="AO203" s="203">
        <v>0</v>
      </c>
    </row>
    <row r="204" spans="1:41" s="176" customFormat="1" ht="36" customHeight="1" x14ac:dyDescent="0.25">
      <c r="A204" s="176">
        <v>1</v>
      </c>
      <c r="B204" s="171">
        <f>SUBTOTAL(103,$A$16:A204)</f>
        <v>186</v>
      </c>
      <c r="C204" s="172" t="s">
        <v>761</v>
      </c>
      <c r="D204" s="173">
        <v>1958</v>
      </c>
      <c r="E204" s="173"/>
      <c r="F204" s="174" t="s">
        <v>267</v>
      </c>
      <c r="G204" s="173">
        <v>2</v>
      </c>
      <c r="H204" s="173" t="s">
        <v>303</v>
      </c>
      <c r="I204" s="170">
        <v>478.27</v>
      </c>
      <c r="J204" s="170">
        <v>446.77</v>
      </c>
      <c r="K204" s="170">
        <v>446.77</v>
      </c>
      <c r="L204" s="206">
        <v>20</v>
      </c>
      <c r="M204" s="173" t="s">
        <v>265</v>
      </c>
      <c r="N204" s="173" t="s">
        <v>266</v>
      </c>
      <c r="O204" s="175" t="s">
        <v>268</v>
      </c>
      <c r="P204" s="170">
        <v>1703879.76</v>
      </c>
      <c r="Q204" s="170">
        <v>0</v>
      </c>
      <c r="R204" s="170">
        <v>0</v>
      </c>
      <c r="S204" s="170">
        <f t="shared" si="20"/>
        <v>1703879.76</v>
      </c>
      <c r="T204" s="170">
        <f t="shared" si="15"/>
        <v>3562.5896669245408</v>
      </c>
      <c r="U204" s="170">
        <v>5725.3119137725553</v>
      </c>
      <c r="V204" s="202">
        <f t="shared" si="16"/>
        <v>2162.7222468480145</v>
      </c>
      <c r="W204" s="202">
        <f t="shared" si="21"/>
        <v>8805.2026052229921</v>
      </c>
      <c r="X204" s="202">
        <v>0</v>
      </c>
      <c r="Y204" s="203">
        <v>0</v>
      </c>
      <c r="Z204" s="203">
        <v>0</v>
      </c>
      <c r="AA204" s="203">
        <v>0</v>
      </c>
      <c r="AB204" s="203">
        <v>0</v>
      </c>
      <c r="AC204" s="203">
        <v>0</v>
      </c>
      <c r="AD204" s="203">
        <v>0</v>
      </c>
      <c r="AE204" s="203">
        <v>675</v>
      </c>
      <c r="AF204" s="202">
        <f>6238.91*AE204/I204</f>
        <v>8805.2026052229921</v>
      </c>
      <c r="AG204" s="203">
        <v>0</v>
      </c>
      <c r="AH204" s="202">
        <v>0</v>
      </c>
      <c r="AI204" s="203">
        <v>0</v>
      </c>
      <c r="AJ204" s="202">
        <v>0</v>
      </c>
      <c r="AK204" s="203">
        <v>0</v>
      </c>
      <c r="AL204" s="203">
        <v>0</v>
      </c>
      <c r="AM204" s="203">
        <v>0</v>
      </c>
      <c r="AN204" s="203"/>
      <c r="AO204" s="203">
        <v>0</v>
      </c>
    </row>
    <row r="205" spans="1:41" s="176" customFormat="1" ht="36" customHeight="1" x14ac:dyDescent="0.25">
      <c r="A205" s="176">
        <v>1</v>
      </c>
      <c r="B205" s="171">
        <f>SUBTOTAL(103,$A$16:A205)</f>
        <v>187</v>
      </c>
      <c r="C205" s="172" t="s">
        <v>762</v>
      </c>
      <c r="D205" s="173">
        <v>1962</v>
      </c>
      <c r="E205" s="173"/>
      <c r="F205" s="174" t="s">
        <v>267</v>
      </c>
      <c r="G205" s="173">
        <v>6</v>
      </c>
      <c r="H205" s="173" t="s">
        <v>351</v>
      </c>
      <c r="I205" s="170">
        <v>5489.1</v>
      </c>
      <c r="J205" s="170">
        <v>4500.5</v>
      </c>
      <c r="K205" s="170">
        <v>4154.3</v>
      </c>
      <c r="L205" s="206">
        <v>130</v>
      </c>
      <c r="M205" s="173" t="s">
        <v>265</v>
      </c>
      <c r="N205" s="173" t="s">
        <v>269</v>
      </c>
      <c r="O205" s="175" t="s">
        <v>798</v>
      </c>
      <c r="P205" s="170">
        <v>114842.89</v>
      </c>
      <c r="Q205" s="170">
        <v>0</v>
      </c>
      <c r="R205" s="170">
        <v>0</v>
      </c>
      <c r="S205" s="170">
        <f t="shared" si="20"/>
        <v>114842.89</v>
      </c>
      <c r="T205" s="170">
        <f t="shared" ref="T205:T268" si="22">P205/I205</f>
        <v>20.921989032810476</v>
      </c>
      <c r="U205" s="170">
        <v>20.921989032810476</v>
      </c>
      <c r="V205" s="202">
        <f t="shared" si="16"/>
        <v>0</v>
      </c>
      <c r="W205" s="202">
        <f>T205</f>
        <v>20.921989032810476</v>
      </c>
      <c r="X205" s="202">
        <v>0</v>
      </c>
      <c r="Y205" s="203">
        <v>0</v>
      </c>
      <c r="Z205" s="203">
        <v>0</v>
      </c>
      <c r="AA205" s="203">
        <v>0</v>
      </c>
      <c r="AB205" s="203">
        <v>0</v>
      </c>
      <c r="AC205" s="203">
        <v>0</v>
      </c>
      <c r="AD205" s="203">
        <v>0</v>
      </c>
      <c r="AE205" s="203">
        <v>0</v>
      </c>
      <c r="AF205" s="202">
        <v>0</v>
      </c>
      <c r="AG205" s="203">
        <v>0</v>
      </c>
      <c r="AH205" s="202">
        <v>0</v>
      </c>
      <c r="AI205" s="203">
        <v>0</v>
      </c>
      <c r="AJ205" s="202">
        <v>0</v>
      </c>
      <c r="AK205" s="203">
        <v>0</v>
      </c>
      <c r="AL205" s="203">
        <v>0</v>
      </c>
      <c r="AM205" s="203">
        <v>0</v>
      </c>
      <c r="AN205" s="203"/>
      <c r="AO205" s="203">
        <v>0</v>
      </c>
    </row>
    <row r="206" spans="1:41" s="176" customFormat="1" ht="36" customHeight="1" x14ac:dyDescent="0.25">
      <c r="A206" s="176">
        <v>1</v>
      </c>
      <c r="B206" s="171">
        <f>SUBTOTAL(103,$A$16:A206)</f>
        <v>188</v>
      </c>
      <c r="C206" s="172" t="s">
        <v>763</v>
      </c>
      <c r="D206" s="173">
        <v>1962</v>
      </c>
      <c r="E206" s="173"/>
      <c r="F206" s="174" t="s">
        <v>267</v>
      </c>
      <c r="G206" s="173">
        <v>4</v>
      </c>
      <c r="H206" s="173" t="s">
        <v>312</v>
      </c>
      <c r="I206" s="170">
        <v>2946.2</v>
      </c>
      <c r="J206" s="170">
        <v>1967.3</v>
      </c>
      <c r="K206" s="170">
        <v>1810.2</v>
      </c>
      <c r="L206" s="206">
        <v>95</v>
      </c>
      <c r="M206" s="173" t="s">
        <v>265</v>
      </c>
      <c r="N206" s="173" t="s">
        <v>269</v>
      </c>
      <c r="O206" s="175" t="s">
        <v>795</v>
      </c>
      <c r="P206" s="170">
        <v>136497.56</v>
      </c>
      <c r="Q206" s="170">
        <v>0</v>
      </c>
      <c r="R206" s="170">
        <v>0</v>
      </c>
      <c r="S206" s="170">
        <f t="shared" si="20"/>
        <v>136497.56</v>
      </c>
      <c r="T206" s="170">
        <f t="shared" si="22"/>
        <v>46.330038693910801</v>
      </c>
      <c r="U206" s="170">
        <v>46.330038693910801</v>
      </c>
      <c r="V206" s="202">
        <f t="shared" si="16"/>
        <v>0</v>
      </c>
      <c r="W206" s="202">
        <f t="shared" si="21"/>
        <v>2287.0215192451292</v>
      </c>
      <c r="X206" s="202">
        <v>0</v>
      </c>
      <c r="Y206" s="203">
        <v>0</v>
      </c>
      <c r="Z206" s="203">
        <v>0</v>
      </c>
      <c r="AA206" s="203">
        <v>0</v>
      </c>
      <c r="AB206" s="203">
        <v>0</v>
      </c>
      <c r="AC206" s="203">
        <v>0</v>
      </c>
      <c r="AD206" s="203">
        <v>0</v>
      </c>
      <c r="AE206" s="203">
        <v>1080</v>
      </c>
      <c r="AF206" s="202">
        <f>6238.91*AE206/I206</f>
        <v>2287.0215192451292</v>
      </c>
      <c r="AG206" s="203">
        <v>0</v>
      </c>
      <c r="AH206" s="202">
        <v>0</v>
      </c>
      <c r="AI206" s="203">
        <v>0</v>
      </c>
      <c r="AJ206" s="202">
        <v>0</v>
      </c>
      <c r="AK206" s="203">
        <v>0</v>
      </c>
      <c r="AL206" s="203">
        <v>0</v>
      </c>
      <c r="AM206" s="203">
        <v>0</v>
      </c>
      <c r="AN206" s="203"/>
      <c r="AO206" s="203">
        <v>0</v>
      </c>
    </row>
    <row r="207" spans="1:41" s="176" customFormat="1" ht="36" customHeight="1" x14ac:dyDescent="0.25">
      <c r="A207" s="176">
        <v>1</v>
      </c>
      <c r="B207" s="171">
        <f>SUBTOTAL(103,$A$16:A207)</f>
        <v>189</v>
      </c>
      <c r="C207" s="172" t="s">
        <v>1153</v>
      </c>
      <c r="D207" s="173">
        <v>1954</v>
      </c>
      <c r="E207" s="173"/>
      <c r="F207" s="174" t="s">
        <v>267</v>
      </c>
      <c r="G207" s="173">
        <v>2</v>
      </c>
      <c r="H207" s="173" t="s">
        <v>304</v>
      </c>
      <c r="I207" s="170">
        <v>777.3</v>
      </c>
      <c r="J207" s="170">
        <v>475.5</v>
      </c>
      <c r="K207" s="170">
        <v>475.5</v>
      </c>
      <c r="L207" s="206">
        <v>37</v>
      </c>
      <c r="M207" s="173" t="s">
        <v>265</v>
      </c>
      <c r="N207" s="173" t="s">
        <v>269</v>
      </c>
      <c r="O207" s="175" t="s">
        <v>1288</v>
      </c>
      <c r="P207" s="170">
        <v>3517276.18</v>
      </c>
      <c r="Q207" s="170">
        <v>0</v>
      </c>
      <c r="R207" s="170">
        <v>0</v>
      </c>
      <c r="S207" s="170">
        <f t="shared" si="20"/>
        <v>3517276.18</v>
      </c>
      <c r="T207" s="170">
        <f t="shared" si="22"/>
        <v>4524.991869291136</v>
      </c>
      <c r="U207" s="170">
        <v>7806.2219297568508</v>
      </c>
      <c r="V207" s="202">
        <f t="shared" si="16"/>
        <v>3281.2300604657148</v>
      </c>
      <c r="W207" s="202">
        <f t="shared" si="21"/>
        <v>11838.814784510487</v>
      </c>
      <c r="X207" s="202">
        <v>0</v>
      </c>
      <c r="Y207" s="203">
        <v>0</v>
      </c>
      <c r="Z207" s="203">
        <v>0</v>
      </c>
      <c r="AA207" s="203">
        <v>0</v>
      </c>
      <c r="AB207" s="203">
        <v>795.31</v>
      </c>
      <c r="AC207" s="203">
        <v>0</v>
      </c>
      <c r="AD207" s="203">
        <v>0</v>
      </c>
      <c r="AE207" s="203">
        <v>1375.9</v>
      </c>
      <c r="AF207" s="202">
        <f>6238.91*AE207/I207</f>
        <v>11043.504784510487</v>
      </c>
      <c r="AG207" s="203">
        <v>0</v>
      </c>
      <c r="AH207" s="202">
        <v>0</v>
      </c>
      <c r="AI207" s="203">
        <v>0</v>
      </c>
      <c r="AJ207" s="202">
        <v>0</v>
      </c>
      <c r="AK207" s="203">
        <v>0</v>
      </c>
      <c r="AL207" s="203">
        <v>0</v>
      </c>
      <c r="AM207" s="203">
        <v>0</v>
      </c>
      <c r="AN207" s="203"/>
      <c r="AO207" s="203">
        <v>0</v>
      </c>
    </row>
    <row r="208" spans="1:41" s="176" customFormat="1" ht="36" customHeight="1" x14ac:dyDescent="0.25">
      <c r="A208" s="176">
        <v>1</v>
      </c>
      <c r="B208" s="171">
        <f>SUBTOTAL(103,$A$16:A208)</f>
        <v>190</v>
      </c>
      <c r="C208" s="172" t="s">
        <v>1154</v>
      </c>
      <c r="D208" s="173">
        <v>1937</v>
      </c>
      <c r="E208" s="173"/>
      <c r="F208" s="174" t="s">
        <v>267</v>
      </c>
      <c r="G208" s="173" t="s">
        <v>308</v>
      </c>
      <c r="H208" s="173" t="s">
        <v>308</v>
      </c>
      <c r="I208" s="170">
        <v>2626</v>
      </c>
      <c r="J208" s="170">
        <v>2536</v>
      </c>
      <c r="K208" s="170">
        <v>2536</v>
      </c>
      <c r="L208" s="206">
        <v>96</v>
      </c>
      <c r="M208" s="173" t="s">
        <v>265</v>
      </c>
      <c r="N208" s="173" t="s">
        <v>269</v>
      </c>
      <c r="O208" s="175" t="s">
        <v>802</v>
      </c>
      <c r="P208" s="170">
        <v>581865.37</v>
      </c>
      <c r="Q208" s="170">
        <v>0</v>
      </c>
      <c r="R208" s="170">
        <v>0</v>
      </c>
      <c r="S208" s="170">
        <f t="shared" si="20"/>
        <v>581865.37</v>
      </c>
      <c r="T208" s="170">
        <f t="shared" si="22"/>
        <v>221.57858720487434</v>
      </c>
      <c r="U208" s="170">
        <v>810.46</v>
      </c>
      <c r="V208" s="202">
        <f t="shared" si="16"/>
        <v>588.8814127951257</v>
      </c>
      <c r="W208" s="202">
        <f t="shared" si="21"/>
        <v>2310.653581873572</v>
      </c>
      <c r="X208" s="202">
        <v>0</v>
      </c>
      <c r="Y208" s="203">
        <v>0</v>
      </c>
      <c r="Z208" s="203">
        <v>0</v>
      </c>
      <c r="AA208" s="203">
        <v>0</v>
      </c>
      <c r="AB208" s="203">
        <v>0</v>
      </c>
      <c r="AC208" s="203">
        <v>0</v>
      </c>
      <c r="AD208" s="203">
        <v>0</v>
      </c>
      <c r="AE208" s="203">
        <v>0</v>
      </c>
      <c r="AF208" s="202">
        <v>0</v>
      </c>
      <c r="AG208" s="203">
        <v>0</v>
      </c>
      <c r="AH208" s="202">
        <v>0</v>
      </c>
      <c r="AI208" s="203">
        <v>815.66</v>
      </c>
      <c r="AJ208" s="202">
        <f>7439.1*AI208/I208</f>
        <v>2310.653581873572</v>
      </c>
      <c r="AK208" s="203">
        <v>0</v>
      </c>
      <c r="AL208" s="203">
        <v>0</v>
      </c>
      <c r="AM208" s="203">
        <v>0</v>
      </c>
      <c r="AN208" s="203"/>
      <c r="AO208" s="203">
        <v>0</v>
      </c>
    </row>
    <row r="209" spans="1:41" s="176" customFormat="1" ht="36" customHeight="1" x14ac:dyDescent="0.25">
      <c r="A209" s="176">
        <v>1</v>
      </c>
      <c r="B209" s="171">
        <f>SUBTOTAL(103,$A$16:A209)</f>
        <v>191</v>
      </c>
      <c r="C209" s="172" t="s">
        <v>1155</v>
      </c>
      <c r="D209" s="173">
        <v>1934</v>
      </c>
      <c r="E209" s="173"/>
      <c r="F209" s="174" t="s">
        <v>267</v>
      </c>
      <c r="G209" s="173">
        <v>4</v>
      </c>
      <c r="H209" s="173" t="s">
        <v>370</v>
      </c>
      <c r="I209" s="170">
        <v>3106.06</v>
      </c>
      <c r="J209" s="170">
        <v>3106.06</v>
      </c>
      <c r="K209" s="170">
        <v>3042.06</v>
      </c>
      <c r="L209" s="206">
        <v>138</v>
      </c>
      <c r="M209" s="173" t="s">
        <v>265</v>
      </c>
      <c r="N209" s="173" t="s">
        <v>269</v>
      </c>
      <c r="O209" s="175" t="s">
        <v>1591</v>
      </c>
      <c r="P209" s="170">
        <v>4997938.54</v>
      </c>
      <c r="Q209" s="170">
        <v>0</v>
      </c>
      <c r="R209" s="170">
        <v>0</v>
      </c>
      <c r="S209" s="170">
        <f t="shared" si="20"/>
        <v>4997938.54</v>
      </c>
      <c r="T209" s="170">
        <f t="shared" si="22"/>
        <v>1609.0927219693117</v>
      </c>
      <c r="U209" s="170">
        <v>2527.2267419174132</v>
      </c>
      <c r="V209" s="202">
        <f t="shared" ref="V209:V270" si="23">U209-T209</f>
        <v>918.13401994810147</v>
      </c>
      <c r="W209" s="202">
        <f t="shared" si="21"/>
        <v>795.31</v>
      </c>
      <c r="X209" s="202">
        <v>0</v>
      </c>
      <c r="Y209" s="203">
        <v>0</v>
      </c>
      <c r="Z209" s="203">
        <v>0</v>
      </c>
      <c r="AA209" s="203">
        <v>0</v>
      </c>
      <c r="AB209" s="203">
        <v>795.31</v>
      </c>
      <c r="AC209" s="203">
        <v>0</v>
      </c>
      <c r="AD209" s="203">
        <v>0</v>
      </c>
      <c r="AE209" s="203">
        <v>0</v>
      </c>
      <c r="AF209" s="202">
        <v>0</v>
      </c>
      <c r="AG209" s="203">
        <v>0</v>
      </c>
      <c r="AH209" s="202">
        <v>0</v>
      </c>
      <c r="AI209" s="203">
        <v>0</v>
      </c>
      <c r="AJ209" s="202">
        <v>0</v>
      </c>
      <c r="AK209" s="203">
        <v>0</v>
      </c>
      <c r="AL209" s="203">
        <v>0</v>
      </c>
      <c r="AM209" s="203">
        <v>0</v>
      </c>
      <c r="AN209" s="203"/>
      <c r="AO209" s="203">
        <v>0</v>
      </c>
    </row>
    <row r="210" spans="1:41" s="176" customFormat="1" ht="36" customHeight="1" x14ac:dyDescent="0.25">
      <c r="A210" s="176">
        <v>1</v>
      </c>
      <c r="B210" s="171">
        <f>SUBTOTAL(103,$A$16:A210)</f>
        <v>192</v>
      </c>
      <c r="C210" s="172" t="s">
        <v>1158</v>
      </c>
      <c r="D210" s="173">
        <v>1981</v>
      </c>
      <c r="E210" s="173"/>
      <c r="F210" s="174" t="s">
        <v>318</v>
      </c>
      <c r="G210" s="173">
        <v>5</v>
      </c>
      <c r="H210" s="173" t="s">
        <v>370</v>
      </c>
      <c r="I210" s="170">
        <v>6247.1</v>
      </c>
      <c r="J210" s="170">
        <v>4719.7</v>
      </c>
      <c r="K210" s="170">
        <v>4641.3999999999996</v>
      </c>
      <c r="L210" s="206">
        <v>189</v>
      </c>
      <c r="M210" s="173" t="s">
        <v>265</v>
      </c>
      <c r="N210" s="173" t="s">
        <v>269</v>
      </c>
      <c r="O210" s="175" t="s">
        <v>1334</v>
      </c>
      <c r="P210" s="170">
        <v>3797251.5799999996</v>
      </c>
      <c r="Q210" s="170">
        <v>0</v>
      </c>
      <c r="R210" s="170">
        <v>0</v>
      </c>
      <c r="S210" s="170">
        <f t="shared" si="20"/>
        <v>3797251.5799999996</v>
      </c>
      <c r="T210" s="170">
        <f t="shared" si="22"/>
        <v>607.84229162331314</v>
      </c>
      <c r="U210" s="170">
        <v>1158.2833042531736</v>
      </c>
      <c r="V210" s="202">
        <f t="shared" si="23"/>
        <v>550.44101262986044</v>
      </c>
      <c r="W210" s="202">
        <f t="shared" si="21"/>
        <v>1204.6386355588993</v>
      </c>
      <c r="X210" s="202">
        <v>0</v>
      </c>
      <c r="Y210" s="203">
        <v>0</v>
      </c>
      <c r="Z210" s="203">
        <v>0</v>
      </c>
      <c r="AA210" s="203">
        <v>0</v>
      </c>
      <c r="AB210" s="203">
        <v>0</v>
      </c>
      <c r="AC210" s="203">
        <v>0</v>
      </c>
      <c r="AD210" s="203">
        <v>0</v>
      </c>
      <c r="AE210" s="203">
        <v>1206.22</v>
      </c>
      <c r="AF210" s="202">
        <f>6238.91*AE210/I210</f>
        <v>1204.6386355588993</v>
      </c>
      <c r="AG210" s="203">
        <v>0</v>
      </c>
      <c r="AH210" s="202">
        <v>0</v>
      </c>
      <c r="AI210" s="203">
        <v>0</v>
      </c>
      <c r="AJ210" s="202">
        <v>0</v>
      </c>
      <c r="AK210" s="203">
        <v>0</v>
      </c>
      <c r="AL210" s="203">
        <v>0</v>
      </c>
      <c r="AM210" s="203">
        <v>0</v>
      </c>
      <c r="AN210" s="203"/>
      <c r="AO210" s="203">
        <v>0</v>
      </c>
    </row>
    <row r="211" spans="1:41" s="176" customFormat="1" ht="36" customHeight="1" x14ac:dyDescent="0.25">
      <c r="A211" s="176">
        <v>1</v>
      </c>
      <c r="B211" s="171">
        <f>SUBTOTAL(103,$A$16:A211)</f>
        <v>193</v>
      </c>
      <c r="C211" s="172" t="s">
        <v>1159</v>
      </c>
      <c r="D211" s="173" t="s">
        <v>1316</v>
      </c>
      <c r="E211" s="173"/>
      <c r="F211" s="174" t="s">
        <v>267</v>
      </c>
      <c r="G211" s="173" t="s">
        <v>303</v>
      </c>
      <c r="H211" s="173" t="s">
        <v>304</v>
      </c>
      <c r="I211" s="170">
        <v>286.8</v>
      </c>
      <c r="J211" s="170">
        <v>286.8</v>
      </c>
      <c r="K211" s="170">
        <v>286.8</v>
      </c>
      <c r="L211" s="206">
        <v>9</v>
      </c>
      <c r="M211" s="173" t="s">
        <v>265</v>
      </c>
      <c r="N211" s="173" t="s">
        <v>266</v>
      </c>
      <c r="O211" s="175" t="s">
        <v>268</v>
      </c>
      <c r="P211" s="170">
        <v>1338677.8699999999</v>
      </c>
      <c r="Q211" s="170">
        <v>0</v>
      </c>
      <c r="R211" s="170">
        <v>0</v>
      </c>
      <c r="S211" s="170">
        <f t="shared" si="20"/>
        <v>1338677.8699999999</v>
      </c>
      <c r="T211" s="170">
        <f t="shared" si="22"/>
        <v>4667.6355299860525</v>
      </c>
      <c r="U211" s="170">
        <v>9843.0602092050212</v>
      </c>
      <c r="V211" s="202">
        <f t="shared" si="23"/>
        <v>5175.4246792189688</v>
      </c>
      <c r="W211" s="202">
        <f t="shared" si="21"/>
        <v>980.29</v>
      </c>
      <c r="X211" s="202">
        <v>0</v>
      </c>
      <c r="Y211" s="203">
        <v>0</v>
      </c>
      <c r="Z211" s="203">
        <v>0</v>
      </c>
      <c r="AA211" s="203">
        <v>184.98</v>
      </c>
      <c r="AB211" s="203">
        <v>795.31</v>
      </c>
      <c r="AC211" s="203">
        <v>0</v>
      </c>
      <c r="AD211" s="203">
        <v>0</v>
      </c>
      <c r="AE211" s="203">
        <v>0</v>
      </c>
      <c r="AF211" s="202">
        <v>0</v>
      </c>
      <c r="AG211" s="203">
        <v>0</v>
      </c>
      <c r="AH211" s="202">
        <v>0</v>
      </c>
      <c r="AI211" s="203">
        <v>0</v>
      </c>
      <c r="AJ211" s="202">
        <v>0</v>
      </c>
      <c r="AK211" s="203">
        <v>0</v>
      </c>
      <c r="AL211" s="203">
        <v>0</v>
      </c>
      <c r="AM211" s="203">
        <v>0</v>
      </c>
      <c r="AN211" s="203"/>
      <c r="AO211" s="203">
        <v>0</v>
      </c>
    </row>
    <row r="212" spans="1:41" s="176" customFormat="1" ht="36" customHeight="1" x14ac:dyDescent="0.25">
      <c r="A212" s="176">
        <v>1</v>
      </c>
      <c r="B212" s="171">
        <f>SUBTOTAL(103,$A$16:A212)</f>
        <v>194</v>
      </c>
      <c r="C212" s="172" t="s">
        <v>1160</v>
      </c>
      <c r="D212" s="173">
        <v>1979</v>
      </c>
      <c r="E212" s="173"/>
      <c r="F212" s="174" t="s">
        <v>267</v>
      </c>
      <c r="G212" s="173">
        <v>9</v>
      </c>
      <c r="H212" s="173" t="s">
        <v>2254</v>
      </c>
      <c r="I212" s="170">
        <v>21489.200000000001</v>
      </c>
      <c r="J212" s="170">
        <v>21489.200000000001</v>
      </c>
      <c r="K212" s="170">
        <v>21320.3</v>
      </c>
      <c r="L212" s="206">
        <v>1110</v>
      </c>
      <c r="M212" s="173" t="s">
        <v>265</v>
      </c>
      <c r="N212" s="173" t="s">
        <v>269</v>
      </c>
      <c r="O212" s="175" t="s">
        <v>795</v>
      </c>
      <c r="P212" s="170">
        <v>4355063.8499999996</v>
      </c>
      <c r="Q212" s="170">
        <v>0</v>
      </c>
      <c r="R212" s="170">
        <v>0</v>
      </c>
      <c r="S212" s="170">
        <f t="shared" si="20"/>
        <v>4355063.8499999996</v>
      </c>
      <c r="T212" s="170">
        <f t="shared" si="22"/>
        <v>202.66291206745711</v>
      </c>
      <c r="U212" s="170">
        <v>343.12119576345327</v>
      </c>
      <c r="V212" s="202">
        <f t="shared" si="23"/>
        <v>140.45828369599616</v>
      </c>
      <c r="W212" s="202">
        <f t="shared" si="21"/>
        <v>322.81536906911379</v>
      </c>
      <c r="X212" s="202">
        <v>0</v>
      </c>
      <c r="Y212" s="203">
        <v>0</v>
      </c>
      <c r="Z212" s="203">
        <v>0</v>
      </c>
      <c r="AA212" s="203">
        <v>0</v>
      </c>
      <c r="AB212" s="203">
        <v>0</v>
      </c>
      <c r="AC212" s="203">
        <v>0</v>
      </c>
      <c r="AD212" s="203">
        <v>0</v>
      </c>
      <c r="AE212" s="203">
        <v>1111.9000000000001</v>
      </c>
      <c r="AF212" s="202">
        <f>6238.91*AE212/I212</f>
        <v>322.81536906911379</v>
      </c>
      <c r="AG212" s="203">
        <v>0</v>
      </c>
      <c r="AH212" s="202">
        <v>0</v>
      </c>
      <c r="AI212" s="203">
        <v>0</v>
      </c>
      <c r="AJ212" s="202">
        <v>0</v>
      </c>
      <c r="AK212" s="203">
        <v>0</v>
      </c>
      <c r="AL212" s="203">
        <v>0</v>
      </c>
      <c r="AM212" s="203">
        <v>0</v>
      </c>
      <c r="AN212" s="203"/>
      <c r="AO212" s="203">
        <v>0</v>
      </c>
    </row>
    <row r="213" spans="1:41" s="176" customFormat="1" ht="36" customHeight="1" x14ac:dyDescent="0.25">
      <c r="A213" s="176">
        <v>1</v>
      </c>
      <c r="B213" s="171">
        <f>SUBTOTAL(103,$A$16:A213)</f>
        <v>195</v>
      </c>
      <c r="C213" s="172" t="s">
        <v>1161</v>
      </c>
      <c r="D213" s="173">
        <v>1949</v>
      </c>
      <c r="E213" s="173"/>
      <c r="F213" s="174" t="s">
        <v>267</v>
      </c>
      <c r="G213" s="173">
        <v>2</v>
      </c>
      <c r="H213" s="173" t="s">
        <v>304</v>
      </c>
      <c r="I213" s="170">
        <v>402.7</v>
      </c>
      <c r="J213" s="170">
        <v>402.7</v>
      </c>
      <c r="K213" s="170">
        <v>402.7</v>
      </c>
      <c r="L213" s="206">
        <v>20</v>
      </c>
      <c r="M213" s="173" t="s">
        <v>265</v>
      </c>
      <c r="N213" s="173" t="s">
        <v>269</v>
      </c>
      <c r="O213" s="175" t="s">
        <v>1288</v>
      </c>
      <c r="P213" s="170">
        <v>1700754.66</v>
      </c>
      <c r="Q213" s="170">
        <v>0</v>
      </c>
      <c r="R213" s="170">
        <v>0</v>
      </c>
      <c r="S213" s="170">
        <f t="shared" si="20"/>
        <v>1700754.66</v>
      </c>
      <c r="T213" s="170">
        <f t="shared" si="22"/>
        <v>4223.3788428110256</v>
      </c>
      <c r="U213" s="170">
        <v>9303.7703600695313</v>
      </c>
      <c r="V213" s="202">
        <f t="shared" si="23"/>
        <v>5080.3915172585057</v>
      </c>
      <c r="W213" s="202">
        <f t="shared" si="21"/>
        <v>7010.1556195679168</v>
      </c>
      <c r="X213" s="202">
        <v>0</v>
      </c>
      <c r="Y213" s="203">
        <v>0</v>
      </c>
      <c r="Z213" s="203">
        <v>0</v>
      </c>
      <c r="AA213" s="203">
        <v>0</v>
      </c>
      <c r="AB213" s="203">
        <v>0</v>
      </c>
      <c r="AC213" s="203">
        <v>0</v>
      </c>
      <c r="AD213" s="203">
        <v>0</v>
      </c>
      <c r="AE213" s="203">
        <v>0</v>
      </c>
      <c r="AF213" s="202">
        <v>0</v>
      </c>
      <c r="AG213" s="203">
        <v>0</v>
      </c>
      <c r="AH213" s="202">
        <v>0</v>
      </c>
      <c r="AI213" s="203">
        <v>379.48</v>
      </c>
      <c r="AJ213" s="202">
        <f>7439.1*AI213/I213</f>
        <v>7010.1556195679168</v>
      </c>
      <c r="AK213" s="203">
        <v>0</v>
      </c>
      <c r="AL213" s="203">
        <v>0</v>
      </c>
      <c r="AM213" s="203">
        <v>0</v>
      </c>
      <c r="AN213" s="203"/>
      <c r="AO213" s="203">
        <v>0</v>
      </c>
    </row>
    <row r="214" spans="1:41" s="176" customFormat="1" ht="36" customHeight="1" x14ac:dyDescent="0.25">
      <c r="A214" s="176">
        <v>1</v>
      </c>
      <c r="B214" s="171">
        <f>SUBTOTAL(103,$A$16:A214)</f>
        <v>196</v>
      </c>
      <c r="C214" s="172" t="s">
        <v>1162</v>
      </c>
      <c r="D214" s="173">
        <v>1958</v>
      </c>
      <c r="E214" s="173"/>
      <c r="F214" s="174" t="s">
        <v>267</v>
      </c>
      <c r="G214" s="173">
        <v>2</v>
      </c>
      <c r="H214" s="173" t="s">
        <v>304</v>
      </c>
      <c r="I214" s="170">
        <v>294.39999999999998</v>
      </c>
      <c r="J214" s="170">
        <v>294.39999999999998</v>
      </c>
      <c r="K214" s="170">
        <v>294.39999999999998</v>
      </c>
      <c r="L214" s="206">
        <v>10</v>
      </c>
      <c r="M214" s="173" t="s">
        <v>265</v>
      </c>
      <c r="N214" s="173" t="s">
        <v>269</v>
      </c>
      <c r="O214" s="175" t="s">
        <v>1288</v>
      </c>
      <c r="P214" s="170">
        <v>1402602.78</v>
      </c>
      <c r="Q214" s="170">
        <v>0</v>
      </c>
      <c r="R214" s="170">
        <v>0</v>
      </c>
      <c r="S214" s="170">
        <f t="shared" si="20"/>
        <v>1402602.78</v>
      </c>
      <c r="T214" s="170">
        <f t="shared" si="22"/>
        <v>4764.2757472826088</v>
      </c>
      <c r="U214" s="170">
        <v>9917.957710597826</v>
      </c>
      <c r="V214" s="202">
        <f t="shared" si="23"/>
        <v>5153.6819633152172</v>
      </c>
      <c r="W214" s="202">
        <f t="shared" si="21"/>
        <v>25045.516304347828</v>
      </c>
      <c r="X214" s="202">
        <v>0</v>
      </c>
      <c r="Y214" s="203">
        <v>0</v>
      </c>
      <c r="Z214" s="203">
        <v>0</v>
      </c>
      <c r="AA214" s="203">
        <v>0</v>
      </c>
      <c r="AB214" s="203">
        <v>0</v>
      </c>
      <c r="AC214" s="203">
        <v>3</v>
      </c>
      <c r="AD214" s="202">
        <f>2457800*AC214/I214</f>
        <v>25045.516304347828</v>
      </c>
      <c r="AE214" s="203">
        <v>0</v>
      </c>
      <c r="AF214" s="202">
        <v>0</v>
      </c>
      <c r="AG214" s="203">
        <v>0</v>
      </c>
      <c r="AH214" s="202">
        <v>0</v>
      </c>
      <c r="AI214" s="203">
        <v>0</v>
      </c>
      <c r="AJ214" s="202">
        <v>0</v>
      </c>
      <c r="AK214" s="203">
        <v>0</v>
      </c>
      <c r="AL214" s="203">
        <v>0</v>
      </c>
      <c r="AM214" s="203">
        <v>0</v>
      </c>
      <c r="AN214" s="203"/>
      <c r="AO214" s="203">
        <v>0</v>
      </c>
    </row>
    <row r="215" spans="1:41" s="176" customFormat="1" ht="36" customHeight="1" x14ac:dyDescent="0.25">
      <c r="A215" s="176">
        <v>1</v>
      </c>
      <c r="B215" s="171">
        <f>SUBTOTAL(103,$A$16:A215)</f>
        <v>197</v>
      </c>
      <c r="C215" s="172" t="s">
        <v>1163</v>
      </c>
      <c r="D215" s="173">
        <v>1993</v>
      </c>
      <c r="E215" s="173"/>
      <c r="F215" s="174" t="s">
        <v>318</v>
      </c>
      <c r="G215" s="173">
        <v>9</v>
      </c>
      <c r="H215" s="173" t="s">
        <v>308</v>
      </c>
      <c r="I215" s="170">
        <v>10873.5</v>
      </c>
      <c r="J215" s="170">
        <v>7723.2</v>
      </c>
      <c r="K215" s="170">
        <v>7661.3</v>
      </c>
      <c r="L215" s="206">
        <v>328</v>
      </c>
      <c r="M215" s="173" t="s">
        <v>265</v>
      </c>
      <c r="N215" s="173" t="s">
        <v>269</v>
      </c>
      <c r="O215" s="175" t="s">
        <v>1335</v>
      </c>
      <c r="P215" s="170">
        <v>6356844.0800000001</v>
      </c>
      <c r="Q215" s="170">
        <v>0</v>
      </c>
      <c r="R215" s="170">
        <v>0</v>
      </c>
      <c r="S215" s="170">
        <f t="shared" si="20"/>
        <v>6356844.0800000001</v>
      </c>
      <c r="T215" s="170">
        <f t="shared" si="22"/>
        <v>584.61802363544393</v>
      </c>
      <c r="U215" s="170">
        <v>904.14310019772847</v>
      </c>
      <c r="V215" s="202">
        <f t="shared" si="23"/>
        <v>319.52507656228454</v>
      </c>
      <c r="W215" s="202">
        <f t="shared" si="21"/>
        <v>344.56507325148294</v>
      </c>
      <c r="X215" s="202">
        <v>0</v>
      </c>
      <c r="Y215" s="203">
        <v>0</v>
      </c>
      <c r="Z215" s="203">
        <v>0</v>
      </c>
      <c r="AA215" s="203">
        <v>0</v>
      </c>
      <c r="AB215" s="203">
        <v>0</v>
      </c>
      <c r="AC215" s="203">
        <v>0</v>
      </c>
      <c r="AD215" s="203">
        <v>0</v>
      </c>
      <c r="AE215" s="203">
        <v>0</v>
      </c>
      <c r="AF215" s="202">
        <v>0</v>
      </c>
      <c r="AG215" s="203">
        <v>0</v>
      </c>
      <c r="AH215" s="202">
        <v>0</v>
      </c>
      <c r="AI215" s="203">
        <v>503.64</v>
      </c>
      <c r="AJ215" s="202">
        <f>7439.1*AI215/I215</f>
        <v>344.56507325148294</v>
      </c>
      <c r="AK215" s="203">
        <v>0</v>
      </c>
      <c r="AL215" s="203">
        <v>0</v>
      </c>
      <c r="AM215" s="203">
        <v>0</v>
      </c>
      <c r="AN215" s="203"/>
      <c r="AO215" s="203">
        <v>0</v>
      </c>
    </row>
    <row r="216" spans="1:41" s="176" customFormat="1" ht="36" customHeight="1" x14ac:dyDescent="0.25">
      <c r="A216" s="176">
        <v>1</v>
      </c>
      <c r="B216" s="171">
        <f>SUBTOTAL(103,$A$16:A216)</f>
        <v>198</v>
      </c>
      <c r="C216" s="172" t="s">
        <v>1267</v>
      </c>
      <c r="D216" s="173">
        <v>1931</v>
      </c>
      <c r="E216" s="173"/>
      <c r="F216" s="174" t="s">
        <v>267</v>
      </c>
      <c r="G216" s="173">
        <v>4</v>
      </c>
      <c r="H216" s="173" t="s">
        <v>370</v>
      </c>
      <c r="I216" s="170">
        <v>4408.1000000000004</v>
      </c>
      <c r="J216" s="170">
        <v>4408.1000000000004</v>
      </c>
      <c r="K216" s="170">
        <v>2703.21</v>
      </c>
      <c r="L216" s="206">
        <v>109</v>
      </c>
      <c r="M216" s="173" t="s">
        <v>265</v>
      </c>
      <c r="N216" s="173" t="s">
        <v>269</v>
      </c>
      <c r="O216" s="175" t="s">
        <v>1344</v>
      </c>
      <c r="P216" s="170">
        <v>172775.04000000001</v>
      </c>
      <c r="Q216" s="170">
        <v>0</v>
      </c>
      <c r="R216" s="170">
        <v>0</v>
      </c>
      <c r="S216" s="170">
        <f t="shared" si="20"/>
        <v>172775.04000000001</v>
      </c>
      <c r="T216" s="170">
        <f t="shared" si="22"/>
        <v>39.19490029718019</v>
      </c>
      <c r="U216" s="170">
        <v>39.19490029718019</v>
      </c>
      <c r="V216" s="202">
        <f t="shared" si="23"/>
        <v>0</v>
      </c>
      <c r="W216" s="202">
        <f t="shared" si="21"/>
        <v>690.10938113926636</v>
      </c>
      <c r="X216" s="202">
        <v>0</v>
      </c>
      <c r="Y216" s="203">
        <v>0</v>
      </c>
      <c r="Z216" s="203">
        <v>0</v>
      </c>
      <c r="AA216" s="203">
        <v>0</v>
      </c>
      <c r="AB216" s="203">
        <v>0</v>
      </c>
      <c r="AC216" s="203">
        <v>0</v>
      </c>
      <c r="AD216" s="203">
        <v>0</v>
      </c>
      <c r="AE216" s="203">
        <v>0</v>
      </c>
      <c r="AF216" s="202">
        <v>0</v>
      </c>
      <c r="AG216" s="203">
        <v>0</v>
      </c>
      <c r="AH216" s="202">
        <v>0</v>
      </c>
      <c r="AI216" s="203">
        <v>408.93</v>
      </c>
      <c r="AJ216" s="202">
        <f>7439.1*AI216/I216</f>
        <v>690.10938113926636</v>
      </c>
      <c r="AK216" s="203">
        <v>0</v>
      </c>
      <c r="AL216" s="203">
        <v>0</v>
      </c>
      <c r="AM216" s="203">
        <v>0</v>
      </c>
      <c r="AN216" s="203"/>
      <c r="AO216" s="203">
        <v>0</v>
      </c>
    </row>
    <row r="217" spans="1:41" s="176" customFormat="1" ht="36" customHeight="1" x14ac:dyDescent="0.25">
      <c r="A217" s="176">
        <v>1</v>
      </c>
      <c r="B217" s="171">
        <f>SUBTOTAL(103,$A$16:A217)</f>
        <v>199</v>
      </c>
      <c r="C217" s="172" t="s">
        <v>1359</v>
      </c>
      <c r="D217" s="173">
        <v>1986</v>
      </c>
      <c r="E217" s="173"/>
      <c r="F217" s="174" t="s">
        <v>267</v>
      </c>
      <c r="G217" s="173">
        <v>9</v>
      </c>
      <c r="H217" s="173" t="s">
        <v>357</v>
      </c>
      <c r="I217" s="170">
        <v>22008.74</v>
      </c>
      <c r="J217" s="170">
        <v>20090.2</v>
      </c>
      <c r="K217" s="170">
        <v>16765.8</v>
      </c>
      <c r="L217" s="206">
        <v>668</v>
      </c>
      <c r="M217" s="173" t="s">
        <v>265</v>
      </c>
      <c r="N217" s="173" t="s">
        <v>341</v>
      </c>
      <c r="O217" s="175" t="s">
        <v>1380</v>
      </c>
      <c r="P217" s="170">
        <v>13083489.59</v>
      </c>
      <c r="Q217" s="170">
        <v>0</v>
      </c>
      <c r="R217" s="170">
        <v>0</v>
      </c>
      <c r="S217" s="170">
        <f t="shared" si="20"/>
        <v>13083489.59</v>
      </c>
      <c r="T217" s="170">
        <f t="shared" si="22"/>
        <v>594.46790638628102</v>
      </c>
      <c r="U217" s="170">
        <v>1005.0643517075488</v>
      </c>
      <c r="V217" s="202">
        <f t="shared" si="23"/>
        <v>410.59644532126777</v>
      </c>
      <c r="W217" s="202">
        <f t="shared" si="21"/>
        <v>446.69526742557724</v>
      </c>
      <c r="X217" s="202">
        <v>0</v>
      </c>
      <c r="Y217" s="203">
        <v>0</v>
      </c>
      <c r="Z217" s="203">
        <v>0</v>
      </c>
      <c r="AA217" s="203">
        <v>0</v>
      </c>
      <c r="AB217" s="203">
        <v>0</v>
      </c>
      <c r="AC217" s="203">
        <v>4</v>
      </c>
      <c r="AD217" s="202">
        <f>2457800*AC217/I217</f>
        <v>446.69526742557724</v>
      </c>
      <c r="AE217" s="203">
        <v>0</v>
      </c>
      <c r="AF217" s="202">
        <v>0</v>
      </c>
      <c r="AG217" s="203">
        <v>0</v>
      </c>
      <c r="AH217" s="202">
        <v>0</v>
      </c>
      <c r="AI217" s="203">
        <v>0</v>
      </c>
      <c r="AJ217" s="202">
        <v>0</v>
      </c>
      <c r="AK217" s="203">
        <v>0</v>
      </c>
      <c r="AL217" s="203">
        <v>0</v>
      </c>
      <c r="AM217" s="203">
        <v>0</v>
      </c>
      <c r="AN217" s="203"/>
      <c r="AO217" s="203">
        <v>0</v>
      </c>
    </row>
    <row r="218" spans="1:41" s="176" customFormat="1" ht="36" customHeight="1" x14ac:dyDescent="0.25">
      <c r="A218" s="176">
        <v>1</v>
      </c>
      <c r="B218" s="171">
        <f>SUBTOTAL(103,$A$16:A218)</f>
        <v>200</v>
      </c>
      <c r="C218" s="172" t="s">
        <v>1375</v>
      </c>
      <c r="D218" s="173">
        <v>1986</v>
      </c>
      <c r="E218" s="173"/>
      <c r="F218" s="174" t="s">
        <v>318</v>
      </c>
      <c r="G218" s="173">
        <v>9</v>
      </c>
      <c r="H218" s="173" t="s">
        <v>312</v>
      </c>
      <c r="I218" s="170">
        <v>5847.8</v>
      </c>
      <c r="J218" s="170">
        <v>5847.8</v>
      </c>
      <c r="K218" s="170">
        <v>5847.8</v>
      </c>
      <c r="L218" s="206">
        <v>220</v>
      </c>
      <c r="M218" s="173" t="s">
        <v>265</v>
      </c>
      <c r="N218" s="173" t="s">
        <v>269</v>
      </c>
      <c r="O218" s="175" t="s">
        <v>1381</v>
      </c>
      <c r="P218" s="170">
        <v>5478127.7400000002</v>
      </c>
      <c r="Q218" s="170">
        <v>0</v>
      </c>
      <c r="R218" s="170">
        <v>0</v>
      </c>
      <c r="S218" s="170">
        <f t="shared" si="20"/>
        <v>5478127.7400000002</v>
      </c>
      <c r="T218" s="170">
        <f t="shared" si="22"/>
        <v>936.78438729094705</v>
      </c>
      <c r="U218" s="170">
        <v>1260.8844351722014</v>
      </c>
      <c r="V218" s="202">
        <f t="shared" si="23"/>
        <v>324.10004788125434</v>
      </c>
      <c r="W218" s="202">
        <f t="shared" si="21"/>
        <v>1652.3754948698656</v>
      </c>
      <c r="X218" s="202">
        <v>0</v>
      </c>
      <c r="Y218" s="203">
        <v>0</v>
      </c>
      <c r="Z218" s="203">
        <v>0</v>
      </c>
      <c r="AA218" s="203">
        <v>0</v>
      </c>
      <c r="AB218" s="203">
        <v>0</v>
      </c>
      <c r="AC218" s="203">
        <v>0</v>
      </c>
      <c r="AD218" s="203">
        <v>0</v>
      </c>
      <c r="AE218" s="203">
        <v>1548.79</v>
      </c>
      <c r="AF218" s="202">
        <f>6238.91*AE218/I218</f>
        <v>1652.3754948698656</v>
      </c>
      <c r="AG218" s="203">
        <v>0</v>
      </c>
      <c r="AH218" s="202">
        <v>0</v>
      </c>
      <c r="AI218" s="203">
        <v>0</v>
      </c>
      <c r="AJ218" s="202">
        <v>0</v>
      </c>
      <c r="AK218" s="203">
        <v>0</v>
      </c>
      <c r="AL218" s="203">
        <v>0</v>
      </c>
      <c r="AM218" s="203">
        <v>0</v>
      </c>
      <c r="AN218" s="203"/>
      <c r="AO218" s="203">
        <v>0</v>
      </c>
    </row>
    <row r="219" spans="1:41" s="176" customFormat="1" ht="36" customHeight="1" x14ac:dyDescent="0.25">
      <c r="A219" s="176">
        <v>1</v>
      </c>
      <c r="B219" s="171">
        <f>SUBTOTAL(103,$A$16:A219)</f>
        <v>201</v>
      </c>
      <c r="C219" s="172" t="s">
        <v>1376</v>
      </c>
      <c r="D219" s="173">
        <v>1986</v>
      </c>
      <c r="E219" s="173"/>
      <c r="F219" s="174" t="s">
        <v>318</v>
      </c>
      <c r="G219" s="173">
        <v>9</v>
      </c>
      <c r="H219" s="173" t="s">
        <v>308</v>
      </c>
      <c r="I219" s="170">
        <v>8861.6</v>
      </c>
      <c r="J219" s="170">
        <v>7954.2</v>
      </c>
      <c r="K219" s="170">
        <v>7894.7</v>
      </c>
      <c r="L219" s="206">
        <v>295</v>
      </c>
      <c r="M219" s="173" t="s">
        <v>265</v>
      </c>
      <c r="N219" s="173" t="s">
        <v>298</v>
      </c>
      <c r="O219" s="175" t="s">
        <v>1382</v>
      </c>
      <c r="P219" s="170">
        <v>7310851.2000000002</v>
      </c>
      <c r="Q219" s="170">
        <v>0</v>
      </c>
      <c r="R219" s="170">
        <v>0</v>
      </c>
      <c r="S219" s="170">
        <f t="shared" si="20"/>
        <v>7310851.2000000002</v>
      </c>
      <c r="T219" s="170">
        <f t="shared" si="22"/>
        <v>825.00352080888331</v>
      </c>
      <c r="U219" s="170">
        <v>1109.4159068339802</v>
      </c>
      <c r="V219" s="202">
        <f t="shared" si="23"/>
        <v>284.41238602509691</v>
      </c>
      <c r="W219" s="202">
        <f t="shared" si="21"/>
        <v>2496.1857903764558</v>
      </c>
      <c r="X219" s="202">
        <v>0</v>
      </c>
      <c r="Y219" s="203">
        <v>0</v>
      </c>
      <c r="Z219" s="203">
        <v>0</v>
      </c>
      <c r="AA219" s="203">
        <v>0</v>
      </c>
      <c r="AB219" s="203">
        <v>0</v>
      </c>
      <c r="AC219" s="203">
        <v>9</v>
      </c>
      <c r="AD219" s="202">
        <f t="shared" ref="AD219:AD227" si="24">2457800*AC219/I219</f>
        <v>2496.1857903764558</v>
      </c>
      <c r="AE219" s="203">
        <v>0</v>
      </c>
      <c r="AF219" s="202">
        <v>0</v>
      </c>
      <c r="AG219" s="203">
        <v>0</v>
      </c>
      <c r="AH219" s="202">
        <v>0</v>
      </c>
      <c r="AI219" s="203">
        <v>0</v>
      </c>
      <c r="AJ219" s="202">
        <v>0</v>
      </c>
      <c r="AK219" s="203">
        <v>0</v>
      </c>
      <c r="AL219" s="203">
        <v>0</v>
      </c>
      <c r="AM219" s="203">
        <v>0</v>
      </c>
      <c r="AN219" s="203"/>
      <c r="AO219" s="203">
        <v>0</v>
      </c>
    </row>
    <row r="220" spans="1:41" s="176" customFormat="1" ht="36" customHeight="1" x14ac:dyDescent="0.25">
      <c r="A220" s="176">
        <v>1</v>
      </c>
      <c r="B220" s="171">
        <f>SUBTOTAL(103,$A$16:A220)</f>
        <v>202</v>
      </c>
      <c r="C220" s="172" t="s">
        <v>1377</v>
      </c>
      <c r="D220" s="173">
        <v>1988</v>
      </c>
      <c r="E220" s="173"/>
      <c r="F220" s="174" t="s">
        <v>318</v>
      </c>
      <c r="G220" s="173">
        <v>9</v>
      </c>
      <c r="H220" s="173" t="s">
        <v>312</v>
      </c>
      <c r="I220" s="170">
        <v>8029.8</v>
      </c>
      <c r="J220" s="170">
        <v>5819.3</v>
      </c>
      <c r="K220" s="170">
        <v>5819.3</v>
      </c>
      <c r="L220" s="206">
        <v>281</v>
      </c>
      <c r="M220" s="173" t="s">
        <v>265</v>
      </c>
      <c r="N220" s="173" t="s">
        <v>269</v>
      </c>
      <c r="O220" s="175" t="s">
        <v>1383</v>
      </c>
      <c r="P220" s="170">
        <v>5327196</v>
      </c>
      <c r="Q220" s="170">
        <v>0</v>
      </c>
      <c r="R220" s="170">
        <v>0</v>
      </c>
      <c r="S220" s="170">
        <f t="shared" si="20"/>
        <v>5327196</v>
      </c>
      <c r="T220" s="170">
        <f t="shared" si="22"/>
        <v>663.42822984383167</v>
      </c>
      <c r="U220" s="170">
        <v>918.25450198012402</v>
      </c>
      <c r="V220" s="202">
        <f t="shared" si="23"/>
        <v>254.82627213629235</v>
      </c>
      <c r="W220" s="202">
        <f t="shared" si="21"/>
        <v>918.25450198012402</v>
      </c>
      <c r="X220" s="202">
        <v>0</v>
      </c>
      <c r="Y220" s="203">
        <v>0</v>
      </c>
      <c r="Z220" s="203">
        <v>0</v>
      </c>
      <c r="AA220" s="203">
        <v>0</v>
      </c>
      <c r="AB220" s="203">
        <v>0</v>
      </c>
      <c r="AC220" s="203">
        <v>3</v>
      </c>
      <c r="AD220" s="202">
        <f t="shared" si="24"/>
        <v>918.25450198012402</v>
      </c>
      <c r="AE220" s="203">
        <v>0</v>
      </c>
      <c r="AF220" s="202">
        <v>0</v>
      </c>
      <c r="AG220" s="203">
        <v>0</v>
      </c>
      <c r="AH220" s="202">
        <v>0</v>
      </c>
      <c r="AI220" s="203">
        <v>0</v>
      </c>
      <c r="AJ220" s="202">
        <v>0</v>
      </c>
      <c r="AK220" s="203">
        <v>0</v>
      </c>
      <c r="AL220" s="203">
        <v>0</v>
      </c>
      <c r="AM220" s="203">
        <v>0</v>
      </c>
      <c r="AN220" s="203"/>
      <c r="AO220" s="203">
        <v>0</v>
      </c>
    </row>
    <row r="221" spans="1:41" s="176" customFormat="1" ht="36" customHeight="1" x14ac:dyDescent="0.25">
      <c r="A221" s="176">
        <v>1</v>
      </c>
      <c r="B221" s="171">
        <f>SUBTOTAL(103,$A$16:A221)</f>
        <v>203</v>
      </c>
      <c r="C221" s="172" t="s">
        <v>1378</v>
      </c>
      <c r="D221" s="173">
        <v>1986</v>
      </c>
      <c r="E221" s="173"/>
      <c r="F221" s="174" t="s">
        <v>318</v>
      </c>
      <c r="G221" s="173">
        <v>9</v>
      </c>
      <c r="H221" s="173" t="s">
        <v>308</v>
      </c>
      <c r="I221" s="170">
        <v>8130.5</v>
      </c>
      <c r="J221" s="170">
        <v>7378.4</v>
      </c>
      <c r="K221" s="170">
        <v>6959.7</v>
      </c>
      <c r="L221" s="206">
        <v>323</v>
      </c>
      <c r="M221" s="173" t="s">
        <v>265</v>
      </c>
      <c r="N221" s="173" t="s">
        <v>269</v>
      </c>
      <c r="O221" s="175" t="s">
        <v>794</v>
      </c>
      <c r="P221" s="170">
        <v>7367915.9199999999</v>
      </c>
      <c r="Q221" s="170">
        <v>0</v>
      </c>
      <c r="R221" s="170">
        <v>0</v>
      </c>
      <c r="S221" s="170">
        <f t="shared" si="20"/>
        <v>7367915.9199999999</v>
      </c>
      <c r="T221" s="170">
        <f t="shared" si="22"/>
        <v>906.20698850009228</v>
      </c>
      <c r="U221" s="170">
        <v>1209.1753274706352</v>
      </c>
      <c r="V221" s="202">
        <f t="shared" si="23"/>
        <v>302.96833897054296</v>
      </c>
      <c r="W221" s="202">
        <f t="shared" si="21"/>
        <v>1209.1753274706352</v>
      </c>
      <c r="X221" s="202">
        <v>0</v>
      </c>
      <c r="Y221" s="203">
        <v>0</v>
      </c>
      <c r="Z221" s="203">
        <v>0</v>
      </c>
      <c r="AA221" s="203">
        <v>0</v>
      </c>
      <c r="AB221" s="203">
        <v>0</v>
      </c>
      <c r="AC221" s="203">
        <v>4</v>
      </c>
      <c r="AD221" s="202">
        <f t="shared" si="24"/>
        <v>1209.1753274706352</v>
      </c>
      <c r="AE221" s="203">
        <v>0</v>
      </c>
      <c r="AF221" s="202">
        <v>0</v>
      </c>
      <c r="AG221" s="203">
        <v>0</v>
      </c>
      <c r="AH221" s="202">
        <v>0</v>
      </c>
      <c r="AI221" s="203">
        <v>0</v>
      </c>
      <c r="AJ221" s="202">
        <v>0</v>
      </c>
      <c r="AK221" s="203">
        <v>0</v>
      </c>
      <c r="AL221" s="203">
        <v>0</v>
      </c>
      <c r="AM221" s="203">
        <v>0</v>
      </c>
      <c r="AN221" s="203"/>
      <c r="AO221" s="203">
        <v>0</v>
      </c>
    </row>
    <row r="222" spans="1:41" s="176" customFormat="1" ht="36" customHeight="1" x14ac:dyDescent="0.25">
      <c r="A222" s="176">
        <v>1</v>
      </c>
      <c r="B222" s="171">
        <f>SUBTOTAL(103,$A$16:A222)</f>
        <v>204</v>
      </c>
      <c r="C222" s="172" t="s">
        <v>1379</v>
      </c>
      <c r="D222" s="173">
        <v>1987</v>
      </c>
      <c r="E222" s="173"/>
      <c r="F222" s="174" t="s">
        <v>267</v>
      </c>
      <c r="G222" s="173">
        <v>9</v>
      </c>
      <c r="H222" s="173" t="s">
        <v>312</v>
      </c>
      <c r="I222" s="170">
        <v>7146.1</v>
      </c>
      <c r="J222" s="170">
        <v>3870.6</v>
      </c>
      <c r="K222" s="170">
        <v>3226.3</v>
      </c>
      <c r="L222" s="206">
        <v>206</v>
      </c>
      <c r="M222" s="173" t="s">
        <v>265</v>
      </c>
      <c r="N222" s="173" t="s">
        <v>269</v>
      </c>
      <c r="O222" s="175" t="s">
        <v>797</v>
      </c>
      <c r="P222" s="170">
        <v>5462413.6200000001</v>
      </c>
      <c r="Q222" s="170">
        <v>0</v>
      </c>
      <c r="R222" s="170">
        <v>0</v>
      </c>
      <c r="S222" s="170">
        <f t="shared" si="20"/>
        <v>5462413.6200000001</v>
      </c>
      <c r="T222" s="170">
        <f t="shared" si="22"/>
        <v>764.39087334350199</v>
      </c>
      <c r="U222" s="170">
        <v>1031.8075593680469</v>
      </c>
      <c r="V222" s="202">
        <f t="shared" si="23"/>
        <v>267.4166860245449</v>
      </c>
      <c r="W222" s="202">
        <f t="shared" si="21"/>
        <v>1031.8075593680469</v>
      </c>
      <c r="X222" s="202">
        <v>0</v>
      </c>
      <c r="Y222" s="203">
        <v>0</v>
      </c>
      <c r="Z222" s="203">
        <v>0</v>
      </c>
      <c r="AA222" s="203">
        <v>0</v>
      </c>
      <c r="AB222" s="203">
        <v>0</v>
      </c>
      <c r="AC222" s="203">
        <v>3</v>
      </c>
      <c r="AD222" s="202">
        <f t="shared" si="24"/>
        <v>1031.8075593680469</v>
      </c>
      <c r="AE222" s="203">
        <v>0</v>
      </c>
      <c r="AF222" s="202">
        <v>0</v>
      </c>
      <c r="AG222" s="203">
        <v>0</v>
      </c>
      <c r="AH222" s="202">
        <v>0</v>
      </c>
      <c r="AI222" s="203">
        <v>0</v>
      </c>
      <c r="AJ222" s="202">
        <v>0</v>
      </c>
      <c r="AK222" s="203">
        <v>0</v>
      </c>
      <c r="AL222" s="203">
        <v>0</v>
      </c>
      <c r="AM222" s="203">
        <v>0</v>
      </c>
      <c r="AN222" s="203"/>
      <c r="AO222" s="203">
        <v>0</v>
      </c>
    </row>
    <row r="223" spans="1:41" s="176" customFormat="1" ht="36" customHeight="1" x14ac:dyDescent="0.25">
      <c r="A223" s="176">
        <v>1</v>
      </c>
      <c r="B223" s="171">
        <f>SUBTOTAL(103,$A$16:A223)</f>
        <v>205</v>
      </c>
      <c r="C223" s="172" t="s">
        <v>1523</v>
      </c>
      <c r="D223" s="173">
        <v>1986</v>
      </c>
      <c r="E223" s="173"/>
      <c r="F223" s="174" t="s">
        <v>267</v>
      </c>
      <c r="G223" s="173">
        <v>9</v>
      </c>
      <c r="H223" s="173" t="s">
        <v>304</v>
      </c>
      <c r="I223" s="170">
        <v>3555.69</v>
      </c>
      <c r="J223" s="170">
        <v>3555.69</v>
      </c>
      <c r="K223" s="170">
        <v>3353.49</v>
      </c>
      <c r="L223" s="206">
        <v>294</v>
      </c>
      <c r="M223" s="173" t="s">
        <v>265</v>
      </c>
      <c r="N223" s="173" t="s">
        <v>269</v>
      </c>
      <c r="O223" s="175" t="s">
        <v>1381</v>
      </c>
      <c r="P223" s="170">
        <v>1452147.29</v>
      </c>
      <c r="Q223" s="170">
        <v>0</v>
      </c>
      <c r="R223" s="170">
        <v>0</v>
      </c>
      <c r="S223" s="170">
        <f t="shared" si="20"/>
        <v>1452147.29</v>
      </c>
      <c r="T223" s="170">
        <f t="shared" si="22"/>
        <v>408.40098265034356</v>
      </c>
      <c r="U223" s="170">
        <v>691.23011286135738</v>
      </c>
      <c r="V223" s="202">
        <f t="shared" si="23"/>
        <v>282.82913021101382</v>
      </c>
      <c r="W223" s="202">
        <f t="shared" si="21"/>
        <v>2764.9204514454295</v>
      </c>
      <c r="X223" s="202">
        <v>0</v>
      </c>
      <c r="Y223" s="203">
        <v>0</v>
      </c>
      <c r="Z223" s="203">
        <v>0</v>
      </c>
      <c r="AA223" s="203">
        <v>0</v>
      </c>
      <c r="AB223" s="203">
        <v>0</v>
      </c>
      <c r="AC223" s="203">
        <v>4</v>
      </c>
      <c r="AD223" s="202">
        <f t="shared" si="24"/>
        <v>2764.9204514454295</v>
      </c>
      <c r="AE223" s="203">
        <v>0</v>
      </c>
      <c r="AF223" s="202">
        <v>0</v>
      </c>
      <c r="AG223" s="203">
        <v>0</v>
      </c>
      <c r="AH223" s="202">
        <v>0</v>
      </c>
      <c r="AI223" s="203">
        <v>0</v>
      </c>
      <c r="AJ223" s="202">
        <v>0</v>
      </c>
      <c r="AK223" s="203">
        <v>0</v>
      </c>
      <c r="AL223" s="203">
        <v>0</v>
      </c>
      <c r="AM223" s="203">
        <v>0</v>
      </c>
      <c r="AN223" s="203"/>
      <c r="AO223" s="203">
        <v>0</v>
      </c>
    </row>
    <row r="224" spans="1:41" s="176" customFormat="1" ht="36" customHeight="1" x14ac:dyDescent="0.25">
      <c r="A224" s="176">
        <v>1</v>
      </c>
      <c r="B224" s="171">
        <f>SUBTOTAL(103,$A$16:A224)</f>
        <v>206</v>
      </c>
      <c r="C224" s="172" t="s">
        <v>1524</v>
      </c>
      <c r="D224" s="173">
        <v>1984</v>
      </c>
      <c r="E224" s="173"/>
      <c r="F224" s="174" t="s">
        <v>318</v>
      </c>
      <c r="G224" s="173">
        <v>9</v>
      </c>
      <c r="H224" s="173" t="s">
        <v>303</v>
      </c>
      <c r="I224" s="170">
        <v>3925.2</v>
      </c>
      <c r="J224" s="170">
        <v>3897.5</v>
      </c>
      <c r="K224" s="170">
        <v>3897.5</v>
      </c>
      <c r="L224" s="206">
        <v>156</v>
      </c>
      <c r="M224" s="173" t="s">
        <v>265</v>
      </c>
      <c r="N224" s="173" t="s">
        <v>269</v>
      </c>
      <c r="O224" s="175" t="s">
        <v>1381</v>
      </c>
      <c r="P224" s="170">
        <v>2915220.6</v>
      </c>
      <c r="Q224" s="170">
        <v>0</v>
      </c>
      <c r="R224" s="170">
        <v>0</v>
      </c>
      <c r="S224" s="170">
        <f t="shared" si="20"/>
        <v>2915220.6</v>
      </c>
      <c r="T224" s="170">
        <f t="shared" si="22"/>
        <v>742.69351880158979</v>
      </c>
      <c r="U224" s="170">
        <v>1252.3183532049322</v>
      </c>
      <c r="V224" s="202">
        <f t="shared" si="23"/>
        <v>509.62483440334245</v>
      </c>
      <c r="W224" s="202">
        <f t="shared" si="21"/>
        <v>1878.4775298073985</v>
      </c>
      <c r="X224" s="202">
        <v>0</v>
      </c>
      <c r="Y224" s="203">
        <v>0</v>
      </c>
      <c r="Z224" s="203">
        <v>0</v>
      </c>
      <c r="AA224" s="203">
        <v>0</v>
      </c>
      <c r="AB224" s="203">
        <v>0</v>
      </c>
      <c r="AC224" s="203">
        <v>3</v>
      </c>
      <c r="AD224" s="202">
        <f t="shared" si="24"/>
        <v>1878.4775298073985</v>
      </c>
      <c r="AE224" s="203">
        <v>0</v>
      </c>
      <c r="AF224" s="202">
        <v>0</v>
      </c>
      <c r="AG224" s="203">
        <v>0</v>
      </c>
      <c r="AH224" s="202">
        <v>0</v>
      </c>
      <c r="AI224" s="203">
        <v>0</v>
      </c>
      <c r="AJ224" s="202">
        <v>0</v>
      </c>
      <c r="AK224" s="203">
        <v>0</v>
      </c>
      <c r="AL224" s="203">
        <v>0</v>
      </c>
      <c r="AM224" s="203">
        <v>0</v>
      </c>
      <c r="AN224" s="203"/>
      <c r="AO224" s="203">
        <v>0</v>
      </c>
    </row>
    <row r="225" spans="1:41" s="176" customFormat="1" ht="36" customHeight="1" x14ac:dyDescent="0.25">
      <c r="A225" s="176">
        <v>1</v>
      </c>
      <c r="B225" s="171">
        <f>SUBTOTAL(103,$A$16:A225)</f>
        <v>207</v>
      </c>
      <c r="C225" s="172" t="s">
        <v>1525</v>
      </c>
      <c r="D225" s="173">
        <v>1984</v>
      </c>
      <c r="E225" s="173"/>
      <c r="F225" s="174" t="s">
        <v>318</v>
      </c>
      <c r="G225" s="173">
        <v>9</v>
      </c>
      <c r="H225" s="173" t="s">
        <v>312</v>
      </c>
      <c r="I225" s="170">
        <v>6500.5</v>
      </c>
      <c r="J225" s="170">
        <v>5846.6</v>
      </c>
      <c r="K225" s="170">
        <v>5846.6</v>
      </c>
      <c r="L225" s="206">
        <v>233</v>
      </c>
      <c r="M225" s="173" t="s">
        <v>265</v>
      </c>
      <c r="N225" s="173" t="s">
        <v>269</v>
      </c>
      <c r="O225" s="175" t="s">
        <v>1563</v>
      </c>
      <c r="P225" s="170">
        <v>4354761.09</v>
      </c>
      <c r="Q225" s="170">
        <v>0</v>
      </c>
      <c r="R225" s="170">
        <v>0</v>
      </c>
      <c r="S225" s="170">
        <f>P225-R225-Q225</f>
        <v>4354761.09</v>
      </c>
      <c r="T225" s="170">
        <f t="shared" si="22"/>
        <v>669.911712945158</v>
      </c>
      <c r="U225" s="170">
        <v>1134.2819783093607</v>
      </c>
      <c r="V225" s="202">
        <f t="shared" si="23"/>
        <v>464.37026536420274</v>
      </c>
      <c r="W225" s="202">
        <f t="shared" si="21"/>
        <v>378.09399276978695</v>
      </c>
      <c r="X225" s="202">
        <v>0</v>
      </c>
      <c r="Y225" s="203">
        <v>0</v>
      </c>
      <c r="Z225" s="203">
        <v>0</v>
      </c>
      <c r="AA225" s="203">
        <v>0</v>
      </c>
      <c r="AB225" s="203">
        <v>0</v>
      </c>
      <c r="AC225" s="203">
        <v>1</v>
      </c>
      <c r="AD225" s="202">
        <f t="shared" si="24"/>
        <v>378.09399276978695</v>
      </c>
      <c r="AE225" s="203">
        <v>0</v>
      </c>
      <c r="AF225" s="202">
        <v>0</v>
      </c>
      <c r="AG225" s="203">
        <v>0</v>
      </c>
      <c r="AH225" s="202">
        <v>0</v>
      </c>
      <c r="AI225" s="203">
        <v>0</v>
      </c>
      <c r="AJ225" s="202">
        <v>0</v>
      </c>
      <c r="AK225" s="203">
        <v>0</v>
      </c>
      <c r="AL225" s="203">
        <v>0</v>
      </c>
      <c r="AM225" s="203">
        <v>0</v>
      </c>
      <c r="AN225" s="203"/>
      <c r="AO225" s="203">
        <v>0</v>
      </c>
    </row>
    <row r="226" spans="1:41" s="176" customFormat="1" ht="36" customHeight="1" x14ac:dyDescent="0.25">
      <c r="A226" s="176">
        <v>1</v>
      </c>
      <c r="B226" s="171">
        <f>SUBTOTAL(103,$A$16:A226)</f>
        <v>208</v>
      </c>
      <c r="C226" s="172" t="s">
        <v>766</v>
      </c>
      <c r="D226" s="173">
        <v>1992</v>
      </c>
      <c r="E226" s="173"/>
      <c r="F226" s="174" t="s">
        <v>318</v>
      </c>
      <c r="G226" s="173">
        <v>9</v>
      </c>
      <c r="H226" s="173" t="s">
        <v>312</v>
      </c>
      <c r="I226" s="170">
        <v>8073.1</v>
      </c>
      <c r="J226" s="170">
        <v>5829</v>
      </c>
      <c r="K226" s="170">
        <v>5829</v>
      </c>
      <c r="L226" s="206">
        <v>241</v>
      </c>
      <c r="M226" s="173" t="s">
        <v>265</v>
      </c>
      <c r="N226" s="173" t="s">
        <v>269</v>
      </c>
      <c r="O226" s="175" t="s">
        <v>793</v>
      </c>
      <c r="P226" s="170">
        <v>4557762.04</v>
      </c>
      <c r="Q226" s="170">
        <v>0</v>
      </c>
      <c r="R226" s="170">
        <v>0</v>
      </c>
      <c r="S226" s="170">
        <f>P226-R226-Q226</f>
        <v>4557762.04</v>
      </c>
      <c r="T226" s="170">
        <f t="shared" si="22"/>
        <v>564.56157362103772</v>
      </c>
      <c r="U226" s="170">
        <v>913.32945213115158</v>
      </c>
      <c r="V226" s="202">
        <f t="shared" si="23"/>
        <v>348.76787851011386</v>
      </c>
      <c r="W226" s="202">
        <f t="shared" si="21"/>
        <v>608.88630142076772</v>
      </c>
      <c r="X226" s="202">
        <v>0</v>
      </c>
      <c r="Y226" s="203">
        <v>0</v>
      </c>
      <c r="Z226" s="203">
        <v>0</v>
      </c>
      <c r="AA226" s="203">
        <v>0</v>
      </c>
      <c r="AB226" s="203">
        <v>0</v>
      </c>
      <c r="AC226" s="203">
        <v>2</v>
      </c>
      <c r="AD226" s="202">
        <f t="shared" si="24"/>
        <v>608.88630142076772</v>
      </c>
      <c r="AE226" s="203">
        <v>0</v>
      </c>
      <c r="AF226" s="202">
        <v>0</v>
      </c>
      <c r="AG226" s="203">
        <v>0</v>
      </c>
      <c r="AH226" s="202">
        <v>0</v>
      </c>
      <c r="AI226" s="203">
        <v>0</v>
      </c>
      <c r="AJ226" s="202">
        <v>0</v>
      </c>
      <c r="AK226" s="203">
        <v>0</v>
      </c>
      <c r="AL226" s="203">
        <v>0</v>
      </c>
      <c r="AM226" s="203">
        <v>0</v>
      </c>
      <c r="AN226" s="203"/>
      <c r="AO226" s="203">
        <v>0</v>
      </c>
    </row>
    <row r="227" spans="1:41" s="176" customFormat="1" ht="36" customHeight="1" x14ac:dyDescent="0.25">
      <c r="A227" s="176">
        <v>1</v>
      </c>
      <c r="B227" s="171">
        <f>SUBTOTAL(103,$A$16:A227)</f>
        <v>209</v>
      </c>
      <c r="C227" s="172" t="s">
        <v>769</v>
      </c>
      <c r="D227" s="173">
        <v>1994</v>
      </c>
      <c r="E227" s="173"/>
      <c r="F227" s="174" t="s">
        <v>318</v>
      </c>
      <c r="G227" s="173">
        <v>9</v>
      </c>
      <c r="H227" s="173" t="s">
        <v>303</v>
      </c>
      <c r="I227" s="170">
        <v>4401.8</v>
      </c>
      <c r="J227" s="170">
        <v>3886.2</v>
      </c>
      <c r="K227" s="170">
        <v>3886.2</v>
      </c>
      <c r="L227" s="206">
        <v>159</v>
      </c>
      <c r="M227" s="173" t="s">
        <v>265</v>
      </c>
      <c r="N227" s="173" t="s">
        <v>269</v>
      </c>
      <c r="O227" s="175" t="s">
        <v>795</v>
      </c>
      <c r="P227" s="170">
        <v>3054448.7</v>
      </c>
      <c r="Q227" s="170">
        <v>0</v>
      </c>
      <c r="R227" s="170">
        <v>0</v>
      </c>
      <c r="S227" s="170">
        <f>P227-R227-Q227</f>
        <v>3054448.7</v>
      </c>
      <c r="T227" s="170">
        <f t="shared" si="22"/>
        <v>693.90901449407068</v>
      </c>
      <c r="U227" s="170">
        <v>1116.7249761461219</v>
      </c>
      <c r="V227" s="202">
        <f t="shared" si="23"/>
        <v>422.81596165205121</v>
      </c>
      <c r="W227" s="202">
        <f t="shared" si="21"/>
        <v>1675.0874642191829</v>
      </c>
      <c r="X227" s="202">
        <v>0</v>
      </c>
      <c r="Y227" s="203">
        <v>0</v>
      </c>
      <c r="Z227" s="203">
        <v>0</v>
      </c>
      <c r="AA227" s="203">
        <v>0</v>
      </c>
      <c r="AB227" s="203">
        <v>0</v>
      </c>
      <c r="AC227" s="203">
        <v>3</v>
      </c>
      <c r="AD227" s="202">
        <f t="shared" si="24"/>
        <v>1675.0874642191829</v>
      </c>
      <c r="AE227" s="203">
        <v>0</v>
      </c>
      <c r="AF227" s="202">
        <v>0</v>
      </c>
      <c r="AG227" s="203">
        <v>0</v>
      </c>
      <c r="AH227" s="202">
        <v>0</v>
      </c>
      <c r="AI227" s="203">
        <v>0</v>
      </c>
      <c r="AJ227" s="202">
        <v>0</v>
      </c>
      <c r="AK227" s="203">
        <v>0</v>
      </c>
      <c r="AL227" s="203">
        <v>0</v>
      </c>
      <c r="AM227" s="203">
        <v>0</v>
      </c>
      <c r="AN227" s="203"/>
      <c r="AO227" s="203">
        <v>0</v>
      </c>
    </row>
    <row r="228" spans="1:41" s="176" customFormat="1" ht="36" customHeight="1" x14ac:dyDescent="0.25">
      <c r="A228" s="176">
        <v>1</v>
      </c>
      <c r="B228" s="171">
        <f>SUBTOTAL(103,$A$16:A228)</f>
        <v>210</v>
      </c>
      <c r="C228" s="172" t="s">
        <v>771</v>
      </c>
      <c r="D228" s="173">
        <v>1992</v>
      </c>
      <c r="E228" s="173"/>
      <c r="F228" s="174" t="s">
        <v>318</v>
      </c>
      <c r="G228" s="173">
        <v>9</v>
      </c>
      <c r="H228" s="173" t="s">
        <v>303</v>
      </c>
      <c r="I228" s="170">
        <v>4929.04</v>
      </c>
      <c r="J228" s="170">
        <v>3924.5</v>
      </c>
      <c r="K228" s="170">
        <v>3924.5</v>
      </c>
      <c r="L228" s="206">
        <v>180</v>
      </c>
      <c r="M228" s="173" t="s">
        <v>265</v>
      </c>
      <c r="N228" s="173" t="s">
        <v>269</v>
      </c>
      <c r="O228" s="175" t="s">
        <v>800</v>
      </c>
      <c r="P228" s="170">
        <v>3051298.6999999997</v>
      </c>
      <c r="Q228" s="170">
        <v>0</v>
      </c>
      <c r="R228" s="170">
        <v>0</v>
      </c>
      <c r="S228" s="170">
        <f>P228-R228-Q228</f>
        <v>3051298.6999999997</v>
      </c>
      <c r="T228" s="170">
        <f t="shared" si="22"/>
        <v>619.04522990278019</v>
      </c>
      <c r="U228" s="170">
        <v>997.27330271208996</v>
      </c>
      <c r="V228" s="202">
        <f t="shared" si="23"/>
        <v>378.22807280930977</v>
      </c>
      <c r="W228" s="202">
        <f>X228+Y228+Z228+AA228+AB228+AD228+AF228+AH228+AJ228+AL228+AN228+AO228</f>
        <v>712.1</v>
      </c>
      <c r="X228" s="202">
        <v>0</v>
      </c>
      <c r="Y228" s="203">
        <v>0</v>
      </c>
      <c r="Z228" s="203">
        <v>0</v>
      </c>
      <c r="AA228" s="203">
        <v>0</v>
      </c>
      <c r="AB228" s="203">
        <v>0</v>
      </c>
      <c r="AC228" s="203">
        <v>0</v>
      </c>
      <c r="AD228" s="203">
        <v>0</v>
      </c>
      <c r="AE228" s="203">
        <v>0</v>
      </c>
      <c r="AF228" s="202">
        <v>0</v>
      </c>
      <c r="AG228" s="203">
        <v>0</v>
      </c>
      <c r="AH228" s="202">
        <v>0</v>
      </c>
      <c r="AI228" s="203">
        <v>0</v>
      </c>
      <c r="AJ228" s="202">
        <v>0</v>
      </c>
      <c r="AK228" s="203">
        <v>0</v>
      </c>
      <c r="AL228" s="203">
        <v>0</v>
      </c>
      <c r="AM228" s="203">
        <v>0</v>
      </c>
      <c r="AN228" s="203"/>
      <c r="AO228" s="203">
        <v>712.1</v>
      </c>
    </row>
    <row r="229" spans="1:41" s="176" customFormat="1" ht="36" customHeight="1" x14ac:dyDescent="0.25">
      <c r="A229" s="176">
        <v>1</v>
      </c>
      <c r="B229" s="171">
        <f>SUBTOTAL(103,$A$16:A229)</f>
        <v>211</v>
      </c>
      <c r="C229" s="172" t="s">
        <v>767</v>
      </c>
      <c r="D229" s="173">
        <v>1993</v>
      </c>
      <c r="E229" s="173"/>
      <c r="F229" s="174" t="s">
        <v>318</v>
      </c>
      <c r="G229" s="173">
        <v>9</v>
      </c>
      <c r="H229" s="173" t="s">
        <v>308</v>
      </c>
      <c r="I229" s="177">
        <v>11047.1</v>
      </c>
      <c r="J229" s="177">
        <v>7851.2</v>
      </c>
      <c r="K229" s="177">
        <v>7851.2</v>
      </c>
      <c r="L229" s="206">
        <v>267</v>
      </c>
      <c r="M229" s="173" t="s">
        <v>265</v>
      </c>
      <c r="N229" s="173" t="s">
        <v>269</v>
      </c>
      <c r="O229" s="175" t="s">
        <v>799</v>
      </c>
      <c r="P229" s="170">
        <v>123350.33</v>
      </c>
      <c r="Q229" s="170">
        <v>0</v>
      </c>
      <c r="R229" s="170">
        <v>0</v>
      </c>
      <c r="S229" s="170">
        <f>P229-Q229-R229</f>
        <v>123350.33</v>
      </c>
      <c r="T229" s="170">
        <f t="shared" si="22"/>
        <v>11.16585619755411</v>
      </c>
      <c r="U229" s="170">
        <v>11.16585619755411</v>
      </c>
      <c r="V229" s="202">
        <f t="shared" si="23"/>
        <v>0</v>
      </c>
      <c r="W229" s="202">
        <f t="shared" si="21"/>
        <v>667.45118628418311</v>
      </c>
      <c r="X229" s="202">
        <v>0</v>
      </c>
      <c r="Y229" s="203">
        <v>0</v>
      </c>
      <c r="Z229" s="203">
        <v>0</v>
      </c>
      <c r="AA229" s="203">
        <v>0</v>
      </c>
      <c r="AB229" s="203">
        <v>0</v>
      </c>
      <c r="AC229" s="203">
        <v>3</v>
      </c>
      <c r="AD229" s="202">
        <f>2457800*AC229/I229</f>
        <v>667.45118628418311</v>
      </c>
      <c r="AE229" s="203">
        <v>0</v>
      </c>
      <c r="AF229" s="202">
        <v>0</v>
      </c>
      <c r="AG229" s="203">
        <v>0</v>
      </c>
      <c r="AH229" s="202">
        <v>0</v>
      </c>
      <c r="AI229" s="203">
        <v>0</v>
      </c>
      <c r="AJ229" s="202">
        <v>0</v>
      </c>
      <c r="AK229" s="203">
        <v>0</v>
      </c>
      <c r="AL229" s="203">
        <v>0</v>
      </c>
      <c r="AM229" s="203">
        <v>0</v>
      </c>
      <c r="AN229" s="203"/>
      <c r="AO229" s="203">
        <v>0</v>
      </c>
    </row>
    <row r="230" spans="1:41" s="176" customFormat="1" ht="36" customHeight="1" x14ac:dyDescent="0.25">
      <c r="A230" s="176">
        <v>1</v>
      </c>
      <c r="B230" s="171">
        <f>SUBTOTAL(103,$A$16:A230)</f>
        <v>212</v>
      </c>
      <c r="C230" s="172" t="s">
        <v>772</v>
      </c>
      <c r="D230" s="173">
        <v>1990</v>
      </c>
      <c r="E230" s="173"/>
      <c r="F230" s="174" t="s">
        <v>267</v>
      </c>
      <c r="G230" s="173">
        <v>9</v>
      </c>
      <c r="H230" s="173" t="s">
        <v>304</v>
      </c>
      <c r="I230" s="177">
        <v>5846.4</v>
      </c>
      <c r="J230" s="177">
        <v>4863.8999999999996</v>
      </c>
      <c r="K230" s="177">
        <v>4863.8999999999996</v>
      </c>
      <c r="L230" s="206">
        <v>374</v>
      </c>
      <c r="M230" s="173" t="s">
        <v>265</v>
      </c>
      <c r="N230" s="173" t="s">
        <v>269</v>
      </c>
      <c r="O230" s="175" t="s">
        <v>801</v>
      </c>
      <c r="P230" s="170">
        <v>1765429.7</v>
      </c>
      <c r="Q230" s="170">
        <v>0</v>
      </c>
      <c r="R230" s="170">
        <v>0</v>
      </c>
      <c r="S230" s="170">
        <f>P230-Q230-R230</f>
        <v>1765429.7</v>
      </c>
      <c r="T230" s="170">
        <f t="shared" si="22"/>
        <v>301.96868158182815</v>
      </c>
      <c r="U230" s="170">
        <v>420.39545703338808</v>
      </c>
      <c r="V230" s="202">
        <f t="shared" si="23"/>
        <v>118.42677545155993</v>
      </c>
      <c r="W230" s="202">
        <f t="shared" si="21"/>
        <v>840.79091406677617</v>
      </c>
      <c r="X230" s="202">
        <v>0</v>
      </c>
      <c r="Y230" s="203">
        <v>0</v>
      </c>
      <c r="Z230" s="203">
        <v>0</v>
      </c>
      <c r="AA230" s="203">
        <v>0</v>
      </c>
      <c r="AB230" s="203">
        <v>0</v>
      </c>
      <c r="AC230" s="203">
        <v>2</v>
      </c>
      <c r="AD230" s="202">
        <f>2457800*AC230/I230</f>
        <v>840.79091406677617</v>
      </c>
      <c r="AE230" s="203">
        <v>0</v>
      </c>
      <c r="AF230" s="202">
        <v>0</v>
      </c>
      <c r="AG230" s="203">
        <v>0</v>
      </c>
      <c r="AH230" s="202">
        <v>0</v>
      </c>
      <c r="AI230" s="203">
        <v>0</v>
      </c>
      <c r="AJ230" s="202">
        <v>0</v>
      </c>
      <c r="AK230" s="203">
        <v>0</v>
      </c>
      <c r="AL230" s="203">
        <v>0</v>
      </c>
      <c r="AM230" s="203">
        <v>0</v>
      </c>
      <c r="AN230" s="203"/>
      <c r="AO230" s="203">
        <v>0</v>
      </c>
    </row>
    <row r="231" spans="1:41" s="176" customFormat="1" ht="36" customHeight="1" x14ac:dyDescent="0.25">
      <c r="A231" s="176">
        <v>1</v>
      </c>
      <c r="B231" s="171">
        <f>SUBTOTAL(103,$A$16:A231)</f>
        <v>213</v>
      </c>
      <c r="C231" s="172" t="s">
        <v>1662</v>
      </c>
      <c r="D231" s="173">
        <v>1991</v>
      </c>
      <c r="E231" s="173"/>
      <c r="F231" s="174" t="s">
        <v>318</v>
      </c>
      <c r="G231" s="173">
        <v>9</v>
      </c>
      <c r="H231" s="173" t="s">
        <v>303</v>
      </c>
      <c r="I231" s="177">
        <v>5099.5</v>
      </c>
      <c r="J231" s="177">
        <v>3949.7</v>
      </c>
      <c r="K231" s="177">
        <v>3949.7</v>
      </c>
      <c r="L231" s="206">
        <v>168</v>
      </c>
      <c r="M231" s="173" t="s">
        <v>265</v>
      </c>
      <c r="N231" s="173" t="s">
        <v>269</v>
      </c>
      <c r="O231" s="175" t="s">
        <v>1663</v>
      </c>
      <c r="P231" s="170">
        <v>3250173.78</v>
      </c>
      <c r="Q231" s="170">
        <v>0</v>
      </c>
      <c r="R231" s="170">
        <v>0</v>
      </c>
      <c r="S231" s="170">
        <f>P231-Q231-R231</f>
        <v>3250173.78</v>
      </c>
      <c r="T231" s="170">
        <f t="shared" si="22"/>
        <v>637.35146190803016</v>
      </c>
      <c r="U231" s="170">
        <v>963.93764094519065</v>
      </c>
      <c r="V231" s="202">
        <f t="shared" si="23"/>
        <v>326.58617903716049</v>
      </c>
      <c r="W231" s="202">
        <f t="shared" si="21"/>
        <v>963.93764094519065</v>
      </c>
      <c r="X231" s="202">
        <v>0</v>
      </c>
      <c r="Y231" s="203">
        <v>0</v>
      </c>
      <c r="Z231" s="203">
        <v>0</v>
      </c>
      <c r="AA231" s="203">
        <v>0</v>
      </c>
      <c r="AB231" s="203">
        <v>0</v>
      </c>
      <c r="AC231" s="203">
        <v>2</v>
      </c>
      <c r="AD231" s="202">
        <f>2457800*AC231/I231</f>
        <v>963.93764094519065</v>
      </c>
      <c r="AE231" s="203">
        <v>0</v>
      </c>
      <c r="AF231" s="202">
        <v>0</v>
      </c>
      <c r="AG231" s="203">
        <v>0</v>
      </c>
      <c r="AH231" s="202">
        <v>0</v>
      </c>
      <c r="AI231" s="203">
        <v>0</v>
      </c>
      <c r="AJ231" s="202">
        <v>0</v>
      </c>
      <c r="AK231" s="203">
        <v>0</v>
      </c>
      <c r="AL231" s="203">
        <v>0</v>
      </c>
      <c r="AM231" s="203">
        <v>0</v>
      </c>
      <c r="AN231" s="203"/>
      <c r="AO231" s="203">
        <v>0</v>
      </c>
    </row>
    <row r="232" spans="1:41" s="176" customFormat="1" ht="36" customHeight="1" x14ac:dyDescent="0.25">
      <c r="A232" s="176">
        <v>1</v>
      </c>
      <c r="B232" s="171">
        <f>SUBTOTAL(103,$A$16:A232)</f>
        <v>214</v>
      </c>
      <c r="C232" s="172" t="s">
        <v>1157</v>
      </c>
      <c r="D232" s="173">
        <v>1937</v>
      </c>
      <c r="E232" s="173"/>
      <c r="F232" s="174" t="s">
        <v>267</v>
      </c>
      <c r="G232" s="173" t="s">
        <v>308</v>
      </c>
      <c r="H232" s="173" t="s">
        <v>312</v>
      </c>
      <c r="I232" s="170">
        <v>1585.9</v>
      </c>
      <c r="J232" s="170">
        <v>1585.9</v>
      </c>
      <c r="K232" s="170">
        <v>1465.1</v>
      </c>
      <c r="L232" s="206">
        <v>36</v>
      </c>
      <c r="M232" s="173" t="s">
        <v>265</v>
      </c>
      <c r="N232" s="173" t="s">
        <v>266</v>
      </c>
      <c r="O232" s="175" t="s">
        <v>268</v>
      </c>
      <c r="P232" s="170">
        <v>209545.8</v>
      </c>
      <c r="Q232" s="170">
        <v>0</v>
      </c>
      <c r="R232" s="170">
        <v>0</v>
      </c>
      <c r="S232" s="170">
        <f>P232-Q232-R232</f>
        <v>209545.8</v>
      </c>
      <c r="T232" s="170">
        <f t="shared" si="22"/>
        <v>132.13052525379908</v>
      </c>
      <c r="U232" s="170">
        <v>132.13052525379908</v>
      </c>
      <c r="V232" s="202">
        <f t="shared" si="23"/>
        <v>0</v>
      </c>
      <c r="W232" s="202">
        <f t="shared" si="21"/>
        <v>12120.693789015701</v>
      </c>
      <c r="X232" s="202">
        <v>0</v>
      </c>
      <c r="Y232" s="203">
        <v>0</v>
      </c>
      <c r="Z232" s="203">
        <v>0</v>
      </c>
      <c r="AA232" s="203">
        <v>0</v>
      </c>
      <c r="AB232" s="203">
        <v>0</v>
      </c>
      <c r="AC232" s="203">
        <v>0</v>
      </c>
      <c r="AD232" s="203">
        <v>0</v>
      </c>
      <c r="AE232" s="203">
        <v>627</v>
      </c>
      <c r="AF232" s="202">
        <f>6238.91*AE232/I232</f>
        <v>2466.6098556024967</v>
      </c>
      <c r="AG232" s="203">
        <v>0</v>
      </c>
      <c r="AH232" s="202">
        <v>0</v>
      </c>
      <c r="AI232" s="203">
        <v>2058.1</v>
      </c>
      <c r="AJ232" s="202">
        <f>7439.1*AI232/I232</f>
        <v>9654.0839334132033</v>
      </c>
      <c r="AK232" s="203">
        <v>0</v>
      </c>
      <c r="AL232" s="203">
        <v>0</v>
      </c>
      <c r="AM232" s="203">
        <v>0</v>
      </c>
      <c r="AN232" s="203"/>
      <c r="AO232" s="203">
        <v>0</v>
      </c>
    </row>
    <row r="233" spans="1:41" s="176" customFormat="1" ht="36" customHeight="1" x14ac:dyDescent="0.25">
      <c r="B233" s="172" t="s">
        <v>750</v>
      </c>
      <c r="C233" s="359"/>
      <c r="D233" s="173" t="s">
        <v>882</v>
      </c>
      <c r="E233" s="173" t="s">
        <v>882</v>
      </c>
      <c r="F233" s="173" t="s">
        <v>882</v>
      </c>
      <c r="G233" s="173" t="s">
        <v>882</v>
      </c>
      <c r="H233" s="173" t="s">
        <v>882</v>
      </c>
      <c r="I233" s="177">
        <f>SUM(I234:I238)</f>
        <v>38189.1</v>
      </c>
      <c r="J233" s="177">
        <f>SUM(J234:J238)</f>
        <v>33999.300000000003</v>
      </c>
      <c r="K233" s="177">
        <f>SUM(K234:K238)</f>
        <v>33586.1</v>
      </c>
      <c r="L233" s="357">
        <f>SUM(L234:L238)</f>
        <v>1569</v>
      </c>
      <c r="M233" s="173" t="s">
        <v>882</v>
      </c>
      <c r="N233" s="173" t="s">
        <v>882</v>
      </c>
      <c r="O233" s="175" t="s">
        <v>882</v>
      </c>
      <c r="P233" s="177">
        <v>11570369.789999999</v>
      </c>
      <c r="Q233" s="177">
        <f>SUM(Q234:Q238)</f>
        <v>0</v>
      </c>
      <c r="R233" s="177">
        <f>SUM(R234:R238)</f>
        <v>0</v>
      </c>
      <c r="S233" s="177">
        <f>SUM(S234:S238)</f>
        <v>11570369.789999999</v>
      </c>
      <c r="T233" s="170">
        <f t="shared" si="22"/>
        <v>302.975712703363</v>
      </c>
      <c r="U233" s="170">
        <f>MAX(U234:U238)</f>
        <v>5973.586655167127</v>
      </c>
      <c r="V233" s="202">
        <f t="shared" si="23"/>
        <v>5670.6109424637643</v>
      </c>
      <c r="W233" s="202"/>
      <c r="X233" s="202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</row>
    <row r="234" spans="1:41" s="176" customFormat="1" ht="36" customHeight="1" x14ac:dyDescent="0.25">
      <c r="A234" s="176">
        <v>1</v>
      </c>
      <c r="B234" s="171">
        <f>SUBTOTAL(103,$A$16:A234)</f>
        <v>215</v>
      </c>
      <c r="C234" s="172" t="s">
        <v>377</v>
      </c>
      <c r="D234" s="173">
        <v>1977</v>
      </c>
      <c r="E234" s="173">
        <v>2016</v>
      </c>
      <c r="F234" s="174" t="s">
        <v>311</v>
      </c>
      <c r="G234" s="173">
        <v>14</v>
      </c>
      <c r="H234" s="173" t="s">
        <v>304</v>
      </c>
      <c r="I234" s="170">
        <v>4634.7</v>
      </c>
      <c r="J234" s="170">
        <v>4158.8</v>
      </c>
      <c r="K234" s="170">
        <v>3801.6</v>
      </c>
      <c r="L234" s="206">
        <v>190</v>
      </c>
      <c r="M234" s="173" t="s">
        <v>265</v>
      </c>
      <c r="N234" s="173" t="s">
        <v>269</v>
      </c>
      <c r="O234" s="175" t="s">
        <v>319</v>
      </c>
      <c r="P234" s="170">
        <v>1217400.68</v>
      </c>
      <c r="Q234" s="170">
        <v>0</v>
      </c>
      <c r="R234" s="170">
        <v>0</v>
      </c>
      <c r="S234" s="170">
        <f>P234-Q234-R234</f>
        <v>1217400.68</v>
      </c>
      <c r="T234" s="170">
        <f t="shared" si="22"/>
        <v>262.67086974345699</v>
      </c>
      <c r="U234" s="170">
        <v>486.66986428463554</v>
      </c>
      <c r="V234" s="202">
        <f t="shared" si="23"/>
        <v>223.99899454117855</v>
      </c>
      <c r="W234" s="202">
        <f>X234+Y234+Z234+AA234+AB234+AD234+AF234+AH234+AJ234+AL234+AN234+AO234</f>
        <v>519.87551340971368</v>
      </c>
      <c r="X234" s="202">
        <v>0</v>
      </c>
      <c r="Y234" s="203">
        <v>0</v>
      </c>
      <c r="Z234" s="203">
        <v>0</v>
      </c>
      <c r="AA234" s="203">
        <v>0</v>
      </c>
      <c r="AB234" s="203">
        <v>0</v>
      </c>
      <c r="AC234" s="203">
        <v>0</v>
      </c>
      <c r="AD234" s="203">
        <v>0</v>
      </c>
      <c r="AE234" s="203">
        <v>386.2</v>
      </c>
      <c r="AF234" s="202">
        <f>6238.91*AE234/I234</f>
        <v>519.87551340971368</v>
      </c>
      <c r="AG234" s="203">
        <v>0</v>
      </c>
      <c r="AH234" s="202">
        <v>0</v>
      </c>
      <c r="AI234" s="203">
        <v>0</v>
      </c>
      <c r="AJ234" s="202">
        <v>0</v>
      </c>
      <c r="AK234" s="203">
        <v>0</v>
      </c>
      <c r="AL234" s="203">
        <v>0</v>
      </c>
      <c r="AM234" s="203">
        <v>0</v>
      </c>
      <c r="AN234" s="203"/>
      <c r="AO234" s="203">
        <v>0</v>
      </c>
    </row>
    <row r="235" spans="1:41" s="176" customFormat="1" ht="36" customHeight="1" x14ac:dyDescent="0.25">
      <c r="A235" s="176">
        <v>1</v>
      </c>
      <c r="B235" s="171">
        <f>SUBTOTAL(103,$A$16:A235)</f>
        <v>216</v>
      </c>
      <c r="C235" s="172" t="s">
        <v>378</v>
      </c>
      <c r="D235" s="173">
        <v>1982</v>
      </c>
      <c r="E235" s="173">
        <v>2016</v>
      </c>
      <c r="F235" s="174" t="s">
        <v>311</v>
      </c>
      <c r="G235" s="173">
        <v>5</v>
      </c>
      <c r="H235" s="173" t="s">
        <v>351</v>
      </c>
      <c r="I235" s="170">
        <v>3913.2</v>
      </c>
      <c r="J235" s="170">
        <v>3443.4</v>
      </c>
      <c r="K235" s="170">
        <v>3443.4</v>
      </c>
      <c r="L235" s="206">
        <v>152</v>
      </c>
      <c r="M235" s="173" t="s">
        <v>265</v>
      </c>
      <c r="N235" s="173" t="s">
        <v>269</v>
      </c>
      <c r="O235" s="175" t="s">
        <v>319</v>
      </c>
      <c r="P235" s="170">
        <v>3757493.57</v>
      </c>
      <c r="Q235" s="170">
        <v>0</v>
      </c>
      <c r="R235" s="170">
        <v>0</v>
      </c>
      <c r="S235" s="170">
        <f>P235-Q235-R235</f>
        <v>3757493.57</v>
      </c>
      <c r="T235" s="170">
        <f t="shared" si="22"/>
        <v>960.20994837984256</v>
      </c>
      <c r="U235" s="170">
        <v>5973.586655167127</v>
      </c>
      <c r="V235" s="202">
        <f t="shared" si="23"/>
        <v>5013.3767067872841</v>
      </c>
      <c r="W235" s="202">
        <f>X235+Y235+Z235+AA235+AB235+AD235+AF235+AH235+AJ235+AL235+AN235+AO235</f>
        <v>5973.586655167127</v>
      </c>
      <c r="X235" s="202">
        <v>0</v>
      </c>
      <c r="Y235" s="203">
        <v>0</v>
      </c>
      <c r="Z235" s="203">
        <v>0</v>
      </c>
      <c r="AA235" s="203">
        <v>0</v>
      </c>
      <c r="AB235" s="203">
        <v>0</v>
      </c>
      <c r="AC235" s="203">
        <v>0</v>
      </c>
      <c r="AD235" s="203">
        <v>0</v>
      </c>
      <c r="AE235" s="203">
        <v>0</v>
      </c>
      <c r="AF235" s="202">
        <v>0</v>
      </c>
      <c r="AG235" s="203">
        <v>0</v>
      </c>
      <c r="AH235" s="202">
        <v>0</v>
      </c>
      <c r="AI235" s="203">
        <v>2995.9</v>
      </c>
      <c r="AJ235" s="202">
        <f>7802.61*AI235/I235</f>
        <v>5973.586655167127</v>
      </c>
      <c r="AK235" s="203">
        <v>0</v>
      </c>
      <c r="AL235" s="203">
        <v>0</v>
      </c>
      <c r="AM235" s="203">
        <v>0</v>
      </c>
      <c r="AN235" s="203"/>
      <c r="AO235" s="203">
        <v>0</v>
      </c>
    </row>
    <row r="236" spans="1:41" s="176" customFormat="1" ht="36" customHeight="1" x14ac:dyDescent="0.25">
      <c r="A236" s="176">
        <v>1</v>
      </c>
      <c r="B236" s="171">
        <f>SUBTOTAL(103,$A$16:A236)</f>
        <v>217</v>
      </c>
      <c r="C236" s="172" t="s">
        <v>379</v>
      </c>
      <c r="D236" s="173">
        <v>1995</v>
      </c>
      <c r="E236" s="173">
        <v>2015</v>
      </c>
      <c r="F236" s="174" t="s">
        <v>311</v>
      </c>
      <c r="G236" s="173">
        <v>9</v>
      </c>
      <c r="H236" s="173" t="s">
        <v>351</v>
      </c>
      <c r="I236" s="170">
        <v>12180.7</v>
      </c>
      <c r="J236" s="170">
        <v>10849.3</v>
      </c>
      <c r="K236" s="170">
        <v>10849.3</v>
      </c>
      <c r="L236" s="206">
        <v>500</v>
      </c>
      <c r="M236" s="173" t="s">
        <v>265</v>
      </c>
      <c r="N236" s="173" t="s">
        <v>269</v>
      </c>
      <c r="O236" s="175" t="s">
        <v>319</v>
      </c>
      <c r="P236" s="170">
        <v>174120.8</v>
      </c>
      <c r="Q236" s="170">
        <v>0</v>
      </c>
      <c r="R236" s="170">
        <v>0</v>
      </c>
      <c r="S236" s="170">
        <f>P236-Q236-R236</f>
        <v>174120.8</v>
      </c>
      <c r="T236" s="170">
        <f t="shared" si="22"/>
        <v>14.294810643066489</v>
      </c>
      <c r="U236" s="170">
        <v>14.294810643066489</v>
      </c>
      <c r="V236" s="202">
        <f t="shared" si="23"/>
        <v>0</v>
      </c>
      <c r="W236" s="202">
        <f>T236</f>
        <v>14.294810643066489</v>
      </c>
      <c r="X236" s="202">
        <v>0</v>
      </c>
      <c r="Y236" s="203">
        <v>0</v>
      </c>
      <c r="Z236" s="203">
        <v>0</v>
      </c>
      <c r="AA236" s="203">
        <v>0</v>
      </c>
      <c r="AB236" s="203">
        <v>0</v>
      </c>
      <c r="AC236" s="203">
        <v>0</v>
      </c>
      <c r="AD236" s="203">
        <v>0</v>
      </c>
      <c r="AE236" s="203">
        <v>0</v>
      </c>
      <c r="AF236" s="202">
        <v>0</v>
      </c>
      <c r="AG236" s="203">
        <v>0</v>
      </c>
      <c r="AH236" s="202">
        <v>0</v>
      </c>
      <c r="AI236" s="203">
        <v>0</v>
      </c>
      <c r="AJ236" s="202">
        <v>0</v>
      </c>
      <c r="AK236" s="203">
        <v>0</v>
      </c>
      <c r="AL236" s="203">
        <v>0</v>
      </c>
      <c r="AM236" s="203">
        <v>0</v>
      </c>
      <c r="AN236" s="203"/>
      <c r="AO236" s="203">
        <v>0</v>
      </c>
    </row>
    <row r="237" spans="1:41" s="176" customFormat="1" ht="36" customHeight="1" x14ac:dyDescent="0.25">
      <c r="A237" s="176">
        <v>1</v>
      </c>
      <c r="B237" s="171">
        <f>SUBTOTAL(103,$A$16:A237)</f>
        <v>218</v>
      </c>
      <c r="C237" s="172" t="s">
        <v>1542</v>
      </c>
      <c r="D237" s="173">
        <v>1981</v>
      </c>
      <c r="E237" s="173">
        <v>2015</v>
      </c>
      <c r="F237" s="174" t="s">
        <v>267</v>
      </c>
      <c r="G237" s="173">
        <v>9</v>
      </c>
      <c r="H237" s="173" t="s">
        <v>308</v>
      </c>
      <c r="I237" s="170">
        <v>8863.2999999999993</v>
      </c>
      <c r="J237" s="170">
        <v>7831.5</v>
      </c>
      <c r="K237" s="170">
        <v>7831.5</v>
      </c>
      <c r="L237" s="206">
        <v>357</v>
      </c>
      <c r="M237" s="173" t="s">
        <v>265</v>
      </c>
      <c r="N237" s="173" t="s">
        <v>269</v>
      </c>
      <c r="O237" s="175" t="s">
        <v>319</v>
      </c>
      <c r="P237" s="170">
        <v>6300657.04</v>
      </c>
      <c r="Q237" s="170">
        <v>0</v>
      </c>
      <c r="R237" s="170">
        <v>0</v>
      </c>
      <c r="S237" s="170">
        <f>P237-Q237-R237</f>
        <v>6300657.04</v>
      </c>
      <c r="T237" s="170">
        <f t="shared" si="22"/>
        <v>710.87033497681455</v>
      </c>
      <c r="U237" s="170">
        <v>1109.2031184773166</v>
      </c>
      <c r="V237" s="202">
        <f t="shared" si="23"/>
        <v>398.33278350050205</v>
      </c>
      <c r="W237" s="202">
        <f>X237+Y237+Z237+AA237+AB237+AD237+AF237+AH237+AJ237+AL237+AN237+AO237</f>
        <v>795.31</v>
      </c>
      <c r="X237" s="202">
        <v>0</v>
      </c>
      <c r="Y237" s="203">
        <v>0</v>
      </c>
      <c r="Z237" s="203">
        <v>0</v>
      </c>
      <c r="AA237" s="203">
        <v>0</v>
      </c>
      <c r="AB237" s="203">
        <v>795.31</v>
      </c>
      <c r="AC237" s="203">
        <v>0</v>
      </c>
      <c r="AD237" s="203">
        <v>0</v>
      </c>
      <c r="AE237" s="203">
        <v>0</v>
      </c>
      <c r="AF237" s="202">
        <v>0</v>
      </c>
      <c r="AG237" s="203">
        <v>0</v>
      </c>
      <c r="AH237" s="202">
        <v>0</v>
      </c>
      <c r="AI237" s="203">
        <v>0</v>
      </c>
      <c r="AJ237" s="202">
        <v>0</v>
      </c>
      <c r="AK237" s="203">
        <v>0</v>
      </c>
      <c r="AL237" s="203">
        <v>0</v>
      </c>
      <c r="AM237" s="203">
        <v>0</v>
      </c>
      <c r="AN237" s="203"/>
      <c r="AO237" s="203">
        <v>0</v>
      </c>
    </row>
    <row r="238" spans="1:41" s="176" customFormat="1" ht="36" customHeight="1" x14ac:dyDescent="0.25">
      <c r="A238" s="176">
        <v>1</v>
      </c>
      <c r="B238" s="171">
        <f>SUBTOTAL(103,$A$16:A238)</f>
        <v>219</v>
      </c>
      <c r="C238" s="172" t="s">
        <v>380</v>
      </c>
      <c r="D238" s="173">
        <v>1982</v>
      </c>
      <c r="E238" s="173">
        <v>2015</v>
      </c>
      <c r="F238" s="174" t="s">
        <v>318</v>
      </c>
      <c r="G238" s="173">
        <v>9</v>
      </c>
      <c r="H238" s="173" t="s">
        <v>308</v>
      </c>
      <c r="I238" s="170">
        <v>8597.2000000000007</v>
      </c>
      <c r="J238" s="170">
        <v>7716.3</v>
      </c>
      <c r="K238" s="170">
        <v>7660.3</v>
      </c>
      <c r="L238" s="206">
        <v>370</v>
      </c>
      <c r="M238" s="173" t="s">
        <v>265</v>
      </c>
      <c r="N238" s="173" t="s">
        <v>269</v>
      </c>
      <c r="O238" s="175" t="s">
        <v>319</v>
      </c>
      <c r="P238" s="170">
        <v>120697.7</v>
      </c>
      <c r="Q238" s="170">
        <v>0</v>
      </c>
      <c r="R238" s="170">
        <v>0</v>
      </c>
      <c r="S238" s="170">
        <f>P238-R238-Q238</f>
        <v>120697.7</v>
      </c>
      <c r="T238" s="170">
        <f t="shared" si="22"/>
        <v>14.039187177220489</v>
      </c>
      <c r="U238" s="170">
        <v>14.039187177220489</v>
      </c>
      <c r="V238" s="202">
        <f t="shared" si="23"/>
        <v>0</v>
      </c>
      <c r="W238" s="202">
        <f>X238+Y238+Z238+AA238+AB238+AD238+AF238+AH238+AJ238+AL238+AN238+AO238</f>
        <v>1143.5351044526124</v>
      </c>
      <c r="X238" s="202">
        <v>0</v>
      </c>
      <c r="Y238" s="203">
        <v>0</v>
      </c>
      <c r="Z238" s="203">
        <v>0</v>
      </c>
      <c r="AA238" s="203">
        <v>0</v>
      </c>
      <c r="AB238" s="203">
        <v>0</v>
      </c>
      <c r="AC238" s="203">
        <v>4</v>
      </c>
      <c r="AD238" s="202">
        <f>2457800*AC238/I238</f>
        <v>1143.5351044526124</v>
      </c>
      <c r="AE238" s="203">
        <v>0</v>
      </c>
      <c r="AF238" s="202">
        <v>0</v>
      </c>
      <c r="AG238" s="203">
        <v>0</v>
      </c>
      <c r="AH238" s="202">
        <v>0</v>
      </c>
      <c r="AI238" s="203">
        <v>0</v>
      </c>
      <c r="AJ238" s="202">
        <v>0</v>
      </c>
      <c r="AK238" s="203">
        <v>0</v>
      </c>
      <c r="AL238" s="203">
        <v>0</v>
      </c>
      <c r="AM238" s="203">
        <v>0</v>
      </c>
      <c r="AN238" s="203"/>
      <c r="AO238" s="203">
        <v>0</v>
      </c>
    </row>
    <row r="239" spans="1:41" s="176" customFormat="1" ht="36" customHeight="1" x14ac:dyDescent="0.25">
      <c r="B239" s="172" t="s">
        <v>807</v>
      </c>
      <c r="C239" s="359"/>
      <c r="D239" s="173" t="s">
        <v>882</v>
      </c>
      <c r="E239" s="173" t="s">
        <v>882</v>
      </c>
      <c r="F239" s="173" t="s">
        <v>882</v>
      </c>
      <c r="G239" s="173" t="s">
        <v>882</v>
      </c>
      <c r="H239" s="173" t="s">
        <v>882</v>
      </c>
      <c r="I239" s="177">
        <f>SUM(I240:I265)</f>
        <v>91721.91</v>
      </c>
      <c r="J239" s="177">
        <f>SUM(J240:J265)</f>
        <v>72937.19</v>
      </c>
      <c r="K239" s="177">
        <f>SUM(K240:K265)</f>
        <v>69950.03</v>
      </c>
      <c r="L239" s="357">
        <f>SUM(L240:L265)</f>
        <v>3374</v>
      </c>
      <c r="M239" s="173" t="s">
        <v>882</v>
      </c>
      <c r="N239" s="173" t="s">
        <v>882</v>
      </c>
      <c r="O239" s="175" t="s">
        <v>882</v>
      </c>
      <c r="P239" s="177">
        <v>65365711.729999989</v>
      </c>
      <c r="Q239" s="177">
        <f>SUM(Q240:Q265)</f>
        <v>0</v>
      </c>
      <c r="R239" s="177">
        <f>SUM(R240:R265)</f>
        <v>0</v>
      </c>
      <c r="S239" s="177">
        <f>SUM(S240:S265)</f>
        <v>65365711.729999989</v>
      </c>
      <c r="T239" s="170">
        <f t="shared" si="22"/>
        <v>712.65100922996464</v>
      </c>
      <c r="U239" s="170">
        <f>MAX(U240:U265)</f>
        <v>9061.8802569960026</v>
      </c>
      <c r="V239" s="202">
        <f t="shared" si="23"/>
        <v>8349.2292477660376</v>
      </c>
      <c r="W239" s="202"/>
      <c r="X239" s="202"/>
      <c r="Y239" s="203"/>
      <c r="Z239" s="203"/>
      <c r="AA239" s="203"/>
      <c r="AB239" s="203"/>
      <c r="AC239" s="203"/>
      <c r="AD239" s="203"/>
      <c r="AE239" s="203"/>
      <c r="AF239" s="203"/>
      <c r="AG239" s="203"/>
      <c r="AH239" s="203"/>
      <c r="AI239" s="203"/>
      <c r="AJ239" s="203"/>
      <c r="AK239" s="203"/>
      <c r="AL239" s="203"/>
      <c r="AM239" s="203"/>
      <c r="AN239" s="203"/>
      <c r="AO239" s="203"/>
    </row>
    <row r="240" spans="1:41" s="176" customFormat="1" ht="36" customHeight="1" x14ac:dyDescent="0.25">
      <c r="A240" s="176">
        <v>1</v>
      </c>
      <c r="B240" s="171">
        <f>SUBTOTAL(103,$A$16:A240)</f>
        <v>220</v>
      </c>
      <c r="C240" s="172" t="s">
        <v>606</v>
      </c>
      <c r="D240" s="173">
        <v>1987</v>
      </c>
      <c r="E240" s="173"/>
      <c r="F240" s="174" t="s">
        <v>267</v>
      </c>
      <c r="G240" s="173">
        <v>10</v>
      </c>
      <c r="H240" s="173" t="s">
        <v>304</v>
      </c>
      <c r="I240" s="170">
        <v>4253.2</v>
      </c>
      <c r="J240" s="170">
        <v>3669.9</v>
      </c>
      <c r="K240" s="170">
        <v>3245.8</v>
      </c>
      <c r="L240" s="206">
        <v>147</v>
      </c>
      <c r="M240" s="173" t="s">
        <v>265</v>
      </c>
      <c r="N240" s="173" t="s">
        <v>341</v>
      </c>
      <c r="O240" s="175" t="s">
        <v>695</v>
      </c>
      <c r="P240" s="170">
        <v>3589738.75</v>
      </c>
      <c r="Q240" s="170">
        <v>0</v>
      </c>
      <c r="R240" s="170">
        <v>0</v>
      </c>
      <c r="S240" s="170">
        <f t="shared" ref="S240:S264" si="25">P240-Q240-R240</f>
        <v>3589738.75</v>
      </c>
      <c r="T240" s="170">
        <f t="shared" si="22"/>
        <v>844.0089226935014</v>
      </c>
      <c r="U240" s="170">
        <v>1251.6970751434214</v>
      </c>
      <c r="V240" s="202">
        <f t="shared" si="23"/>
        <v>407.68815244992004</v>
      </c>
      <c r="W240" s="202">
        <f t="shared" ref="W240:W265" si="26">X240+Y240+Z240+AA240+AB240+AD240+AF240+AH240+AJ240+AL240+AN240+AO240</f>
        <v>1251.6970751434214</v>
      </c>
      <c r="X240" s="202">
        <v>0</v>
      </c>
      <c r="Y240" s="203">
        <v>0</v>
      </c>
      <c r="Z240" s="203">
        <v>0</v>
      </c>
      <c r="AA240" s="203">
        <v>0</v>
      </c>
      <c r="AB240" s="203">
        <v>0</v>
      </c>
      <c r="AC240" s="203">
        <v>2</v>
      </c>
      <c r="AD240" s="202">
        <f>2661859*AC240/I240</f>
        <v>1251.6970751434214</v>
      </c>
      <c r="AE240" s="203">
        <v>0</v>
      </c>
      <c r="AF240" s="202">
        <v>0</v>
      </c>
      <c r="AG240" s="203">
        <v>0</v>
      </c>
      <c r="AH240" s="202">
        <v>0</v>
      </c>
      <c r="AI240" s="203">
        <v>0</v>
      </c>
      <c r="AJ240" s="202">
        <v>0</v>
      </c>
      <c r="AK240" s="203">
        <v>0</v>
      </c>
      <c r="AL240" s="203">
        <v>0</v>
      </c>
      <c r="AM240" s="203">
        <v>0</v>
      </c>
      <c r="AN240" s="203"/>
      <c r="AO240" s="203">
        <v>0</v>
      </c>
    </row>
    <row r="241" spans="1:41" s="176" customFormat="1" ht="36" customHeight="1" x14ac:dyDescent="0.25">
      <c r="A241" s="176">
        <v>1</v>
      </c>
      <c r="B241" s="171">
        <f>SUBTOTAL(103,$A$16:A241)</f>
        <v>221</v>
      </c>
      <c r="C241" s="172" t="s">
        <v>610</v>
      </c>
      <c r="D241" s="173">
        <v>1967</v>
      </c>
      <c r="E241" s="173"/>
      <c r="F241" s="174" t="s">
        <v>267</v>
      </c>
      <c r="G241" s="173">
        <v>5</v>
      </c>
      <c r="H241" s="173" t="s">
        <v>308</v>
      </c>
      <c r="I241" s="170">
        <v>3578.24</v>
      </c>
      <c r="J241" s="170">
        <v>3300</v>
      </c>
      <c r="K241" s="170">
        <v>3012.01</v>
      </c>
      <c r="L241" s="206">
        <v>117</v>
      </c>
      <c r="M241" s="173" t="s">
        <v>265</v>
      </c>
      <c r="N241" s="173" t="s">
        <v>269</v>
      </c>
      <c r="O241" s="175" t="s">
        <v>696</v>
      </c>
      <c r="P241" s="170">
        <v>130936.07</v>
      </c>
      <c r="Q241" s="170">
        <v>0</v>
      </c>
      <c r="R241" s="170">
        <v>0</v>
      </c>
      <c r="S241" s="170">
        <f t="shared" si="25"/>
        <v>130936.07</v>
      </c>
      <c r="T241" s="170">
        <f t="shared" si="22"/>
        <v>36.592310744947241</v>
      </c>
      <c r="U241" s="170">
        <v>36.592310744947241</v>
      </c>
      <c r="V241" s="202">
        <f t="shared" si="23"/>
        <v>0</v>
      </c>
      <c r="W241" s="202">
        <f t="shared" si="26"/>
        <v>1883.4686992487927</v>
      </c>
      <c r="X241" s="202">
        <v>0</v>
      </c>
      <c r="Y241" s="203">
        <v>0</v>
      </c>
      <c r="Z241" s="203">
        <v>0</v>
      </c>
      <c r="AA241" s="203">
        <v>0</v>
      </c>
      <c r="AB241" s="203">
        <v>0</v>
      </c>
      <c r="AC241" s="203">
        <v>0</v>
      </c>
      <c r="AD241" s="203">
        <v>0</v>
      </c>
      <c r="AE241" s="203">
        <v>0</v>
      </c>
      <c r="AF241" s="202">
        <v>0</v>
      </c>
      <c r="AG241" s="203">
        <v>0</v>
      </c>
      <c r="AH241" s="202">
        <v>0</v>
      </c>
      <c r="AI241" s="203">
        <v>0</v>
      </c>
      <c r="AJ241" s="202">
        <v>0</v>
      </c>
      <c r="AK241" s="203">
        <v>0</v>
      </c>
      <c r="AL241" s="203">
        <v>0</v>
      </c>
      <c r="AM241" s="203">
        <v>964.92</v>
      </c>
      <c r="AN241" s="203">
        <f>6984.52*AM241/I241</f>
        <v>1883.4686992487927</v>
      </c>
      <c r="AO241" s="203">
        <v>0</v>
      </c>
    </row>
    <row r="242" spans="1:41" s="176" customFormat="1" ht="36" customHeight="1" x14ac:dyDescent="0.25">
      <c r="A242" s="176">
        <v>1</v>
      </c>
      <c r="B242" s="171">
        <f>SUBTOTAL(103,$A$16:A242)</f>
        <v>222</v>
      </c>
      <c r="C242" s="172" t="s">
        <v>611</v>
      </c>
      <c r="D242" s="173">
        <v>1965</v>
      </c>
      <c r="E242" s="173"/>
      <c r="F242" s="174" t="s">
        <v>267</v>
      </c>
      <c r="G242" s="173">
        <v>5</v>
      </c>
      <c r="H242" s="173" t="s">
        <v>303</v>
      </c>
      <c r="I242" s="170">
        <v>4985.66</v>
      </c>
      <c r="J242" s="170">
        <v>2392.1999999999998</v>
      </c>
      <c r="K242" s="170">
        <v>2300.6</v>
      </c>
      <c r="L242" s="206">
        <v>185</v>
      </c>
      <c r="M242" s="173" t="s">
        <v>265</v>
      </c>
      <c r="N242" s="173" t="s">
        <v>269</v>
      </c>
      <c r="O242" s="175" t="s">
        <v>697</v>
      </c>
      <c r="P242" s="170">
        <v>143632.79</v>
      </c>
      <c r="Q242" s="170">
        <v>0</v>
      </c>
      <c r="R242" s="170">
        <v>0</v>
      </c>
      <c r="S242" s="170">
        <f t="shared" si="25"/>
        <v>143632.79</v>
      </c>
      <c r="T242" s="170">
        <f t="shared" si="22"/>
        <v>28.809182736087099</v>
      </c>
      <c r="U242" s="170">
        <v>28.809182736087099</v>
      </c>
      <c r="V242" s="202">
        <f t="shared" si="23"/>
        <v>0</v>
      </c>
      <c r="W242" s="202">
        <f>T242</f>
        <v>28.809182736087099</v>
      </c>
      <c r="X242" s="202">
        <v>0</v>
      </c>
      <c r="Y242" s="203">
        <v>0</v>
      </c>
      <c r="Z242" s="203">
        <v>0</v>
      </c>
      <c r="AA242" s="203">
        <v>0</v>
      </c>
      <c r="AB242" s="203">
        <v>0</v>
      </c>
      <c r="AC242" s="203">
        <v>0</v>
      </c>
      <c r="AD242" s="203">
        <v>0</v>
      </c>
      <c r="AE242" s="203">
        <v>0</v>
      </c>
      <c r="AF242" s="202">
        <v>0</v>
      </c>
      <c r="AG242" s="203">
        <v>0</v>
      </c>
      <c r="AH242" s="202">
        <v>0</v>
      </c>
      <c r="AI242" s="203">
        <v>0</v>
      </c>
      <c r="AJ242" s="202">
        <v>0</v>
      </c>
      <c r="AK242" s="203">
        <v>0</v>
      </c>
      <c r="AL242" s="203">
        <v>0</v>
      </c>
      <c r="AM242" s="203">
        <v>0</v>
      </c>
      <c r="AN242" s="203"/>
      <c r="AO242" s="203">
        <v>0</v>
      </c>
    </row>
    <row r="243" spans="1:41" s="176" customFormat="1" ht="36" customHeight="1" x14ac:dyDescent="0.25">
      <c r="A243" s="176">
        <v>1</v>
      </c>
      <c r="B243" s="171">
        <f>SUBTOTAL(103,$A$16:A243)</f>
        <v>223</v>
      </c>
      <c r="C243" s="172" t="s">
        <v>614</v>
      </c>
      <c r="D243" s="173">
        <v>1993</v>
      </c>
      <c r="E243" s="173"/>
      <c r="F243" s="174" t="s">
        <v>311</v>
      </c>
      <c r="G243" s="173">
        <v>9</v>
      </c>
      <c r="H243" s="173" t="s">
        <v>303</v>
      </c>
      <c r="I243" s="170">
        <v>5060.3</v>
      </c>
      <c r="J243" s="170">
        <v>5060.3</v>
      </c>
      <c r="K243" s="170">
        <v>5060.3</v>
      </c>
      <c r="L243" s="206">
        <v>206</v>
      </c>
      <c r="M243" s="173" t="s">
        <v>265</v>
      </c>
      <c r="N243" s="173" t="s">
        <v>269</v>
      </c>
      <c r="O243" s="175" t="s">
        <v>698</v>
      </c>
      <c r="P243" s="170">
        <v>3407945.42</v>
      </c>
      <c r="Q243" s="170">
        <v>0</v>
      </c>
      <c r="R243" s="170">
        <v>0</v>
      </c>
      <c r="S243" s="170">
        <f t="shared" si="25"/>
        <v>3407945.42</v>
      </c>
      <c r="T243" s="170">
        <f t="shared" si="22"/>
        <v>673.46707112226545</v>
      </c>
      <c r="U243" s="170">
        <v>971.40485741952057</v>
      </c>
      <c r="V243" s="202">
        <f t="shared" si="23"/>
        <v>297.93778629725512</v>
      </c>
      <c r="W243" s="202">
        <f t="shared" si="26"/>
        <v>971.40485741952057</v>
      </c>
      <c r="X243" s="202">
        <v>0</v>
      </c>
      <c r="Y243" s="203">
        <v>0</v>
      </c>
      <c r="Z243" s="203">
        <v>0</v>
      </c>
      <c r="AA243" s="203">
        <v>0</v>
      </c>
      <c r="AB243" s="203">
        <v>0</v>
      </c>
      <c r="AC243" s="203">
        <v>2</v>
      </c>
      <c r="AD243" s="202">
        <f>2457800*AC243/I243</f>
        <v>971.40485741952057</v>
      </c>
      <c r="AE243" s="203">
        <v>0</v>
      </c>
      <c r="AF243" s="202">
        <v>0</v>
      </c>
      <c r="AG243" s="203">
        <v>0</v>
      </c>
      <c r="AH243" s="202">
        <v>0</v>
      </c>
      <c r="AI243" s="203">
        <v>0</v>
      </c>
      <c r="AJ243" s="202">
        <v>0</v>
      </c>
      <c r="AK243" s="203">
        <v>0</v>
      </c>
      <c r="AL243" s="203">
        <v>0</v>
      </c>
      <c r="AM243" s="203">
        <v>0</v>
      </c>
      <c r="AN243" s="203"/>
      <c r="AO243" s="203">
        <v>0</v>
      </c>
    </row>
    <row r="244" spans="1:41" s="176" customFormat="1" ht="36" customHeight="1" x14ac:dyDescent="0.25">
      <c r="A244" s="176">
        <v>1</v>
      </c>
      <c r="B244" s="171">
        <f>SUBTOTAL(103,$A$16:A244)</f>
        <v>224</v>
      </c>
      <c r="C244" s="172" t="s">
        <v>616</v>
      </c>
      <c r="D244" s="173">
        <v>1959</v>
      </c>
      <c r="E244" s="173"/>
      <c r="F244" s="174" t="s">
        <v>267</v>
      </c>
      <c r="G244" s="173">
        <v>2</v>
      </c>
      <c r="H244" s="173" t="s">
        <v>303</v>
      </c>
      <c r="I244" s="170">
        <v>608.20000000000005</v>
      </c>
      <c r="J244" s="170">
        <v>564.4</v>
      </c>
      <c r="K244" s="170">
        <v>525.79999999999995</v>
      </c>
      <c r="L244" s="206">
        <v>29</v>
      </c>
      <c r="M244" s="173" t="s">
        <v>265</v>
      </c>
      <c r="N244" s="173" t="s">
        <v>269</v>
      </c>
      <c r="O244" s="175" t="s">
        <v>696</v>
      </c>
      <c r="P244" s="170">
        <v>1860691.51</v>
      </c>
      <c r="Q244" s="170">
        <v>0</v>
      </c>
      <c r="R244" s="170">
        <v>0</v>
      </c>
      <c r="S244" s="170">
        <f t="shared" si="25"/>
        <v>1860691.51</v>
      </c>
      <c r="T244" s="170">
        <f t="shared" si="22"/>
        <v>3059.3415159487008</v>
      </c>
      <c r="U244" s="170">
        <v>5349.9671160802363</v>
      </c>
      <c r="V244" s="202">
        <f t="shared" si="23"/>
        <v>2290.6256001315355</v>
      </c>
      <c r="W244" s="202">
        <f t="shared" si="26"/>
        <v>5128.9953962512327</v>
      </c>
      <c r="X244" s="202">
        <v>0</v>
      </c>
      <c r="Y244" s="203">
        <v>0</v>
      </c>
      <c r="Z244" s="203">
        <v>0</v>
      </c>
      <c r="AA244" s="203">
        <v>0</v>
      </c>
      <c r="AB244" s="203">
        <v>0</v>
      </c>
      <c r="AC244" s="203">
        <v>0</v>
      </c>
      <c r="AD244" s="203">
        <v>0</v>
      </c>
      <c r="AE244" s="203">
        <v>500</v>
      </c>
      <c r="AF244" s="202">
        <f>6238.91*AE244/I244</f>
        <v>5128.9953962512327</v>
      </c>
      <c r="AG244" s="203">
        <v>0</v>
      </c>
      <c r="AH244" s="202">
        <v>0</v>
      </c>
      <c r="AI244" s="203">
        <v>0</v>
      </c>
      <c r="AJ244" s="202">
        <v>0</v>
      </c>
      <c r="AK244" s="203">
        <v>0</v>
      </c>
      <c r="AL244" s="203">
        <v>0</v>
      </c>
      <c r="AM244" s="203">
        <v>0</v>
      </c>
      <c r="AN244" s="203"/>
      <c r="AO244" s="203">
        <v>0</v>
      </c>
    </row>
    <row r="245" spans="1:41" s="176" customFormat="1" ht="36" customHeight="1" x14ac:dyDescent="0.25">
      <c r="A245" s="176">
        <v>1</v>
      </c>
      <c r="B245" s="171">
        <f>SUBTOTAL(103,$A$16:A245)</f>
        <v>225</v>
      </c>
      <c r="C245" s="172" t="s">
        <v>619</v>
      </c>
      <c r="D245" s="173">
        <v>1965</v>
      </c>
      <c r="E245" s="173"/>
      <c r="F245" s="174" t="s">
        <v>267</v>
      </c>
      <c r="G245" s="173">
        <v>5</v>
      </c>
      <c r="H245" s="173" t="s">
        <v>303</v>
      </c>
      <c r="I245" s="170">
        <v>2026.2</v>
      </c>
      <c r="J245" s="170">
        <v>1684.6</v>
      </c>
      <c r="K245" s="170">
        <v>1684.6</v>
      </c>
      <c r="L245" s="206">
        <v>76</v>
      </c>
      <c r="M245" s="173" t="s">
        <v>265</v>
      </c>
      <c r="N245" s="173" t="s">
        <v>269</v>
      </c>
      <c r="O245" s="175" t="s">
        <v>698</v>
      </c>
      <c r="P245" s="170">
        <v>2404378.48</v>
      </c>
      <c r="Q245" s="170">
        <v>0</v>
      </c>
      <c r="R245" s="170">
        <v>0</v>
      </c>
      <c r="S245" s="170">
        <f t="shared" si="25"/>
        <v>2404378.48</v>
      </c>
      <c r="T245" s="170">
        <f t="shared" si="22"/>
        <v>1186.6442009673281</v>
      </c>
      <c r="U245" s="170">
        <v>1739.4977396110946</v>
      </c>
      <c r="V245" s="202">
        <f t="shared" si="23"/>
        <v>552.85353864376657</v>
      </c>
      <c r="W245" s="202">
        <f t="shared" si="26"/>
        <v>1667.6506050735366</v>
      </c>
      <c r="X245" s="202">
        <v>0</v>
      </c>
      <c r="Y245" s="203">
        <v>0</v>
      </c>
      <c r="Z245" s="203">
        <v>0</v>
      </c>
      <c r="AA245" s="203">
        <v>0</v>
      </c>
      <c r="AB245" s="203">
        <v>0</v>
      </c>
      <c r="AC245" s="203">
        <v>0</v>
      </c>
      <c r="AD245" s="203">
        <v>0</v>
      </c>
      <c r="AE245" s="203">
        <v>541.6</v>
      </c>
      <c r="AF245" s="202">
        <f>6238.91*AE245/I245</f>
        <v>1667.6506050735366</v>
      </c>
      <c r="AG245" s="203">
        <v>0</v>
      </c>
      <c r="AH245" s="202">
        <v>0</v>
      </c>
      <c r="AI245" s="203">
        <v>0</v>
      </c>
      <c r="AJ245" s="202">
        <v>0</v>
      </c>
      <c r="AK245" s="203">
        <v>0</v>
      </c>
      <c r="AL245" s="203">
        <v>0</v>
      </c>
      <c r="AM245" s="203">
        <v>0</v>
      </c>
      <c r="AN245" s="203"/>
      <c r="AO245" s="203">
        <v>0</v>
      </c>
    </row>
    <row r="246" spans="1:41" s="176" customFormat="1" ht="36" customHeight="1" x14ac:dyDescent="0.25">
      <c r="A246" s="176">
        <v>1</v>
      </c>
      <c r="B246" s="171">
        <f>SUBTOTAL(103,$A$16:A246)</f>
        <v>226</v>
      </c>
      <c r="C246" s="172" t="s">
        <v>620</v>
      </c>
      <c r="D246" s="173">
        <v>1963</v>
      </c>
      <c r="E246" s="173"/>
      <c r="F246" s="174" t="s">
        <v>267</v>
      </c>
      <c r="G246" s="173">
        <v>2</v>
      </c>
      <c r="H246" s="173" t="s">
        <v>303</v>
      </c>
      <c r="I246" s="170">
        <v>429.2</v>
      </c>
      <c r="J246" s="170">
        <v>389</v>
      </c>
      <c r="K246" s="170">
        <v>389</v>
      </c>
      <c r="L246" s="206">
        <v>13</v>
      </c>
      <c r="M246" s="173" t="s">
        <v>265</v>
      </c>
      <c r="N246" s="173" t="s">
        <v>269</v>
      </c>
      <c r="O246" s="175" t="s">
        <v>699</v>
      </c>
      <c r="P246" s="170">
        <v>1323171.2200000002</v>
      </c>
      <c r="Q246" s="170">
        <v>0</v>
      </c>
      <c r="R246" s="170">
        <v>0</v>
      </c>
      <c r="S246" s="170">
        <f t="shared" si="25"/>
        <v>1323171.2200000002</v>
      </c>
      <c r="T246" s="170">
        <f t="shared" si="22"/>
        <v>3082.8779589934766</v>
      </c>
      <c r="U246" s="170">
        <v>5931.52898415657</v>
      </c>
      <c r="V246" s="202">
        <f t="shared" si="23"/>
        <v>2848.6510251630934</v>
      </c>
      <c r="W246" s="202">
        <f t="shared" si="26"/>
        <v>5686.5367940354145</v>
      </c>
      <c r="X246" s="202">
        <v>0</v>
      </c>
      <c r="Y246" s="203">
        <v>0</v>
      </c>
      <c r="Z246" s="203">
        <v>0</v>
      </c>
      <c r="AA246" s="203">
        <v>0</v>
      </c>
      <c r="AB246" s="203">
        <v>0</v>
      </c>
      <c r="AC246" s="203">
        <v>0</v>
      </c>
      <c r="AD246" s="203">
        <v>0</v>
      </c>
      <c r="AE246" s="203">
        <v>391.2</v>
      </c>
      <c r="AF246" s="202">
        <f>6238.91*AE246/I246</f>
        <v>5686.5367940354145</v>
      </c>
      <c r="AG246" s="203">
        <v>0</v>
      </c>
      <c r="AH246" s="202">
        <v>0</v>
      </c>
      <c r="AI246" s="203">
        <v>0</v>
      </c>
      <c r="AJ246" s="202">
        <v>0</v>
      </c>
      <c r="AK246" s="203">
        <v>0</v>
      </c>
      <c r="AL246" s="203">
        <v>0</v>
      </c>
      <c r="AM246" s="203">
        <v>0</v>
      </c>
      <c r="AN246" s="203"/>
      <c r="AO246" s="203">
        <v>0</v>
      </c>
    </row>
    <row r="247" spans="1:41" s="176" customFormat="1" ht="36" customHeight="1" x14ac:dyDescent="0.25">
      <c r="A247" s="176">
        <v>1</v>
      </c>
      <c r="B247" s="171">
        <f>SUBTOTAL(103,$A$16:A247)</f>
        <v>227</v>
      </c>
      <c r="C247" s="172" t="s">
        <v>621</v>
      </c>
      <c r="D247" s="173">
        <v>1987</v>
      </c>
      <c r="E247" s="173"/>
      <c r="F247" s="174" t="s">
        <v>267</v>
      </c>
      <c r="G247" s="173">
        <v>9</v>
      </c>
      <c r="H247" s="173" t="s">
        <v>303</v>
      </c>
      <c r="I247" s="170">
        <v>7472.7</v>
      </c>
      <c r="J247" s="170">
        <v>3451.84</v>
      </c>
      <c r="K247" s="170">
        <v>3451.84</v>
      </c>
      <c r="L247" s="206">
        <v>160</v>
      </c>
      <c r="M247" s="173" t="s">
        <v>265</v>
      </c>
      <c r="N247" s="173" t="s">
        <v>283</v>
      </c>
      <c r="O247" s="175" t="s">
        <v>268</v>
      </c>
      <c r="P247" s="170">
        <v>1623216.35</v>
      </c>
      <c r="Q247" s="170">
        <v>0</v>
      </c>
      <c r="R247" s="170">
        <v>0</v>
      </c>
      <c r="S247" s="170">
        <f t="shared" si="25"/>
        <v>1623216.35</v>
      </c>
      <c r="T247" s="170">
        <f t="shared" si="22"/>
        <v>217.2195257403616</v>
      </c>
      <c r="U247" s="170">
        <v>328.90387677813908</v>
      </c>
      <c r="V247" s="202">
        <f t="shared" si="23"/>
        <v>111.68435103777747</v>
      </c>
      <c r="W247" s="202">
        <f t="shared" si="26"/>
        <v>328.90387677813908</v>
      </c>
      <c r="X247" s="202">
        <v>0</v>
      </c>
      <c r="Y247" s="203">
        <v>0</v>
      </c>
      <c r="Z247" s="203">
        <v>0</v>
      </c>
      <c r="AA247" s="203">
        <v>0</v>
      </c>
      <c r="AB247" s="203">
        <v>0</v>
      </c>
      <c r="AC247" s="203">
        <v>1</v>
      </c>
      <c r="AD247" s="202">
        <f>2457800*AC247/I247</f>
        <v>328.90387677813908</v>
      </c>
      <c r="AE247" s="203">
        <v>0</v>
      </c>
      <c r="AF247" s="202">
        <v>0</v>
      </c>
      <c r="AG247" s="203">
        <v>0</v>
      </c>
      <c r="AH247" s="202">
        <v>0</v>
      </c>
      <c r="AI247" s="203">
        <v>0</v>
      </c>
      <c r="AJ247" s="202">
        <v>0</v>
      </c>
      <c r="AK247" s="203">
        <v>0</v>
      </c>
      <c r="AL247" s="203">
        <v>0</v>
      </c>
      <c r="AM247" s="203">
        <v>0</v>
      </c>
      <c r="AN247" s="203"/>
      <c r="AO247" s="203">
        <v>0</v>
      </c>
    </row>
    <row r="248" spans="1:41" s="176" customFormat="1" ht="36" customHeight="1" x14ac:dyDescent="0.25">
      <c r="A248" s="176">
        <v>1</v>
      </c>
      <c r="B248" s="171">
        <f>SUBTOTAL(103,$A$16:A248)</f>
        <v>228</v>
      </c>
      <c r="C248" s="172" t="s">
        <v>623</v>
      </c>
      <c r="D248" s="173">
        <v>1917</v>
      </c>
      <c r="E248" s="173"/>
      <c r="F248" s="174" t="s">
        <v>267</v>
      </c>
      <c r="G248" s="173">
        <v>2</v>
      </c>
      <c r="H248" s="173" t="s">
        <v>304</v>
      </c>
      <c r="I248" s="170">
        <v>237.3</v>
      </c>
      <c r="J248" s="170">
        <v>207.2</v>
      </c>
      <c r="K248" s="170">
        <v>207.2</v>
      </c>
      <c r="L248" s="206">
        <v>13</v>
      </c>
      <c r="M248" s="173" t="s">
        <v>265</v>
      </c>
      <c r="N248" s="173" t="s">
        <v>266</v>
      </c>
      <c r="O248" s="175" t="s">
        <v>268</v>
      </c>
      <c r="P248" s="170">
        <v>833755.4800000001</v>
      </c>
      <c r="Q248" s="170">
        <v>0</v>
      </c>
      <c r="R248" s="170">
        <v>0</v>
      </c>
      <c r="S248" s="170">
        <f t="shared" si="25"/>
        <v>833755.4800000001</v>
      </c>
      <c r="T248" s="170">
        <f t="shared" si="22"/>
        <v>3513.5081331647707</v>
      </c>
      <c r="U248" s="170">
        <v>5920.8277707543193</v>
      </c>
      <c r="V248" s="202">
        <f t="shared" si="23"/>
        <v>2407.3196375895486</v>
      </c>
      <c r="W248" s="202">
        <f t="shared" si="26"/>
        <v>6309.8963337547402</v>
      </c>
      <c r="X248" s="202">
        <v>0</v>
      </c>
      <c r="Y248" s="203">
        <v>0</v>
      </c>
      <c r="Z248" s="203">
        <v>0</v>
      </c>
      <c r="AA248" s="203">
        <v>0</v>
      </c>
      <c r="AB248" s="203">
        <v>0</v>
      </c>
      <c r="AC248" s="203">
        <v>0</v>
      </c>
      <c r="AD248" s="203">
        <v>0</v>
      </c>
      <c r="AE248" s="203">
        <v>240</v>
      </c>
      <c r="AF248" s="202">
        <f t="shared" ref="AF248:AF253" si="27">6238.91*AE248/I248</f>
        <v>6309.8963337547402</v>
      </c>
      <c r="AG248" s="203">
        <v>0</v>
      </c>
      <c r="AH248" s="202">
        <v>0</v>
      </c>
      <c r="AI248" s="203">
        <v>0</v>
      </c>
      <c r="AJ248" s="202">
        <v>0</v>
      </c>
      <c r="AK248" s="203">
        <v>0</v>
      </c>
      <c r="AL248" s="203">
        <v>0</v>
      </c>
      <c r="AM248" s="203">
        <v>0</v>
      </c>
      <c r="AN248" s="203"/>
      <c r="AO248" s="203">
        <v>0</v>
      </c>
    </row>
    <row r="249" spans="1:41" s="176" customFormat="1" ht="36" customHeight="1" x14ac:dyDescent="0.25">
      <c r="A249" s="176">
        <v>1</v>
      </c>
      <c r="B249" s="171">
        <f>SUBTOTAL(103,$A$16:A249)</f>
        <v>229</v>
      </c>
      <c r="C249" s="172" t="s">
        <v>627</v>
      </c>
      <c r="D249" s="173">
        <v>1972</v>
      </c>
      <c r="E249" s="173"/>
      <c r="F249" s="174" t="s">
        <v>267</v>
      </c>
      <c r="G249" s="173">
        <v>5</v>
      </c>
      <c r="H249" s="173" t="s">
        <v>304</v>
      </c>
      <c r="I249" s="170">
        <v>1651.99</v>
      </c>
      <c r="J249" s="170">
        <v>1219.19</v>
      </c>
      <c r="K249" s="170">
        <v>1219.19</v>
      </c>
      <c r="L249" s="206">
        <v>231</v>
      </c>
      <c r="M249" s="173" t="s">
        <v>265</v>
      </c>
      <c r="N249" s="173" t="s">
        <v>341</v>
      </c>
      <c r="O249" s="175" t="s">
        <v>700</v>
      </c>
      <c r="P249" s="170">
        <v>1500690.63</v>
      </c>
      <c r="Q249" s="170">
        <v>0</v>
      </c>
      <c r="R249" s="170">
        <v>0</v>
      </c>
      <c r="S249" s="170">
        <f t="shared" si="25"/>
        <v>1500690.63</v>
      </c>
      <c r="T249" s="170">
        <f t="shared" si="22"/>
        <v>908.41387054401048</v>
      </c>
      <c r="U249" s="170">
        <v>2225.709901391655</v>
      </c>
      <c r="V249" s="202">
        <f t="shared" si="23"/>
        <v>1317.2960308476445</v>
      </c>
      <c r="W249" s="202">
        <f t="shared" si="26"/>
        <v>2126.6050163741911</v>
      </c>
      <c r="X249" s="202">
        <v>0</v>
      </c>
      <c r="Y249" s="203">
        <v>0</v>
      </c>
      <c r="Z249" s="203">
        <v>0</v>
      </c>
      <c r="AA249" s="203">
        <v>0</v>
      </c>
      <c r="AB249" s="203">
        <v>0</v>
      </c>
      <c r="AC249" s="203">
        <v>0</v>
      </c>
      <c r="AD249" s="203">
        <v>0</v>
      </c>
      <c r="AE249" s="203">
        <v>563.1</v>
      </c>
      <c r="AF249" s="202">
        <f t="shared" si="27"/>
        <v>2126.6050163741911</v>
      </c>
      <c r="AG249" s="203">
        <v>0</v>
      </c>
      <c r="AH249" s="202">
        <v>0</v>
      </c>
      <c r="AI249" s="203">
        <v>0</v>
      </c>
      <c r="AJ249" s="202">
        <v>0</v>
      </c>
      <c r="AK249" s="203">
        <v>0</v>
      </c>
      <c r="AL249" s="203">
        <v>0</v>
      </c>
      <c r="AM249" s="203">
        <v>0</v>
      </c>
      <c r="AN249" s="203"/>
      <c r="AO249" s="203">
        <v>0</v>
      </c>
    </row>
    <row r="250" spans="1:41" s="176" customFormat="1" ht="36" customHeight="1" x14ac:dyDescent="0.25">
      <c r="A250" s="176">
        <v>1</v>
      </c>
      <c r="B250" s="171">
        <f>SUBTOTAL(103,$A$16:A250)</f>
        <v>230</v>
      </c>
      <c r="C250" s="172" t="s">
        <v>1080</v>
      </c>
      <c r="D250" s="173">
        <v>1965</v>
      </c>
      <c r="E250" s="173"/>
      <c r="F250" s="174" t="s">
        <v>267</v>
      </c>
      <c r="G250" s="173">
        <v>5</v>
      </c>
      <c r="H250" s="173" t="s">
        <v>308</v>
      </c>
      <c r="I250" s="170">
        <v>3471.4</v>
      </c>
      <c r="J250" s="170">
        <v>3417.4</v>
      </c>
      <c r="K250" s="170">
        <v>3417.4</v>
      </c>
      <c r="L250" s="206">
        <v>208</v>
      </c>
      <c r="M250" s="173" t="s">
        <v>265</v>
      </c>
      <c r="N250" s="173" t="s">
        <v>269</v>
      </c>
      <c r="O250" s="175" t="s">
        <v>698</v>
      </c>
      <c r="P250" s="170">
        <v>4876210.959999999</v>
      </c>
      <c r="Q250" s="170">
        <v>0</v>
      </c>
      <c r="R250" s="170">
        <v>0</v>
      </c>
      <c r="S250" s="170">
        <f t="shared" si="25"/>
        <v>4876210.959999999</v>
      </c>
      <c r="T250" s="170">
        <f t="shared" si="22"/>
        <v>1404.6813850319752</v>
      </c>
      <c r="U250" s="170">
        <v>2049.0050411937546</v>
      </c>
      <c r="V250" s="202">
        <f t="shared" si="23"/>
        <v>644.32365616177935</v>
      </c>
      <c r="W250" s="202">
        <f t="shared" si="26"/>
        <v>1926.4526211326843</v>
      </c>
      <c r="X250" s="202">
        <v>0</v>
      </c>
      <c r="Y250" s="203">
        <v>0</v>
      </c>
      <c r="Z250" s="203">
        <v>0</v>
      </c>
      <c r="AA250" s="203">
        <v>0</v>
      </c>
      <c r="AB250" s="203">
        <v>0</v>
      </c>
      <c r="AC250" s="203">
        <v>0</v>
      </c>
      <c r="AD250" s="203">
        <v>0</v>
      </c>
      <c r="AE250" s="203">
        <v>1071.9000000000001</v>
      </c>
      <c r="AF250" s="202">
        <f t="shared" si="27"/>
        <v>1926.4526211326843</v>
      </c>
      <c r="AG250" s="203">
        <v>0</v>
      </c>
      <c r="AH250" s="202">
        <v>0</v>
      </c>
      <c r="AI250" s="203">
        <v>0</v>
      </c>
      <c r="AJ250" s="202">
        <v>0</v>
      </c>
      <c r="AK250" s="203">
        <v>0</v>
      </c>
      <c r="AL250" s="203">
        <v>0</v>
      </c>
      <c r="AM250" s="203">
        <v>0</v>
      </c>
      <c r="AN250" s="203"/>
      <c r="AO250" s="203">
        <v>0</v>
      </c>
    </row>
    <row r="251" spans="1:41" s="176" customFormat="1" ht="36" customHeight="1" x14ac:dyDescent="0.25">
      <c r="A251" s="176">
        <v>1</v>
      </c>
      <c r="B251" s="171">
        <f>SUBTOTAL(103,$A$16:A251)</f>
        <v>231</v>
      </c>
      <c r="C251" s="172" t="s">
        <v>1166</v>
      </c>
      <c r="D251" s="173" t="s">
        <v>1302</v>
      </c>
      <c r="E251" s="173"/>
      <c r="F251" s="174" t="s">
        <v>311</v>
      </c>
      <c r="G251" s="173" t="s">
        <v>357</v>
      </c>
      <c r="H251" s="173" t="s">
        <v>303</v>
      </c>
      <c r="I251" s="170">
        <v>4238.3</v>
      </c>
      <c r="J251" s="170">
        <v>4238.3</v>
      </c>
      <c r="K251" s="170">
        <v>4238.3</v>
      </c>
      <c r="L251" s="206">
        <v>187</v>
      </c>
      <c r="M251" s="173" t="s">
        <v>265</v>
      </c>
      <c r="N251" s="173" t="s">
        <v>269</v>
      </c>
      <c r="O251" s="175" t="s">
        <v>1303</v>
      </c>
      <c r="P251" s="170">
        <v>978702.2</v>
      </c>
      <c r="Q251" s="170">
        <v>0</v>
      </c>
      <c r="R251" s="170">
        <v>0</v>
      </c>
      <c r="S251" s="170">
        <f t="shared" si="25"/>
        <v>978702.2</v>
      </c>
      <c r="T251" s="170">
        <f t="shared" si="22"/>
        <v>230.91857584408842</v>
      </c>
      <c r="U251" s="170">
        <v>829.91101384989258</v>
      </c>
      <c r="V251" s="202">
        <f t="shared" si="23"/>
        <v>598.99243800580416</v>
      </c>
      <c r="W251" s="202">
        <f t="shared" si="26"/>
        <v>795.63288464714617</v>
      </c>
      <c r="X251" s="202">
        <v>0</v>
      </c>
      <c r="Y251" s="203">
        <v>0</v>
      </c>
      <c r="Z251" s="203">
        <v>0</v>
      </c>
      <c r="AA251" s="203">
        <v>0</v>
      </c>
      <c r="AB251" s="203">
        <v>0</v>
      </c>
      <c r="AC251" s="203">
        <v>0</v>
      </c>
      <c r="AD251" s="203">
        <v>0</v>
      </c>
      <c r="AE251" s="203">
        <v>540.5</v>
      </c>
      <c r="AF251" s="202">
        <f t="shared" si="27"/>
        <v>795.63288464714617</v>
      </c>
      <c r="AG251" s="203">
        <v>0</v>
      </c>
      <c r="AH251" s="202">
        <v>0</v>
      </c>
      <c r="AI251" s="203">
        <v>0</v>
      </c>
      <c r="AJ251" s="202">
        <v>0</v>
      </c>
      <c r="AK251" s="203">
        <v>0</v>
      </c>
      <c r="AL251" s="203">
        <v>0</v>
      </c>
      <c r="AM251" s="203">
        <v>0</v>
      </c>
      <c r="AN251" s="203"/>
      <c r="AO251" s="203">
        <v>0</v>
      </c>
    </row>
    <row r="252" spans="1:41" s="176" customFormat="1" ht="36" customHeight="1" x14ac:dyDescent="0.25">
      <c r="A252" s="176">
        <v>1</v>
      </c>
      <c r="B252" s="171">
        <f>SUBTOTAL(103,$A$16:A252)</f>
        <v>232</v>
      </c>
      <c r="C252" s="172" t="s">
        <v>1167</v>
      </c>
      <c r="D252" s="173" t="s">
        <v>309</v>
      </c>
      <c r="E252" s="173"/>
      <c r="F252" s="174" t="s">
        <v>267</v>
      </c>
      <c r="G252" s="173" t="s">
        <v>312</v>
      </c>
      <c r="H252" s="173" t="s">
        <v>303</v>
      </c>
      <c r="I252" s="177">
        <v>1681.3</v>
      </c>
      <c r="J252" s="177">
        <v>1080.3</v>
      </c>
      <c r="K252" s="177">
        <v>1080.3</v>
      </c>
      <c r="L252" s="206">
        <v>54</v>
      </c>
      <c r="M252" s="173" t="s">
        <v>265</v>
      </c>
      <c r="N252" s="173" t="s">
        <v>269</v>
      </c>
      <c r="O252" s="175" t="s">
        <v>1304</v>
      </c>
      <c r="P252" s="170">
        <v>3006507.7</v>
      </c>
      <c r="Q252" s="170">
        <v>0</v>
      </c>
      <c r="R252" s="170">
        <v>0</v>
      </c>
      <c r="S252" s="170">
        <f t="shared" si="25"/>
        <v>3006507.7</v>
      </c>
      <c r="T252" s="170">
        <f t="shared" si="22"/>
        <v>1788.2041872360676</v>
      </c>
      <c r="U252" s="170">
        <v>2371.8482162612263</v>
      </c>
      <c r="V252" s="202">
        <f t="shared" si="23"/>
        <v>583.64402902515872</v>
      </c>
      <c r="W252" s="202">
        <f t="shared" si="26"/>
        <v>2707.8568930589427</v>
      </c>
      <c r="X252" s="202">
        <v>0</v>
      </c>
      <c r="Y252" s="203">
        <v>0</v>
      </c>
      <c r="Z252" s="203">
        <v>0</v>
      </c>
      <c r="AA252" s="203">
        <v>0</v>
      </c>
      <c r="AB252" s="203">
        <v>0</v>
      </c>
      <c r="AC252" s="203">
        <v>0</v>
      </c>
      <c r="AD252" s="203">
        <v>0</v>
      </c>
      <c r="AE252" s="203">
        <v>729.73</v>
      </c>
      <c r="AF252" s="202">
        <f t="shared" si="27"/>
        <v>2707.8568930589427</v>
      </c>
      <c r="AG252" s="203">
        <v>0</v>
      </c>
      <c r="AH252" s="202">
        <v>0</v>
      </c>
      <c r="AI252" s="203">
        <v>0</v>
      </c>
      <c r="AJ252" s="202">
        <v>0</v>
      </c>
      <c r="AK252" s="203">
        <v>0</v>
      </c>
      <c r="AL252" s="203">
        <v>0</v>
      </c>
      <c r="AM252" s="203">
        <v>0</v>
      </c>
      <c r="AN252" s="203"/>
      <c r="AO252" s="203">
        <v>0</v>
      </c>
    </row>
    <row r="253" spans="1:41" s="176" customFormat="1" ht="36" customHeight="1" x14ac:dyDescent="0.25">
      <c r="A253" s="176">
        <v>1</v>
      </c>
      <c r="B253" s="171">
        <f>SUBTOTAL(103,$A$16:A253)</f>
        <v>233</v>
      </c>
      <c r="C253" s="172" t="s">
        <v>1168</v>
      </c>
      <c r="D253" s="173">
        <v>1959</v>
      </c>
      <c r="E253" s="173"/>
      <c r="F253" s="174" t="s">
        <v>267</v>
      </c>
      <c r="G253" s="173">
        <v>5</v>
      </c>
      <c r="H253" s="173" t="s">
        <v>351</v>
      </c>
      <c r="I253" s="170">
        <v>6261.25</v>
      </c>
      <c r="J253" s="170">
        <v>4642.6499999999996</v>
      </c>
      <c r="K253" s="170">
        <v>2995.37</v>
      </c>
      <c r="L253" s="206">
        <v>118</v>
      </c>
      <c r="M253" s="173" t="s">
        <v>265</v>
      </c>
      <c r="N253" s="173" t="s">
        <v>269</v>
      </c>
      <c r="O253" s="175" t="s">
        <v>1305</v>
      </c>
      <c r="P253" s="170">
        <v>8000402.0100000007</v>
      </c>
      <c r="Q253" s="170">
        <v>0</v>
      </c>
      <c r="R253" s="170">
        <v>0</v>
      </c>
      <c r="S253" s="170">
        <f t="shared" si="25"/>
        <v>8000402.0100000007</v>
      </c>
      <c r="T253" s="170">
        <f t="shared" si="22"/>
        <v>1277.7643457776005</v>
      </c>
      <c r="U253" s="170">
        <v>1642.8765952485526</v>
      </c>
      <c r="V253" s="202">
        <f t="shared" si="23"/>
        <v>365.11224947095207</v>
      </c>
      <c r="W253" s="202">
        <f t="shared" si="26"/>
        <v>1644.1128368935915</v>
      </c>
      <c r="X253" s="202">
        <v>0</v>
      </c>
      <c r="Y253" s="203">
        <v>0</v>
      </c>
      <c r="Z253" s="203">
        <v>0</v>
      </c>
      <c r="AA253" s="203">
        <v>0</v>
      </c>
      <c r="AB253" s="203">
        <v>0</v>
      </c>
      <c r="AC253" s="203">
        <v>0</v>
      </c>
      <c r="AD253" s="203">
        <v>0</v>
      </c>
      <c r="AE253" s="203">
        <v>1650</v>
      </c>
      <c r="AF253" s="202">
        <f t="shared" si="27"/>
        <v>1644.1128368935915</v>
      </c>
      <c r="AG253" s="203">
        <v>0</v>
      </c>
      <c r="AH253" s="202">
        <v>0</v>
      </c>
      <c r="AI253" s="203">
        <v>0</v>
      </c>
      <c r="AJ253" s="202">
        <v>0</v>
      </c>
      <c r="AK253" s="203">
        <v>0</v>
      </c>
      <c r="AL253" s="203">
        <v>0</v>
      </c>
      <c r="AM253" s="203">
        <v>0</v>
      </c>
      <c r="AN253" s="203"/>
      <c r="AO253" s="203">
        <v>0</v>
      </c>
    </row>
    <row r="254" spans="1:41" s="176" customFormat="1" ht="36" customHeight="1" x14ac:dyDescent="0.25">
      <c r="A254" s="176">
        <v>1</v>
      </c>
      <c r="B254" s="171">
        <f>SUBTOTAL(103,$A$16:A254)</f>
        <v>234</v>
      </c>
      <c r="C254" s="172" t="s">
        <v>1169</v>
      </c>
      <c r="D254" s="173">
        <v>1956</v>
      </c>
      <c r="E254" s="173"/>
      <c r="F254" s="174" t="s">
        <v>267</v>
      </c>
      <c r="G254" s="173">
        <v>2</v>
      </c>
      <c r="H254" s="173" t="s">
        <v>303</v>
      </c>
      <c r="I254" s="170">
        <v>525.29999999999995</v>
      </c>
      <c r="J254" s="170">
        <v>480.3</v>
      </c>
      <c r="K254" s="170">
        <v>480.3</v>
      </c>
      <c r="L254" s="206">
        <v>31</v>
      </c>
      <c r="M254" s="173" t="s">
        <v>265</v>
      </c>
      <c r="N254" s="173" t="s">
        <v>269</v>
      </c>
      <c r="O254" s="175" t="s">
        <v>699</v>
      </c>
      <c r="P254" s="170">
        <v>1685713.47</v>
      </c>
      <c r="Q254" s="170">
        <v>0</v>
      </c>
      <c r="R254" s="170">
        <v>0</v>
      </c>
      <c r="S254" s="170">
        <f t="shared" si="25"/>
        <v>1685713.47</v>
      </c>
      <c r="T254" s="170">
        <f t="shared" si="22"/>
        <v>3209.0490576813254</v>
      </c>
      <c r="U254" s="170">
        <v>9061.8802569960026</v>
      </c>
      <c r="V254" s="202">
        <f t="shared" si="23"/>
        <v>5852.8311993146772</v>
      </c>
      <c r="W254" s="202">
        <f t="shared" si="26"/>
        <v>9061.8802569960026</v>
      </c>
      <c r="X254" s="202">
        <v>0</v>
      </c>
      <c r="Y254" s="203">
        <v>0</v>
      </c>
      <c r="Z254" s="203">
        <v>0</v>
      </c>
      <c r="AA254" s="203">
        <v>0</v>
      </c>
      <c r="AB254" s="203">
        <v>0</v>
      </c>
      <c r="AC254" s="203">
        <v>0</v>
      </c>
      <c r="AD254" s="203">
        <v>0</v>
      </c>
      <c r="AE254" s="203">
        <v>0</v>
      </c>
      <c r="AF254" s="202">
        <v>0</v>
      </c>
      <c r="AG254" s="203">
        <v>0</v>
      </c>
      <c r="AH254" s="202">
        <v>0</v>
      </c>
      <c r="AI254" s="203">
        <v>639.89</v>
      </c>
      <c r="AJ254" s="202">
        <f>7439.1*AI254/I254</f>
        <v>9061.8802569960026</v>
      </c>
      <c r="AK254" s="203">
        <v>0</v>
      </c>
      <c r="AL254" s="203">
        <v>0</v>
      </c>
      <c r="AM254" s="203">
        <v>0</v>
      </c>
      <c r="AN254" s="203"/>
      <c r="AO254" s="203">
        <v>0</v>
      </c>
    </row>
    <row r="255" spans="1:41" s="176" customFormat="1" ht="36" customHeight="1" x14ac:dyDescent="0.25">
      <c r="A255" s="176">
        <v>1</v>
      </c>
      <c r="B255" s="171">
        <f>SUBTOTAL(103,$A$16:A255)</f>
        <v>235</v>
      </c>
      <c r="C255" s="172" t="s">
        <v>1170</v>
      </c>
      <c r="D255" s="173">
        <v>1978</v>
      </c>
      <c r="E255" s="173"/>
      <c r="F255" s="174" t="s">
        <v>267</v>
      </c>
      <c r="G255" s="173">
        <v>9</v>
      </c>
      <c r="H255" s="173" t="s">
        <v>2251</v>
      </c>
      <c r="I255" s="170">
        <v>12893.2</v>
      </c>
      <c r="J255" s="170">
        <v>12893.2</v>
      </c>
      <c r="K255" s="170">
        <v>12893.2</v>
      </c>
      <c r="L255" s="206">
        <v>493</v>
      </c>
      <c r="M255" s="173" t="s">
        <v>265</v>
      </c>
      <c r="N255" s="173" t="s">
        <v>269</v>
      </c>
      <c r="O255" s="175" t="s">
        <v>1305</v>
      </c>
      <c r="P255" s="170">
        <v>3785233.7800000003</v>
      </c>
      <c r="Q255" s="170">
        <v>0</v>
      </c>
      <c r="R255" s="170">
        <v>0</v>
      </c>
      <c r="S255" s="170">
        <f t="shared" si="25"/>
        <v>3785233.7800000003</v>
      </c>
      <c r="T255" s="170">
        <f t="shared" si="22"/>
        <v>293.58373251016042</v>
      </c>
      <c r="U255" s="170">
        <v>965.56557720348701</v>
      </c>
      <c r="V255" s="202">
        <f t="shared" si="23"/>
        <v>671.98184469332659</v>
      </c>
      <c r="W255" s="202">
        <f t="shared" si="26"/>
        <v>925.68445614742654</v>
      </c>
      <c r="X255" s="202">
        <v>0</v>
      </c>
      <c r="Y255" s="203">
        <v>0</v>
      </c>
      <c r="Z255" s="203">
        <v>0</v>
      </c>
      <c r="AA255" s="203">
        <v>0</v>
      </c>
      <c r="AB255" s="203">
        <v>0</v>
      </c>
      <c r="AC255" s="203">
        <v>0</v>
      </c>
      <c r="AD255" s="203">
        <v>0</v>
      </c>
      <c r="AE255" s="203">
        <v>1913</v>
      </c>
      <c r="AF255" s="202">
        <f>6238.91*AE255/I255</f>
        <v>925.68445614742654</v>
      </c>
      <c r="AG255" s="203">
        <v>0</v>
      </c>
      <c r="AH255" s="202">
        <v>0</v>
      </c>
      <c r="AI255" s="203">
        <v>0</v>
      </c>
      <c r="AJ255" s="202">
        <v>0</v>
      </c>
      <c r="AK255" s="203">
        <v>0</v>
      </c>
      <c r="AL255" s="203">
        <v>0</v>
      </c>
      <c r="AM255" s="203">
        <v>0</v>
      </c>
      <c r="AN255" s="203"/>
      <c r="AO255" s="203">
        <v>0</v>
      </c>
    </row>
    <row r="256" spans="1:41" s="176" customFormat="1" ht="36" customHeight="1" x14ac:dyDescent="0.25">
      <c r="A256" s="176">
        <v>1</v>
      </c>
      <c r="B256" s="171">
        <f>SUBTOTAL(103,$A$16:A256)</f>
        <v>236</v>
      </c>
      <c r="C256" s="172" t="s">
        <v>1174</v>
      </c>
      <c r="D256" s="173">
        <v>1982</v>
      </c>
      <c r="E256" s="173"/>
      <c r="F256" s="174" t="s">
        <v>267</v>
      </c>
      <c r="G256" s="173">
        <v>9</v>
      </c>
      <c r="H256" s="173" t="s">
        <v>303</v>
      </c>
      <c r="I256" s="170">
        <v>4642.08</v>
      </c>
      <c r="J256" s="170">
        <v>4642.08</v>
      </c>
      <c r="K256" s="170">
        <v>4642.08</v>
      </c>
      <c r="L256" s="206">
        <v>170</v>
      </c>
      <c r="M256" s="173" t="s">
        <v>265</v>
      </c>
      <c r="N256" s="173" t="s">
        <v>269</v>
      </c>
      <c r="O256" s="175" t="s">
        <v>698</v>
      </c>
      <c r="P256" s="170">
        <v>2272822.6599999997</v>
      </c>
      <c r="Q256" s="170">
        <v>0</v>
      </c>
      <c r="R256" s="170">
        <v>0</v>
      </c>
      <c r="S256" s="170">
        <f t="shared" si="25"/>
        <v>2272822.6599999997</v>
      </c>
      <c r="T256" s="170">
        <f t="shared" si="22"/>
        <v>489.61298814324607</v>
      </c>
      <c r="U256" s="170">
        <v>560.82000000000005</v>
      </c>
      <c r="V256" s="202">
        <f t="shared" si="23"/>
        <v>71.207011856753979</v>
      </c>
      <c r="W256" s="202">
        <f t="shared" si="26"/>
        <v>531.97</v>
      </c>
      <c r="X256" s="202">
        <v>101.55</v>
      </c>
      <c r="Y256" s="203">
        <v>245.44</v>
      </c>
      <c r="Z256" s="203">
        <v>0</v>
      </c>
      <c r="AA256" s="203">
        <v>184.98</v>
      </c>
      <c r="AB256" s="203">
        <v>0</v>
      </c>
      <c r="AC256" s="203">
        <v>0</v>
      </c>
      <c r="AD256" s="203">
        <v>0</v>
      </c>
      <c r="AE256" s="203">
        <v>0</v>
      </c>
      <c r="AF256" s="202">
        <v>0</v>
      </c>
      <c r="AG256" s="203">
        <v>0</v>
      </c>
      <c r="AH256" s="202">
        <v>0</v>
      </c>
      <c r="AI256" s="203">
        <v>0</v>
      </c>
      <c r="AJ256" s="202">
        <v>0</v>
      </c>
      <c r="AK256" s="203">
        <v>0</v>
      </c>
      <c r="AL256" s="203">
        <v>0</v>
      </c>
      <c r="AM256" s="203">
        <v>0</v>
      </c>
      <c r="AN256" s="203"/>
      <c r="AO256" s="203">
        <v>0</v>
      </c>
    </row>
    <row r="257" spans="1:41" s="176" customFormat="1" ht="36" customHeight="1" x14ac:dyDescent="0.25">
      <c r="A257" s="176">
        <v>1</v>
      </c>
      <c r="B257" s="171">
        <f>SUBTOTAL(103,$A$16:A257)</f>
        <v>237</v>
      </c>
      <c r="C257" s="172" t="s">
        <v>1175</v>
      </c>
      <c r="D257" s="173">
        <v>1978</v>
      </c>
      <c r="E257" s="173"/>
      <c r="F257" s="174" t="s">
        <v>267</v>
      </c>
      <c r="G257" s="173">
        <v>5</v>
      </c>
      <c r="H257" s="173" t="s">
        <v>370</v>
      </c>
      <c r="I257" s="170">
        <v>6106.27</v>
      </c>
      <c r="J257" s="170">
        <v>4513.8999999999996</v>
      </c>
      <c r="K257" s="170">
        <v>4513.8999999999996</v>
      </c>
      <c r="L257" s="206">
        <v>207</v>
      </c>
      <c r="M257" s="173" t="s">
        <v>265</v>
      </c>
      <c r="N257" s="173" t="s">
        <v>269</v>
      </c>
      <c r="O257" s="175" t="s">
        <v>698</v>
      </c>
      <c r="P257" s="170">
        <v>4444796.6100000003</v>
      </c>
      <c r="Q257" s="170">
        <v>0</v>
      </c>
      <c r="R257" s="170">
        <v>0</v>
      </c>
      <c r="S257" s="170">
        <f t="shared" si="25"/>
        <v>4444796.6100000003</v>
      </c>
      <c r="T257" s="170">
        <f t="shared" si="22"/>
        <v>727.9069890456858</v>
      </c>
      <c r="U257" s="170">
        <v>1369.0823777854566</v>
      </c>
      <c r="V257" s="202">
        <f t="shared" si="23"/>
        <v>641.17538873977082</v>
      </c>
      <c r="W257" s="202">
        <f t="shared" si="26"/>
        <v>1292.4373788908777</v>
      </c>
      <c r="X257" s="202">
        <v>0</v>
      </c>
      <c r="Y257" s="203">
        <v>0</v>
      </c>
      <c r="Z257" s="203">
        <v>0</v>
      </c>
      <c r="AA257" s="203">
        <v>0</v>
      </c>
      <c r="AB257" s="203">
        <v>0</v>
      </c>
      <c r="AC257" s="203">
        <v>0</v>
      </c>
      <c r="AD257" s="203">
        <v>0</v>
      </c>
      <c r="AE257" s="203">
        <v>1264.96</v>
      </c>
      <c r="AF257" s="202">
        <f>6238.91*AE257/I257</f>
        <v>1292.4373788908777</v>
      </c>
      <c r="AG257" s="203">
        <v>0</v>
      </c>
      <c r="AH257" s="202">
        <v>0</v>
      </c>
      <c r="AI257" s="203">
        <v>0</v>
      </c>
      <c r="AJ257" s="202">
        <v>0</v>
      </c>
      <c r="AK257" s="203">
        <v>0</v>
      </c>
      <c r="AL257" s="203">
        <v>0</v>
      </c>
      <c r="AM257" s="203">
        <v>0</v>
      </c>
      <c r="AN257" s="203"/>
      <c r="AO257" s="203">
        <v>0</v>
      </c>
    </row>
    <row r="258" spans="1:41" s="176" customFormat="1" ht="36" customHeight="1" x14ac:dyDescent="0.25">
      <c r="A258" s="176">
        <v>1</v>
      </c>
      <c r="B258" s="171">
        <f>SUBTOTAL(103,$A$16:A258)</f>
        <v>238</v>
      </c>
      <c r="C258" s="172" t="s">
        <v>1177</v>
      </c>
      <c r="D258" s="173">
        <v>1937</v>
      </c>
      <c r="E258" s="173"/>
      <c r="F258" s="174" t="s">
        <v>267</v>
      </c>
      <c r="G258" s="173">
        <v>3</v>
      </c>
      <c r="H258" s="173" t="s">
        <v>308</v>
      </c>
      <c r="I258" s="170">
        <v>1443.5</v>
      </c>
      <c r="J258" s="170">
        <v>976.1</v>
      </c>
      <c r="K258" s="170">
        <v>976.1</v>
      </c>
      <c r="L258" s="206">
        <v>60</v>
      </c>
      <c r="M258" s="173" t="s">
        <v>265</v>
      </c>
      <c r="N258" s="173" t="s">
        <v>283</v>
      </c>
      <c r="O258" s="175" t="s">
        <v>268</v>
      </c>
      <c r="P258" s="170">
        <v>3526049.4499999997</v>
      </c>
      <c r="Q258" s="170">
        <v>0</v>
      </c>
      <c r="R258" s="170">
        <v>0</v>
      </c>
      <c r="S258" s="170">
        <f t="shared" si="25"/>
        <v>3526049.4499999997</v>
      </c>
      <c r="T258" s="170">
        <f t="shared" si="22"/>
        <v>2442.7083131278141</v>
      </c>
      <c r="U258" s="170">
        <v>3781.4087488742639</v>
      </c>
      <c r="V258" s="202">
        <f t="shared" si="23"/>
        <v>1338.7004357464498</v>
      </c>
      <c r="W258" s="202">
        <f t="shared" si="26"/>
        <v>3625.2237898856943</v>
      </c>
      <c r="X258" s="202">
        <v>0</v>
      </c>
      <c r="Y258" s="203">
        <v>0</v>
      </c>
      <c r="Z258" s="203">
        <v>0</v>
      </c>
      <c r="AA258" s="203">
        <v>0</v>
      </c>
      <c r="AB258" s="203">
        <v>0</v>
      </c>
      <c r="AC258" s="203">
        <v>0</v>
      </c>
      <c r="AD258" s="203">
        <v>0</v>
      </c>
      <c r="AE258" s="203">
        <v>838.77</v>
      </c>
      <c r="AF258" s="202">
        <f>6238.91*AE258/I258</f>
        <v>3625.2237898856943</v>
      </c>
      <c r="AG258" s="203">
        <v>0</v>
      </c>
      <c r="AH258" s="202">
        <v>0</v>
      </c>
      <c r="AI258" s="203">
        <v>0</v>
      </c>
      <c r="AJ258" s="202">
        <v>0</v>
      </c>
      <c r="AK258" s="203">
        <v>0</v>
      </c>
      <c r="AL258" s="203">
        <v>0</v>
      </c>
      <c r="AM258" s="203">
        <v>0</v>
      </c>
      <c r="AN258" s="203"/>
      <c r="AO258" s="203">
        <v>0</v>
      </c>
    </row>
    <row r="259" spans="1:41" s="176" customFormat="1" ht="36" customHeight="1" x14ac:dyDescent="0.25">
      <c r="A259" s="176">
        <v>1</v>
      </c>
      <c r="B259" s="171">
        <f>SUBTOTAL(103,$A$16:A259)</f>
        <v>239</v>
      </c>
      <c r="C259" s="172" t="s">
        <v>1178</v>
      </c>
      <c r="D259" s="173">
        <v>1973</v>
      </c>
      <c r="E259" s="173"/>
      <c r="F259" s="174" t="s">
        <v>267</v>
      </c>
      <c r="G259" s="173">
        <v>5</v>
      </c>
      <c r="H259" s="173" t="s">
        <v>370</v>
      </c>
      <c r="I259" s="170">
        <v>5659.64</v>
      </c>
      <c r="J259" s="170">
        <v>4429.9399999999996</v>
      </c>
      <c r="K259" s="170">
        <v>4365.74</v>
      </c>
      <c r="L259" s="206">
        <v>213</v>
      </c>
      <c r="M259" s="173" t="s">
        <v>265</v>
      </c>
      <c r="N259" s="173" t="s">
        <v>269</v>
      </c>
      <c r="O259" s="175" t="s">
        <v>696</v>
      </c>
      <c r="P259" s="170">
        <v>5490389.4400000004</v>
      </c>
      <c r="Q259" s="170">
        <v>0</v>
      </c>
      <c r="R259" s="170">
        <v>0</v>
      </c>
      <c r="S259" s="170">
        <f t="shared" si="25"/>
        <v>5490389.4400000004</v>
      </c>
      <c r="T259" s="170">
        <f t="shared" si="22"/>
        <v>970.09517213108961</v>
      </c>
      <c r="U259" s="170">
        <v>2780.3214692100555</v>
      </c>
      <c r="V259" s="202">
        <f t="shared" si="23"/>
        <v>1810.2262970789659</v>
      </c>
      <c r="W259" s="202">
        <f t="shared" si="26"/>
        <v>2286.1658071891497</v>
      </c>
      <c r="X259" s="202">
        <v>0</v>
      </c>
      <c r="Y259" s="203">
        <v>0</v>
      </c>
      <c r="Z259" s="203">
        <v>0</v>
      </c>
      <c r="AA259" s="203">
        <v>0</v>
      </c>
      <c r="AB259" s="203">
        <v>0</v>
      </c>
      <c r="AC259" s="203">
        <v>0</v>
      </c>
      <c r="AD259" s="203">
        <v>0</v>
      </c>
      <c r="AE259" s="203">
        <v>2073.9</v>
      </c>
      <c r="AF259" s="202">
        <f>6238.91*AE259/I259</f>
        <v>2286.1658071891497</v>
      </c>
      <c r="AG259" s="203">
        <v>0</v>
      </c>
      <c r="AH259" s="202">
        <v>0</v>
      </c>
      <c r="AI259" s="203">
        <v>0</v>
      </c>
      <c r="AJ259" s="202">
        <v>0</v>
      </c>
      <c r="AK259" s="203">
        <v>0</v>
      </c>
      <c r="AL259" s="203">
        <v>0</v>
      </c>
      <c r="AM259" s="203">
        <v>0</v>
      </c>
      <c r="AN259" s="203"/>
      <c r="AO259" s="203">
        <v>0</v>
      </c>
    </row>
    <row r="260" spans="1:41" s="176" customFormat="1" ht="36" customHeight="1" x14ac:dyDescent="0.25">
      <c r="A260" s="176">
        <v>1</v>
      </c>
      <c r="B260" s="171">
        <f>SUBTOTAL(103,$A$16:A260)</f>
        <v>240</v>
      </c>
      <c r="C260" s="172" t="s">
        <v>1180</v>
      </c>
      <c r="D260" s="173">
        <v>1967</v>
      </c>
      <c r="E260" s="173"/>
      <c r="F260" s="174" t="s">
        <v>267</v>
      </c>
      <c r="G260" s="173">
        <v>5</v>
      </c>
      <c r="H260" s="173" t="s">
        <v>308</v>
      </c>
      <c r="I260" s="170">
        <v>5485.29</v>
      </c>
      <c r="J260" s="170">
        <v>3346.19</v>
      </c>
      <c r="K260" s="170">
        <v>3187.4</v>
      </c>
      <c r="L260" s="206">
        <v>153</v>
      </c>
      <c r="M260" s="173" t="s">
        <v>265</v>
      </c>
      <c r="N260" s="173" t="s">
        <v>269</v>
      </c>
      <c r="O260" s="175" t="s">
        <v>1304</v>
      </c>
      <c r="P260" s="170">
        <v>4738452.92</v>
      </c>
      <c r="Q260" s="170">
        <v>0</v>
      </c>
      <c r="R260" s="170">
        <v>0</v>
      </c>
      <c r="S260" s="170">
        <f t="shared" si="25"/>
        <v>4738452.92</v>
      </c>
      <c r="T260" s="170">
        <f t="shared" si="22"/>
        <v>863.84729339743205</v>
      </c>
      <c r="U260" s="170">
        <v>1393.5351494633828</v>
      </c>
      <c r="V260" s="202">
        <f t="shared" si="23"/>
        <v>529.68785606595077</v>
      </c>
      <c r="W260" s="202">
        <f t="shared" si="26"/>
        <v>3444.64</v>
      </c>
      <c r="X260" s="202">
        <v>0</v>
      </c>
      <c r="Y260" s="203">
        <v>0</v>
      </c>
      <c r="Z260" s="203">
        <v>3259.66</v>
      </c>
      <c r="AA260" s="203">
        <v>184.98</v>
      </c>
      <c r="AB260" s="203">
        <v>0</v>
      </c>
      <c r="AC260" s="203">
        <v>0</v>
      </c>
      <c r="AD260" s="203">
        <v>0</v>
      </c>
      <c r="AE260" s="203">
        <v>0</v>
      </c>
      <c r="AF260" s="202">
        <v>0</v>
      </c>
      <c r="AG260" s="203">
        <v>0</v>
      </c>
      <c r="AH260" s="202">
        <v>0</v>
      </c>
      <c r="AI260" s="203">
        <v>0</v>
      </c>
      <c r="AJ260" s="202">
        <v>0</v>
      </c>
      <c r="AK260" s="203">
        <v>0</v>
      </c>
      <c r="AL260" s="203">
        <v>0</v>
      </c>
      <c r="AM260" s="203">
        <v>0</v>
      </c>
      <c r="AN260" s="203"/>
      <c r="AO260" s="203">
        <v>0</v>
      </c>
    </row>
    <row r="261" spans="1:41" s="176" customFormat="1" ht="36" customHeight="1" x14ac:dyDescent="0.25">
      <c r="A261" s="176">
        <v>1</v>
      </c>
      <c r="B261" s="171">
        <f>SUBTOTAL(103,$A$16:A261)</f>
        <v>241</v>
      </c>
      <c r="C261" s="172" t="s">
        <v>1181</v>
      </c>
      <c r="D261" s="173">
        <v>1990</v>
      </c>
      <c r="E261" s="173"/>
      <c r="F261" s="174" t="s">
        <v>267</v>
      </c>
      <c r="G261" s="173">
        <v>2</v>
      </c>
      <c r="H261" s="173" t="s">
        <v>303</v>
      </c>
      <c r="I261" s="170">
        <v>568.29999999999995</v>
      </c>
      <c r="J261" s="170">
        <v>317</v>
      </c>
      <c r="K261" s="170">
        <v>317</v>
      </c>
      <c r="L261" s="206">
        <v>31</v>
      </c>
      <c r="M261" s="173" t="s">
        <v>265</v>
      </c>
      <c r="N261" s="173" t="s">
        <v>266</v>
      </c>
      <c r="O261" s="175" t="s">
        <v>268</v>
      </c>
      <c r="P261" s="170">
        <v>2182746.96</v>
      </c>
      <c r="Q261" s="170">
        <v>0</v>
      </c>
      <c r="R261" s="170">
        <v>0</v>
      </c>
      <c r="S261" s="170">
        <f t="shared" si="25"/>
        <v>2182746.96</v>
      </c>
      <c r="T261" s="170">
        <f t="shared" si="22"/>
        <v>3840.8357557628015</v>
      </c>
      <c r="U261" s="170">
        <v>5543.96951961992</v>
      </c>
      <c r="V261" s="202">
        <f t="shared" si="23"/>
        <v>1703.1337638571185</v>
      </c>
      <c r="W261" s="202">
        <f t="shared" si="26"/>
        <v>12894.991529121942</v>
      </c>
      <c r="X261" s="202">
        <v>0</v>
      </c>
      <c r="Y261" s="203">
        <v>0</v>
      </c>
      <c r="Z261" s="203">
        <v>0</v>
      </c>
      <c r="AA261" s="203">
        <v>0</v>
      </c>
      <c r="AB261" s="203">
        <v>0</v>
      </c>
      <c r="AC261" s="203">
        <v>0</v>
      </c>
      <c r="AD261" s="203">
        <v>0</v>
      </c>
      <c r="AE261" s="203">
        <v>1174.5999999999999</v>
      </c>
      <c r="AF261" s="202">
        <f>6238.91*AE261/I261</f>
        <v>12894.991529121942</v>
      </c>
      <c r="AG261" s="203">
        <v>0</v>
      </c>
      <c r="AH261" s="202">
        <v>0</v>
      </c>
      <c r="AI261" s="203">
        <v>0</v>
      </c>
      <c r="AJ261" s="202">
        <v>0</v>
      </c>
      <c r="AK261" s="203">
        <v>0</v>
      </c>
      <c r="AL261" s="203">
        <v>0</v>
      </c>
      <c r="AM261" s="203">
        <v>0</v>
      </c>
      <c r="AN261" s="203"/>
      <c r="AO261" s="203">
        <v>0</v>
      </c>
    </row>
    <row r="262" spans="1:41" s="176" customFormat="1" ht="36" customHeight="1" x14ac:dyDescent="0.25">
      <c r="A262" s="176">
        <v>1</v>
      </c>
      <c r="B262" s="171">
        <f>SUBTOTAL(103,$A$16:A262)</f>
        <v>242</v>
      </c>
      <c r="C262" s="172" t="s">
        <v>1341</v>
      </c>
      <c r="D262" s="173">
        <v>1820</v>
      </c>
      <c r="E262" s="173"/>
      <c r="F262" s="174" t="s">
        <v>267</v>
      </c>
      <c r="G262" s="173">
        <v>2</v>
      </c>
      <c r="H262" s="173" t="s">
        <v>303</v>
      </c>
      <c r="I262" s="170">
        <v>973.3</v>
      </c>
      <c r="J262" s="170">
        <v>527.20000000000005</v>
      </c>
      <c r="K262" s="170">
        <v>527.20000000000005</v>
      </c>
      <c r="L262" s="206">
        <v>26</v>
      </c>
      <c r="M262" s="173" t="s">
        <v>265</v>
      </c>
      <c r="N262" s="173" t="s">
        <v>269</v>
      </c>
      <c r="O262" s="175" t="s">
        <v>1069</v>
      </c>
      <c r="P262" s="170">
        <v>1724602.98</v>
      </c>
      <c r="Q262" s="170">
        <v>0</v>
      </c>
      <c r="R262" s="170">
        <v>0</v>
      </c>
      <c r="S262" s="170">
        <f t="shared" si="25"/>
        <v>1724602.98</v>
      </c>
      <c r="T262" s="170">
        <f t="shared" si="22"/>
        <v>1771.9130586663928</v>
      </c>
      <c r="U262" s="170">
        <v>3526.4472762765845</v>
      </c>
      <c r="V262" s="202">
        <f t="shared" si="23"/>
        <v>1754.5342176101917</v>
      </c>
      <c r="W262" s="202">
        <f t="shared" si="26"/>
        <v>3103.3657530052401</v>
      </c>
      <c r="X262" s="202">
        <v>0</v>
      </c>
      <c r="Y262" s="203">
        <v>0</v>
      </c>
      <c r="Z262" s="203">
        <v>0</v>
      </c>
      <c r="AA262" s="203">
        <v>0</v>
      </c>
      <c r="AB262" s="203">
        <v>0</v>
      </c>
      <c r="AC262" s="203">
        <v>0</v>
      </c>
      <c r="AD262" s="203">
        <v>0</v>
      </c>
      <c r="AE262" s="203">
        <v>484.14</v>
      </c>
      <c r="AF262" s="202">
        <f>6238.91*AE262/I262</f>
        <v>3103.3657530052401</v>
      </c>
      <c r="AG262" s="203">
        <v>0</v>
      </c>
      <c r="AH262" s="202">
        <v>0</v>
      </c>
      <c r="AI262" s="203">
        <v>0</v>
      </c>
      <c r="AJ262" s="202">
        <v>0</v>
      </c>
      <c r="AK262" s="203">
        <v>0</v>
      </c>
      <c r="AL262" s="203">
        <v>0</v>
      </c>
      <c r="AM262" s="203">
        <v>0</v>
      </c>
      <c r="AN262" s="203"/>
      <c r="AO262" s="203">
        <v>0</v>
      </c>
    </row>
    <row r="263" spans="1:41" s="176" customFormat="1" ht="36" customHeight="1" x14ac:dyDescent="0.25">
      <c r="A263" s="176">
        <v>1</v>
      </c>
      <c r="B263" s="171">
        <f>SUBTOTAL(103,$A$16:A263)</f>
        <v>243</v>
      </c>
      <c r="C263" s="172" t="s">
        <v>1340</v>
      </c>
      <c r="D263" s="173">
        <v>1984</v>
      </c>
      <c r="E263" s="173"/>
      <c r="F263" s="174" t="s">
        <v>318</v>
      </c>
      <c r="G263" s="173">
        <v>2</v>
      </c>
      <c r="H263" s="173" t="s">
        <v>303</v>
      </c>
      <c r="I263" s="170">
        <v>622.79999999999995</v>
      </c>
      <c r="J263" s="170">
        <v>560.29999999999995</v>
      </c>
      <c r="K263" s="170">
        <v>560.29999999999995</v>
      </c>
      <c r="L263" s="206">
        <v>31</v>
      </c>
      <c r="M263" s="173" t="s">
        <v>265</v>
      </c>
      <c r="N263" s="173" t="s">
        <v>269</v>
      </c>
      <c r="O263" s="175" t="s">
        <v>1305</v>
      </c>
      <c r="P263" s="170">
        <v>1598078</v>
      </c>
      <c r="Q263" s="170">
        <v>0</v>
      </c>
      <c r="R263" s="170">
        <v>0</v>
      </c>
      <c r="S263" s="170">
        <f t="shared" si="25"/>
        <v>1598078</v>
      </c>
      <c r="T263" s="170">
        <f t="shared" si="22"/>
        <v>2565.9569685292231</v>
      </c>
      <c r="U263" s="170">
        <v>5010.2393593448942</v>
      </c>
      <c r="V263" s="202">
        <f t="shared" si="23"/>
        <v>2444.2823908156711</v>
      </c>
      <c r="W263" s="202">
        <f t="shared" si="26"/>
        <v>5355.364942196532</v>
      </c>
      <c r="X263" s="202">
        <v>0</v>
      </c>
      <c r="Y263" s="203">
        <v>0</v>
      </c>
      <c r="Z263" s="203">
        <v>0</v>
      </c>
      <c r="AA263" s="203">
        <v>0</v>
      </c>
      <c r="AB263" s="203">
        <v>0</v>
      </c>
      <c r="AC263" s="203">
        <v>0</v>
      </c>
      <c r="AD263" s="203">
        <v>0</v>
      </c>
      <c r="AE263" s="203">
        <v>534.6</v>
      </c>
      <c r="AF263" s="202">
        <f>6238.91*AE263/I263</f>
        <v>5355.364942196532</v>
      </c>
      <c r="AG263" s="203">
        <v>0</v>
      </c>
      <c r="AH263" s="202">
        <v>0</v>
      </c>
      <c r="AI263" s="203">
        <v>0</v>
      </c>
      <c r="AJ263" s="202">
        <v>0</v>
      </c>
      <c r="AK263" s="203">
        <v>0</v>
      </c>
      <c r="AL263" s="203">
        <v>0</v>
      </c>
      <c r="AM263" s="203">
        <v>0</v>
      </c>
      <c r="AN263" s="203"/>
      <c r="AO263" s="203">
        <v>0</v>
      </c>
    </row>
    <row r="264" spans="1:41" s="176" customFormat="1" ht="36" customHeight="1" x14ac:dyDescent="0.25">
      <c r="A264" s="176">
        <v>1</v>
      </c>
      <c r="B264" s="171">
        <f>SUBTOTAL(103,$A$16:A264)</f>
        <v>244</v>
      </c>
      <c r="C264" s="172" t="s">
        <v>1543</v>
      </c>
      <c r="D264" s="173">
        <v>1965</v>
      </c>
      <c r="E264" s="173"/>
      <c r="F264" s="174" t="s">
        <v>1562</v>
      </c>
      <c r="G264" s="173">
        <v>5</v>
      </c>
      <c r="H264" s="173" t="s">
        <v>312</v>
      </c>
      <c r="I264" s="170">
        <v>4032.79</v>
      </c>
      <c r="J264" s="170">
        <v>2461.4</v>
      </c>
      <c r="K264" s="170">
        <v>2461.4</v>
      </c>
      <c r="L264" s="206">
        <v>120</v>
      </c>
      <c r="M264" s="173" t="s">
        <v>265</v>
      </c>
      <c r="N264" s="173" t="s">
        <v>269</v>
      </c>
      <c r="O264" s="175" t="s">
        <v>698</v>
      </c>
      <c r="P264" s="170">
        <v>130960.35</v>
      </c>
      <c r="Q264" s="170">
        <v>0</v>
      </c>
      <c r="R264" s="170">
        <v>0</v>
      </c>
      <c r="S264" s="170">
        <f t="shared" si="25"/>
        <v>130960.35</v>
      </c>
      <c r="T264" s="170">
        <f t="shared" si="22"/>
        <v>32.473882845375037</v>
      </c>
      <c r="U264" s="170">
        <v>32.473882845375037</v>
      </c>
      <c r="V264" s="202">
        <f t="shared" si="23"/>
        <v>0</v>
      </c>
      <c r="W264" s="202">
        <f t="shared" si="26"/>
        <v>758.05234093518379</v>
      </c>
      <c r="X264" s="202">
        <v>0</v>
      </c>
      <c r="Y264" s="203">
        <v>0</v>
      </c>
      <c r="Z264" s="203">
        <v>0</v>
      </c>
      <c r="AA264" s="203">
        <v>0</v>
      </c>
      <c r="AB264" s="203">
        <v>0</v>
      </c>
      <c r="AC264" s="203">
        <v>0</v>
      </c>
      <c r="AD264" s="203">
        <v>0</v>
      </c>
      <c r="AE264" s="203">
        <v>490</v>
      </c>
      <c r="AF264" s="202">
        <f>6238.91*AE264/I264</f>
        <v>758.05234093518379</v>
      </c>
      <c r="AG264" s="203">
        <v>0</v>
      </c>
      <c r="AH264" s="202">
        <v>0</v>
      </c>
      <c r="AI264" s="203">
        <v>0</v>
      </c>
      <c r="AJ264" s="202">
        <v>0</v>
      </c>
      <c r="AK264" s="203">
        <v>0</v>
      </c>
      <c r="AL264" s="203">
        <v>0</v>
      </c>
      <c r="AM264" s="203">
        <v>0</v>
      </c>
      <c r="AN264" s="203"/>
      <c r="AO264" s="203">
        <v>0</v>
      </c>
    </row>
    <row r="265" spans="1:41" s="176" customFormat="1" ht="36" customHeight="1" x14ac:dyDescent="0.25">
      <c r="A265" s="176">
        <v>1</v>
      </c>
      <c r="B265" s="171">
        <f>SUBTOTAL(103,$A$16:A265)</f>
        <v>245</v>
      </c>
      <c r="C265" s="172" t="s">
        <v>617</v>
      </c>
      <c r="D265" s="173">
        <v>1994</v>
      </c>
      <c r="E265" s="173"/>
      <c r="F265" s="174" t="s">
        <v>267</v>
      </c>
      <c r="G265" s="173">
        <v>9</v>
      </c>
      <c r="H265" s="173" t="s">
        <v>304</v>
      </c>
      <c r="I265" s="170">
        <v>2814.2</v>
      </c>
      <c r="J265" s="170">
        <v>2472.3000000000002</v>
      </c>
      <c r="K265" s="170">
        <v>2197.6999999999998</v>
      </c>
      <c r="L265" s="206">
        <v>95</v>
      </c>
      <c r="M265" s="173" t="s">
        <v>265</v>
      </c>
      <c r="N265" s="173" t="s">
        <v>269</v>
      </c>
      <c r="O265" s="175" t="s">
        <v>696</v>
      </c>
      <c r="P265" s="170">
        <v>105885.54</v>
      </c>
      <c r="Q265" s="170">
        <v>0</v>
      </c>
      <c r="R265" s="170">
        <v>0</v>
      </c>
      <c r="S265" s="170">
        <f>P265-R265-Q265</f>
        <v>105885.54</v>
      </c>
      <c r="T265" s="170">
        <f t="shared" si="22"/>
        <v>37.625449506076329</v>
      </c>
      <c r="U265" s="170">
        <v>37.625449506076329</v>
      </c>
      <c r="V265" s="202">
        <f t="shared" si="23"/>
        <v>0</v>
      </c>
      <c r="W265" s="202">
        <f t="shared" si="26"/>
        <v>2240.2169550849267</v>
      </c>
      <c r="X265" s="202">
        <v>0</v>
      </c>
      <c r="Y265" s="203">
        <v>0</v>
      </c>
      <c r="Z265" s="203">
        <v>0</v>
      </c>
      <c r="AA265" s="203">
        <v>0</v>
      </c>
      <c r="AB265" s="203">
        <v>0</v>
      </c>
      <c r="AC265" s="203">
        <v>0</v>
      </c>
      <c r="AD265" s="203">
        <v>0</v>
      </c>
      <c r="AE265" s="203">
        <v>1010.5</v>
      </c>
      <c r="AF265" s="202">
        <f>6238.91*AE265/I265</f>
        <v>2240.2169550849267</v>
      </c>
      <c r="AG265" s="203">
        <v>0</v>
      </c>
      <c r="AH265" s="202">
        <v>0</v>
      </c>
      <c r="AI265" s="203">
        <v>0</v>
      </c>
      <c r="AJ265" s="202">
        <v>0</v>
      </c>
      <c r="AK265" s="203">
        <v>0</v>
      </c>
      <c r="AL265" s="203">
        <v>0</v>
      </c>
      <c r="AM265" s="203">
        <v>0</v>
      </c>
      <c r="AN265" s="203"/>
      <c r="AO265" s="203">
        <v>0</v>
      </c>
    </row>
    <row r="266" spans="1:41" s="176" customFormat="1" ht="36" customHeight="1" x14ac:dyDescent="0.25">
      <c r="B266" s="172" t="s">
        <v>808</v>
      </c>
      <c r="C266" s="172"/>
      <c r="D266" s="173" t="s">
        <v>882</v>
      </c>
      <c r="E266" s="173" t="s">
        <v>882</v>
      </c>
      <c r="F266" s="173" t="s">
        <v>882</v>
      </c>
      <c r="G266" s="173" t="s">
        <v>882</v>
      </c>
      <c r="H266" s="173" t="s">
        <v>882</v>
      </c>
      <c r="I266" s="177">
        <f>SUM(I267:I271)</f>
        <v>29543.5</v>
      </c>
      <c r="J266" s="177">
        <f>SUM(J267:J271)</f>
        <v>18251.899999999998</v>
      </c>
      <c r="K266" s="177">
        <f>SUM(K267:K271)</f>
        <v>18251.899999999998</v>
      </c>
      <c r="L266" s="357">
        <f>SUM(L267:L271)</f>
        <v>855</v>
      </c>
      <c r="M266" s="173" t="s">
        <v>882</v>
      </c>
      <c r="N266" s="173" t="s">
        <v>882</v>
      </c>
      <c r="O266" s="175" t="s">
        <v>882</v>
      </c>
      <c r="P266" s="170">
        <v>14114868.93</v>
      </c>
      <c r="Q266" s="170">
        <f>SUM(Q267:Q271)</f>
        <v>0</v>
      </c>
      <c r="R266" s="170">
        <f>SUM(R267:R271)</f>
        <v>0</v>
      </c>
      <c r="S266" s="170">
        <f>SUM(S267:S271)</f>
        <v>14114868.93</v>
      </c>
      <c r="T266" s="170">
        <f t="shared" si="22"/>
        <v>477.76563135715134</v>
      </c>
      <c r="U266" s="170">
        <f>MAX(U267:U271)</f>
        <v>1093.996464532677</v>
      </c>
      <c r="V266" s="202">
        <f t="shared" si="23"/>
        <v>616.23083317552573</v>
      </c>
      <c r="W266" s="202"/>
      <c r="X266" s="202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</row>
    <row r="267" spans="1:41" s="176" customFormat="1" ht="36" customHeight="1" x14ac:dyDescent="0.25">
      <c r="A267" s="176">
        <v>1</v>
      </c>
      <c r="B267" s="171">
        <f>SUBTOTAL(103,$A$16:A267)</f>
        <v>246</v>
      </c>
      <c r="C267" s="172" t="s">
        <v>628</v>
      </c>
      <c r="D267" s="173">
        <v>1981</v>
      </c>
      <c r="E267" s="173"/>
      <c r="F267" s="174" t="s">
        <v>311</v>
      </c>
      <c r="G267" s="173">
        <v>5</v>
      </c>
      <c r="H267" s="173" t="s">
        <v>2251</v>
      </c>
      <c r="I267" s="170">
        <v>9132.7000000000007</v>
      </c>
      <c r="J267" s="170">
        <v>5348.9</v>
      </c>
      <c r="K267" s="170">
        <v>5348.9</v>
      </c>
      <c r="L267" s="206">
        <v>243</v>
      </c>
      <c r="M267" s="173" t="s">
        <v>265</v>
      </c>
      <c r="N267" s="173" t="s">
        <v>269</v>
      </c>
      <c r="O267" s="175" t="s">
        <v>701</v>
      </c>
      <c r="P267" s="170">
        <v>3927547.9699999997</v>
      </c>
      <c r="Q267" s="170">
        <v>0</v>
      </c>
      <c r="R267" s="170">
        <v>0</v>
      </c>
      <c r="S267" s="170">
        <f>P267-Q267-R267</f>
        <v>3927547.9699999997</v>
      </c>
      <c r="T267" s="170">
        <f t="shared" si="22"/>
        <v>430.05332158069348</v>
      </c>
      <c r="U267" s="170">
        <v>911.02241943784418</v>
      </c>
      <c r="V267" s="202">
        <f t="shared" si="23"/>
        <v>480.9690978571507</v>
      </c>
      <c r="W267" s="202">
        <f>X267+Y267+Z267+AA267+AB267+AD267+AF267+AH267+AJ267+AL267+AN267+AO267</f>
        <v>873.39411510287198</v>
      </c>
      <c r="X267" s="202">
        <v>0</v>
      </c>
      <c r="Y267" s="203">
        <v>0</v>
      </c>
      <c r="Z267" s="203">
        <v>0</v>
      </c>
      <c r="AA267" s="203">
        <v>0</v>
      </c>
      <c r="AB267" s="203">
        <v>0</v>
      </c>
      <c r="AC267" s="203">
        <v>0</v>
      </c>
      <c r="AD267" s="203">
        <v>0</v>
      </c>
      <c r="AE267" s="203">
        <v>1278.5</v>
      </c>
      <c r="AF267" s="202">
        <f>6238.91*AE267/I267</f>
        <v>873.39411510287198</v>
      </c>
      <c r="AG267" s="203">
        <v>0</v>
      </c>
      <c r="AH267" s="202">
        <v>0</v>
      </c>
      <c r="AI267" s="203">
        <v>0</v>
      </c>
      <c r="AJ267" s="202">
        <v>0</v>
      </c>
      <c r="AK267" s="203">
        <v>0</v>
      </c>
      <c r="AL267" s="203">
        <v>0</v>
      </c>
      <c r="AM267" s="203">
        <v>0</v>
      </c>
      <c r="AN267" s="203"/>
      <c r="AO267" s="203">
        <v>0</v>
      </c>
    </row>
    <row r="268" spans="1:41" s="176" customFormat="1" ht="36" customHeight="1" x14ac:dyDescent="0.25">
      <c r="A268" s="176">
        <v>1</v>
      </c>
      <c r="B268" s="171">
        <f>SUBTOTAL(103,$A$16:A268)</f>
        <v>247</v>
      </c>
      <c r="C268" s="172" t="s">
        <v>634</v>
      </c>
      <c r="D268" s="173">
        <v>1988</v>
      </c>
      <c r="E268" s="173"/>
      <c r="F268" s="174" t="s">
        <v>267</v>
      </c>
      <c r="G268" s="173">
        <v>5</v>
      </c>
      <c r="H268" s="173" t="s">
        <v>370</v>
      </c>
      <c r="I268" s="170">
        <v>7301.9</v>
      </c>
      <c r="J268" s="170">
        <v>3924.5</v>
      </c>
      <c r="K268" s="170">
        <v>3924.5</v>
      </c>
      <c r="L268" s="206">
        <v>198</v>
      </c>
      <c r="M268" s="173" t="s">
        <v>265</v>
      </c>
      <c r="N268" s="173" t="s">
        <v>269</v>
      </c>
      <c r="O268" s="175" t="s">
        <v>701</v>
      </c>
      <c r="P268" s="170">
        <v>3307384.7800000003</v>
      </c>
      <c r="Q268" s="170">
        <v>0</v>
      </c>
      <c r="R268" s="170">
        <v>0</v>
      </c>
      <c r="S268" s="170">
        <f>P268-Q268-R268</f>
        <v>3307384.7800000003</v>
      </c>
      <c r="T268" s="170">
        <f t="shared" si="22"/>
        <v>452.94851750914154</v>
      </c>
      <c r="U268" s="170">
        <v>910.80528246072947</v>
      </c>
      <c r="V268" s="202">
        <f t="shared" si="23"/>
        <v>457.85676495158793</v>
      </c>
      <c r="W268" s="202">
        <f>X268+Y268+Z268+AA268+AB268+AD268+AF268+AH268+AJ268+AL268+AN268+AO268</f>
        <v>959.08961708596394</v>
      </c>
      <c r="X268" s="202">
        <v>0</v>
      </c>
      <c r="Y268" s="203">
        <v>0</v>
      </c>
      <c r="Z268" s="203">
        <v>0</v>
      </c>
      <c r="AA268" s="203">
        <v>0</v>
      </c>
      <c r="AB268" s="203">
        <v>0</v>
      </c>
      <c r="AC268" s="203">
        <v>0</v>
      </c>
      <c r="AD268" s="203">
        <v>0</v>
      </c>
      <c r="AE268" s="203">
        <v>1122.5</v>
      </c>
      <c r="AF268" s="202">
        <f>6238.91*AE268/I268</f>
        <v>959.08961708596394</v>
      </c>
      <c r="AG268" s="203">
        <v>0</v>
      </c>
      <c r="AH268" s="202">
        <v>0</v>
      </c>
      <c r="AI268" s="203">
        <v>0</v>
      </c>
      <c r="AJ268" s="202">
        <v>0</v>
      </c>
      <c r="AK268" s="203">
        <v>0</v>
      </c>
      <c r="AL268" s="203">
        <v>0</v>
      </c>
      <c r="AM268" s="203">
        <v>0</v>
      </c>
      <c r="AN268" s="203"/>
      <c r="AO268" s="203">
        <v>0</v>
      </c>
    </row>
    <row r="269" spans="1:41" s="176" customFormat="1" ht="36" customHeight="1" x14ac:dyDescent="0.25">
      <c r="A269" s="176">
        <v>1</v>
      </c>
      <c r="B269" s="171">
        <f>SUBTOTAL(103,$A$16:A269)</f>
        <v>248</v>
      </c>
      <c r="C269" s="172" t="s">
        <v>1184</v>
      </c>
      <c r="D269" s="173">
        <v>1979</v>
      </c>
      <c r="E269" s="173"/>
      <c r="F269" s="174" t="s">
        <v>311</v>
      </c>
      <c r="G269" s="173">
        <v>5</v>
      </c>
      <c r="H269" s="173" t="s">
        <v>303</v>
      </c>
      <c r="I269" s="170">
        <v>2660.8</v>
      </c>
      <c r="J269" s="170">
        <v>1869.9</v>
      </c>
      <c r="K269" s="170">
        <v>1869.9</v>
      </c>
      <c r="L269" s="206">
        <v>84</v>
      </c>
      <c r="M269" s="173" t="s">
        <v>265</v>
      </c>
      <c r="N269" s="173" t="s">
        <v>269</v>
      </c>
      <c r="O269" s="175" t="s">
        <v>701</v>
      </c>
      <c r="P269" s="170">
        <v>1446069.26</v>
      </c>
      <c r="Q269" s="170">
        <v>0</v>
      </c>
      <c r="R269" s="170">
        <v>0</v>
      </c>
      <c r="S269" s="170">
        <f>P269-Q269-R269</f>
        <v>1446069.26</v>
      </c>
      <c r="T269" s="170">
        <f t="shared" ref="T269:T332" si="28">P269/I269</f>
        <v>543.47161004209261</v>
      </c>
      <c r="U269" s="170">
        <v>1073.4476585989175</v>
      </c>
      <c r="V269" s="202">
        <f t="shared" si="23"/>
        <v>529.97604855682494</v>
      </c>
      <c r="W269" s="202">
        <f>X269+Y269+Z269+AA269+AB269+AD269+AF269+AH269+AJ269+AL269+AN269+AO269</f>
        <v>2722.2544009320504</v>
      </c>
      <c r="X269" s="202">
        <v>0</v>
      </c>
      <c r="Y269" s="203">
        <v>0</v>
      </c>
      <c r="Z269" s="203">
        <v>0</v>
      </c>
      <c r="AA269" s="203">
        <v>0</v>
      </c>
      <c r="AB269" s="203">
        <v>0</v>
      </c>
      <c r="AC269" s="203">
        <v>0</v>
      </c>
      <c r="AD269" s="203">
        <v>0</v>
      </c>
      <c r="AE269" s="203">
        <v>1161</v>
      </c>
      <c r="AF269" s="202">
        <f>6238.91*AE269/I269</f>
        <v>2722.2544009320504</v>
      </c>
      <c r="AG269" s="203">
        <v>0</v>
      </c>
      <c r="AH269" s="202">
        <v>0</v>
      </c>
      <c r="AI269" s="203">
        <v>0</v>
      </c>
      <c r="AJ269" s="202">
        <v>0</v>
      </c>
      <c r="AK269" s="203">
        <v>0</v>
      </c>
      <c r="AL269" s="203">
        <v>0</v>
      </c>
      <c r="AM269" s="203">
        <v>0</v>
      </c>
      <c r="AN269" s="203"/>
      <c r="AO269" s="203">
        <v>0</v>
      </c>
    </row>
    <row r="270" spans="1:41" s="176" customFormat="1" ht="36" customHeight="1" x14ac:dyDescent="0.25">
      <c r="A270" s="176">
        <v>1</v>
      </c>
      <c r="B270" s="171">
        <f>SUBTOTAL(103,$A$16:A270)</f>
        <v>249</v>
      </c>
      <c r="C270" s="172" t="s">
        <v>1185</v>
      </c>
      <c r="D270" s="173">
        <v>1986</v>
      </c>
      <c r="E270" s="173"/>
      <c r="F270" s="174" t="s">
        <v>311</v>
      </c>
      <c r="G270" s="173">
        <v>5</v>
      </c>
      <c r="H270" s="173" t="s">
        <v>351</v>
      </c>
      <c r="I270" s="170">
        <v>5770.1</v>
      </c>
      <c r="J270" s="170">
        <v>3935.4</v>
      </c>
      <c r="K270" s="170">
        <v>3935.4</v>
      </c>
      <c r="L270" s="206">
        <v>180</v>
      </c>
      <c r="M270" s="173" t="s">
        <v>265</v>
      </c>
      <c r="N270" s="173" t="s">
        <v>269</v>
      </c>
      <c r="O270" s="175" t="s">
        <v>701</v>
      </c>
      <c r="P270" s="170">
        <v>2997039.15</v>
      </c>
      <c r="Q270" s="170">
        <v>0</v>
      </c>
      <c r="R270" s="170">
        <v>0</v>
      </c>
      <c r="S270" s="170">
        <f>P270-Q270-R270</f>
        <v>2997039.15</v>
      </c>
      <c r="T270" s="170">
        <f t="shared" si="28"/>
        <v>519.40852844838037</v>
      </c>
      <c r="U270" s="170">
        <v>1093.996464532677</v>
      </c>
      <c r="V270" s="202">
        <f t="shared" si="23"/>
        <v>574.58793608429664</v>
      </c>
      <c r="W270" s="202">
        <f>X270+Y270+Z270+AA270+AB270+AD270+AF270+AH270+AJ270+AL270+AN270+AO270</f>
        <v>1048.8107138524463</v>
      </c>
      <c r="X270" s="202">
        <v>0</v>
      </c>
      <c r="Y270" s="203">
        <v>0</v>
      </c>
      <c r="Z270" s="203">
        <v>0</v>
      </c>
      <c r="AA270" s="203">
        <v>0</v>
      </c>
      <c r="AB270" s="203">
        <v>0</v>
      </c>
      <c r="AC270" s="203">
        <v>0</v>
      </c>
      <c r="AD270" s="203">
        <v>0</v>
      </c>
      <c r="AE270" s="203">
        <v>970</v>
      </c>
      <c r="AF270" s="202">
        <f>6238.91*AE270/I270</f>
        <v>1048.8107138524463</v>
      </c>
      <c r="AG270" s="203">
        <v>0</v>
      </c>
      <c r="AH270" s="202">
        <v>0</v>
      </c>
      <c r="AI270" s="203">
        <v>0</v>
      </c>
      <c r="AJ270" s="202">
        <v>0</v>
      </c>
      <c r="AK270" s="203">
        <v>0</v>
      </c>
      <c r="AL270" s="203">
        <v>0</v>
      </c>
      <c r="AM270" s="203">
        <v>0</v>
      </c>
      <c r="AN270" s="203"/>
      <c r="AO270" s="203">
        <v>0</v>
      </c>
    </row>
    <row r="271" spans="1:41" s="176" customFormat="1" ht="36" customHeight="1" x14ac:dyDescent="0.25">
      <c r="A271" s="176">
        <v>1</v>
      </c>
      <c r="B271" s="171">
        <f>SUBTOTAL(103,$A$16:A271)</f>
        <v>250</v>
      </c>
      <c r="C271" s="172" t="s">
        <v>632</v>
      </c>
      <c r="D271" s="173">
        <v>1990</v>
      </c>
      <c r="E271" s="173"/>
      <c r="F271" s="174" t="s">
        <v>311</v>
      </c>
      <c r="G271" s="173">
        <v>5</v>
      </c>
      <c r="H271" s="173" t="s">
        <v>308</v>
      </c>
      <c r="I271" s="170">
        <v>4678</v>
      </c>
      <c r="J271" s="170">
        <v>3173.2</v>
      </c>
      <c r="K271" s="170">
        <v>3173.2</v>
      </c>
      <c r="L271" s="206">
        <v>150</v>
      </c>
      <c r="M271" s="173" t="s">
        <v>265</v>
      </c>
      <c r="N271" s="173" t="s">
        <v>269</v>
      </c>
      <c r="O271" s="175" t="s">
        <v>701</v>
      </c>
      <c r="P271" s="170">
        <v>2436827.77</v>
      </c>
      <c r="Q271" s="170">
        <v>0</v>
      </c>
      <c r="R271" s="170">
        <v>0</v>
      </c>
      <c r="S271" s="170">
        <f>P271-Q271-R271</f>
        <v>2436827.77</v>
      </c>
      <c r="T271" s="170">
        <f t="shared" si="28"/>
        <v>520.91230654125695</v>
      </c>
      <c r="U271" s="170">
        <v>1082.0198931167165</v>
      </c>
      <c r="V271" s="202">
        <f>U271-T271</f>
        <v>561.10758657545955</v>
      </c>
      <c r="W271" s="202">
        <f>X271+Y271+Z271+AA271+AB271+AD271+AF271+AH271+AJ271+AL271+AN271+AO271</f>
        <v>1037.3288153056862</v>
      </c>
      <c r="X271" s="202">
        <v>0</v>
      </c>
      <c r="Y271" s="203">
        <v>0</v>
      </c>
      <c r="Z271" s="203">
        <v>0</v>
      </c>
      <c r="AA271" s="203">
        <v>0</v>
      </c>
      <c r="AB271" s="203">
        <v>0</v>
      </c>
      <c r="AC271" s="203">
        <v>0</v>
      </c>
      <c r="AD271" s="203">
        <v>0</v>
      </c>
      <c r="AE271" s="203">
        <v>777.8</v>
      </c>
      <c r="AF271" s="202">
        <f>6238.91*AE271/I271</f>
        <v>1037.3288153056862</v>
      </c>
      <c r="AG271" s="203">
        <v>0</v>
      </c>
      <c r="AH271" s="202">
        <v>0</v>
      </c>
      <c r="AI271" s="203">
        <v>0</v>
      </c>
      <c r="AJ271" s="202">
        <v>0</v>
      </c>
      <c r="AK271" s="203">
        <v>0</v>
      </c>
      <c r="AL271" s="203">
        <v>0</v>
      </c>
      <c r="AM271" s="203">
        <v>0</v>
      </c>
      <c r="AN271" s="203"/>
      <c r="AO271" s="203">
        <v>0</v>
      </c>
    </row>
    <row r="272" spans="1:41" s="176" customFormat="1" ht="36" customHeight="1" x14ac:dyDescent="0.25">
      <c r="B272" s="172" t="s">
        <v>809</v>
      </c>
      <c r="C272" s="172"/>
      <c r="D272" s="173" t="s">
        <v>882</v>
      </c>
      <c r="E272" s="173" t="s">
        <v>882</v>
      </c>
      <c r="F272" s="173" t="s">
        <v>882</v>
      </c>
      <c r="G272" s="173" t="s">
        <v>882</v>
      </c>
      <c r="H272" s="173" t="s">
        <v>882</v>
      </c>
      <c r="I272" s="177">
        <f>SUM(I273:I278)</f>
        <v>10662.800000000001</v>
      </c>
      <c r="J272" s="177">
        <f>SUM(J273:J278)</f>
        <v>9226.6</v>
      </c>
      <c r="K272" s="177">
        <f>SUM(K273:K278)</f>
        <v>8378.2999999999993</v>
      </c>
      <c r="L272" s="357">
        <f>SUM(L273:L278)</f>
        <v>403</v>
      </c>
      <c r="M272" s="173" t="s">
        <v>882</v>
      </c>
      <c r="N272" s="173" t="s">
        <v>882</v>
      </c>
      <c r="O272" s="175" t="s">
        <v>882</v>
      </c>
      <c r="P272" s="177">
        <v>30964559.009999998</v>
      </c>
      <c r="Q272" s="177">
        <f>SUM(Q273:Q278)</f>
        <v>0</v>
      </c>
      <c r="R272" s="177">
        <f>SUM(R273:R278)</f>
        <v>0</v>
      </c>
      <c r="S272" s="177">
        <f>SUM(S273:S278)</f>
        <v>30964559.009999998</v>
      </c>
      <c r="T272" s="170">
        <f t="shared" si="28"/>
        <v>2903.9800999737399</v>
      </c>
      <c r="U272" s="170">
        <f>MAX(U273:U278)</f>
        <v>16026.236550396923</v>
      </c>
      <c r="V272" s="202">
        <f t="shared" ref="V272:V336" si="29">U272-T272</f>
        <v>13122.256450423183</v>
      </c>
      <c r="W272" s="202"/>
      <c r="X272" s="202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</row>
    <row r="273" spans="1:41" s="176" customFormat="1" ht="36" customHeight="1" x14ac:dyDescent="0.25">
      <c r="A273" s="176">
        <v>1</v>
      </c>
      <c r="B273" s="171">
        <f>SUBTOTAL(103,$A$16:A273)</f>
        <v>251</v>
      </c>
      <c r="C273" s="172" t="s">
        <v>641</v>
      </c>
      <c r="D273" s="173">
        <v>1896</v>
      </c>
      <c r="E273" s="173"/>
      <c r="F273" s="174" t="s">
        <v>267</v>
      </c>
      <c r="G273" s="173">
        <v>2</v>
      </c>
      <c r="H273" s="173" t="s">
        <v>304</v>
      </c>
      <c r="I273" s="170">
        <v>415.7</v>
      </c>
      <c r="J273" s="170">
        <v>374.1</v>
      </c>
      <c r="K273" s="170">
        <v>374.1</v>
      </c>
      <c r="L273" s="206">
        <v>22</v>
      </c>
      <c r="M273" s="173" t="s">
        <v>265</v>
      </c>
      <c r="N273" s="173" t="s">
        <v>269</v>
      </c>
      <c r="O273" s="175" t="s">
        <v>702</v>
      </c>
      <c r="P273" s="170">
        <v>3101907.63</v>
      </c>
      <c r="Q273" s="170">
        <v>0</v>
      </c>
      <c r="R273" s="170">
        <v>0</v>
      </c>
      <c r="S273" s="170">
        <f>P273-Q273-R273</f>
        <v>3101907.63</v>
      </c>
      <c r="T273" s="170">
        <f t="shared" si="28"/>
        <v>7461.8898965600192</v>
      </c>
      <c r="U273" s="170">
        <v>16026.236550396923</v>
      </c>
      <c r="V273" s="202">
        <f t="shared" si="29"/>
        <v>8564.346653836903</v>
      </c>
      <c r="W273" s="202">
        <f t="shared" ref="W273:W278" si="30">X273+Y273+Z273+AA273+AB273+AD273+AF273+AH273+AJ273+AL273+AN273+AO273</f>
        <v>14036.054674043782</v>
      </c>
      <c r="X273" s="202">
        <v>0</v>
      </c>
      <c r="Y273" s="203">
        <v>0</v>
      </c>
      <c r="Z273" s="203">
        <v>0</v>
      </c>
      <c r="AA273" s="203">
        <v>0</v>
      </c>
      <c r="AB273" s="203">
        <v>0</v>
      </c>
      <c r="AC273" s="203">
        <v>0</v>
      </c>
      <c r="AD273" s="203">
        <v>0</v>
      </c>
      <c r="AE273" s="203">
        <v>374</v>
      </c>
      <c r="AF273" s="202">
        <f>6238.91*AE273/I273</f>
        <v>5613.0679336059657</v>
      </c>
      <c r="AG273" s="203">
        <v>0</v>
      </c>
      <c r="AH273" s="202">
        <v>0</v>
      </c>
      <c r="AI273" s="203">
        <v>470.68</v>
      </c>
      <c r="AJ273" s="202">
        <f>7439.1*AI273/I273</f>
        <v>8422.9867404378165</v>
      </c>
      <c r="AK273" s="203">
        <v>0</v>
      </c>
      <c r="AL273" s="203">
        <v>0</v>
      </c>
      <c r="AM273" s="203">
        <v>0</v>
      </c>
      <c r="AN273" s="203"/>
      <c r="AO273" s="203">
        <v>0</v>
      </c>
    </row>
    <row r="274" spans="1:41" s="176" customFormat="1" ht="36" customHeight="1" x14ac:dyDescent="0.25">
      <c r="A274" s="176">
        <v>1</v>
      </c>
      <c r="B274" s="171">
        <f>SUBTOTAL(103,$A$16:A274)</f>
        <v>252</v>
      </c>
      <c r="C274" s="172" t="s">
        <v>636</v>
      </c>
      <c r="D274" s="173">
        <v>1958</v>
      </c>
      <c r="E274" s="173"/>
      <c r="F274" s="174" t="s">
        <v>267</v>
      </c>
      <c r="G274" s="173">
        <v>3</v>
      </c>
      <c r="H274" s="173" t="s">
        <v>312</v>
      </c>
      <c r="I274" s="170">
        <v>1224.0999999999999</v>
      </c>
      <c r="J274" s="170">
        <v>1113.4000000000001</v>
      </c>
      <c r="K274" s="170">
        <v>1113.4000000000001</v>
      </c>
      <c r="L274" s="206">
        <v>48</v>
      </c>
      <c r="M274" s="173" t="s">
        <v>265</v>
      </c>
      <c r="N274" s="173" t="s">
        <v>269</v>
      </c>
      <c r="O274" s="175" t="s">
        <v>702</v>
      </c>
      <c r="P274" s="170">
        <v>3151307.31</v>
      </c>
      <c r="Q274" s="170">
        <v>0</v>
      </c>
      <c r="R274" s="170">
        <v>0</v>
      </c>
      <c r="S274" s="170">
        <f>P274-Q274-R274</f>
        <v>3151307.31</v>
      </c>
      <c r="T274" s="170">
        <f t="shared" si="28"/>
        <v>2574.3871497426685</v>
      </c>
      <c r="U274" s="170">
        <v>3312.0636385916187</v>
      </c>
      <c r="V274" s="202">
        <f t="shared" si="29"/>
        <v>737.67648884895016</v>
      </c>
      <c r="W274" s="202">
        <f t="shared" si="30"/>
        <v>3175.2642186095909</v>
      </c>
      <c r="X274" s="202">
        <v>0</v>
      </c>
      <c r="Y274" s="203">
        <v>0</v>
      </c>
      <c r="Z274" s="203">
        <v>0</v>
      </c>
      <c r="AA274" s="203">
        <v>0</v>
      </c>
      <c r="AB274" s="203">
        <v>0</v>
      </c>
      <c r="AC274" s="203">
        <v>0</v>
      </c>
      <c r="AD274" s="203">
        <v>0</v>
      </c>
      <c r="AE274" s="203">
        <v>623</v>
      </c>
      <c r="AF274" s="202">
        <f>6238.91*AE274/I274</f>
        <v>3175.2642186095909</v>
      </c>
      <c r="AG274" s="203">
        <v>0</v>
      </c>
      <c r="AH274" s="202">
        <v>0</v>
      </c>
      <c r="AI274" s="203">
        <v>0</v>
      </c>
      <c r="AJ274" s="202">
        <v>0</v>
      </c>
      <c r="AK274" s="203">
        <v>0</v>
      </c>
      <c r="AL274" s="203">
        <v>0</v>
      </c>
      <c r="AM274" s="203">
        <v>0</v>
      </c>
      <c r="AN274" s="203"/>
      <c r="AO274" s="203">
        <v>0</v>
      </c>
    </row>
    <row r="275" spans="1:41" s="176" customFormat="1" ht="36" customHeight="1" x14ac:dyDescent="0.25">
      <c r="A275" s="176">
        <v>1</v>
      </c>
      <c r="B275" s="171">
        <f>SUBTOTAL(103,$A$16:A275)</f>
        <v>253</v>
      </c>
      <c r="C275" s="172" t="s">
        <v>640</v>
      </c>
      <c r="D275" s="173">
        <v>1984</v>
      </c>
      <c r="E275" s="173"/>
      <c r="F275" s="174" t="s">
        <v>267</v>
      </c>
      <c r="G275" s="173">
        <v>3</v>
      </c>
      <c r="H275" s="173" t="s">
        <v>312</v>
      </c>
      <c r="I275" s="170">
        <v>2162.5</v>
      </c>
      <c r="J275" s="170">
        <v>2047.6</v>
      </c>
      <c r="K275" s="170">
        <v>2047.6</v>
      </c>
      <c r="L275" s="206">
        <v>85</v>
      </c>
      <c r="M275" s="173" t="s">
        <v>265</v>
      </c>
      <c r="N275" s="173" t="s">
        <v>269</v>
      </c>
      <c r="O275" s="175" t="s">
        <v>696</v>
      </c>
      <c r="P275" s="170">
        <v>4866736.68</v>
      </c>
      <c r="Q275" s="170">
        <v>0</v>
      </c>
      <c r="R275" s="170">
        <v>0</v>
      </c>
      <c r="S275" s="170">
        <f>P275-Q275-R275</f>
        <v>4866736.68</v>
      </c>
      <c r="T275" s="170">
        <f t="shared" si="28"/>
        <v>2250.5140716763003</v>
      </c>
      <c r="U275" s="170">
        <v>3125.8627255491333</v>
      </c>
      <c r="V275" s="202">
        <f t="shared" si="29"/>
        <v>875.34865387283298</v>
      </c>
      <c r="W275" s="202">
        <f t="shared" si="30"/>
        <v>2996.7540324624279</v>
      </c>
      <c r="X275" s="202">
        <v>0</v>
      </c>
      <c r="Y275" s="203">
        <v>0</v>
      </c>
      <c r="Z275" s="203">
        <v>0</v>
      </c>
      <c r="AA275" s="203">
        <v>0</v>
      </c>
      <c r="AB275" s="203">
        <v>0</v>
      </c>
      <c r="AC275" s="203">
        <v>0</v>
      </c>
      <c r="AD275" s="203">
        <v>0</v>
      </c>
      <c r="AE275" s="203">
        <v>1038.72</v>
      </c>
      <c r="AF275" s="202">
        <f>6238.91*AE275/I275</f>
        <v>2996.7540324624279</v>
      </c>
      <c r="AG275" s="203">
        <v>0</v>
      </c>
      <c r="AH275" s="202">
        <v>0</v>
      </c>
      <c r="AI275" s="203">
        <v>0</v>
      </c>
      <c r="AJ275" s="202">
        <v>0</v>
      </c>
      <c r="AK275" s="203">
        <v>0</v>
      </c>
      <c r="AL275" s="203">
        <v>0</v>
      </c>
      <c r="AM275" s="203">
        <v>0</v>
      </c>
      <c r="AN275" s="203"/>
      <c r="AO275" s="203">
        <v>0</v>
      </c>
    </row>
    <row r="276" spans="1:41" s="176" customFormat="1" ht="36" customHeight="1" x14ac:dyDescent="0.25">
      <c r="A276" s="176">
        <v>1</v>
      </c>
      <c r="B276" s="171">
        <f>SUBTOTAL(103,$A$16:A276)</f>
        <v>254</v>
      </c>
      <c r="C276" s="172" t="s">
        <v>1186</v>
      </c>
      <c r="D276" s="173">
        <v>1932</v>
      </c>
      <c r="E276" s="173"/>
      <c r="F276" s="174" t="s">
        <v>1313</v>
      </c>
      <c r="G276" s="173">
        <v>3</v>
      </c>
      <c r="H276" s="173" t="s">
        <v>351</v>
      </c>
      <c r="I276" s="170">
        <v>1954.2</v>
      </c>
      <c r="J276" s="170">
        <v>1319.3</v>
      </c>
      <c r="K276" s="170">
        <v>1319.3</v>
      </c>
      <c r="L276" s="206">
        <v>71</v>
      </c>
      <c r="M276" s="173" t="s">
        <v>265</v>
      </c>
      <c r="N276" s="173" t="s">
        <v>269</v>
      </c>
      <c r="O276" s="175" t="s">
        <v>1314</v>
      </c>
      <c r="P276" s="170">
        <v>6540486.5499999998</v>
      </c>
      <c r="Q276" s="170">
        <v>0</v>
      </c>
      <c r="R276" s="170">
        <v>0</v>
      </c>
      <c r="S276" s="170">
        <f>P276-Q276-R276</f>
        <v>6540486.5499999998</v>
      </c>
      <c r="T276" s="170">
        <f t="shared" si="28"/>
        <v>3346.8869870023536</v>
      </c>
      <c r="U276" s="170">
        <v>7382.7604851089964</v>
      </c>
      <c r="V276" s="202">
        <f t="shared" si="29"/>
        <v>4035.8734981066427</v>
      </c>
      <c r="W276" s="202">
        <f t="shared" si="30"/>
        <v>7382.7604851089964</v>
      </c>
      <c r="X276" s="202">
        <v>0</v>
      </c>
      <c r="Y276" s="203">
        <v>0</v>
      </c>
      <c r="Z276" s="203">
        <v>0</v>
      </c>
      <c r="AA276" s="203">
        <v>0</v>
      </c>
      <c r="AB276" s="203">
        <v>0</v>
      </c>
      <c r="AC276" s="203">
        <v>0</v>
      </c>
      <c r="AD276" s="203">
        <v>0</v>
      </c>
      <c r="AE276" s="203">
        <v>0</v>
      </c>
      <c r="AF276" s="202">
        <v>0</v>
      </c>
      <c r="AG276" s="203">
        <v>0</v>
      </c>
      <c r="AH276" s="202">
        <v>0</v>
      </c>
      <c r="AI276" s="203">
        <v>1939.4</v>
      </c>
      <c r="AJ276" s="202">
        <f>7439.1*AI276/I276</f>
        <v>7382.7604851089964</v>
      </c>
      <c r="AK276" s="203">
        <v>0</v>
      </c>
      <c r="AL276" s="203">
        <v>0</v>
      </c>
      <c r="AM276" s="203">
        <v>0</v>
      </c>
      <c r="AN276" s="203"/>
      <c r="AO276" s="203">
        <v>0</v>
      </c>
    </row>
    <row r="277" spans="1:41" s="176" customFormat="1" ht="36" customHeight="1" x14ac:dyDescent="0.25">
      <c r="A277" s="176">
        <v>1</v>
      </c>
      <c r="B277" s="171">
        <f>SUBTOTAL(103,$A$16:A277)</f>
        <v>255</v>
      </c>
      <c r="C277" s="172" t="s">
        <v>1171</v>
      </c>
      <c r="D277" s="173">
        <v>1882</v>
      </c>
      <c r="E277" s="173"/>
      <c r="F277" s="174" t="s">
        <v>267</v>
      </c>
      <c r="G277" s="173">
        <v>4</v>
      </c>
      <c r="H277" s="173" t="s">
        <v>303</v>
      </c>
      <c r="I277" s="170">
        <v>3453.2</v>
      </c>
      <c r="J277" s="170">
        <v>3230.8</v>
      </c>
      <c r="K277" s="170">
        <v>2382.5</v>
      </c>
      <c r="L277" s="206">
        <v>128</v>
      </c>
      <c r="M277" s="173" t="s">
        <v>265</v>
      </c>
      <c r="N277" s="173" t="s">
        <v>269</v>
      </c>
      <c r="O277" s="175" t="s">
        <v>702</v>
      </c>
      <c r="P277" s="170">
        <v>10088677.58</v>
      </c>
      <c r="Q277" s="170">
        <v>0</v>
      </c>
      <c r="R277" s="170">
        <v>0</v>
      </c>
      <c r="S277" s="170">
        <f>P277-Q277-R277</f>
        <v>10088677.58</v>
      </c>
      <c r="T277" s="170">
        <f t="shared" si="28"/>
        <v>2921.5445326074368</v>
      </c>
      <c r="U277" s="170">
        <v>3539.4334756168196</v>
      </c>
      <c r="V277" s="202">
        <f t="shared" si="29"/>
        <v>617.88894300938273</v>
      </c>
      <c r="W277" s="202">
        <f t="shared" si="30"/>
        <v>3500.7252560523575</v>
      </c>
      <c r="X277" s="202">
        <v>0</v>
      </c>
      <c r="Y277" s="203">
        <v>0</v>
      </c>
      <c r="Z277" s="203">
        <v>0</v>
      </c>
      <c r="AA277" s="203">
        <v>0</v>
      </c>
      <c r="AB277" s="203">
        <v>0</v>
      </c>
      <c r="AC277" s="203">
        <v>0</v>
      </c>
      <c r="AD277" s="203">
        <v>0</v>
      </c>
      <c r="AE277" s="203">
        <v>1878.14</v>
      </c>
      <c r="AF277" s="202">
        <f>6436.53*AE277/I277</f>
        <v>3500.7252560523575</v>
      </c>
      <c r="AG277" s="203">
        <v>0</v>
      </c>
      <c r="AH277" s="202">
        <v>0</v>
      </c>
      <c r="AI277" s="203">
        <v>0</v>
      </c>
      <c r="AJ277" s="202">
        <v>0</v>
      </c>
      <c r="AK277" s="203">
        <v>0</v>
      </c>
      <c r="AL277" s="203">
        <v>0</v>
      </c>
      <c r="AM277" s="203">
        <v>0</v>
      </c>
      <c r="AN277" s="203"/>
      <c r="AO277" s="203">
        <v>0</v>
      </c>
    </row>
    <row r="278" spans="1:41" s="176" customFormat="1" ht="36" customHeight="1" x14ac:dyDescent="0.25">
      <c r="A278" s="176">
        <v>1</v>
      </c>
      <c r="B278" s="171">
        <f>SUBTOTAL(103,$A$16:A278)</f>
        <v>256</v>
      </c>
      <c r="C278" s="172" t="s">
        <v>1551</v>
      </c>
      <c r="D278" s="173">
        <v>1939</v>
      </c>
      <c r="E278" s="173"/>
      <c r="F278" s="174" t="s">
        <v>1562</v>
      </c>
      <c r="G278" s="173">
        <v>3</v>
      </c>
      <c r="H278" s="173" t="s">
        <v>308</v>
      </c>
      <c r="I278" s="170">
        <v>1453.1</v>
      </c>
      <c r="J278" s="170">
        <v>1141.4000000000001</v>
      </c>
      <c r="K278" s="170">
        <v>1141.4000000000001</v>
      </c>
      <c r="L278" s="206">
        <v>49</v>
      </c>
      <c r="M278" s="173" t="s">
        <v>265</v>
      </c>
      <c r="N278" s="173" t="s">
        <v>269</v>
      </c>
      <c r="O278" s="175" t="s">
        <v>702</v>
      </c>
      <c r="P278" s="170">
        <v>3215443.26</v>
      </c>
      <c r="Q278" s="170">
        <v>0</v>
      </c>
      <c r="R278" s="170">
        <v>0</v>
      </c>
      <c r="S278" s="170">
        <f>P278-R278-Q278</f>
        <v>3215443.26</v>
      </c>
      <c r="T278" s="170">
        <f t="shared" si="28"/>
        <v>2212.8162273759549</v>
      </c>
      <c r="U278" s="170">
        <v>3181.1640382630244</v>
      </c>
      <c r="V278" s="202">
        <f t="shared" si="29"/>
        <v>968.3478108870695</v>
      </c>
      <c r="W278" s="202">
        <f t="shared" si="30"/>
        <v>3349.6733980455579</v>
      </c>
      <c r="X278" s="202">
        <v>0</v>
      </c>
      <c r="Y278" s="203">
        <v>0</v>
      </c>
      <c r="Z278" s="203">
        <v>0</v>
      </c>
      <c r="AA278" s="203">
        <v>0</v>
      </c>
      <c r="AB278" s="203">
        <v>0</v>
      </c>
      <c r="AC278" s="203">
        <v>0</v>
      </c>
      <c r="AD278" s="203">
        <v>0</v>
      </c>
      <c r="AE278" s="203">
        <v>780.17</v>
      </c>
      <c r="AF278" s="202">
        <f>6238.91*AE278/I278</f>
        <v>3349.6733980455579</v>
      </c>
      <c r="AG278" s="203">
        <v>0</v>
      </c>
      <c r="AH278" s="202">
        <v>0</v>
      </c>
      <c r="AI278" s="203">
        <v>0</v>
      </c>
      <c r="AJ278" s="202">
        <v>0</v>
      </c>
      <c r="AK278" s="203">
        <v>0</v>
      </c>
      <c r="AL278" s="203">
        <v>0</v>
      </c>
      <c r="AM278" s="203">
        <v>0</v>
      </c>
      <c r="AN278" s="203"/>
      <c r="AO278" s="203">
        <v>0</v>
      </c>
    </row>
    <row r="279" spans="1:41" s="176" customFormat="1" ht="36" customHeight="1" x14ac:dyDescent="0.25">
      <c r="B279" s="172" t="s">
        <v>810</v>
      </c>
      <c r="C279" s="172"/>
      <c r="D279" s="173" t="s">
        <v>882</v>
      </c>
      <c r="E279" s="173" t="s">
        <v>882</v>
      </c>
      <c r="F279" s="173" t="s">
        <v>882</v>
      </c>
      <c r="G279" s="173" t="s">
        <v>882</v>
      </c>
      <c r="H279" s="173" t="s">
        <v>882</v>
      </c>
      <c r="I279" s="177">
        <f>SUM(I280:I283)</f>
        <v>14970.710000000001</v>
      </c>
      <c r="J279" s="177">
        <f>SUM(J280:J283)</f>
        <v>11319.109999999999</v>
      </c>
      <c r="K279" s="177">
        <f>SUM(K280:K283)</f>
        <v>11319.109999999999</v>
      </c>
      <c r="L279" s="357">
        <f>SUM(L280:L283)</f>
        <v>518</v>
      </c>
      <c r="M279" s="173" t="s">
        <v>882</v>
      </c>
      <c r="N279" s="173" t="s">
        <v>882</v>
      </c>
      <c r="O279" s="175" t="s">
        <v>882</v>
      </c>
      <c r="P279" s="170">
        <v>12442442.430000002</v>
      </c>
      <c r="Q279" s="170">
        <f>SUM(Q280:Q283)</f>
        <v>0</v>
      </c>
      <c r="R279" s="170">
        <f>SUM(R280:R283)</f>
        <v>0</v>
      </c>
      <c r="S279" s="170">
        <f>SUM(S280:S283)</f>
        <v>12442442.430000002</v>
      </c>
      <c r="T279" s="170">
        <f t="shared" si="28"/>
        <v>831.11906048544131</v>
      </c>
      <c r="U279" s="170">
        <f>MAX(U280:U283)</f>
        <v>3707.39</v>
      </c>
      <c r="V279" s="202">
        <f t="shared" si="29"/>
        <v>2876.2709395145584</v>
      </c>
      <c r="W279" s="202"/>
      <c r="X279" s="202"/>
      <c r="Y279" s="203"/>
      <c r="Z279" s="203"/>
      <c r="AA279" s="203"/>
      <c r="AB279" s="203"/>
      <c r="AC279" s="203"/>
      <c r="AD279" s="203"/>
      <c r="AE279" s="203"/>
      <c r="AF279" s="203"/>
      <c r="AG279" s="203"/>
      <c r="AH279" s="203"/>
      <c r="AI279" s="203"/>
      <c r="AJ279" s="203"/>
      <c r="AK279" s="203"/>
      <c r="AL279" s="203"/>
      <c r="AM279" s="203"/>
      <c r="AN279" s="203"/>
      <c r="AO279" s="203"/>
    </row>
    <row r="280" spans="1:41" s="176" customFormat="1" ht="36" customHeight="1" x14ac:dyDescent="0.25">
      <c r="A280" s="176">
        <v>1</v>
      </c>
      <c r="B280" s="171">
        <f>SUBTOTAL(103,$A$16:A280)</f>
        <v>257</v>
      </c>
      <c r="C280" s="172" t="s">
        <v>645</v>
      </c>
      <c r="D280" s="173">
        <v>1972</v>
      </c>
      <c r="E280" s="173"/>
      <c r="F280" s="174" t="s">
        <v>267</v>
      </c>
      <c r="G280" s="173">
        <v>5</v>
      </c>
      <c r="H280" s="173" t="s">
        <v>308</v>
      </c>
      <c r="I280" s="170">
        <v>4295.76</v>
      </c>
      <c r="J280" s="170">
        <v>3325.76</v>
      </c>
      <c r="K280" s="170">
        <v>3325.76</v>
      </c>
      <c r="L280" s="206">
        <v>137</v>
      </c>
      <c r="M280" s="173" t="s">
        <v>265</v>
      </c>
      <c r="N280" s="173" t="s">
        <v>269</v>
      </c>
      <c r="O280" s="175" t="s">
        <v>982</v>
      </c>
      <c r="P280" s="170">
        <v>5056079.6400000006</v>
      </c>
      <c r="Q280" s="170">
        <v>0</v>
      </c>
      <c r="R280" s="170">
        <v>0</v>
      </c>
      <c r="S280" s="170">
        <f>P280-Q280-R280</f>
        <v>5056079.6400000006</v>
      </c>
      <c r="T280" s="170">
        <f t="shared" si="28"/>
        <v>1176.9930443041512</v>
      </c>
      <c r="U280" s="170">
        <v>1634.1359829226958</v>
      </c>
      <c r="V280" s="202">
        <f t="shared" si="29"/>
        <v>457.14293861854458</v>
      </c>
      <c r="W280" s="202">
        <f>X280+Y280+Z280+AA280+AB280+AD280+AF280+AH280+AJ280+AL280+AN280+AO280</f>
        <v>1725.3815576289178</v>
      </c>
      <c r="X280" s="202">
        <v>0</v>
      </c>
      <c r="Y280" s="203">
        <v>0</v>
      </c>
      <c r="Z280" s="203">
        <v>0</v>
      </c>
      <c r="AA280" s="203">
        <v>0</v>
      </c>
      <c r="AB280" s="203">
        <v>0</v>
      </c>
      <c r="AC280" s="203">
        <v>0</v>
      </c>
      <c r="AD280" s="203">
        <v>0</v>
      </c>
      <c r="AE280" s="203">
        <v>1188</v>
      </c>
      <c r="AF280" s="202">
        <f>6238.91*AE280/I280</f>
        <v>1725.3815576289178</v>
      </c>
      <c r="AG280" s="203">
        <v>0</v>
      </c>
      <c r="AH280" s="202">
        <v>0</v>
      </c>
      <c r="AI280" s="203">
        <v>0</v>
      </c>
      <c r="AJ280" s="202">
        <v>0</v>
      </c>
      <c r="AK280" s="203">
        <v>0</v>
      </c>
      <c r="AL280" s="203">
        <v>0</v>
      </c>
      <c r="AM280" s="203">
        <v>0</v>
      </c>
      <c r="AN280" s="203"/>
      <c r="AO280" s="203">
        <v>0</v>
      </c>
    </row>
    <row r="281" spans="1:41" s="176" customFormat="1" ht="36" customHeight="1" x14ac:dyDescent="0.25">
      <c r="A281" s="176">
        <v>1</v>
      </c>
      <c r="B281" s="171">
        <f>SUBTOTAL(103,$A$16:A281)</f>
        <v>258</v>
      </c>
      <c r="C281" s="172" t="s">
        <v>642</v>
      </c>
      <c r="D281" s="173">
        <v>1978</v>
      </c>
      <c r="E281" s="173"/>
      <c r="F281" s="174" t="s">
        <v>267</v>
      </c>
      <c r="G281" s="173">
        <v>3</v>
      </c>
      <c r="H281" s="173" t="s">
        <v>303</v>
      </c>
      <c r="I281" s="170">
        <v>1569.6</v>
      </c>
      <c r="J281" s="170">
        <v>1094.4000000000001</v>
      </c>
      <c r="K281" s="170">
        <v>1094.4000000000001</v>
      </c>
      <c r="L281" s="206">
        <v>54</v>
      </c>
      <c r="M281" s="173" t="s">
        <v>265</v>
      </c>
      <c r="N281" s="173" t="s">
        <v>269</v>
      </c>
      <c r="O281" s="175" t="s">
        <v>983</v>
      </c>
      <c r="P281" s="170">
        <v>1162332.27</v>
      </c>
      <c r="Q281" s="170">
        <v>0</v>
      </c>
      <c r="R281" s="170">
        <v>0</v>
      </c>
      <c r="S281" s="170">
        <f>P281-Q281-R281</f>
        <v>1162332.27</v>
      </c>
      <c r="T281" s="170">
        <f t="shared" si="28"/>
        <v>740.52769495412849</v>
      </c>
      <c r="U281" s="170">
        <v>3707.39</v>
      </c>
      <c r="V281" s="202">
        <f t="shared" si="29"/>
        <v>2966.8623050458714</v>
      </c>
      <c r="W281" s="202">
        <f>X281+Y281+Z281+AA281+AB281+AD281+AF281+AH281+AJ281+AL281+AN281+AO281</f>
        <v>3690.08</v>
      </c>
      <c r="X281" s="202">
        <v>0</v>
      </c>
      <c r="Y281" s="203">
        <v>245.44</v>
      </c>
      <c r="Z281" s="203">
        <v>3259.66</v>
      </c>
      <c r="AA281" s="203">
        <v>184.98</v>
      </c>
      <c r="AB281" s="203">
        <v>0</v>
      </c>
      <c r="AC281" s="203">
        <v>0</v>
      </c>
      <c r="AD281" s="203">
        <v>0</v>
      </c>
      <c r="AE281" s="203">
        <v>0</v>
      </c>
      <c r="AF281" s="202">
        <v>0</v>
      </c>
      <c r="AG281" s="203">
        <v>0</v>
      </c>
      <c r="AH281" s="202">
        <v>0</v>
      </c>
      <c r="AI281" s="203">
        <v>0</v>
      </c>
      <c r="AJ281" s="202">
        <v>0</v>
      </c>
      <c r="AK281" s="203">
        <v>0</v>
      </c>
      <c r="AL281" s="203">
        <v>0</v>
      </c>
      <c r="AM281" s="203">
        <v>0</v>
      </c>
      <c r="AN281" s="203"/>
      <c r="AO281" s="203">
        <v>0</v>
      </c>
    </row>
    <row r="282" spans="1:41" s="176" customFormat="1" ht="36" customHeight="1" x14ac:dyDescent="0.25">
      <c r="A282" s="176">
        <v>1</v>
      </c>
      <c r="B282" s="171">
        <f>SUBTOTAL(103,$A$16:A282)</f>
        <v>259</v>
      </c>
      <c r="C282" s="172" t="s">
        <v>1187</v>
      </c>
      <c r="D282" s="173">
        <v>1968</v>
      </c>
      <c r="E282" s="173"/>
      <c r="F282" s="174" t="s">
        <v>267</v>
      </c>
      <c r="G282" s="173">
        <v>5</v>
      </c>
      <c r="H282" s="173" t="s">
        <v>351</v>
      </c>
      <c r="I282" s="170">
        <v>3769.94</v>
      </c>
      <c r="J282" s="170">
        <v>2873.14</v>
      </c>
      <c r="K282" s="170">
        <v>2873.14</v>
      </c>
      <c r="L282" s="206">
        <v>116</v>
      </c>
      <c r="M282" s="173" t="s">
        <v>265</v>
      </c>
      <c r="N282" s="173" t="s">
        <v>269</v>
      </c>
      <c r="O282" s="175" t="s">
        <v>1315</v>
      </c>
      <c r="P282" s="170">
        <v>3164041.96</v>
      </c>
      <c r="Q282" s="170">
        <v>0</v>
      </c>
      <c r="R282" s="170">
        <v>0</v>
      </c>
      <c r="S282" s="170">
        <f>P282-Q282-R282</f>
        <v>3164041.96</v>
      </c>
      <c r="T282" s="170">
        <f t="shared" si="28"/>
        <v>839.28178167291787</v>
      </c>
      <c r="U282" s="170">
        <v>1362.5821617850681</v>
      </c>
      <c r="V282" s="202">
        <f t="shared" si="29"/>
        <v>523.30038011215026</v>
      </c>
      <c r="W282" s="202">
        <f>X282+Y282+Z282+AA282+AB282+AD282+AF282+AH282+AJ282+AL282+AN282+AO282</f>
        <v>1306.3029142373618</v>
      </c>
      <c r="X282" s="202">
        <v>0</v>
      </c>
      <c r="Y282" s="203">
        <v>0</v>
      </c>
      <c r="Z282" s="203">
        <v>0</v>
      </c>
      <c r="AA282" s="203">
        <v>0</v>
      </c>
      <c r="AB282" s="203">
        <v>0</v>
      </c>
      <c r="AC282" s="203">
        <v>0</v>
      </c>
      <c r="AD282" s="203">
        <v>0</v>
      </c>
      <c r="AE282" s="203">
        <v>789.35</v>
      </c>
      <c r="AF282" s="202">
        <f>6238.91*AE282/I282</f>
        <v>1306.3029142373618</v>
      </c>
      <c r="AG282" s="203">
        <v>0</v>
      </c>
      <c r="AH282" s="202">
        <v>0</v>
      </c>
      <c r="AI282" s="203">
        <v>0</v>
      </c>
      <c r="AJ282" s="202">
        <v>0</v>
      </c>
      <c r="AK282" s="203">
        <v>0</v>
      </c>
      <c r="AL282" s="203">
        <v>0</v>
      </c>
      <c r="AM282" s="203">
        <v>0</v>
      </c>
      <c r="AN282" s="203"/>
      <c r="AO282" s="203">
        <v>0</v>
      </c>
    </row>
    <row r="283" spans="1:41" s="176" customFormat="1" ht="36" customHeight="1" x14ac:dyDescent="0.25">
      <c r="A283" s="176">
        <v>1</v>
      </c>
      <c r="B283" s="171">
        <f>SUBTOTAL(103,$A$16:A283)</f>
        <v>260</v>
      </c>
      <c r="C283" s="172" t="s">
        <v>1173</v>
      </c>
      <c r="D283" s="173">
        <v>1990</v>
      </c>
      <c r="E283" s="173"/>
      <c r="F283" s="174" t="s">
        <v>267</v>
      </c>
      <c r="G283" s="173">
        <v>5</v>
      </c>
      <c r="H283" s="173" t="s">
        <v>370</v>
      </c>
      <c r="I283" s="170">
        <v>5335.41</v>
      </c>
      <c r="J283" s="170">
        <v>4025.81</v>
      </c>
      <c r="K283" s="170">
        <v>4025.81</v>
      </c>
      <c r="L283" s="206">
        <v>211</v>
      </c>
      <c r="M283" s="173" t="s">
        <v>265</v>
      </c>
      <c r="N283" s="173" t="s">
        <v>269</v>
      </c>
      <c r="O283" s="175" t="s">
        <v>1307</v>
      </c>
      <c r="P283" s="170">
        <v>3059988.56</v>
      </c>
      <c r="Q283" s="170">
        <v>0</v>
      </c>
      <c r="R283" s="170">
        <v>0</v>
      </c>
      <c r="S283" s="170">
        <f>P283-Q283-R283</f>
        <v>3059988.56</v>
      </c>
      <c r="T283" s="170">
        <f t="shared" si="28"/>
        <v>573.52453888267257</v>
      </c>
      <c r="U283" s="170">
        <v>1363.3285160840499</v>
      </c>
      <c r="V283" s="202">
        <f t="shared" si="29"/>
        <v>789.80397720137728</v>
      </c>
      <c r="W283" s="202">
        <f>X283+Y283+Z283+AA283+AB283+AD283+AF283+AH283+AJ283+AL283+AN283+AO283</f>
        <v>1307.0184415818089</v>
      </c>
      <c r="X283" s="202">
        <v>0</v>
      </c>
      <c r="Y283" s="203">
        <v>0</v>
      </c>
      <c r="Z283" s="203">
        <v>0</v>
      </c>
      <c r="AA283" s="203">
        <v>0</v>
      </c>
      <c r="AB283" s="203">
        <v>0</v>
      </c>
      <c r="AC283" s="203">
        <v>0</v>
      </c>
      <c r="AD283" s="203">
        <v>0</v>
      </c>
      <c r="AE283" s="203">
        <v>1117.74</v>
      </c>
      <c r="AF283" s="202">
        <f>6238.91*AE283/I283</f>
        <v>1307.0184415818089</v>
      </c>
      <c r="AG283" s="203">
        <v>0</v>
      </c>
      <c r="AH283" s="202">
        <v>0</v>
      </c>
      <c r="AI283" s="203">
        <v>0</v>
      </c>
      <c r="AJ283" s="202">
        <v>0</v>
      </c>
      <c r="AK283" s="203">
        <v>0</v>
      </c>
      <c r="AL283" s="203">
        <v>0</v>
      </c>
      <c r="AM283" s="203">
        <v>0</v>
      </c>
      <c r="AN283" s="203"/>
      <c r="AO283" s="203">
        <v>0</v>
      </c>
    </row>
    <row r="284" spans="1:41" s="176" customFormat="1" ht="36" customHeight="1" x14ac:dyDescent="0.25">
      <c r="B284" s="172" t="s">
        <v>1266</v>
      </c>
      <c r="C284" s="172"/>
      <c r="D284" s="173" t="s">
        <v>882</v>
      </c>
      <c r="E284" s="173" t="s">
        <v>882</v>
      </c>
      <c r="F284" s="173" t="s">
        <v>882</v>
      </c>
      <c r="G284" s="173" t="s">
        <v>882</v>
      </c>
      <c r="H284" s="173" t="s">
        <v>882</v>
      </c>
      <c r="I284" s="177">
        <f>I285</f>
        <v>762</v>
      </c>
      <c r="J284" s="177">
        <f>J285</f>
        <v>540</v>
      </c>
      <c r="K284" s="177">
        <f>K285</f>
        <v>540</v>
      </c>
      <c r="L284" s="357">
        <f>L285</f>
        <v>42</v>
      </c>
      <c r="M284" s="173" t="s">
        <v>882</v>
      </c>
      <c r="N284" s="173" t="s">
        <v>882</v>
      </c>
      <c r="O284" s="175" t="s">
        <v>882</v>
      </c>
      <c r="P284" s="170">
        <v>345276.04000000004</v>
      </c>
      <c r="Q284" s="170">
        <f>Q285</f>
        <v>0</v>
      </c>
      <c r="R284" s="170">
        <f>R285</f>
        <v>0</v>
      </c>
      <c r="S284" s="170">
        <f>S285</f>
        <v>345276.04000000004</v>
      </c>
      <c r="T284" s="170">
        <f t="shared" si="28"/>
        <v>453.11816272965882</v>
      </c>
      <c r="U284" s="170">
        <f>MAX(U285)</f>
        <v>712.1</v>
      </c>
      <c r="V284" s="202">
        <f t="shared" si="29"/>
        <v>258.9818372703412</v>
      </c>
      <c r="W284" s="202"/>
      <c r="X284" s="202"/>
      <c r="Y284" s="203"/>
      <c r="Z284" s="203"/>
      <c r="AA284" s="203"/>
      <c r="AB284" s="203"/>
      <c r="AC284" s="203"/>
      <c r="AD284" s="203"/>
      <c r="AE284" s="203"/>
      <c r="AF284" s="203"/>
      <c r="AG284" s="203"/>
      <c r="AH284" s="203"/>
      <c r="AI284" s="203"/>
      <c r="AJ284" s="203"/>
      <c r="AK284" s="203"/>
      <c r="AL284" s="203"/>
      <c r="AM284" s="203"/>
      <c r="AN284" s="203"/>
      <c r="AO284" s="203"/>
    </row>
    <row r="285" spans="1:41" s="176" customFormat="1" ht="36" customHeight="1" x14ac:dyDescent="0.25">
      <c r="A285" s="176">
        <v>1</v>
      </c>
      <c r="B285" s="171">
        <f>SUBTOTAL(103,$A$16:A285)</f>
        <v>261</v>
      </c>
      <c r="C285" s="172" t="s">
        <v>1172</v>
      </c>
      <c r="D285" s="173">
        <v>1970</v>
      </c>
      <c r="E285" s="173"/>
      <c r="F285" s="174" t="s">
        <v>267</v>
      </c>
      <c r="G285" s="173">
        <v>2</v>
      </c>
      <c r="H285" s="173" t="s">
        <v>303</v>
      </c>
      <c r="I285" s="170">
        <v>762</v>
      </c>
      <c r="J285" s="170">
        <v>540</v>
      </c>
      <c r="K285" s="170">
        <v>540</v>
      </c>
      <c r="L285" s="206">
        <v>42</v>
      </c>
      <c r="M285" s="173" t="s">
        <v>265</v>
      </c>
      <c r="N285" s="173" t="s">
        <v>283</v>
      </c>
      <c r="O285" s="175" t="s">
        <v>268</v>
      </c>
      <c r="P285" s="170">
        <v>345276.04000000004</v>
      </c>
      <c r="Q285" s="170">
        <v>0</v>
      </c>
      <c r="R285" s="170">
        <v>0</v>
      </c>
      <c r="S285" s="170">
        <f>P285-Q285-R285</f>
        <v>345276.04000000004</v>
      </c>
      <c r="T285" s="170">
        <f t="shared" si="28"/>
        <v>453.11816272965882</v>
      </c>
      <c r="U285" s="170">
        <v>712.1</v>
      </c>
      <c r="V285" s="202">
        <f>U285-T285</f>
        <v>258.9818372703412</v>
      </c>
      <c r="W285" s="202">
        <f>X285+Y285+Z285+AA285+AB285+AD285+AF285+AH285+AJ285+AL285+AN285+AO285</f>
        <v>712.1</v>
      </c>
      <c r="X285" s="202">
        <v>0</v>
      </c>
      <c r="Y285" s="203">
        <v>0</v>
      </c>
      <c r="Z285" s="203">
        <v>0</v>
      </c>
      <c r="AA285" s="203">
        <v>0</v>
      </c>
      <c r="AB285" s="203">
        <v>0</v>
      </c>
      <c r="AC285" s="203">
        <v>0</v>
      </c>
      <c r="AD285" s="203">
        <v>0</v>
      </c>
      <c r="AE285" s="203">
        <v>0</v>
      </c>
      <c r="AF285" s="202">
        <v>0</v>
      </c>
      <c r="AG285" s="203">
        <v>0</v>
      </c>
      <c r="AH285" s="202">
        <v>0</v>
      </c>
      <c r="AI285" s="203">
        <v>0</v>
      </c>
      <c r="AJ285" s="202">
        <v>0</v>
      </c>
      <c r="AK285" s="203">
        <v>0</v>
      </c>
      <c r="AL285" s="203">
        <v>0</v>
      </c>
      <c r="AM285" s="203">
        <v>0</v>
      </c>
      <c r="AN285" s="203"/>
      <c r="AO285" s="203">
        <v>712.1</v>
      </c>
    </row>
    <row r="286" spans="1:41" s="176" customFormat="1" ht="36" customHeight="1" x14ac:dyDescent="0.25">
      <c r="B286" s="172" t="s">
        <v>811</v>
      </c>
      <c r="C286" s="359"/>
      <c r="D286" s="173" t="s">
        <v>882</v>
      </c>
      <c r="E286" s="173" t="s">
        <v>882</v>
      </c>
      <c r="F286" s="173" t="s">
        <v>882</v>
      </c>
      <c r="G286" s="173" t="s">
        <v>882</v>
      </c>
      <c r="H286" s="173" t="s">
        <v>882</v>
      </c>
      <c r="I286" s="177">
        <f>SUM(I287:I288)</f>
        <v>2259.1</v>
      </c>
      <c r="J286" s="177">
        <f>SUM(J287:J288)</f>
        <v>2111.5</v>
      </c>
      <c r="K286" s="177">
        <f>SUM(K287:K288)</f>
        <v>2111.5</v>
      </c>
      <c r="L286" s="357">
        <f>SUM(L287:L288)</f>
        <v>104</v>
      </c>
      <c r="M286" s="173" t="s">
        <v>882</v>
      </c>
      <c r="N286" s="173" t="s">
        <v>882</v>
      </c>
      <c r="O286" s="175" t="s">
        <v>882</v>
      </c>
      <c r="P286" s="170">
        <v>5773107.5300000003</v>
      </c>
      <c r="Q286" s="170">
        <f>SUM(Q287:Q288)</f>
        <v>0</v>
      </c>
      <c r="R286" s="170">
        <f>SUM(R287:R288)</f>
        <v>0</v>
      </c>
      <c r="S286" s="170">
        <f>SUM(S287:S288)</f>
        <v>5773107.5300000003</v>
      </c>
      <c r="T286" s="170">
        <f t="shared" si="28"/>
        <v>2555.490031428445</v>
      </c>
      <c r="U286" s="170">
        <f>MAX(U287:U288)</f>
        <v>6070.9466271056663</v>
      </c>
      <c r="V286" s="202">
        <f t="shared" si="29"/>
        <v>3515.4565956772212</v>
      </c>
      <c r="W286" s="202"/>
      <c r="X286" s="202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</row>
    <row r="287" spans="1:41" s="176" customFormat="1" ht="36" customHeight="1" x14ac:dyDescent="0.25">
      <c r="A287" s="176">
        <v>1</v>
      </c>
      <c r="B287" s="171">
        <f>SUBTOTAL(103,$A$16:A287)</f>
        <v>262</v>
      </c>
      <c r="C287" s="172" t="s">
        <v>669</v>
      </c>
      <c r="D287" s="173">
        <v>1982</v>
      </c>
      <c r="E287" s="173"/>
      <c r="F287" s="174" t="s">
        <v>267</v>
      </c>
      <c r="G287" s="173">
        <v>3</v>
      </c>
      <c r="H287" s="173" t="s">
        <v>312</v>
      </c>
      <c r="I287" s="170">
        <v>1997.9</v>
      </c>
      <c r="J287" s="170">
        <v>1878.3</v>
      </c>
      <c r="K287" s="170">
        <v>1878.3</v>
      </c>
      <c r="L287" s="206">
        <v>88</v>
      </c>
      <c r="M287" s="173" t="s">
        <v>265</v>
      </c>
      <c r="N287" s="173" t="s">
        <v>266</v>
      </c>
      <c r="O287" s="175" t="s">
        <v>268</v>
      </c>
      <c r="P287" s="170">
        <v>4843097.09</v>
      </c>
      <c r="Q287" s="170">
        <v>0</v>
      </c>
      <c r="R287" s="170">
        <v>0</v>
      </c>
      <c r="S287" s="170">
        <f>P287-Q287-R287</f>
        <v>4843097.09</v>
      </c>
      <c r="T287" s="170">
        <f t="shared" si="28"/>
        <v>2424.0938435357125</v>
      </c>
      <c r="U287" s="170">
        <v>3475.5072325942233</v>
      </c>
      <c r="V287" s="202">
        <f t="shared" si="29"/>
        <v>1051.4133890585108</v>
      </c>
      <c r="W287" s="202">
        <f>X287+Y287+Z287+AA287+AB287+AD287+AF287+AH287+AJ287+AL287+AN287+AO287</f>
        <v>3191.434015716502</v>
      </c>
      <c r="X287" s="202">
        <v>0</v>
      </c>
      <c r="Y287" s="203">
        <v>0</v>
      </c>
      <c r="Z287" s="203">
        <v>0</v>
      </c>
      <c r="AA287" s="203">
        <v>0</v>
      </c>
      <c r="AB287" s="203">
        <v>0</v>
      </c>
      <c r="AC287" s="203">
        <v>0</v>
      </c>
      <c r="AD287" s="203">
        <v>0</v>
      </c>
      <c r="AE287" s="203">
        <v>1022</v>
      </c>
      <c r="AF287" s="202">
        <f>6238.91*AE287/I287</f>
        <v>3191.434015716502</v>
      </c>
      <c r="AG287" s="203">
        <v>0</v>
      </c>
      <c r="AH287" s="202">
        <v>0</v>
      </c>
      <c r="AI287" s="203">
        <v>0</v>
      </c>
      <c r="AJ287" s="202">
        <v>0</v>
      </c>
      <c r="AK287" s="203">
        <v>0</v>
      </c>
      <c r="AL287" s="203">
        <v>0</v>
      </c>
      <c r="AM287" s="203">
        <v>0</v>
      </c>
      <c r="AN287" s="203"/>
      <c r="AO287" s="203">
        <v>0</v>
      </c>
    </row>
    <row r="288" spans="1:41" s="176" customFormat="1" ht="36" customHeight="1" x14ac:dyDescent="0.25">
      <c r="A288" s="176">
        <v>1</v>
      </c>
      <c r="B288" s="171">
        <f>SUBTOTAL(103,$A$16:A288)</f>
        <v>263</v>
      </c>
      <c r="C288" s="172" t="s">
        <v>667</v>
      </c>
      <c r="D288" s="173">
        <v>1972</v>
      </c>
      <c r="E288" s="173"/>
      <c r="F288" s="174" t="s">
        <v>267</v>
      </c>
      <c r="G288" s="173">
        <v>2</v>
      </c>
      <c r="H288" s="173" t="s">
        <v>304</v>
      </c>
      <c r="I288" s="170">
        <v>261.2</v>
      </c>
      <c r="J288" s="170">
        <v>233.2</v>
      </c>
      <c r="K288" s="170">
        <v>233.2</v>
      </c>
      <c r="L288" s="206">
        <v>16</v>
      </c>
      <c r="M288" s="173" t="s">
        <v>265</v>
      </c>
      <c r="N288" s="173" t="s">
        <v>266</v>
      </c>
      <c r="O288" s="175" t="s">
        <v>268</v>
      </c>
      <c r="P288" s="170">
        <v>930010.44000000006</v>
      </c>
      <c r="Q288" s="170">
        <v>0</v>
      </c>
      <c r="R288" s="170">
        <v>0</v>
      </c>
      <c r="S288" s="170">
        <f>P288-Q288-R288</f>
        <v>930010.44000000006</v>
      </c>
      <c r="T288" s="170">
        <f t="shared" si="28"/>
        <v>3560.530015313936</v>
      </c>
      <c r="U288" s="170">
        <v>6070.9466271056663</v>
      </c>
      <c r="V288" s="202">
        <f t="shared" si="29"/>
        <v>2510.4166117917302</v>
      </c>
      <c r="W288" s="202">
        <f>X288+Y288+Z288+AA288+AB288+AD288+AF288+AH288+AJ288+AL288+AN288+AO288</f>
        <v>5827.1228315467079</v>
      </c>
      <c r="X288" s="202">
        <v>0</v>
      </c>
      <c r="Y288" s="203">
        <v>0</v>
      </c>
      <c r="Z288" s="203">
        <v>0</v>
      </c>
      <c r="AA288" s="203">
        <v>0</v>
      </c>
      <c r="AB288" s="203">
        <v>0</v>
      </c>
      <c r="AC288" s="203">
        <v>0</v>
      </c>
      <c r="AD288" s="203">
        <v>0</v>
      </c>
      <c r="AE288" s="203">
        <v>243.96</v>
      </c>
      <c r="AF288" s="202">
        <f>6238.91*AE288/I288</f>
        <v>5827.1228315467079</v>
      </c>
      <c r="AG288" s="203">
        <v>0</v>
      </c>
      <c r="AH288" s="202">
        <v>0</v>
      </c>
      <c r="AI288" s="203">
        <v>0</v>
      </c>
      <c r="AJ288" s="202">
        <v>0</v>
      </c>
      <c r="AK288" s="203">
        <v>0</v>
      </c>
      <c r="AL288" s="203">
        <v>0</v>
      </c>
      <c r="AM288" s="203">
        <v>0</v>
      </c>
      <c r="AN288" s="203"/>
      <c r="AO288" s="203">
        <v>0</v>
      </c>
    </row>
    <row r="289" spans="1:41" s="176" customFormat="1" ht="36" customHeight="1" x14ac:dyDescent="0.25">
      <c r="B289" s="172" t="s">
        <v>812</v>
      </c>
      <c r="C289" s="172"/>
      <c r="D289" s="173" t="s">
        <v>882</v>
      </c>
      <c r="E289" s="173" t="s">
        <v>882</v>
      </c>
      <c r="F289" s="173" t="s">
        <v>882</v>
      </c>
      <c r="G289" s="173" t="s">
        <v>882</v>
      </c>
      <c r="H289" s="173" t="s">
        <v>882</v>
      </c>
      <c r="I289" s="177">
        <f>SUM(I290:I294)</f>
        <v>4271.2</v>
      </c>
      <c r="J289" s="177">
        <f>SUM(J290:J294)</f>
        <v>4205.7</v>
      </c>
      <c r="K289" s="177">
        <f>SUM(K290:K294)</f>
        <v>4205.7</v>
      </c>
      <c r="L289" s="357">
        <f>SUM(L290:L294)</f>
        <v>227</v>
      </c>
      <c r="M289" s="173" t="s">
        <v>882</v>
      </c>
      <c r="N289" s="173" t="s">
        <v>882</v>
      </c>
      <c r="O289" s="175" t="s">
        <v>882</v>
      </c>
      <c r="P289" s="170">
        <v>10624337.110000001</v>
      </c>
      <c r="Q289" s="170">
        <f>SUM(Q290:Q294)</f>
        <v>0</v>
      </c>
      <c r="R289" s="170">
        <f>SUM(R290:R294)</f>
        <v>0</v>
      </c>
      <c r="S289" s="170">
        <f>SUM(S290:S294)</f>
        <v>10624337.110000001</v>
      </c>
      <c r="T289" s="170">
        <f t="shared" si="28"/>
        <v>2487.4361092901295</v>
      </c>
      <c r="U289" s="170">
        <f>MAX(U290:U294)</f>
        <v>7158.3378593542693</v>
      </c>
      <c r="V289" s="202">
        <f t="shared" si="29"/>
        <v>4670.9017500641403</v>
      </c>
      <c r="W289" s="202"/>
      <c r="X289" s="202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</row>
    <row r="290" spans="1:41" s="176" customFormat="1" ht="36" customHeight="1" x14ac:dyDescent="0.25">
      <c r="A290" s="176">
        <v>1</v>
      </c>
      <c r="B290" s="171">
        <f>SUBTOTAL(103,$A$16:A290)</f>
        <v>264</v>
      </c>
      <c r="C290" s="172" t="s">
        <v>681</v>
      </c>
      <c r="D290" s="173">
        <v>1968</v>
      </c>
      <c r="E290" s="173">
        <v>2010</v>
      </c>
      <c r="F290" s="174" t="s">
        <v>267</v>
      </c>
      <c r="G290" s="173">
        <v>2</v>
      </c>
      <c r="H290" s="173" t="s">
        <v>303</v>
      </c>
      <c r="I290" s="170">
        <v>794.9</v>
      </c>
      <c r="J290" s="170">
        <v>734.9</v>
      </c>
      <c r="K290" s="170">
        <v>734.9</v>
      </c>
      <c r="L290" s="206">
        <v>32</v>
      </c>
      <c r="M290" s="173" t="s">
        <v>265</v>
      </c>
      <c r="N290" s="173" t="s">
        <v>341</v>
      </c>
      <c r="O290" s="175" t="s">
        <v>707</v>
      </c>
      <c r="P290" s="170">
        <v>2376905.8499999996</v>
      </c>
      <c r="Q290" s="170">
        <v>0</v>
      </c>
      <c r="R290" s="170">
        <v>0</v>
      </c>
      <c r="S290" s="170">
        <f>P290-Q290-R290</f>
        <v>2376905.8499999996</v>
      </c>
      <c r="T290" s="170">
        <f t="shared" si="28"/>
        <v>2990.1948043779089</v>
      </c>
      <c r="U290" s="170">
        <v>6222.6775342810415</v>
      </c>
      <c r="V290" s="202">
        <f t="shared" si="29"/>
        <v>3232.4827299031326</v>
      </c>
      <c r="W290" s="202">
        <f>X290+Y290+Z290+AA290+AB290+AD290+AF290+AH290+AJ290+AL290+AN290+AO290</f>
        <v>5683.4387092716061</v>
      </c>
      <c r="X290" s="202">
        <v>0</v>
      </c>
      <c r="Y290" s="203">
        <v>0</v>
      </c>
      <c r="Z290" s="203">
        <v>0</v>
      </c>
      <c r="AA290" s="203">
        <v>0</v>
      </c>
      <c r="AB290" s="203">
        <v>0</v>
      </c>
      <c r="AC290" s="203">
        <v>0</v>
      </c>
      <c r="AD290" s="203">
        <v>0</v>
      </c>
      <c r="AE290" s="203">
        <v>0</v>
      </c>
      <c r="AF290" s="202">
        <v>0</v>
      </c>
      <c r="AG290" s="203">
        <v>0</v>
      </c>
      <c r="AH290" s="202">
        <v>0</v>
      </c>
      <c r="AI290" s="203">
        <v>607.29999999999995</v>
      </c>
      <c r="AJ290" s="202">
        <f>7439.1*AI290/I290</f>
        <v>5683.4387092716061</v>
      </c>
      <c r="AK290" s="203">
        <v>0</v>
      </c>
      <c r="AL290" s="203">
        <v>0</v>
      </c>
      <c r="AM290" s="203">
        <v>0</v>
      </c>
      <c r="AN290" s="203"/>
      <c r="AO290" s="203">
        <v>0</v>
      </c>
    </row>
    <row r="291" spans="1:41" s="176" customFormat="1" ht="36" customHeight="1" x14ac:dyDescent="0.25">
      <c r="A291" s="176">
        <v>1</v>
      </c>
      <c r="B291" s="171">
        <f>SUBTOTAL(103,$A$16:A291)</f>
        <v>265</v>
      </c>
      <c r="C291" s="172" t="s">
        <v>1190</v>
      </c>
      <c r="D291" s="173">
        <v>1963</v>
      </c>
      <c r="E291" s="173"/>
      <c r="F291" s="174" t="s">
        <v>267</v>
      </c>
      <c r="G291" s="173">
        <v>2</v>
      </c>
      <c r="H291" s="173" t="s">
        <v>303</v>
      </c>
      <c r="I291" s="170">
        <v>722.8</v>
      </c>
      <c r="J291" s="170">
        <v>720.3</v>
      </c>
      <c r="K291" s="170">
        <v>720.3</v>
      </c>
      <c r="L291" s="206">
        <v>42</v>
      </c>
      <c r="M291" s="173" t="s">
        <v>265</v>
      </c>
      <c r="N291" s="173" t="s">
        <v>341</v>
      </c>
      <c r="O291" s="175" t="s">
        <v>716</v>
      </c>
      <c r="P291" s="170">
        <v>2513294.65</v>
      </c>
      <c r="Q291" s="170">
        <v>0</v>
      </c>
      <c r="R291" s="170">
        <v>0</v>
      </c>
      <c r="S291" s="170">
        <f>P291-Q291-R291</f>
        <v>2513294.65</v>
      </c>
      <c r="T291" s="170">
        <f t="shared" si="28"/>
        <v>3477.1647066961814</v>
      </c>
      <c r="U291" s="170">
        <v>6661.020365246266</v>
      </c>
      <c r="V291" s="202">
        <f t="shared" si="29"/>
        <v>3183.8556585500846</v>
      </c>
      <c r="W291" s="202">
        <f>X291+Y291+Z291+AA291+AB291+AD291+AF291+AH291+AJ291+AL291+AN291+AO291</f>
        <v>6661.020365246266</v>
      </c>
      <c r="X291" s="202">
        <v>0</v>
      </c>
      <c r="Y291" s="203">
        <v>0</v>
      </c>
      <c r="Z291" s="203">
        <v>0</v>
      </c>
      <c r="AA291" s="203">
        <v>0</v>
      </c>
      <c r="AB291" s="203">
        <v>0</v>
      </c>
      <c r="AC291" s="203">
        <v>0</v>
      </c>
      <c r="AD291" s="203">
        <v>0</v>
      </c>
      <c r="AE291" s="203">
        <v>0</v>
      </c>
      <c r="AF291" s="202">
        <v>0</v>
      </c>
      <c r="AG291" s="203">
        <v>0</v>
      </c>
      <c r="AH291" s="202">
        <v>0</v>
      </c>
      <c r="AI291" s="203">
        <v>647.20000000000005</v>
      </c>
      <c r="AJ291" s="202">
        <f>7439.1*AI291/I291</f>
        <v>6661.020365246266</v>
      </c>
      <c r="AK291" s="203">
        <v>0</v>
      </c>
      <c r="AL291" s="203">
        <v>0</v>
      </c>
      <c r="AM291" s="203">
        <v>0</v>
      </c>
      <c r="AN291" s="203"/>
      <c r="AO291" s="203">
        <v>0</v>
      </c>
    </row>
    <row r="292" spans="1:41" s="176" customFormat="1" ht="36" customHeight="1" x14ac:dyDescent="0.25">
      <c r="A292" s="176">
        <v>1</v>
      </c>
      <c r="B292" s="171">
        <f>SUBTOTAL(103,$A$16:A292)</f>
        <v>266</v>
      </c>
      <c r="C292" s="172" t="s">
        <v>1191</v>
      </c>
      <c r="D292" s="173">
        <v>1973</v>
      </c>
      <c r="E292" s="173"/>
      <c r="F292" s="174" t="s">
        <v>267</v>
      </c>
      <c r="G292" s="173">
        <v>2</v>
      </c>
      <c r="H292" s="173" t="s">
        <v>304</v>
      </c>
      <c r="I292" s="170">
        <v>678.3</v>
      </c>
      <c r="J292" s="170">
        <v>678</v>
      </c>
      <c r="K292" s="170">
        <v>678</v>
      </c>
      <c r="L292" s="206">
        <v>57</v>
      </c>
      <c r="M292" s="173" t="s">
        <v>265</v>
      </c>
      <c r="N292" s="173" t="s">
        <v>341</v>
      </c>
      <c r="O292" s="175" t="s">
        <v>716</v>
      </c>
      <c r="P292" s="170">
        <v>2534240.8800000004</v>
      </c>
      <c r="Q292" s="170">
        <v>0</v>
      </c>
      <c r="R292" s="170">
        <v>0</v>
      </c>
      <c r="S292" s="170">
        <f>P292-Q292-R292</f>
        <v>2534240.8800000004</v>
      </c>
      <c r="T292" s="170">
        <f t="shared" si="28"/>
        <v>3736.1652366209651</v>
      </c>
      <c r="U292" s="170">
        <v>7158.3378593542693</v>
      </c>
      <c r="V292" s="202">
        <f t="shared" si="29"/>
        <v>3422.1726227333043</v>
      </c>
      <c r="W292" s="202">
        <f>X292+Y292+Z292+AA292+AB292+AD292+AF292+AH292+AJ292+AL292+AN292+AO292</f>
        <v>7158.3378593542693</v>
      </c>
      <c r="X292" s="202">
        <v>0</v>
      </c>
      <c r="Y292" s="203">
        <v>0</v>
      </c>
      <c r="Z292" s="203">
        <v>0</v>
      </c>
      <c r="AA292" s="203">
        <v>0</v>
      </c>
      <c r="AB292" s="203">
        <v>0</v>
      </c>
      <c r="AC292" s="203">
        <v>0</v>
      </c>
      <c r="AD292" s="203">
        <v>0</v>
      </c>
      <c r="AE292" s="203">
        <v>0</v>
      </c>
      <c r="AF292" s="202">
        <v>0</v>
      </c>
      <c r="AG292" s="203">
        <v>0</v>
      </c>
      <c r="AH292" s="202">
        <v>0</v>
      </c>
      <c r="AI292" s="203">
        <v>652.70000000000005</v>
      </c>
      <c r="AJ292" s="202">
        <f>7439.1*AI292/I292</f>
        <v>7158.3378593542693</v>
      </c>
      <c r="AK292" s="203">
        <v>0</v>
      </c>
      <c r="AL292" s="203">
        <v>0</v>
      </c>
      <c r="AM292" s="203">
        <v>0</v>
      </c>
      <c r="AN292" s="203"/>
      <c r="AO292" s="203">
        <v>0</v>
      </c>
    </row>
    <row r="293" spans="1:41" s="176" customFormat="1" ht="36" customHeight="1" x14ac:dyDescent="0.25">
      <c r="A293" s="176">
        <v>1</v>
      </c>
      <c r="B293" s="171">
        <f>SUBTOTAL(103,$A$16:A293)</f>
        <v>267</v>
      </c>
      <c r="C293" s="172" t="s">
        <v>1192</v>
      </c>
      <c r="D293" s="173">
        <v>1975</v>
      </c>
      <c r="E293" s="173"/>
      <c r="F293" s="174" t="s">
        <v>267</v>
      </c>
      <c r="G293" s="173">
        <v>2</v>
      </c>
      <c r="H293" s="173" t="s">
        <v>312</v>
      </c>
      <c r="I293" s="170">
        <v>984.2</v>
      </c>
      <c r="J293" s="170">
        <v>981.5</v>
      </c>
      <c r="K293" s="170">
        <v>981.5</v>
      </c>
      <c r="L293" s="206">
        <v>57</v>
      </c>
      <c r="M293" s="173" t="s">
        <v>265</v>
      </c>
      <c r="N293" s="173" t="s">
        <v>341</v>
      </c>
      <c r="O293" s="175" t="s">
        <v>716</v>
      </c>
      <c r="P293" s="170">
        <v>542612.12</v>
      </c>
      <c r="Q293" s="170">
        <v>0</v>
      </c>
      <c r="R293" s="170">
        <v>0</v>
      </c>
      <c r="S293" s="170">
        <f>P293-Q293-R293</f>
        <v>542612.12</v>
      </c>
      <c r="T293" s="170">
        <f t="shared" si="28"/>
        <v>551.32302377565532</v>
      </c>
      <c r="U293" s="170">
        <v>3557.73</v>
      </c>
      <c r="V293" s="202">
        <f t="shared" si="29"/>
        <v>3006.4069762243448</v>
      </c>
      <c r="W293" s="202">
        <f>X293+Y293+Z293+AA293+AB293+AD293+AF293+AH293+AJ293+AL293+AN293+AO293</f>
        <v>3546.19</v>
      </c>
      <c r="X293" s="202">
        <v>101.55</v>
      </c>
      <c r="Y293" s="203">
        <v>0</v>
      </c>
      <c r="Z293" s="203">
        <v>3259.66</v>
      </c>
      <c r="AA293" s="203">
        <v>184.98</v>
      </c>
      <c r="AB293" s="203">
        <v>0</v>
      </c>
      <c r="AC293" s="203">
        <v>0</v>
      </c>
      <c r="AD293" s="203">
        <v>0</v>
      </c>
      <c r="AE293" s="203">
        <v>0</v>
      </c>
      <c r="AF293" s="202">
        <v>0</v>
      </c>
      <c r="AG293" s="203">
        <v>0</v>
      </c>
      <c r="AH293" s="202">
        <v>0</v>
      </c>
      <c r="AI293" s="203">
        <v>0</v>
      </c>
      <c r="AJ293" s="202">
        <v>0</v>
      </c>
      <c r="AK293" s="203">
        <v>0</v>
      </c>
      <c r="AL293" s="203">
        <v>0</v>
      </c>
      <c r="AM293" s="203">
        <v>0</v>
      </c>
      <c r="AN293" s="203"/>
      <c r="AO293" s="203">
        <v>0</v>
      </c>
    </row>
    <row r="294" spans="1:41" s="176" customFormat="1" ht="36" customHeight="1" x14ac:dyDescent="0.25">
      <c r="A294" s="176">
        <v>1</v>
      </c>
      <c r="B294" s="171">
        <f>SUBTOTAL(103,$A$16:A294)</f>
        <v>268</v>
      </c>
      <c r="C294" s="172" t="s">
        <v>1193</v>
      </c>
      <c r="D294" s="173">
        <v>1992</v>
      </c>
      <c r="E294" s="173"/>
      <c r="F294" s="174" t="s">
        <v>267</v>
      </c>
      <c r="G294" s="173">
        <v>3</v>
      </c>
      <c r="H294" s="173" t="s">
        <v>303</v>
      </c>
      <c r="I294" s="170">
        <v>1091</v>
      </c>
      <c r="J294" s="170">
        <v>1091</v>
      </c>
      <c r="K294" s="170">
        <v>1091</v>
      </c>
      <c r="L294" s="206">
        <v>39</v>
      </c>
      <c r="M294" s="173" t="s">
        <v>265</v>
      </c>
      <c r="N294" s="173" t="s">
        <v>269</v>
      </c>
      <c r="O294" s="175" t="s">
        <v>1325</v>
      </c>
      <c r="P294" s="170">
        <v>2657283.6100000003</v>
      </c>
      <c r="Q294" s="170">
        <v>0</v>
      </c>
      <c r="R294" s="170">
        <v>0</v>
      </c>
      <c r="S294" s="170">
        <f>P294-Q294-R294</f>
        <v>2657283.6100000003</v>
      </c>
      <c r="T294" s="170">
        <f t="shared" si="28"/>
        <v>2435.6403391384056</v>
      </c>
      <c r="U294" s="170">
        <v>2758.6738295142077</v>
      </c>
      <c r="V294" s="202">
        <f t="shared" si="29"/>
        <v>323.0334903758021</v>
      </c>
      <c r="W294" s="202">
        <f>X294+Y294+Z294+AA294+AB294+AD294+AF294+AH294+AJ294+AL294+AN294+AO294</f>
        <v>2758.6738295142077</v>
      </c>
      <c r="X294" s="202">
        <v>0</v>
      </c>
      <c r="Y294" s="203">
        <v>0</v>
      </c>
      <c r="Z294" s="203">
        <v>0</v>
      </c>
      <c r="AA294" s="203">
        <v>0</v>
      </c>
      <c r="AB294" s="203">
        <v>0</v>
      </c>
      <c r="AC294" s="203">
        <v>0</v>
      </c>
      <c r="AD294" s="203">
        <v>0</v>
      </c>
      <c r="AE294" s="203">
        <v>0</v>
      </c>
      <c r="AF294" s="202">
        <v>0</v>
      </c>
      <c r="AG294" s="203">
        <v>339.3</v>
      </c>
      <c r="AH294" s="202">
        <f>8870.36*AG294/I294</f>
        <v>2758.6738295142077</v>
      </c>
      <c r="AI294" s="203">
        <v>0</v>
      </c>
      <c r="AJ294" s="202">
        <v>0</v>
      </c>
      <c r="AK294" s="203">
        <v>0</v>
      </c>
      <c r="AL294" s="203">
        <v>0</v>
      </c>
      <c r="AM294" s="203">
        <v>0</v>
      </c>
      <c r="AN294" s="203"/>
      <c r="AO294" s="203">
        <v>0</v>
      </c>
    </row>
    <row r="295" spans="1:41" s="176" customFormat="1" ht="36" customHeight="1" x14ac:dyDescent="0.25">
      <c r="B295" s="172" t="s">
        <v>813</v>
      </c>
      <c r="C295" s="172"/>
      <c r="D295" s="173" t="s">
        <v>882</v>
      </c>
      <c r="E295" s="173" t="s">
        <v>882</v>
      </c>
      <c r="F295" s="173" t="s">
        <v>882</v>
      </c>
      <c r="G295" s="173" t="s">
        <v>882</v>
      </c>
      <c r="H295" s="173" t="s">
        <v>882</v>
      </c>
      <c r="I295" s="177">
        <f>SUM(I296:I300)</f>
        <v>3135.5000000000005</v>
      </c>
      <c r="J295" s="177">
        <f>SUM(J296:J300)</f>
        <v>2599.5</v>
      </c>
      <c r="K295" s="177">
        <f>SUM(K296:K300)</f>
        <v>2599.5</v>
      </c>
      <c r="L295" s="357">
        <f>SUM(L296:L300)</f>
        <v>130</v>
      </c>
      <c r="M295" s="173" t="s">
        <v>882</v>
      </c>
      <c r="N295" s="173" t="s">
        <v>882</v>
      </c>
      <c r="O295" s="175" t="s">
        <v>882</v>
      </c>
      <c r="P295" s="170">
        <v>4459924</v>
      </c>
      <c r="Q295" s="170">
        <f>SUM(Q296:Q300)</f>
        <v>0</v>
      </c>
      <c r="R295" s="170">
        <f>SUM(R296:R300)</f>
        <v>0</v>
      </c>
      <c r="S295" s="170">
        <f>SUM(S296:S300)</f>
        <v>4459924</v>
      </c>
      <c r="T295" s="170">
        <f t="shared" si="28"/>
        <v>1422.3964280019134</v>
      </c>
      <c r="U295" s="170">
        <f>MAX(U296:U300)</f>
        <v>5056.4211600816607</v>
      </c>
      <c r="V295" s="202">
        <f t="shared" si="29"/>
        <v>3634.0247320797471</v>
      </c>
      <c r="W295" s="202"/>
      <c r="X295" s="202"/>
      <c r="Y295" s="203"/>
      <c r="Z295" s="203"/>
      <c r="AA295" s="203"/>
      <c r="AB295" s="203"/>
      <c r="AC295" s="203"/>
      <c r="AD295" s="203"/>
      <c r="AE295" s="203"/>
      <c r="AF295" s="203"/>
      <c r="AG295" s="203"/>
      <c r="AH295" s="203"/>
      <c r="AI295" s="203"/>
      <c r="AJ295" s="203"/>
      <c r="AK295" s="203"/>
      <c r="AL295" s="203"/>
      <c r="AM295" s="203"/>
      <c r="AN295" s="203"/>
      <c r="AO295" s="203"/>
    </row>
    <row r="296" spans="1:41" s="176" customFormat="1" ht="36" customHeight="1" x14ac:dyDescent="0.25">
      <c r="A296" s="176">
        <v>1</v>
      </c>
      <c r="B296" s="171">
        <f>SUBTOTAL(103,$A$16:A296)</f>
        <v>269</v>
      </c>
      <c r="C296" s="172" t="s">
        <v>682</v>
      </c>
      <c r="D296" s="173">
        <v>1962</v>
      </c>
      <c r="E296" s="173"/>
      <c r="F296" s="174" t="s">
        <v>267</v>
      </c>
      <c r="G296" s="173">
        <v>2</v>
      </c>
      <c r="H296" s="173" t="s">
        <v>303</v>
      </c>
      <c r="I296" s="170">
        <v>832.7</v>
      </c>
      <c r="J296" s="170">
        <v>745</v>
      </c>
      <c r="K296" s="170">
        <v>745</v>
      </c>
      <c r="L296" s="206">
        <v>48</v>
      </c>
      <c r="M296" s="173" t="s">
        <v>265</v>
      </c>
      <c r="N296" s="173" t="s">
        <v>266</v>
      </c>
      <c r="O296" s="175" t="s">
        <v>268</v>
      </c>
      <c r="P296" s="170">
        <v>3466608.69</v>
      </c>
      <c r="Q296" s="170">
        <v>0</v>
      </c>
      <c r="R296" s="170">
        <v>0</v>
      </c>
      <c r="S296" s="170">
        <f>P296-Q296-R296</f>
        <v>3466608.69</v>
      </c>
      <c r="T296" s="170">
        <f t="shared" si="28"/>
        <v>4163.0943797285936</v>
      </c>
      <c r="U296" s="170">
        <v>5056.4211600816607</v>
      </c>
      <c r="V296" s="202">
        <f t="shared" si="29"/>
        <v>893.32678035306708</v>
      </c>
      <c r="W296" s="202">
        <f>X296+Y296+Z296+AA296+AB296+AD296+AF296+AH296+AJ296+AL296+AN296+AO296</f>
        <v>4847.5738801489133</v>
      </c>
      <c r="X296" s="202">
        <v>0</v>
      </c>
      <c r="Y296" s="203">
        <v>0</v>
      </c>
      <c r="Z296" s="203">
        <v>0</v>
      </c>
      <c r="AA296" s="203">
        <v>0</v>
      </c>
      <c r="AB296" s="203">
        <v>0</v>
      </c>
      <c r="AC296" s="203">
        <v>0</v>
      </c>
      <c r="AD296" s="203">
        <v>0</v>
      </c>
      <c r="AE296" s="203">
        <v>647</v>
      </c>
      <c r="AF296" s="202">
        <f>6238.91*AE296/I296</f>
        <v>4847.5738801489133</v>
      </c>
      <c r="AG296" s="203">
        <v>0</v>
      </c>
      <c r="AH296" s="202">
        <v>0</v>
      </c>
      <c r="AI296" s="203">
        <v>0</v>
      </c>
      <c r="AJ296" s="202">
        <v>0</v>
      </c>
      <c r="AK296" s="203">
        <v>0</v>
      </c>
      <c r="AL296" s="203">
        <v>0</v>
      </c>
      <c r="AM296" s="203">
        <v>0</v>
      </c>
      <c r="AN296" s="203"/>
      <c r="AO296" s="203">
        <v>0</v>
      </c>
    </row>
    <row r="297" spans="1:41" s="176" customFormat="1" ht="36" customHeight="1" x14ac:dyDescent="0.25">
      <c r="A297" s="176">
        <v>1</v>
      </c>
      <c r="B297" s="171">
        <f>SUBTOTAL(103,$A$16:A297)</f>
        <v>270</v>
      </c>
      <c r="C297" s="172" t="s">
        <v>675</v>
      </c>
      <c r="D297" s="173">
        <v>1938</v>
      </c>
      <c r="E297" s="173"/>
      <c r="F297" s="174" t="s">
        <v>330</v>
      </c>
      <c r="G297" s="173">
        <v>2</v>
      </c>
      <c r="H297" s="173" t="s">
        <v>304</v>
      </c>
      <c r="I297" s="170">
        <v>244.9</v>
      </c>
      <c r="J297" s="170">
        <v>223.9</v>
      </c>
      <c r="K297" s="170">
        <v>223.9</v>
      </c>
      <c r="L297" s="206">
        <v>15</v>
      </c>
      <c r="M297" s="173" t="s">
        <v>265</v>
      </c>
      <c r="N297" s="173" t="s">
        <v>266</v>
      </c>
      <c r="O297" s="175" t="s">
        <v>268</v>
      </c>
      <c r="P297" s="170">
        <v>34358.44</v>
      </c>
      <c r="Q297" s="170">
        <v>0</v>
      </c>
      <c r="R297" s="170">
        <v>0</v>
      </c>
      <c r="S297" s="170">
        <f>P297-Q297-R297</f>
        <v>34358.44</v>
      </c>
      <c r="T297" s="170">
        <f t="shared" si="28"/>
        <v>140.29579420171498</v>
      </c>
      <c r="U297" s="170">
        <v>140.29579420171498</v>
      </c>
      <c r="V297" s="202">
        <f t="shared" si="29"/>
        <v>0</v>
      </c>
      <c r="W297" s="202">
        <f>X297+Y297+Z297+AA297+AB297+AD297+AF297+AH297+AJ297+AL297+AN297+AO297</f>
        <v>795.31</v>
      </c>
      <c r="X297" s="202">
        <v>0</v>
      </c>
      <c r="Y297" s="203">
        <v>0</v>
      </c>
      <c r="Z297" s="203">
        <v>0</v>
      </c>
      <c r="AA297" s="203">
        <v>0</v>
      </c>
      <c r="AB297" s="203">
        <v>795.31</v>
      </c>
      <c r="AC297" s="203">
        <v>0</v>
      </c>
      <c r="AD297" s="203">
        <v>0</v>
      </c>
      <c r="AE297" s="203">
        <v>0</v>
      </c>
      <c r="AF297" s="202">
        <v>0</v>
      </c>
      <c r="AG297" s="203">
        <v>0</v>
      </c>
      <c r="AH297" s="202">
        <v>0</v>
      </c>
      <c r="AI297" s="203">
        <v>0</v>
      </c>
      <c r="AJ297" s="202">
        <v>0</v>
      </c>
      <c r="AK297" s="203">
        <v>0</v>
      </c>
      <c r="AL297" s="203">
        <v>0</v>
      </c>
      <c r="AM297" s="203">
        <v>0</v>
      </c>
      <c r="AN297" s="203"/>
      <c r="AO297" s="203">
        <v>0</v>
      </c>
    </row>
    <row r="298" spans="1:41" s="176" customFormat="1" ht="36" customHeight="1" x14ac:dyDescent="0.25">
      <c r="A298" s="176">
        <v>1</v>
      </c>
      <c r="B298" s="171">
        <f>SUBTOTAL(103,$A$16:A298)</f>
        <v>271</v>
      </c>
      <c r="C298" s="172" t="s">
        <v>674</v>
      </c>
      <c r="D298" s="173">
        <v>1959</v>
      </c>
      <c r="E298" s="173"/>
      <c r="F298" s="174" t="s">
        <v>267</v>
      </c>
      <c r="G298" s="173">
        <v>3</v>
      </c>
      <c r="H298" s="173" t="s">
        <v>304</v>
      </c>
      <c r="I298" s="170">
        <v>989.5</v>
      </c>
      <c r="J298" s="170">
        <v>562.20000000000005</v>
      </c>
      <c r="K298" s="170">
        <v>562.20000000000005</v>
      </c>
      <c r="L298" s="206">
        <v>35</v>
      </c>
      <c r="M298" s="173" t="s">
        <v>265</v>
      </c>
      <c r="N298" s="173" t="s">
        <v>266</v>
      </c>
      <c r="O298" s="175" t="s">
        <v>268</v>
      </c>
      <c r="P298" s="170">
        <v>576667.37</v>
      </c>
      <c r="Q298" s="170">
        <v>0</v>
      </c>
      <c r="R298" s="170">
        <v>0</v>
      </c>
      <c r="S298" s="170">
        <f>P298-Q298-R298</f>
        <v>576667.37</v>
      </c>
      <c r="T298" s="170">
        <f t="shared" si="28"/>
        <v>582.78662961091459</v>
      </c>
      <c r="U298" s="170">
        <v>810.46</v>
      </c>
      <c r="V298" s="202">
        <f t="shared" si="29"/>
        <v>227.67337038908545</v>
      </c>
      <c r="W298" s="202">
        <f>X298+Y298+Z298+AA298+AB298+AD298+AF298+AH298+AJ298+AL298+AN298+AO298</f>
        <v>795.31</v>
      </c>
      <c r="X298" s="202">
        <v>0</v>
      </c>
      <c r="Y298" s="203">
        <v>0</v>
      </c>
      <c r="Z298" s="203">
        <v>0</v>
      </c>
      <c r="AA298" s="203">
        <v>0</v>
      </c>
      <c r="AB298" s="203">
        <v>795.31</v>
      </c>
      <c r="AC298" s="203">
        <v>0</v>
      </c>
      <c r="AD298" s="203">
        <v>0</v>
      </c>
      <c r="AE298" s="203">
        <v>0</v>
      </c>
      <c r="AF298" s="202">
        <v>0</v>
      </c>
      <c r="AG298" s="203">
        <v>0</v>
      </c>
      <c r="AH298" s="202">
        <v>0</v>
      </c>
      <c r="AI298" s="203">
        <v>0</v>
      </c>
      <c r="AJ298" s="202">
        <v>0</v>
      </c>
      <c r="AK298" s="203">
        <v>0</v>
      </c>
      <c r="AL298" s="203">
        <v>0</v>
      </c>
      <c r="AM298" s="203">
        <v>0</v>
      </c>
      <c r="AN298" s="203"/>
      <c r="AO298" s="203">
        <v>0</v>
      </c>
    </row>
    <row r="299" spans="1:41" s="176" customFormat="1" ht="36" customHeight="1" x14ac:dyDescent="0.25">
      <c r="A299" s="176">
        <v>1</v>
      </c>
      <c r="B299" s="171">
        <f>SUBTOTAL(103,$A$16:A299)</f>
        <v>272</v>
      </c>
      <c r="C299" s="172" t="s">
        <v>1198</v>
      </c>
      <c r="D299" s="173">
        <v>1971</v>
      </c>
      <c r="E299" s="173"/>
      <c r="F299" s="174" t="s">
        <v>267</v>
      </c>
      <c r="G299" s="173">
        <v>2</v>
      </c>
      <c r="H299" s="173" t="s">
        <v>303</v>
      </c>
      <c r="I299" s="170">
        <v>769.9</v>
      </c>
      <c r="J299" s="170">
        <v>769.9</v>
      </c>
      <c r="K299" s="170">
        <v>769.9</v>
      </c>
      <c r="L299" s="206">
        <v>21</v>
      </c>
      <c r="M299" s="173" t="s">
        <v>265</v>
      </c>
      <c r="N299" s="173" t="s">
        <v>269</v>
      </c>
      <c r="O299" s="175" t="s">
        <v>1324</v>
      </c>
      <c r="P299" s="170">
        <v>248507.08000000002</v>
      </c>
      <c r="Q299" s="170">
        <v>0</v>
      </c>
      <c r="R299" s="170">
        <v>0</v>
      </c>
      <c r="S299" s="170">
        <f>P299-Q299-R299</f>
        <v>248507.08000000002</v>
      </c>
      <c r="T299" s="170">
        <f t="shared" si="28"/>
        <v>322.778386803481</v>
      </c>
      <c r="U299" s="170">
        <v>322.77839979218083</v>
      </c>
      <c r="V299" s="202">
        <f t="shared" si="29"/>
        <v>1.298869983656914E-5</v>
      </c>
      <c r="W299" s="202">
        <f>T299</f>
        <v>322.778386803481</v>
      </c>
      <c r="X299" s="202">
        <v>113.09</v>
      </c>
      <c r="Y299" s="203">
        <v>0</v>
      </c>
      <c r="Z299" s="203">
        <v>0</v>
      </c>
      <c r="AA299" s="203">
        <v>184.98</v>
      </c>
      <c r="AB299" s="203">
        <v>0</v>
      </c>
      <c r="AC299" s="203">
        <v>0</v>
      </c>
      <c r="AD299" s="203">
        <v>0</v>
      </c>
      <c r="AE299" s="203">
        <v>0</v>
      </c>
      <c r="AF299" s="202">
        <v>0</v>
      </c>
      <c r="AG299" s="203">
        <v>0</v>
      </c>
      <c r="AH299" s="202">
        <v>0</v>
      </c>
      <c r="AI299" s="203">
        <v>0</v>
      </c>
      <c r="AJ299" s="202">
        <v>0</v>
      </c>
      <c r="AK299" s="203">
        <v>0</v>
      </c>
      <c r="AL299" s="203">
        <v>0</v>
      </c>
      <c r="AM299" s="203">
        <v>0</v>
      </c>
      <c r="AN299" s="203"/>
      <c r="AO299" s="203">
        <v>0</v>
      </c>
    </row>
    <row r="300" spans="1:41" s="176" customFormat="1" ht="36" customHeight="1" x14ac:dyDescent="0.25">
      <c r="A300" s="176">
        <v>1</v>
      </c>
      <c r="B300" s="171">
        <f>SUBTOTAL(103,$A$16:A300)</f>
        <v>273</v>
      </c>
      <c r="C300" s="172" t="s">
        <v>1199</v>
      </c>
      <c r="D300" s="173" t="s">
        <v>367</v>
      </c>
      <c r="E300" s="173"/>
      <c r="F300" s="174" t="s">
        <v>267</v>
      </c>
      <c r="G300" s="173">
        <v>2</v>
      </c>
      <c r="H300" s="173" t="s">
        <v>304</v>
      </c>
      <c r="I300" s="170">
        <v>298.5</v>
      </c>
      <c r="J300" s="170">
        <v>298.5</v>
      </c>
      <c r="K300" s="170">
        <v>298.5</v>
      </c>
      <c r="L300" s="206">
        <v>11</v>
      </c>
      <c r="M300" s="173" t="s">
        <v>265</v>
      </c>
      <c r="N300" s="173" t="s">
        <v>269</v>
      </c>
      <c r="O300" s="175" t="s">
        <v>989</v>
      </c>
      <c r="P300" s="170">
        <v>133782.41999999998</v>
      </c>
      <c r="Q300" s="170">
        <v>0</v>
      </c>
      <c r="R300" s="170">
        <v>0</v>
      </c>
      <c r="S300" s="170">
        <f>P300-Q300-R300</f>
        <v>133782.41999999998</v>
      </c>
      <c r="T300" s="170">
        <f t="shared" si="28"/>
        <v>448.18231155778886</v>
      </c>
      <c r="U300" s="170">
        <v>995.44</v>
      </c>
      <c r="V300" s="202">
        <f t="shared" si="29"/>
        <v>547.25768844221125</v>
      </c>
      <c r="W300" s="202">
        <f>X300+Y300+Z300+AA300+AB300+AD300+AF300+AH300+AJ300+AL300+AN300+AO300</f>
        <v>980.29</v>
      </c>
      <c r="X300" s="202">
        <v>0</v>
      </c>
      <c r="Y300" s="203">
        <v>0</v>
      </c>
      <c r="Z300" s="203">
        <v>0</v>
      </c>
      <c r="AA300" s="203">
        <v>184.98</v>
      </c>
      <c r="AB300" s="203">
        <v>795.31</v>
      </c>
      <c r="AC300" s="203">
        <v>0</v>
      </c>
      <c r="AD300" s="203">
        <v>0</v>
      </c>
      <c r="AE300" s="203">
        <v>0</v>
      </c>
      <c r="AF300" s="202">
        <v>0</v>
      </c>
      <c r="AG300" s="203">
        <v>0</v>
      </c>
      <c r="AH300" s="202">
        <v>0</v>
      </c>
      <c r="AI300" s="203">
        <v>0</v>
      </c>
      <c r="AJ300" s="202">
        <v>0</v>
      </c>
      <c r="AK300" s="203">
        <v>0</v>
      </c>
      <c r="AL300" s="203">
        <v>0</v>
      </c>
      <c r="AM300" s="203">
        <v>0</v>
      </c>
      <c r="AN300" s="203"/>
      <c r="AO300" s="203">
        <v>0</v>
      </c>
    </row>
    <row r="301" spans="1:41" s="176" customFormat="1" ht="36" customHeight="1" x14ac:dyDescent="0.25">
      <c r="B301" s="172" t="s">
        <v>814</v>
      </c>
      <c r="C301" s="172"/>
      <c r="D301" s="173" t="s">
        <v>882</v>
      </c>
      <c r="E301" s="173" t="s">
        <v>882</v>
      </c>
      <c r="F301" s="173" t="s">
        <v>882</v>
      </c>
      <c r="G301" s="173" t="s">
        <v>882</v>
      </c>
      <c r="H301" s="173" t="s">
        <v>882</v>
      </c>
      <c r="I301" s="177">
        <f>I302</f>
        <v>3504.3</v>
      </c>
      <c r="J301" s="177">
        <f>J302</f>
        <v>3162.4</v>
      </c>
      <c r="K301" s="177">
        <f>K302</f>
        <v>3162.4</v>
      </c>
      <c r="L301" s="357">
        <f>L302</f>
        <v>178</v>
      </c>
      <c r="M301" s="173" t="s">
        <v>882</v>
      </c>
      <c r="N301" s="173" t="s">
        <v>882</v>
      </c>
      <c r="O301" s="175" t="s">
        <v>882</v>
      </c>
      <c r="P301" s="170">
        <v>1997229.1400000001</v>
      </c>
      <c r="Q301" s="170">
        <f>Q302</f>
        <v>0</v>
      </c>
      <c r="R301" s="170">
        <f>R302</f>
        <v>0</v>
      </c>
      <c r="S301" s="170">
        <f>S302</f>
        <v>1997229.1400000001</v>
      </c>
      <c r="T301" s="170">
        <f t="shared" si="28"/>
        <v>569.93668921039864</v>
      </c>
      <c r="U301" s="170">
        <f>MAX(U302)</f>
        <v>1440.9495936420965</v>
      </c>
      <c r="V301" s="202">
        <f t="shared" si="29"/>
        <v>871.01290443169785</v>
      </c>
      <c r="W301" s="202"/>
      <c r="X301" s="202"/>
      <c r="Y301" s="203"/>
      <c r="Z301" s="203"/>
      <c r="AA301" s="203"/>
      <c r="AB301" s="203"/>
      <c r="AC301" s="203"/>
      <c r="AD301" s="203"/>
      <c r="AE301" s="203"/>
      <c r="AF301" s="203"/>
      <c r="AG301" s="203"/>
      <c r="AH301" s="203"/>
      <c r="AI301" s="203"/>
      <c r="AJ301" s="203"/>
      <c r="AK301" s="203"/>
      <c r="AL301" s="203"/>
      <c r="AM301" s="203"/>
      <c r="AN301" s="203"/>
      <c r="AO301" s="203"/>
    </row>
    <row r="302" spans="1:41" s="176" customFormat="1" ht="36" customHeight="1" x14ac:dyDescent="0.25">
      <c r="A302" s="176">
        <v>1</v>
      </c>
      <c r="B302" s="171">
        <f>SUBTOTAL(103,$A$16:A302)</f>
        <v>274</v>
      </c>
      <c r="C302" s="172" t="s">
        <v>672</v>
      </c>
      <c r="D302" s="173">
        <v>1984</v>
      </c>
      <c r="E302" s="173"/>
      <c r="F302" s="174" t="s">
        <v>336</v>
      </c>
      <c r="G302" s="173">
        <v>5</v>
      </c>
      <c r="H302" s="173" t="s">
        <v>308</v>
      </c>
      <c r="I302" s="170">
        <v>3504.3</v>
      </c>
      <c r="J302" s="170">
        <v>3162.4</v>
      </c>
      <c r="K302" s="170">
        <v>3162.4</v>
      </c>
      <c r="L302" s="206">
        <v>178</v>
      </c>
      <c r="M302" s="173" t="s">
        <v>265</v>
      </c>
      <c r="N302" s="173" t="s">
        <v>269</v>
      </c>
      <c r="O302" s="175" t="s">
        <v>989</v>
      </c>
      <c r="P302" s="170">
        <v>1997229.1400000001</v>
      </c>
      <c r="Q302" s="170">
        <v>0</v>
      </c>
      <c r="R302" s="170">
        <v>0</v>
      </c>
      <c r="S302" s="170">
        <f>P302-Q302-R302</f>
        <v>1997229.1400000001</v>
      </c>
      <c r="T302" s="170">
        <f t="shared" si="28"/>
        <v>569.93668921039864</v>
      </c>
      <c r="U302" s="170">
        <v>1440.9495936420965</v>
      </c>
      <c r="V302" s="202">
        <f>U302-T302</f>
        <v>871.01290443169785</v>
      </c>
      <c r="W302" s="202">
        <f>X302+Y302+Z302+AA302+AB302+AD302+AF302+AH302+AJ302+AL302+AN302+AO302</f>
        <v>1381.433506349342</v>
      </c>
      <c r="X302" s="202">
        <v>0</v>
      </c>
      <c r="Y302" s="203">
        <v>0</v>
      </c>
      <c r="Z302" s="203">
        <v>0</v>
      </c>
      <c r="AA302" s="203">
        <v>0</v>
      </c>
      <c r="AB302" s="203">
        <v>0</v>
      </c>
      <c r="AC302" s="203">
        <v>0</v>
      </c>
      <c r="AD302" s="203">
        <v>0</v>
      </c>
      <c r="AE302" s="203">
        <v>775.93</v>
      </c>
      <c r="AF302" s="202">
        <f>6238.91*AE302/I302</f>
        <v>1381.433506349342</v>
      </c>
      <c r="AG302" s="203">
        <v>0</v>
      </c>
      <c r="AH302" s="202">
        <v>0</v>
      </c>
      <c r="AI302" s="203">
        <v>0</v>
      </c>
      <c r="AJ302" s="202">
        <v>0</v>
      </c>
      <c r="AK302" s="203">
        <v>0</v>
      </c>
      <c r="AL302" s="203">
        <v>0</v>
      </c>
      <c r="AM302" s="203">
        <v>0</v>
      </c>
      <c r="AN302" s="203"/>
      <c r="AO302" s="203">
        <v>0</v>
      </c>
    </row>
    <row r="303" spans="1:41" s="176" customFormat="1" ht="36" customHeight="1" x14ac:dyDescent="0.25">
      <c r="B303" s="172" t="s">
        <v>815</v>
      </c>
      <c r="C303" s="172"/>
      <c r="D303" s="173" t="s">
        <v>882</v>
      </c>
      <c r="E303" s="173" t="s">
        <v>882</v>
      </c>
      <c r="F303" s="173" t="s">
        <v>882</v>
      </c>
      <c r="G303" s="173" t="s">
        <v>882</v>
      </c>
      <c r="H303" s="173" t="s">
        <v>882</v>
      </c>
      <c r="I303" s="177">
        <f>SUM(I304:I318)</f>
        <v>37828.900000000009</v>
      </c>
      <c r="J303" s="177">
        <f>SUM(J304:J318)</f>
        <v>30630.800000000003</v>
      </c>
      <c r="K303" s="177">
        <f>SUM(K304:K318)</f>
        <v>30630.800000000003</v>
      </c>
      <c r="L303" s="357">
        <f>SUM(L304:L318)</f>
        <v>1989</v>
      </c>
      <c r="M303" s="173" t="s">
        <v>882</v>
      </c>
      <c r="N303" s="173" t="s">
        <v>882</v>
      </c>
      <c r="O303" s="175" t="s">
        <v>882</v>
      </c>
      <c r="P303" s="177">
        <v>29976052.369999997</v>
      </c>
      <c r="Q303" s="177">
        <f>SUM(Q304:Q318)</f>
        <v>0</v>
      </c>
      <c r="R303" s="177">
        <f>SUM(R304:R318)</f>
        <v>0</v>
      </c>
      <c r="S303" s="177">
        <f>SUM(S304:S318)</f>
        <v>29976052.369999997</v>
      </c>
      <c r="T303" s="170">
        <f t="shared" si="28"/>
        <v>792.41142010473447</v>
      </c>
      <c r="U303" s="170">
        <f>MAX(U304:U318)</f>
        <v>13226.564306784659</v>
      </c>
      <c r="V303" s="202">
        <f t="shared" si="29"/>
        <v>12434.152886679925</v>
      </c>
      <c r="W303" s="202"/>
      <c r="X303" s="202"/>
      <c r="Y303" s="203"/>
      <c r="Z303" s="203"/>
      <c r="AA303" s="203"/>
      <c r="AB303" s="203"/>
      <c r="AC303" s="203"/>
      <c r="AD303" s="203"/>
      <c r="AE303" s="203"/>
      <c r="AF303" s="203"/>
      <c r="AG303" s="203"/>
      <c r="AH303" s="203"/>
      <c r="AI303" s="203"/>
      <c r="AJ303" s="203"/>
      <c r="AK303" s="203"/>
      <c r="AL303" s="203"/>
      <c r="AM303" s="203"/>
      <c r="AN303" s="203"/>
      <c r="AO303" s="203"/>
    </row>
    <row r="304" spans="1:41" s="176" customFormat="1" ht="36" customHeight="1" x14ac:dyDescent="0.25">
      <c r="A304" s="176">
        <v>1</v>
      </c>
      <c r="B304" s="171">
        <f>SUBTOTAL(103,$A$16:A304)</f>
        <v>275</v>
      </c>
      <c r="C304" s="172" t="s">
        <v>676</v>
      </c>
      <c r="D304" s="173">
        <v>1981</v>
      </c>
      <c r="E304" s="173"/>
      <c r="F304" s="174" t="s">
        <v>267</v>
      </c>
      <c r="G304" s="173">
        <v>2</v>
      </c>
      <c r="H304" s="173">
        <v>3</v>
      </c>
      <c r="I304" s="170">
        <v>975</v>
      </c>
      <c r="J304" s="170">
        <v>975</v>
      </c>
      <c r="K304" s="170">
        <v>975</v>
      </c>
      <c r="L304" s="206">
        <v>47</v>
      </c>
      <c r="M304" s="173" t="s">
        <v>265</v>
      </c>
      <c r="N304" s="173" t="s">
        <v>266</v>
      </c>
      <c r="O304" s="175" t="s">
        <v>268</v>
      </c>
      <c r="P304" s="170">
        <v>95474.18</v>
      </c>
      <c r="Q304" s="170">
        <v>0</v>
      </c>
      <c r="R304" s="170">
        <v>0</v>
      </c>
      <c r="S304" s="170">
        <f t="shared" ref="S304:S316" si="31">P304-Q304-R304</f>
        <v>95474.18</v>
      </c>
      <c r="T304" s="170">
        <f t="shared" si="28"/>
        <v>97.922235897435897</v>
      </c>
      <c r="U304" s="170">
        <v>97.922235897435897</v>
      </c>
      <c r="V304" s="202">
        <f t="shared" si="29"/>
        <v>0</v>
      </c>
      <c r="W304" s="202">
        <f t="shared" ref="W304:W318" si="32">X304+Y304+Z304+AA304+AB304+AD304+AF304+AH304+AJ304+AL304+AN304+AO304</f>
        <v>5567.027384615385</v>
      </c>
      <c r="X304" s="202">
        <v>0</v>
      </c>
      <c r="Y304" s="203">
        <v>0</v>
      </c>
      <c r="Z304" s="203">
        <v>0</v>
      </c>
      <c r="AA304" s="203">
        <v>0</v>
      </c>
      <c r="AB304" s="203">
        <v>0</v>
      </c>
      <c r="AC304" s="203">
        <v>0</v>
      </c>
      <c r="AD304" s="203">
        <v>0</v>
      </c>
      <c r="AE304" s="203">
        <v>870</v>
      </c>
      <c r="AF304" s="202">
        <f>6238.91*AE304/I304</f>
        <v>5567.027384615385</v>
      </c>
      <c r="AG304" s="203">
        <v>0</v>
      </c>
      <c r="AH304" s="202">
        <v>0</v>
      </c>
      <c r="AI304" s="203">
        <v>0</v>
      </c>
      <c r="AJ304" s="202">
        <v>0</v>
      </c>
      <c r="AK304" s="203">
        <v>0</v>
      </c>
      <c r="AL304" s="203">
        <v>0</v>
      </c>
      <c r="AM304" s="203">
        <v>0</v>
      </c>
      <c r="AN304" s="203"/>
      <c r="AO304" s="203">
        <v>0</v>
      </c>
    </row>
    <row r="305" spans="1:41" s="176" customFormat="1" ht="36" customHeight="1" x14ac:dyDescent="0.25">
      <c r="A305" s="176">
        <v>1</v>
      </c>
      <c r="B305" s="171">
        <f>SUBTOTAL(103,$A$16:A305)</f>
        <v>276</v>
      </c>
      <c r="C305" s="172" t="s">
        <v>660</v>
      </c>
      <c r="D305" s="173">
        <v>1976</v>
      </c>
      <c r="E305" s="173"/>
      <c r="F305" s="174" t="s">
        <v>267</v>
      </c>
      <c r="G305" s="173">
        <v>5</v>
      </c>
      <c r="H305" s="173" t="s">
        <v>303</v>
      </c>
      <c r="I305" s="170">
        <v>3568.3</v>
      </c>
      <c r="J305" s="170">
        <v>1361.4</v>
      </c>
      <c r="K305" s="170">
        <v>1361.4</v>
      </c>
      <c r="L305" s="206">
        <v>30</v>
      </c>
      <c r="M305" s="173" t="s">
        <v>265</v>
      </c>
      <c r="N305" s="173" t="s">
        <v>269</v>
      </c>
      <c r="O305" s="175" t="s">
        <v>708</v>
      </c>
      <c r="P305" s="170">
        <v>6906704.6500000004</v>
      </c>
      <c r="Q305" s="170">
        <v>0</v>
      </c>
      <c r="R305" s="170">
        <v>0</v>
      </c>
      <c r="S305" s="170">
        <f t="shared" si="31"/>
        <v>6906704.6500000004</v>
      </c>
      <c r="T305" s="170">
        <f t="shared" si="28"/>
        <v>1935.5728638287139</v>
      </c>
      <c r="U305" s="170">
        <v>2297.9295462825435</v>
      </c>
      <c r="V305" s="202">
        <f t="shared" si="29"/>
        <v>362.35668245382954</v>
      </c>
      <c r="W305" s="202">
        <f t="shared" si="32"/>
        <v>2197.7720118824091</v>
      </c>
      <c r="X305" s="202">
        <v>0</v>
      </c>
      <c r="Y305" s="203">
        <v>0</v>
      </c>
      <c r="Z305" s="203">
        <v>0</v>
      </c>
      <c r="AA305" s="203">
        <v>0</v>
      </c>
      <c r="AB305" s="203">
        <v>0</v>
      </c>
      <c r="AC305" s="203">
        <v>0</v>
      </c>
      <c r="AD305" s="203">
        <v>0</v>
      </c>
      <c r="AE305" s="203">
        <v>1257</v>
      </c>
      <c r="AF305" s="202">
        <f>6238.91*AE305/I305</f>
        <v>2197.7720118824091</v>
      </c>
      <c r="AG305" s="203">
        <v>0</v>
      </c>
      <c r="AH305" s="202">
        <v>0</v>
      </c>
      <c r="AI305" s="203">
        <v>0</v>
      </c>
      <c r="AJ305" s="202">
        <v>0</v>
      </c>
      <c r="AK305" s="203">
        <v>0</v>
      </c>
      <c r="AL305" s="203">
        <v>0</v>
      </c>
      <c r="AM305" s="203">
        <v>0</v>
      </c>
      <c r="AN305" s="203"/>
      <c r="AO305" s="203">
        <v>0</v>
      </c>
    </row>
    <row r="306" spans="1:41" s="176" customFormat="1" ht="36" customHeight="1" x14ac:dyDescent="0.25">
      <c r="A306" s="176">
        <v>1</v>
      </c>
      <c r="B306" s="171">
        <f>SUBTOTAL(103,$A$16:A306)</f>
        <v>277</v>
      </c>
      <c r="C306" s="172" t="s">
        <v>655</v>
      </c>
      <c r="D306" s="173">
        <v>1985</v>
      </c>
      <c r="E306" s="173"/>
      <c r="F306" s="174" t="s">
        <v>267</v>
      </c>
      <c r="G306" s="173">
        <v>9</v>
      </c>
      <c r="H306" s="173" t="s">
        <v>304</v>
      </c>
      <c r="I306" s="170">
        <v>4900.3</v>
      </c>
      <c r="J306" s="170">
        <v>4900.3</v>
      </c>
      <c r="K306" s="170">
        <v>4900.3</v>
      </c>
      <c r="L306" s="206">
        <v>361</v>
      </c>
      <c r="M306" s="173" t="s">
        <v>265</v>
      </c>
      <c r="N306" s="173" t="s">
        <v>269</v>
      </c>
      <c r="O306" s="175" t="s">
        <v>708</v>
      </c>
      <c r="P306" s="170">
        <v>1582418.76</v>
      </c>
      <c r="Q306" s="170">
        <v>0</v>
      </c>
      <c r="R306" s="170">
        <v>0</v>
      </c>
      <c r="S306" s="170">
        <f t="shared" si="31"/>
        <v>1582418.76</v>
      </c>
      <c r="T306" s="170">
        <f t="shared" si="28"/>
        <v>322.92283329592067</v>
      </c>
      <c r="U306" s="170">
        <v>983.93056139420025</v>
      </c>
      <c r="V306" s="202">
        <f t="shared" si="29"/>
        <v>661.00772809827959</v>
      </c>
      <c r="W306" s="202">
        <f t="shared" si="32"/>
        <v>1145.8520906883252</v>
      </c>
      <c r="X306" s="202">
        <v>0</v>
      </c>
      <c r="Y306" s="203">
        <v>0</v>
      </c>
      <c r="Z306" s="203">
        <v>0</v>
      </c>
      <c r="AA306" s="203">
        <v>0</v>
      </c>
      <c r="AB306" s="203">
        <v>0</v>
      </c>
      <c r="AC306" s="203">
        <v>0</v>
      </c>
      <c r="AD306" s="203">
        <v>0</v>
      </c>
      <c r="AE306" s="203">
        <v>900</v>
      </c>
      <c r="AF306" s="202">
        <f>6238.91*AE306/I306</f>
        <v>1145.8520906883252</v>
      </c>
      <c r="AG306" s="203">
        <v>0</v>
      </c>
      <c r="AH306" s="202">
        <v>0</v>
      </c>
      <c r="AI306" s="203">
        <v>0</v>
      </c>
      <c r="AJ306" s="202">
        <v>0</v>
      </c>
      <c r="AK306" s="203">
        <v>0</v>
      </c>
      <c r="AL306" s="203">
        <v>0</v>
      </c>
      <c r="AM306" s="203">
        <v>0</v>
      </c>
      <c r="AN306" s="203"/>
      <c r="AO306" s="203">
        <v>0</v>
      </c>
    </row>
    <row r="307" spans="1:41" s="176" customFormat="1" ht="36" customHeight="1" x14ac:dyDescent="0.25">
      <c r="A307" s="176">
        <v>1</v>
      </c>
      <c r="B307" s="171">
        <f>SUBTOTAL(103,$A$16:A307)</f>
        <v>278</v>
      </c>
      <c r="C307" s="172" t="s">
        <v>656</v>
      </c>
      <c r="D307" s="173">
        <v>1992</v>
      </c>
      <c r="E307" s="173"/>
      <c r="F307" s="174" t="s">
        <v>267</v>
      </c>
      <c r="G307" s="173">
        <v>9</v>
      </c>
      <c r="H307" s="173" t="s">
        <v>304</v>
      </c>
      <c r="I307" s="170">
        <v>4865.3</v>
      </c>
      <c r="J307" s="170">
        <v>4865.3</v>
      </c>
      <c r="K307" s="170">
        <v>4865.3</v>
      </c>
      <c r="L307" s="206">
        <v>369</v>
      </c>
      <c r="M307" s="173" t="s">
        <v>265</v>
      </c>
      <c r="N307" s="173" t="s">
        <v>269</v>
      </c>
      <c r="O307" s="175" t="s">
        <v>708</v>
      </c>
      <c r="P307" s="170">
        <v>1494720.17</v>
      </c>
      <c r="Q307" s="170">
        <v>0</v>
      </c>
      <c r="R307" s="170">
        <v>0</v>
      </c>
      <c r="S307" s="170">
        <f t="shared" si="31"/>
        <v>1494720.17</v>
      </c>
      <c r="T307" s="170">
        <f t="shared" si="28"/>
        <v>307.22055577251143</v>
      </c>
      <c r="U307" s="170">
        <v>1052.8046924136229</v>
      </c>
      <c r="V307" s="202">
        <f t="shared" si="29"/>
        <v>745.5841366411114</v>
      </c>
      <c r="W307" s="202">
        <f t="shared" si="32"/>
        <v>1154.0951226029226</v>
      </c>
      <c r="X307" s="202">
        <v>0</v>
      </c>
      <c r="Y307" s="203">
        <v>0</v>
      </c>
      <c r="Z307" s="203">
        <v>0</v>
      </c>
      <c r="AA307" s="203">
        <v>0</v>
      </c>
      <c r="AB307" s="203">
        <v>0</v>
      </c>
      <c r="AC307" s="203">
        <v>0</v>
      </c>
      <c r="AD307" s="203">
        <v>0</v>
      </c>
      <c r="AE307" s="203">
        <v>900</v>
      </c>
      <c r="AF307" s="202">
        <f>6238.91*AE307/I307</f>
        <v>1154.0951226029226</v>
      </c>
      <c r="AG307" s="203">
        <v>0</v>
      </c>
      <c r="AH307" s="202">
        <v>0</v>
      </c>
      <c r="AI307" s="203">
        <v>0</v>
      </c>
      <c r="AJ307" s="202">
        <v>0</v>
      </c>
      <c r="AK307" s="203">
        <v>0</v>
      </c>
      <c r="AL307" s="203">
        <v>0</v>
      </c>
      <c r="AM307" s="203">
        <v>0</v>
      </c>
      <c r="AN307" s="203"/>
      <c r="AO307" s="203">
        <v>0</v>
      </c>
    </row>
    <row r="308" spans="1:41" s="176" customFormat="1" ht="36" customHeight="1" x14ac:dyDescent="0.25">
      <c r="A308" s="176">
        <v>1</v>
      </c>
      <c r="B308" s="171">
        <f>SUBTOTAL(103,$A$16:A308)</f>
        <v>279</v>
      </c>
      <c r="C308" s="172" t="s">
        <v>657</v>
      </c>
      <c r="D308" s="173">
        <v>1982</v>
      </c>
      <c r="E308" s="173"/>
      <c r="F308" s="174" t="s">
        <v>267</v>
      </c>
      <c r="G308" s="173">
        <v>9</v>
      </c>
      <c r="H308" s="173" t="s">
        <v>304</v>
      </c>
      <c r="I308" s="170">
        <v>4912.2</v>
      </c>
      <c r="J308" s="170">
        <v>2461.6999999999998</v>
      </c>
      <c r="K308" s="170">
        <v>2461.6999999999998</v>
      </c>
      <c r="L308" s="206">
        <v>369</v>
      </c>
      <c r="M308" s="173" t="s">
        <v>265</v>
      </c>
      <c r="N308" s="173" t="s">
        <v>269</v>
      </c>
      <c r="O308" s="175" t="s">
        <v>708</v>
      </c>
      <c r="P308" s="170">
        <v>1534580.28</v>
      </c>
      <c r="Q308" s="170">
        <v>0</v>
      </c>
      <c r="R308" s="170">
        <v>0</v>
      </c>
      <c r="S308" s="170">
        <f t="shared" si="31"/>
        <v>1534580.28</v>
      </c>
      <c r="T308" s="170">
        <f t="shared" si="28"/>
        <v>312.40183217295714</v>
      </c>
      <c r="U308" s="170">
        <v>1006.9831786165058</v>
      </c>
      <c r="V308" s="202">
        <f t="shared" si="29"/>
        <v>694.58134644354868</v>
      </c>
      <c r="W308" s="202">
        <f t="shared" si="32"/>
        <v>1143.0762183950164</v>
      </c>
      <c r="X308" s="202">
        <v>0</v>
      </c>
      <c r="Y308" s="203">
        <v>0</v>
      </c>
      <c r="Z308" s="203">
        <v>0</v>
      </c>
      <c r="AA308" s="203">
        <v>0</v>
      </c>
      <c r="AB308" s="203">
        <v>0</v>
      </c>
      <c r="AC308" s="203">
        <v>0</v>
      </c>
      <c r="AD308" s="203">
        <v>0</v>
      </c>
      <c r="AE308" s="203">
        <v>900</v>
      </c>
      <c r="AF308" s="202">
        <f>6238.91*AE308/I308</f>
        <v>1143.0762183950164</v>
      </c>
      <c r="AG308" s="203">
        <v>0</v>
      </c>
      <c r="AH308" s="202">
        <v>0</v>
      </c>
      <c r="AI308" s="203">
        <v>0</v>
      </c>
      <c r="AJ308" s="202">
        <v>0</v>
      </c>
      <c r="AK308" s="203">
        <v>0</v>
      </c>
      <c r="AL308" s="203">
        <v>0</v>
      </c>
      <c r="AM308" s="203">
        <v>0</v>
      </c>
      <c r="AN308" s="203"/>
      <c r="AO308" s="203">
        <v>0</v>
      </c>
    </row>
    <row r="309" spans="1:41" s="176" customFormat="1" ht="36" customHeight="1" x14ac:dyDescent="0.25">
      <c r="A309" s="176">
        <v>1</v>
      </c>
      <c r="B309" s="171">
        <f>SUBTOTAL(103,$A$16:A309)</f>
        <v>280</v>
      </c>
      <c r="C309" s="172" t="s">
        <v>650</v>
      </c>
      <c r="D309" s="173">
        <v>1994</v>
      </c>
      <c r="E309" s="173"/>
      <c r="F309" s="174" t="s">
        <v>267</v>
      </c>
      <c r="G309" s="173">
        <v>9</v>
      </c>
      <c r="H309" s="173">
        <v>1</v>
      </c>
      <c r="I309" s="170">
        <v>4455.3</v>
      </c>
      <c r="J309" s="170">
        <v>2847.7</v>
      </c>
      <c r="K309" s="170">
        <v>2847.7</v>
      </c>
      <c r="L309" s="206">
        <v>211</v>
      </c>
      <c r="M309" s="173" t="s">
        <v>265</v>
      </c>
      <c r="N309" s="173" t="s">
        <v>341</v>
      </c>
      <c r="O309" s="175" t="s">
        <v>709</v>
      </c>
      <c r="P309" s="170">
        <v>3346564.4</v>
      </c>
      <c r="Q309" s="170">
        <v>0</v>
      </c>
      <c r="R309" s="170">
        <v>0</v>
      </c>
      <c r="S309" s="170">
        <f t="shared" si="31"/>
        <v>3346564.4</v>
      </c>
      <c r="T309" s="170">
        <f t="shared" si="28"/>
        <v>751.14232487150127</v>
      </c>
      <c r="U309" s="170">
        <v>1103.3151527394339</v>
      </c>
      <c r="V309" s="202">
        <f t="shared" si="29"/>
        <v>352.1728278679326</v>
      </c>
      <c r="W309" s="202">
        <f t="shared" si="32"/>
        <v>1103.3151527394339</v>
      </c>
      <c r="X309" s="202">
        <v>0</v>
      </c>
      <c r="Y309" s="203">
        <v>0</v>
      </c>
      <c r="Z309" s="203">
        <v>0</v>
      </c>
      <c r="AA309" s="203">
        <v>0</v>
      </c>
      <c r="AB309" s="203">
        <v>0</v>
      </c>
      <c r="AC309" s="203">
        <v>2</v>
      </c>
      <c r="AD309" s="202">
        <f>2457800*AC309/I309</f>
        <v>1103.3151527394339</v>
      </c>
      <c r="AE309" s="203">
        <v>0</v>
      </c>
      <c r="AF309" s="202">
        <v>0</v>
      </c>
      <c r="AG309" s="203">
        <v>0</v>
      </c>
      <c r="AH309" s="202">
        <v>0</v>
      </c>
      <c r="AI309" s="203">
        <v>0</v>
      </c>
      <c r="AJ309" s="202">
        <v>0</v>
      </c>
      <c r="AK309" s="203">
        <v>0</v>
      </c>
      <c r="AL309" s="203">
        <v>0</v>
      </c>
      <c r="AM309" s="203">
        <v>0</v>
      </c>
      <c r="AN309" s="203"/>
      <c r="AO309" s="203">
        <v>0</v>
      </c>
    </row>
    <row r="310" spans="1:41" s="176" customFormat="1" ht="36" customHeight="1" x14ac:dyDescent="0.25">
      <c r="A310" s="176">
        <v>1</v>
      </c>
      <c r="B310" s="171">
        <f>SUBTOTAL(103,$A$16:A310)</f>
        <v>281</v>
      </c>
      <c r="C310" s="172" t="s">
        <v>663</v>
      </c>
      <c r="D310" s="173">
        <v>1917</v>
      </c>
      <c r="E310" s="173"/>
      <c r="F310" s="174" t="s">
        <v>267</v>
      </c>
      <c r="G310" s="173">
        <v>2</v>
      </c>
      <c r="H310" s="173" t="s">
        <v>303</v>
      </c>
      <c r="I310" s="170">
        <v>722.2</v>
      </c>
      <c r="J310" s="170">
        <v>514</v>
      </c>
      <c r="K310" s="170">
        <v>514</v>
      </c>
      <c r="L310" s="206">
        <v>21</v>
      </c>
      <c r="M310" s="173" t="s">
        <v>265</v>
      </c>
      <c r="N310" s="173" t="s">
        <v>266</v>
      </c>
      <c r="O310" s="175" t="s">
        <v>268</v>
      </c>
      <c r="P310" s="170">
        <v>101554.75</v>
      </c>
      <c r="Q310" s="170">
        <v>0</v>
      </c>
      <c r="R310" s="170">
        <v>0</v>
      </c>
      <c r="S310" s="170">
        <f t="shared" si="31"/>
        <v>101554.75</v>
      </c>
      <c r="T310" s="170">
        <f t="shared" si="28"/>
        <v>140.61859595679866</v>
      </c>
      <c r="U310" s="170">
        <v>140.61859595679866</v>
      </c>
      <c r="V310" s="202">
        <f t="shared" si="29"/>
        <v>0</v>
      </c>
      <c r="W310" s="202">
        <f>T310</f>
        <v>140.61859595679866</v>
      </c>
      <c r="X310" s="202">
        <v>0</v>
      </c>
      <c r="Y310" s="203">
        <v>0</v>
      </c>
      <c r="Z310" s="203">
        <v>0</v>
      </c>
      <c r="AA310" s="203">
        <v>0</v>
      </c>
      <c r="AB310" s="203">
        <v>0</v>
      </c>
      <c r="AC310" s="203">
        <v>0</v>
      </c>
      <c r="AD310" s="203">
        <v>0</v>
      </c>
      <c r="AE310" s="203">
        <v>0</v>
      </c>
      <c r="AF310" s="202">
        <v>0</v>
      </c>
      <c r="AG310" s="203">
        <v>0</v>
      </c>
      <c r="AH310" s="202">
        <v>0</v>
      </c>
      <c r="AI310" s="203">
        <v>0</v>
      </c>
      <c r="AJ310" s="202">
        <v>0</v>
      </c>
      <c r="AK310" s="203">
        <v>0</v>
      </c>
      <c r="AL310" s="203">
        <v>0</v>
      </c>
      <c r="AM310" s="203">
        <v>0</v>
      </c>
      <c r="AN310" s="203"/>
      <c r="AO310" s="203">
        <v>0</v>
      </c>
    </row>
    <row r="311" spans="1:41" s="176" customFormat="1" ht="36" customHeight="1" x14ac:dyDescent="0.25">
      <c r="A311" s="176">
        <v>1</v>
      </c>
      <c r="B311" s="171">
        <f>SUBTOTAL(103,$A$16:A311)</f>
        <v>282</v>
      </c>
      <c r="C311" s="172" t="s">
        <v>651</v>
      </c>
      <c r="D311" s="173">
        <v>1963</v>
      </c>
      <c r="E311" s="173"/>
      <c r="F311" s="174" t="s">
        <v>267</v>
      </c>
      <c r="G311" s="173">
        <v>3</v>
      </c>
      <c r="H311" s="173" t="s">
        <v>303</v>
      </c>
      <c r="I311" s="170">
        <v>1703.8</v>
      </c>
      <c r="J311" s="170">
        <v>1339.8</v>
      </c>
      <c r="K311" s="170">
        <v>1339.8</v>
      </c>
      <c r="L311" s="206">
        <v>62</v>
      </c>
      <c r="M311" s="173" t="s">
        <v>265</v>
      </c>
      <c r="N311" s="173" t="s">
        <v>269</v>
      </c>
      <c r="O311" s="175" t="s">
        <v>710</v>
      </c>
      <c r="P311" s="170">
        <v>104089.37</v>
      </c>
      <c r="Q311" s="170">
        <v>0</v>
      </c>
      <c r="R311" s="170">
        <v>0</v>
      </c>
      <c r="S311" s="170">
        <f t="shared" si="31"/>
        <v>104089.37</v>
      </c>
      <c r="T311" s="170">
        <f t="shared" si="28"/>
        <v>61.092481511914542</v>
      </c>
      <c r="U311" s="170">
        <v>61.092481511914542</v>
      </c>
      <c r="V311" s="202">
        <f t="shared" si="29"/>
        <v>0</v>
      </c>
      <c r="W311" s="202">
        <f t="shared" si="32"/>
        <v>3630.636967367062</v>
      </c>
      <c r="X311" s="202">
        <v>0</v>
      </c>
      <c r="Y311" s="203">
        <v>0</v>
      </c>
      <c r="Z311" s="203">
        <v>0</v>
      </c>
      <c r="AA311" s="203">
        <v>0</v>
      </c>
      <c r="AB311" s="203">
        <v>0</v>
      </c>
      <c r="AC311" s="203">
        <v>0</v>
      </c>
      <c r="AD311" s="203">
        <v>0</v>
      </c>
      <c r="AE311" s="203">
        <v>991.5</v>
      </c>
      <c r="AF311" s="202">
        <f>6238.91*AE311/I311</f>
        <v>3630.636967367062</v>
      </c>
      <c r="AG311" s="203">
        <v>0</v>
      </c>
      <c r="AH311" s="202">
        <v>0</v>
      </c>
      <c r="AI311" s="203">
        <v>0</v>
      </c>
      <c r="AJ311" s="202">
        <v>0</v>
      </c>
      <c r="AK311" s="203">
        <v>0</v>
      </c>
      <c r="AL311" s="203">
        <v>0</v>
      </c>
      <c r="AM311" s="203">
        <v>0</v>
      </c>
      <c r="AN311" s="203"/>
      <c r="AO311" s="203">
        <v>0</v>
      </c>
    </row>
    <row r="312" spans="1:41" s="176" customFormat="1" ht="36" customHeight="1" x14ac:dyDescent="0.25">
      <c r="A312" s="176">
        <v>1</v>
      </c>
      <c r="B312" s="171">
        <f>SUBTOTAL(103,$A$16:A312)</f>
        <v>283</v>
      </c>
      <c r="C312" s="172" t="s">
        <v>1189</v>
      </c>
      <c r="D312" s="173">
        <v>1900</v>
      </c>
      <c r="E312" s="173"/>
      <c r="F312" s="174" t="s">
        <v>267</v>
      </c>
      <c r="G312" s="173">
        <v>2</v>
      </c>
      <c r="H312" s="173" t="s">
        <v>2251</v>
      </c>
      <c r="I312" s="170">
        <v>520.9</v>
      </c>
      <c r="J312" s="170">
        <v>520.9</v>
      </c>
      <c r="K312" s="170">
        <v>520.9</v>
      </c>
      <c r="L312" s="206">
        <v>26</v>
      </c>
      <c r="M312" s="173" t="s">
        <v>265</v>
      </c>
      <c r="N312" s="173" t="s">
        <v>266</v>
      </c>
      <c r="O312" s="175" t="s">
        <v>268</v>
      </c>
      <c r="P312" s="170">
        <v>4230013.1300000008</v>
      </c>
      <c r="Q312" s="170">
        <v>0</v>
      </c>
      <c r="R312" s="170">
        <v>0</v>
      </c>
      <c r="S312" s="170">
        <f t="shared" si="31"/>
        <v>4230013.1300000008</v>
      </c>
      <c r="T312" s="170">
        <f t="shared" si="28"/>
        <v>8120.5857746208503</v>
      </c>
      <c r="U312" s="170">
        <v>11912.251775772702</v>
      </c>
      <c r="V312" s="202">
        <f t="shared" si="29"/>
        <v>3791.6660011518516</v>
      </c>
      <c r="W312" s="202">
        <f t="shared" si="32"/>
        <v>11420.235525052793</v>
      </c>
      <c r="X312" s="202">
        <v>0</v>
      </c>
      <c r="Y312" s="203">
        <v>0</v>
      </c>
      <c r="Z312" s="203">
        <v>0</v>
      </c>
      <c r="AA312" s="203">
        <v>0</v>
      </c>
      <c r="AB312" s="203">
        <v>0</v>
      </c>
      <c r="AC312" s="203">
        <v>0</v>
      </c>
      <c r="AD312" s="203">
        <v>0</v>
      </c>
      <c r="AE312" s="203">
        <v>953.5</v>
      </c>
      <c r="AF312" s="202">
        <f>6238.91*AE312/I312</f>
        <v>11420.235525052793</v>
      </c>
      <c r="AG312" s="203">
        <v>0</v>
      </c>
      <c r="AH312" s="202">
        <v>0</v>
      </c>
      <c r="AI312" s="203">
        <v>0</v>
      </c>
      <c r="AJ312" s="202">
        <v>0</v>
      </c>
      <c r="AK312" s="203">
        <v>0</v>
      </c>
      <c r="AL312" s="203">
        <v>0</v>
      </c>
      <c r="AM312" s="203">
        <v>0</v>
      </c>
      <c r="AN312" s="203"/>
      <c r="AO312" s="203">
        <v>0</v>
      </c>
    </row>
    <row r="313" spans="1:41" s="176" customFormat="1" ht="36" customHeight="1" x14ac:dyDescent="0.25">
      <c r="A313" s="176">
        <v>1</v>
      </c>
      <c r="B313" s="171">
        <f>SUBTOTAL(103,$A$16:A313)</f>
        <v>284</v>
      </c>
      <c r="C313" s="172" t="s">
        <v>1194</v>
      </c>
      <c r="D313" s="173" t="s">
        <v>329</v>
      </c>
      <c r="E313" s="173">
        <v>2016</v>
      </c>
      <c r="F313" s="174" t="s">
        <v>267</v>
      </c>
      <c r="G313" s="173">
        <v>9</v>
      </c>
      <c r="H313" s="173" t="s">
        <v>308</v>
      </c>
      <c r="I313" s="170">
        <v>8964.4</v>
      </c>
      <c r="J313" s="170">
        <v>8964.4</v>
      </c>
      <c r="K313" s="170">
        <v>8964.4</v>
      </c>
      <c r="L313" s="206">
        <v>344</v>
      </c>
      <c r="M313" s="173" t="s">
        <v>265</v>
      </c>
      <c r="N313" s="173" t="s">
        <v>269</v>
      </c>
      <c r="O313" s="175" t="s">
        <v>1323</v>
      </c>
      <c r="P313" s="170">
        <v>5425723.8799999999</v>
      </c>
      <c r="Q313" s="170">
        <v>0</v>
      </c>
      <c r="R313" s="170">
        <v>0</v>
      </c>
      <c r="S313" s="170">
        <f t="shared" si="31"/>
        <v>5425723.8799999999</v>
      </c>
      <c r="T313" s="170">
        <f t="shared" si="28"/>
        <v>605.25231805809653</v>
      </c>
      <c r="U313" s="170">
        <v>1096.6935879701932</v>
      </c>
      <c r="V313" s="202">
        <f t="shared" si="29"/>
        <v>491.44126991209669</v>
      </c>
      <c r="W313" s="202">
        <f t="shared" si="32"/>
        <v>1096.6935879701932</v>
      </c>
      <c r="X313" s="202">
        <v>0</v>
      </c>
      <c r="Y313" s="203">
        <v>0</v>
      </c>
      <c r="Z313" s="203">
        <v>0</v>
      </c>
      <c r="AA313" s="203">
        <v>0</v>
      </c>
      <c r="AB313" s="203">
        <v>0</v>
      </c>
      <c r="AC313" s="203">
        <v>4</v>
      </c>
      <c r="AD313" s="202">
        <f>2457800*AC313/I313</f>
        <v>1096.6935879701932</v>
      </c>
      <c r="AE313" s="203">
        <v>0</v>
      </c>
      <c r="AF313" s="202">
        <v>0</v>
      </c>
      <c r="AG313" s="203">
        <v>0</v>
      </c>
      <c r="AH313" s="202">
        <v>0</v>
      </c>
      <c r="AI313" s="203">
        <v>0</v>
      </c>
      <c r="AJ313" s="202">
        <v>0</v>
      </c>
      <c r="AK313" s="203">
        <v>0</v>
      </c>
      <c r="AL313" s="203">
        <v>0</v>
      </c>
      <c r="AM313" s="203">
        <v>0</v>
      </c>
      <c r="AN313" s="203"/>
      <c r="AO313" s="203">
        <v>0</v>
      </c>
    </row>
    <row r="314" spans="1:41" s="176" customFormat="1" ht="36" customHeight="1" x14ac:dyDescent="0.25">
      <c r="A314" s="176">
        <v>1</v>
      </c>
      <c r="B314" s="171">
        <f>SUBTOTAL(103,$A$16:A314)</f>
        <v>285</v>
      </c>
      <c r="C314" s="172" t="s">
        <v>1195</v>
      </c>
      <c r="D314" s="173" t="s">
        <v>375</v>
      </c>
      <c r="E314" s="173"/>
      <c r="F314" s="174" t="s">
        <v>267</v>
      </c>
      <c r="G314" s="173" t="s">
        <v>312</v>
      </c>
      <c r="H314" s="173" t="s">
        <v>303</v>
      </c>
      <c r="I314" s="170">
        <v>270.39999999999998</v>
      </c>
      <c r="J314" s="170">
        <v>270.39999999999998</v>
      </c>
      <c r="K314" s="170">
        <v>270.39999999999998</v>
      </c>
      <c r="L314" s="206">
        <v>18</v>
      </c>
      <c r="M314" s="173" t="s">
        <v>265</v>
      </c>
      <c r="N314" s="173" t="s">
        <v>266</v>
      </c>
      <c r="O314" s="175" t="s">
        <v>268</v>
      </c>
      <c r="P314" s="170">
        <v>839027.99</v>
      </c>
      <c r="Q314" s="170">
        <v>0</v>
      </c>
      <c r="R314" s="170">
        <v>0</v>
      </c>
      <c r="S314" s="170">
        <f t="shared" si="31"/>
        <v>839027.99</v>
      </c>
      <c r="T314" s="170">
        <f t="shared" si="28"/>
        <v>3102.9141642011837</v>
      </c>
      <c r="U314" s="170">
        <v>7537.6460658284041</v>
      </c>
      <c r="V314" s="202">
        <f t="shared" si="29"/>
        <v>4434.7319016272204</v>
      </c>
      <c r="W314" s="202">
        <f t="shared" si="32"/>
        <v>11421.109371301776</v>
      </c>
      <c r="X314" s="202">
        <v>0</v>
      </c>
      <c r="Y314" s="203">
        <v>0</v>
      </c>
      <c r="Z314" s="203">
        <v>0</v>
      </c>
      <c r="AA314" s="203">
        <v>0</v>
      </c>
      <c r="AB314" s="203">
        <v>0</v>
      </c>
      <c r="AC314" s="203">
        <v>0</v>
      </c>
      <c r="AD314" s="203">
        <v>0</v>
      </c>
      <c r="AE314" s="203">
        <v>0</v>
      </c>
      <c r="AF314" s="202">
        <v>0</v>
      </c>
      <c r="AG314" s="203">
        <v>0</v>
      </c>
      <c r="AH314" s="202">
        <v>0</v>
      </c>
      <c r="AI314" s="203">
        <v>415.14</v>
      </c>
      <c r="AJ314" s="202">
        <f>7439.1*AI314/I314</f>
        <v>11421.109371301776</v>
      </c>
      <c r="AK314" s="203">
        <v>0</v>
      </c>
      <c r="AL314" s="203">
        <v>0</v>
      </c>
      <c r="AM314" s="203">
        <v>0</v>
      </c>
      <c r="AN314" s="203"/>
      <c r="AO314" s="203">
        <v>0</v>
      </c>
    </row>
    <row r="315" spans="1:41" s="176" customFormat="1" ht="36" customHeight="1" x14ac:dyDescent="0.25">
      <c r="A315" s="176">
        <v>1</v>
      </c>
      <c r="B315" s="171">
        <f>SUBTOTAL(103,$A$16:A315)</f>
        <v>286</v>
      </c>
      <c r="C315" s="172" t="s">
        <v>1196</v>
      </c>
      <c r="D315" s="173" t="s">
        <v>354</v>
      </c>
      <c r="E315" s="173"/>
      <c r="F315" s="174" t="s">
        <v>267</v>
      </c>
      <c r="G315" s="173">
        <v>2</v>
      </c>
      <c r="H315" s="173" t="s">
        <v>304</v>
      </c>
      <c r="I315" s="170">
        <v>282.39999999999998</v>
      </c>
      <c r="J315" s="170">
        <v>282.39999999999998</v>
      </c>
      <c r="K315" s="170">
        <v>282.39999999999998</v>
      </c>
      <c r="L315" s="206">
        <v>21</v>
      </c>
      <c r="M315" s="173" t="s">
        <v>265</v>
      </c>
      <c r="N315" s="173" t="s">
        <v>269</v>
      </c>
      <c r="O315" s="175" t="s">
        <v>710</v>
      </c>
      <c r="P315" s="170">
        <v>1265060.8599999999</v>
      </c>
      <c r="Q315" s="170">
        <v>0</v>
      </c>
      <c r="R315" s="170">
        <v>0</v>
      </c>
      <c r="S315" s="170">
        <f t="shared" si="31"/>
        <v>1265060.8599999999</v>
      </c>
      <c r="T315" s="170">
        <f t="shared" si="28"/>
        <v>4479.6772662889516</v>
      </c>
      <c r="U315" s="170">
        <v>10291.194040368273</v>
      </c>
      <c r="V315" s="202">
        <f t="shared" si="29"/>
        <v>5811.5167740793213</v>
      </c>
      <c r="W315" s="202">
        <f t="shared" si="32"/>
        <v>10291.194040368273</v>
      </c>
      <c r="X315" s="202">
        <v>0</v>
      </c>
      <c r="Y315" s="203">
        <v>0</v>
      </c>
      <c r="Z315" s="203">
        <v>0</v>
      </c>
      <c r="AA315" s="203">
        <v>0</v>
      </c>
      <c r="AB315" s="203">
        <v>0</v>
      </c>
      <c r="AC315" s="203">
        <v>0</v>
      </c>
      <c r="AD315" s="203">
        <v>0</v>
      </c>
      <c r="AE315" s="203">
        <v>0</v>
      </c>
      <c r="AF315" s="202">
        <v>0</v>
      </c>
      <c r="AG315" s="203">
        <v>0</v>
      </c>
      <c r="AH315" s="202">
        <v>0</v>
      </c>
      <c r="AI315" s="203">
        <v>390.67</v>
      </c>
      <c r="AJ315" s="202">
        <f>7439.1*AI315/I315</f>
        <v>10291.194040368273</v>
      </c>
      <c r="AK315" s="203">
        <v>0</v>
      </c>
      <c r="AL315" s="203">
        <v>0</v>
      </c>
      <c r="AM315" s="203">
        <v>0</v>
      </c>
      <c r="AN315" s="203"/>
      <c r="AO315" s="203">
        <v>0</v>
      </c>
    </row>
    <row r="316" spans="1:41" s="176" customFormat="1" ht="36" customHeight="1" x14ac:dyDescent="0.25">
      <c r="A316" s="176">
        <v>1</v>
      </c>
      <c r="B316" s="171">
        <f>SUBTOTAL(103,$A$16:A316)</f>
        <v>287</v>
      </c>
      <c r="C316" s="172" t="s">
        <v>1197</v>
      </c>
      <c r="D316" s="173">
        <v>1957</v>
      </c>
      <c r="E316" s="173"/>
      <c r="F316" s="174" t="s">
        <v>267</v>
      </c>
      <c r="G316" s="173" t="s">
        <v>312</v>
      </c>
      <c r="H316" s="173" t="s">
        <v>312</v>
      </c>
      <c r="I316" s="170">
        <v>988</v>
      </c>
      <c r="J316" s="170">
        <v>627.1</v>
      </c>
      <c r="K316" s="170">
        <v>627.1</v>
      </c>
      <c r="L316" s="206">
        <v>55</v>
      </c>
      <c r="M316" s="173" t="s">
        <v>265</v>
      </c>
      <c r="N316" s="173" t="s">
        <v>269</v>
      </c>
      <c r="O316" s="175" t="s">
        <v>1060</v>
      </c>
      <c r="P316" s="170">
        <v>73200.320000000007</v>
      </c>
      <c r="Q316" s="170">
        <v>0</v>
      </c>
      <c r="R316" s="170">
        <v>0</v>
      </c>
      <c r="S316" s="170">
        <f t="shared" si="31"/>
        <v>73200.320000000007</v>
      </c>
      <c r="T316" s="170">
        <f t="shared" si="28"/>
        <v>74.08939271255062</v>
      </c>
      <c r="U316" s="170">
        <v>74.08939271255062</v>
      </c>
      <c r="V316" s="202">
        <f t="shared" si="29"/>
        <v>0</v>
      </c>
      <c r="W316" s="202">
        <f t="shared" si="32"/>
        <v>4666.0479526315785</v>
      </c>
      <c r="X316" s="202">
        <v>0</v>
      </c>
      <c r="Y316" s="203">
        <v>0</v>
      </c>
      <c r="Z316" s="203">
        <v>0</v>
      </c>
      <c r="AA316" s="203">
        <v>0</v>
      </c>
      <c r="AB316" s="203">
        <v>0</v>
      </c>
      <c r="AC316" s="203">
        <v>0</v>
      </c>
      <c r="AD316" s="203">
        <v>0</v>
      </c>
      <c r="AE316" s="203">
        <v>738.92</v>
      </c>
      <c r="AF316" s="202">
        <f>6238.91*AE316/I316</f>
        <v>4666.0479526315785</v>
      </c>
      <c r="AG316" s="203">
        <v>0</v>
      </c>
      <c r="AH316" s="202">
        <v>0</v>
      </c>
      <c r="AI316" s="203">
        <v>0</v>
      </c>
      <c r="AJ316" s="202">
        <v>0</v>
      </c>
      <c r="AK316" s="203">
        <v>0</v>
      </c>
      <c r="AL316" s="203">
        <v>0</v>
      </c>
      <c r="AM316" s="203">
        <v>0</v>
      </c>
      <c r="AN316" s="203"/>
      <c r="AO316" s="203">
        <v>0</v>
      </c>
    </row>
    <row r="317" spans="1:41" s="176" customFormat="1" ht="36" customHeight="1" x14ac:dyDescent="0.25">
      <c r="A317" s="176">
        <v>1</v>
      </c>
      <c r="B317" s="171">
        <f>SUBTOTAL(103,$A$16:A317)</f>
        <v>288</v>
      </c>
      <c r="C317" s="172" t="s">
        <v>1526</v>
      </c>
      <c r="D317" s="173">
        <v>1926</v>
      </c>
      <c r="E317" s="173"/>
      <c r="F317" s="174" t="s">
        <v>267</v>
      </c>
      <c r="G317" s="173">
        <v>2</v>
      </c>
      <c r="H317" s="173" t="s">
        <v>303</v>
      </c>
      <c r="I317" s="170">
        <v>530.9</v>
      </c>
      <c r="J317" s="170">
        <v>530.9</v>
      </c>
      <c r="K317" s="170">
        <v>530.9</v>
      </c>
      <c r="L317" s="206">
        <v>26</v>
      </c>
      <c r="M317" s="173" t="s">
        <v>265</v>
      </c>
      <c r="N317" s="173" t="s">
        <v>266</v>
      </c>
      <c r="O317" s="175" t="s">
        <v>268</v>
      </c>
      <c r="P317" s="170">
        <v>1322373.3</v>
      </c>
      <c r="Q317" s="170">
        <v>0</v>
      </c>
      <c r="R317" s="170">
        <v>0</v>
      </c>
      <c r="S317" s="170">
        <f>P317-R317-Q317</f>
        <v>1322373.3</v>
      </c>
      <c r="T317" s="170">
        <f t="shared" si="28"/>
        <v>2490.8142776417408</v>
      </c>
      <c r="U317" s="170">
        <v>3584.8123281220564</v>
      </c>
      <c r="V317" s="202">
        <f t="shared" si="29"/>
        <v>1093.9980504803157</v>
      </c>
      <c r="W317" s="202">
        <f t="shared" si="32"/>
        <v>3236.3831493689959</v>
      </c>
      <c r="X317" s="202">
        <v>0</v>
      </c>
      <c r="Y317" s="203">
        <v>0</v>
      </c>
      <c r="Z317" s="203">
        <v>0</v>
      </c>
      <c r="AA317" s="203">
        <v>0</v>
      </c>
      <c r="AB317" s="203">
        <v>0</v>
      </c>
      <c r="AC317" s="203">
        <v>0</v>
      </c>
      <c r="AD317" s="203">
        <v>0</v>
      </c>
      <c r="AE317" s="203">
        <v>275.39999999999998</v>
      </c>
      <c r="AF317" s="202">
        <f>6238.91*AE317/I317</f>
        <v>3236.3831493689959</v>
      </c>
      <c r="AG317" s="203">
        <v>0</v>
      </c>
      <c r="AH317" s="202">
        <v>0</v>
      </c>
      <c r="AI317" s="203">
        <v>0</v>
      </c>
      <c r="AJ317" s="202">
        <v>0</v>
      </c>
      <c r="AK317" s="203">
        <v>0</v>
      </c>
      <c r="AL317" s="203">
        <v>0</v>
      </c>
      <c r="AM317" s="203">
        <v>0</v>
      </c>
      <c r="AN317" s="203"/>
      <c r="AO317" s="203">
        <v>0</v>
      </c>
    </row>
    <row r="318" spans="1:41" s="176" customFormat="1" ht="36" customHeight="1" x14ac:dyDescent="0.25">
      <c r="A318" s="176">
        <v>1</v>
      </c>
      <c r="B318" s="171">
        <f>SUBTOTAL(103,$A$16:A318)</f>
        <v>289</v>
      </c>
      <c r="C318" s="172" t="s">
        <v>1536</v>
      </c>
      <c r="D318" s="173" t="s">
        <v>1564</v>
      </c>
      <c r="E318" s="173"/>
      <c r="F318" s="174" t="s">
        <v>267</v>
      </c>
      <c r="G318" s="173">
        <v>2</v>
      </c>
      <c r="H318" s="173" t="s">
        <v>303</v>
      </c>
      <c r="I318" s="170">
        <v>169.5</v>
      </c>
      <c r="J318" s="170">
        <v>169.5</v>
      </c>
      <c r="K318" s="170">
        <v>169.5</v>
      </c>
      <c r="L318" s="206">
        <v>29</v>
      </c>
      <c r="M318" s="173" t="s">
        <v>265</v>
      </c>
      <c r="N318" s="173" t="s">
        <v>266</v>
      </c>
      <c r="O318" s="175" t="s">
        <v>268</v>
      </c>
      <c r="P318" s="170">
        <v>1654546.33</v>
      </c>
      <c r="Q318" s="170">
        <v>0</v>
      </c>
      <c r="R318" s="170">
        <v>0</v>
      </c>
      <c r="S318" s="170">
        <f>P318-R318-Q318</f>
        <v>1654546.33</v>
      </c>
      <c r="T318" s="170">
        <f t="shared" si="28"/>
        <v>9761.3352802359877</v>
      </c>
      <c r="U318" s="170">
        <v>13226.564306784659</v>
      </c>
      <c r="V318" s="202">
        <f t="shared" si="29"/>
        <v>3465.2290265486718</v>
      </c>
      <c r="W318" s="202">
        <f t="shared" si="32"/>
        <v>12680.262507374631</v>
      </c>
      <c r="X318" s="202">
        <v>0</v>
      </c>
      <c r="Y318" s="203">
        <v>0</v>
      </c>
      <c r="Z318" s="203">
        <v>0</v>
      </c>
      <c r="AA318" s="203">
        <v>0</v>
      </c>
      <c r="AB318" s="203">
        <v>0</v>
      </c>
      <c r="AC318" s="203">
        <v>0</v>
      </c>
      <c r="AD318" s="203">
        <v>0</v>
      </c>
      <c r="AE318" s="203">
        <v>344.5</v>
      </c>
      <c r="AF318" s="202">
        <f>6238.91*AE318/I318</f>
        <v>12680.262507374631</v>
      </c>
      <c r="AG318" s="203">
        <v>0</v>
      </c>
      <c r="AH318" s="202">
        <v>0</v>
      </c>
      <c r="AI318" s="203">
        <v>0</v>
      </c>
      <c r="AJ318" s="202">
        <v>0</v>
      </c>
      <c r="AK318" s="203">
        <v>0</v>
      </c>
      <c r="AL318" s="203">
        <v>0</v>
      </c>
      <c r="AM318" s="203">
        <v>0</v>
      </c>
      <c r="AN318" s="203"/>
      <c r="AO318" s="203">
        <v>0</v>
      </c>
    </row>
    <row r="319" spans="1:41" s="176" customFormat="1" ht="36" customHeight="1" x14ac:dyDescent="0.25">
      <c r="B319" s="172" t="s">
        <v>816</v>
      </c>
      <c r="C319" s="359"/>
      <c r="D319" s="173" t="s">
        <v>882</v>
      </c>
      <c r="E319" s="173" t="s">
        <v>882</v>
      </c>
      <c r="F319" s="173" t="s">
        <v>882</v>
      </c>
      <c r="G319" s="173" t="s">
        <v>882</v>
      </c>
      <c r="H319" s="173" t="s">
        <v>882</v>
      </c>
      <c r="I319" s="177">
        <f>SUM(I320:I335)</f>
        <v>12766.299999999997</v>
      </c>
      <c r="J319" s="177">
        <f>SUM(J320:J335)</f>
        <v>11356.699999999999</v>
      </c>
      <c r="K319" s="177">
        <f>SUM(K320:K335)</f>
        <v>10278.299999999999</v>
      </c>
      <c r="L319" s="357">
        <f>SUM(L320:L335)</f>
        <v>777</v>
      </c>
      <c r="M319" s="173" t="s">
        <v>882</v>
      </c>
      <c r="N319" s="173" t="s">
        <v>882</v>
      </c>
      <c r="O319" s="175" t="s">
        <v>882</v>
      </c>
      <c r="P319" s="177">
        <v>22830689.180000003</v>
      </c>
      <c r="Q319" s="177">
        <f>SUM(Q320:Q335)</f>
        <v>0</v>
      </c>
      <c r="R319" s="177">
        <f>SUM(R320:R335)</f>
        <v>0</v>
      </c>
      <c r="S319" s="177">
        <f>SUM(S320:S335)</f>
        <v>22830689.180000003</v>
      </c>
      <c r="T319" s="170">
        <f t="shared" si="28"/>
        <v>1788.3559982140484</v>
      </c>
      <c r="U319" s="170">
        <f>MAX(U320:U335)</f>
        <v>7856.0264009779949</v>
      </c>
      <c r="V319" s="202">
        <f t="shared" si="29"/>
        <v>6067.6704027639462</v>
      </c>
      <c r="W319" s="202"/>
      <c r="X319" s="202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  <c r="AJ319" s="203"/>
      <c r="AK319" s="203"/>
      <c r="AL319" s="203"/>
      <c r="AM319" s="203"/>
      <c r="AN319" s="203"/>
      <c r="AO319" s="203"/>
    </row>
    <row r="320" spans="1:41" s="176" customFormat="1" ht="36" customHeight="1" x14ac:dyDescent="0.25">
      <c r="A320" s="176">
        <v>1</v>
      </c>
      <c r="B320" s="171">
        <f>SUBTOTAL(103,$A$16:A320)</f>
        <v>290</v>
      </c>
      <c r="C320" s="172" t="s">
        <v>231</v>
      </c>
      <c r="D320" s="173">
        <v>1970</v>
      </c>
      <c r="E320" s="173"/>
      <c r="F320" s="174" t="s">
        <v>267</v>
      </c>
      <c r="G320" s="173">
        <v>2</v>
      </c>
      <c r="H320" s="173" t="s">
        <v>304</v>
      </c>
      <c r="I320" s="170">
        <v>404.7</v>
      </c>
      <c r="J320" s="170">
        <v>372.6</v>
      </c>
      <c r="K320" s="170">
        <v>372.6</v>
      </c>
      <c r="L320" s="206">
        <v>20</v>
      </c>
      <c r="M320" s="173" t="s">
        <v>265</v>
      </c>
      <c r="N320" s="173" t="s">
        <v>269</v>
      </c>
      <c r="O320" s="175" t="s">
        <v>333</v>
      </c>
      <c r="P320" s="170">
        <v>1413561.06</v>
      </c>
      <c r="Q320" s="170">
        <v>0</v>
      </c>
      <c r="R320" s="170">
        <v>0</v>
      </c>
      <c r="S320" s="170">
        <f t="shared" ref="S320:S331" si="33">P320-Q320-R320</f>
        <v>1413561.06</v>
      </c>
      <c r="T320" s="170">
        <f t="shared" si="28"/>
        <v>3492.8615270570795</v>
      </c>
      <c r="U320" s="170">
        <v>5515.5450951321973</v>
      </c>
      <c r="V320" s="202">
        <f t="shared" si="29"/>
        <v>2022.6835680751178</v>
      </c>
      <c r="W320" s="202">
        <f t="shared" ref="W320:W335" si="34">X320+Y320+Z320+AA320+AB320+AD320+AF320+AH320+AJ320+AL320+AN320+AO320</f>
        <v>4913.1223548307389</v>
      </c>
      <c r="X320" s="202">
        <v>0</v>
      </c>
      <c r="Y320" s="203">
        <v>0</v>
      </c>
      <c r="Z320" s="203">
        <v>0</v>
      </c>
      <c r="AA320" s="203">
        <v>0</v>
      </c>
      <c r="AB320" s="203">
        <v>0</v>
      </c>
      <c r="AC320" s="203">
        <v>0</v>
      </c>
      <c r="AD320" s="203">
        <v>0</v>
      </c>
      <c r="AE320" s="203">
        <v>318.7</v>
      </c>
      <c r="AF320" s="202">
        <f>6238.91*AE320/I320</f>
        <v>4913.1223548307389</v>
      </c>
      <c r="AG320" s="203">
        <v>0</v>
      </c>
      <c r="AH320" s="202">
        <v>0</v>
      </c>
      <c r="AI320" s="203">
        <v>0</v>
      </c>
      <c r="AJ320" s="202">
        <v>0</v>
      </c>
      <c r="AK320" s="203">
        <v>0</v>
      </c>
      <c r="AL320" s="203">
        <v>0</v>
      </c>
      <c r="AM320" s="203">
        <v>0</v>
      </c>
      <c r="AN320" s="203"/>
      <c r="AO320" s="203">
        <v>0</v>
      </c>
    </row>
    <row r="321" spans="1:41" s="176" customFormat="1" ht="36" customHeight="1" x14ac:dyDescent="0.25">
      <c r="A321" s="176">
        <v>1</v>
      </c>
      <c r="B321" s="171">
        <f>SUBTOTAL(103,$A$16:A321)</f>
        <v>291</v>
      </c>
      <c r="C321" s="172" t="s">
        <v>233</v>
      </c>
      <c r="D321" s="173">
        <v>1964</v>
      </c>
      <c r="E321" s="173"/>
      <c r="F321" s="174" t="s">
        <v>267</v>
      </c>
      <c r="G321" s="173">
        <v>2</v>
      </c>
      <c r="H321" s="173" t="s">
        <v>303</v>
      </c>
      <c r="I321" s="170">
        <v>645.4</v>
      </c>
      <c r="J321" s="170">
        <v>597.4</v>
      </c>
      <c r="K321" s="170">
        <v>597.4</v>
      </c>
      <c r="L321" s="206">
        <v>42</v>
      </c>
      <c r="M321" s="173" t="s">
        <v>265</v>
      </c>
      <c r="N321" s="173" t="s">
        <v>269</v>
      </c>
      <c r="O321" s="175" t="s">
        <v>334</v>
      </c>
      <c r="P321" s="170">
        <v>75889.97</v>
      </c>
      <c r="Q321" s="170">
        <v>0</v>
      </c>
      <c r="R321" s="170">
        <v>0</v>
      </c>
      <c r="S321" s="170">
        <f t="shared" si="33"/>
        <v>75889.97</v>
      </c>
      <c r="T321" s="170">
        <f t="shared" si="28"/>
        <v>117.58594669972111</v>
      </c>
      <c r="U321" s="170">
        <v>117.58594669972111</v>
      </c>
      <c r="V321" s="202">
        <f t="shared" si="29"/>
        <v>0</v>
      </c>
      <c r="W321" s="202">
        <f t="shared" si="34"/>
        <v>5184.5478462968704</v>
      </c>
      <c r="X321" s="202">
        <v>0</v>
      </c>
      <c r="Y321" s="203">
        <v>0</v>
      </c>
      <c r="Z321" s="203">
        <v>0</v>
      </c>
      <c r="AA321" s="203">
        <v>0</v>
      </c>
      <c r="AB321" s="203">
        <v>0</v>
      </c>
      <c r="AC321" s="203">
        <v>0</v>
      </c>
      <c r="AD321" s="203">
        <v>0</v>
      </c>
      <c r="AE321" s="203">
        <v>0</v>
      </c>
      <c r="AF321" s="202">
        <v>0</v>
      </c>
      <c r="AG321" s="203">
        <v>0</v>
      </c>
      <c r="AH321" s="202">
        <v>0</v>
      </c>
      <c r="AI321" s="203">
        <v>449.8</v>
      </c>
      <c r="AJ321" s="202">
        <f>7439.1*AI321/I321</f>
        <v>5184.5478462968704</v>
      </c>
      <c r="AK321" s="203">
        <v>0</v>
      </c>
      <c r="AL321" s="203">
        <v>0</v>
      </c>
      <c r="AM321" s="203">
        <v>0</v>
      </c>
      <c r="AN321" s="203"/>
      <c r="AO321" s="203">
        <v>0</v>
      </c>
    </row>
    <row r="322" spans="1:41" s="176" customFormat="1" ht="36" customHeight="1" x14ac:dyDescent="0.25">
      <c r="A322" s="176">
        <v>1</v>
      </c>
      <c r="B322" s="171">
        <f>SUBTOTAL(103,$A$16:A322)</f>
        <v>292</v>
      </c>
      <c r="C322" s="172" t="s">
        <v>236</v>
      </c>
      <c r="D322" s="173">
        <v>1961</v>
      </c>
      <c r="E322" s="173"/>
      <c r="F322" s="174" t="s">
        <v>336</v>
      </c>
      <c r="G322" s="173">
        <v>2</v>
      </c>
      <c r="H322" s="173" t="s">
        <v>303</v>
      </c>
      <c r="I322" s="170">
        <v>605.1</v>
      </c>
      <c r="J322" s="170">
        <v>560.20000000000005</v>
      </c>
      <c r="K322" s="170">
        <v>560.20000000000005</v>
      </c>
      <c r="L322" s="206">
        <v>35</v>
      </c>
      <c r="M322" s="173" t="s">
        <v>265</v>
      </c>
      <c r="N322" s="173" t="s">
        <v>269</v>
      </c>
      <c r="O322" s="175" t="s">
        <v>333</v>
      </c>
      <c r="P322" s="170">
        <v>1769883.07</v>
      </c>
      <c r="Q322" s="170">
        <v>0</v>
      </c>
      <c r="R322" s="170">
        <v>0</v>
      </c>
      <c r="S322" s="170">
        <f t="shared" si="33"/>
        <v>1769883.07</v>
      </c>
      <c r="T322" s="170">
        <f t="shared" si="28"/>
        <v>2924.9431003139975</v>
      </c>
      <c r="U322" s="170">
        <v>5260.579041480747</v>
      </c>
      <c r="V322" s="202">
        <f t="shared" si="29"/>
        <v>2335.6359411667495</v>
      </c>
      <c r="W322" s="202">
        <f t="shared" si="34"/>
        <v>4787.1854453809292</v>
      </c>
      <c r="X322" s="202">
        <v>0</v>
      </c>
      <c r="Y322" s="203">
        <v>0</v>
      </c>
      <c r="Z322" s="203">
        <v>0</v>
      </c>
      <c r="AA322" s="203">
        <v>0</v>
      </c>
      <c r="AB322" s="203">
        <v>0</v>
      </c>
      <c r="AC322" s="203">
        <v>0</v>
      </c>
      <c r="AD322" s="203">
        <v>0</v>
      </c>
      <c r="AE322" s="203">
        <v>464.3</v>
      </c>
      <c r="AF322" s="202">
        <f>6238.91*AE322/I322</f>
        <v>4787.1854453809292</v>
      </c>
      <c r="AG322" s="203">
        <v>0</v>
      </c>
      <c r="AH322" s="202">
        <v>0</v>
      </c>
      <c r="AI322" s="203">
        <v>0</v>
      </c>
      <c r="AJ322" s="202">
        <v>0</v>
      </c>
      <c r="AK322" s="203">
        <v>0</v>
      </c>
      <c r="AL322" s="203">
        <v>0</v>
      </c>
      <c r="AM322" s="203">
        <v>0</v>
      </c>
      <c r="AN322" s="203"/>
      <c r="AO322" s="203">
        <v>0</v>
      </c>
    </row>
    <row r="323" spans="1:41" s="176" customFormat="1" ht="36" customHeight="1" x14ac:dyDescent="0.25">
      <c r="A323" s="176">
        <v>1</v>
      </c>
      <c r="B323" s="171">
        <f>SUBTOTAL(103,$A$16:A323)</f>
        <v>293</v>
      </c>
      <c r="C323" s="172" t="s">
        <v>237</v>
      </c>
      <c r="D323" s="173">
        <v>1963</v>
      </c>
      <c r="E323" s="173"/>
      <c r="F323" s="174" t="s">
        <v>267</v>
      </c>
      <c r="G323" s="173">
        <v>2</v>
      </c>
      <c r="H323" s="173" t="s">
        <v>304</v>
      </c>
      <c r="I323" s="170">
        <v>336.7</v>
      </c>
      <c r="J323" s="170">
        <v>304.3</v>
      </c>
      <c r="K323" s="170">
        <v>304.3</v>
      </c>
      <c r="L323" s="206">
        <v>15</v>
      </c>
      <c r="M323" s="173" t="s">
        <v>265</v>
      </c>
      <c r="N323" s="173" t="s">
        <v>269</v>
      </c>
      <c r="O323" s="175" t="s">
        <v>333</v>
      </c>
      <c r="P323" s="170">
        <v>48252.34</v>
      </c>
      <c r="Q323" s="170">
        <v>0</v>
      </c>
      <c r="R323" s="170">
        <v>0</v>
      </c>
      <c r="S323" s="170">
        <f t="shared" si="33"/>
        <v>48252.34</v>
      </c>
      <c r="T323" s="170">
        <f t="shared" si="28"/>
        <v>143.3095931095931</v>
      </c>
      <c r="U323" s="170">
        <v>143.3095931095931</v>
      </c>
      <c r="V323" s="202">
        <f t="shared" si="29"/>
        <v>0</v>
      </c>
      <c r="W323" s="202">
        <f t="shared" si="34"/>
        <v>5021.516513216513</v>
      </c>
      <c r="X323" s="202">
        <v>0</v>
      </c>
      <c r="Y323" s="203">
        <v>0</v>
      </c>
      <c r="Z323" s="203">
        <v>0</v>
      </c>
      <c r="AA323" s="203">
        <v>0</v>
      </c>
      <c r="AB323" s="203">
        <v>0</v>
      </c>
      <c r="AC323" s="203">
        <v>0</v>
      </c>
      <c r="AD323" s="203">
        <v>0</v>
      </c>
      <c r="AE323" s="203">
        <v>271</v>
      </c>
      <c r="AF323" s="202">
        <f>6238.91*AE323/I323</f>
        <v>5021.516513216513</v>
      </c>
      <c r="AG323" s="203">
        <v>0</v>
      </c>
      <c r="AH323" s="202">
        <v>0</v>
      </c>
      <c r="AI323" s="203">
        <v>0</v>
      </c>
      <c r="AJ323" s="202">
        <v>0</v>
      </c>
      <c r="AK323" s="203">
        <v>0</v>
      </c>
      <c r="AL323" s="203">
        <v>0</v>
      </c>
      <c r="AM323" s="203">
        <v>0</v>
      </c>
      <c r="AN323" s="203"/>
      <c r="AO323" s="203">
        <v>0</v>
      </c>
    </row>
    <row r="324" spans="1:41" s="176" customFormat="1" ht="36" customHeight="1" x14ac:dyDescent="0.25">
      <c r="A324" s="176">
        <v>1</v>
      </c>
      <c r="B324" s="171">
        <f>SUBTOTAL(103,$A$16:A324)</f>
        <v>294</v>
      </c>
      <c r="C324" s="172" t="s">
        <v>232</v>
      </c>
      <c r="D324" s="360">
        <v>1970</v>
      </c>
      <c r="E324" s="173"/>
      <c r="F324" s="174" t="s">
        <v>267</v>
      </c>
      <c r="G324" s="173">
        <v>2</v>
      </c>
      <c r="H324" s="173" t="s">
        <v>304</v>
      </c>
      <c r="I324" s="170">
        <v>351.6</v>
      </c>
      <c r="J324" s="170">
        <v>320.60000000000002</v>
      </c>
      <c r="K324" s="170">
        <v>320.60000000000002</v>
      </c>
      <c r="L324" s="206">
        <v>14</v>
      </c>
      <c r="M324" s="173" t="s">
        <v>265</v>
      </c>
      <c r="N324" s="173" t="s">
        <v>269</v>
      </c>
      <c r="O324" s="175" t="s">
        <v>335</v>
      </c>
      <c r="P324" s="170">
        <v>1361877.77</v>
      </c>
      <c r="Q324" s="170">
        <v>0</v>
      </c>
      <c r="R324" s="170">
        <v>0</v>
      </c>
      <c r="S324" s="170">
        <f t="shared" si="33"/>
        <v>1361877.77</v>
      </c>
      <c r="T324" s="170">
        <f t="shared" si="28"/>
        <v>3873.3724971558586</v>
      </c>
      <c r="U324" s="170">
        <v>5484.5326052332184</v>
      </c>
      <c r="V324" s="202">
        <f t="shared" si="29"/>
        <v>1611.1601080773598</v>
      </c>
      <c r="W324" s="202">
        <f t="shared" si="34"/>
        <v>3711.7610745164957</v>
      </c>
      <c r="X324" s="202">
        <v>0</v>
      </c>
      <c r="Y324" s="203">
        <v>0</v>
      </c>
      <c r="Z324" s="203">
        <v>0</v>
      </c>
      <c r="AA324" s="203">
        <v>0</v>
      </c>
      <c r="AB324" s="203">
        <v>0</v>
      </c>
      <c r="AC324" s="203">
        <v>0</v>
      </c>
      <c r="AD324" s="203">
        <v>0</v>
      </c>
      <c r="AE324" s="203">
        <v>209.18</v>
      </c>
      <c r="AF324" s="202">
        <f>6238.91*AE324/I324</f>
        <v>3711.7610745164957</v>
      </c>
      <c r="AG324" s="203">
        <v>0</v>
      </c>
      <c r="AH324" s="202">
        <v>0</v>
      </c>
      <c r="AI324" s="203">
        <v>0</v>
      </c>
      <c r="AJ324" s="202">
        <v>0</v>
      </c>
      <c r="AK324" s="203">
        <v>0</v>
      </c>
      <c r="AL324" s="203">
        <v>0</v>
      </c>
      <c r="AM324" s="203">
        <v>0</v>
      </c>
      <c r="AN324" s="203"/>
      <c r="AO324" s="203">
        <v>0</v>
      </c>
    </row>
    <row r="325" spans="1:41" s="176" customFormat="1" ht="36" customHeight="1" x14ac:dyDescent="0.25">
      <c r="A325" s="176">
        <v>1</v>
      </c>
      <c r="B325" s="171">
        <f>SUBTOTAL(103,$A$16:A325)</f>
        <v>295</v>
      </c>
      <c r="C325" s="172" t="s">
        <v>239</v>
      </c>
      <c r="D325" s="173">
        <v>1972</v>
      </c>
      <c r="E325" s="173"/>
      <c r="F325" s="174" t="s">
        <v>267</v>
      </c>
      <c r="G325" s="173">
        <v>2</v>
      </c>
      <c r="H325" s="173" t="s">
        <v>312</v>
      </c>
      <c r="I325" s="170">
        <v>899</v>
      </c>
      <c r="J325" s="170">
        <v>843.9</v>
      </c>
      <c r="K325" s="170">
        <v>843.9</v>
      </c>
      <c r="L325" s="206">
        <v>54</v>
      </c>
      <c r="M325" s="173" t="s">
        <v>265</v>
      </c>
      <c r="N325" s="173" t="s">
        <v>269</v>
      </c>
      <c r="O325" s="175" t="s">
        <v>333</v>
      </c>
      <c r="P325" s="170">
        <v>82017.66</v>
      </c>
      <c r="Q325" s="170">
        <v>0</v>
      </c>
      <c r="R325" s="170">
        <v>0</v>
      </c>
      <c r="S325" s="170">
        <f t="shared" si="33"/>
        <v>82017.66</v>
      </c>
      <c r="T325" s="170">
        <f t="shared" si="28"/>
        <v>91.232102335928815</v>
      </c>
      <c r="U325" s="170">
        <v>91.232102335928815</v>
      </c>
      <c r="V325" s="202">
        <f t="shared" si="29"/>
        <v>0</v>
      </c>
      <c r="W325" s="202">
        <f t="shared" si="34"/>
        <v>3743.346</v>
      </c>
      <c r="X325" s="202">
        <v>0</v>
      </c>
      <c r="Y325" s="203">
        <v>0</v>
      </c>
      <c r="Z325" s="203">
        <v>0</v>
      </c>
      <c r="AA325" s="203">
        <v>0</v>
      </c>
      <c r="AB325" s="203">
        <v>0</v>
      </c>
      <c r="AC325" s="203">
        <v>0</v>
      </c>
      <c r="AD325" s="203">
        <v>0</v>
      </c>
      <c r="AE325" s="203">
        <v>539.4</v>
      </c>
      <c r="AF325" s="202">
        <f>6238.91*AE325/I325</f>
        <v>3743.346</v>
      </c>
      <c r="AG325" s="203">
        <v>0</v>
      </c>
      <c r="AH325" s="202">
        <v>0</v>
      </c>
      <c r="AI325" s="203">
        <v>0</v>
      </c>
      <c r="AJ325" s="202">
        <v>0</v>
      </c>
      <c r="AK325" s="203">
        <v>0</v>
      </c>
      <c r="AL325" s="203">
        <v>0</v>
      </c>
      <c r="AM325" s="203">
        <v>0</v>
      </c>
      <c r="AN325" s="203"/>
      <c r="AO325" s="203">
        <v>0</v>
      </c>
    </row>
    <row r="326" spans="1:41" s="176" customFormat="1" ht="36" customHeight="1" x14ac:dyDescent="0.25">
      <c r="A326" s="176">
        <v>1</v>
      </c>
      <c r="B326" s="171">
        <f>SUBTOTAL(103,$A$16:A326)</f>
        <v>296</v>
      </c>
      <c r="C326" s="172" t="s">
        <v>1200</v>
      </c>
      <c r="D326" s="173">
        <v>1959</v>
      </c>
      <c r="E326" s="173"/>
      <c r="F326" s="174" t="s">
        <v>336</v>
      </c>
      <c r="G326" s="173">
        <v>2</v>
      </c>
      <c r="H326" s="173" t="s">
        <v>303</v>
      </c>
      <c r="I326" s="177">
        <v>654.4</v>
      </c>
      <c r="J326" s="177">
        <v>551.4</v>
      </c>
      <c r="K326" s="177">
        <v>551.4</v>
      </c>
      <c r="L326" s="206">
        <v>40</v>
      </c>
      <c r="M326" s="173" t="s">
        <v>265</v>
      </c>
      <c r="N326" s="173" t="s">
        <v>269</v>
      </c>
      <c r="O326" s="175" t="s">
        <v>334</v>
      </c>
      <c r="P326" s="170">
        <v>2704515.35</v>
      </c>
      <c r="Q326" s="170">
        <v>0</v>
      </c>
      <c r="R326" s="170">
        <v>0</v>
      </c>
      <c r="S326" s="170">
        <f t="shared" si="33"/>
        <v>2704515.35</v>
      </c>
      <c r="T326" s="170">
        <f t="shared" si="28"/>
        <v>4132.8168551344743</v>
      </c>
      <c r="U326" s="170">
        <v>7856.0264009779949</v>
      </c>
      <c r="V326" s="202">
        <f t="shared" si="29"/>
        <v>3723.2095458435206</v>
      </c>
      <c r="W326" s="202">
        <f t="shared" si="34"/>
        <v>6841.4995721271398</v>
      </c>
      <c r="X326" s="202">
        <v>0</v>
      </c>
      <c r="Y326" s="203">
        <v>0</v>
      </c>
      <c r="Z326" s="203">
        <v>0</v>
      </c>
      <c r="AA326" s="203">
        <v>0</v>
      </c>
      <c r="AB326" s="203">
        <v>0</v>
      </c>
      <c r="AC326" s="203">
        <v>0</v>
      </c>
      <c r="AD326" s="203">
        <v>0</v>
      </c>
      <c r="AE326" s="203">
        <v>0</v>
      </c>
      <c r="AF326" s="202">
        <v>0</v>
      </c>
      <c r="AG326" s="203">
        <v>0</v>
      </c>
      <c r="AH326" s="202">
        <v>0</v>
      </c>
      <c r="AI326" s="203">
        <v>0</v>
      </c>
      <c r="AJ326" s="202">
        <v>0</v>
      </c>
      <c r="AK326" s="203">
        <v>0</v>
      </c>
      <c r="AL326" s="203">
        <v>0</v>
      </c>
      <c r="AM326" s="203">
        <v>641</v>
      </c>
      <c r="AN326" s="203">
        <f>6984.52*AM326/I326</f>
        <v>6841.4995721271398</v>
      </c>
      <c r="AO326" s="203">
        <v>0</v>
      </c>
    </row>
    <row r="327" spans="1:41" s="176" customFormat="1" ht="36" customHeight="1" x14ac:dyDescent="0.25">
      <c r="A327" s="176">
        <v>1</v>
      </c>
      <c r="B327" s="171">
        <f>SUBTOTAL(103,$A$16:A327)</f>
        <v>297</v>
      </c>
      <c r="C327" s="172" t="s">
        <v>1201</v>
      </c>
      <c r="D327" s="173">
        <v>1977</v>
      </c>
      <c r="E327" s="173"/>
      <c r="F327" s="174" t="s">
        <v>267</v>
      </c>
      <c r="G327" s="173">
        <v>5</v>
      </c>
      <c r="H327" s="173" t="s">
        <v>304</v>
      </c>
      <c r="I327" s="170">
        <v>3019</v>
      </c>
      <c r="J327" s="170">
        <v>3019</v>
      </c>
      <c r="K327" s="170">
        <v>2048</v>
      </c>
      <c r="L327" s="206">
        <v>333</v>
      </c>
      <c r="M327" s="173" t="s">
        <v>265</v>
      </c>
      <c r="N327" s="173" t="s">
        <v>269</v>
      </c>
      <c r="O327" s="175" t="s">
        <v>1300</v>
      </c>
      <c r="P327" s="170">
        <v>2291266.0300000003</v>
      </c>
      <c r="Q327" s="170">
        <v>0</v>
      </c>
      <c r="R327" s="170">
        <v>0</v>
      </c>
      <c r="S327" s="170">
        <f t="shared" si="33"/>
        <v>2291266.0300000003</v>
      </c>
      <c r="T327" s="170">
        <f t="shared" si="28"/>
        <v>758.9486684332561</v>
      </c>
      <c r="U327" s="170">
        <v>810.46</v>
      </c>
      <c r="V327" s="202">
        <f t="shared" si="29"/>
        <v>51.511331566743934</v>
      </c>
      <c r="W327" s="202">
        <f t="shared" si="34"/>
        <v>1750.9997598542561</v>
      </c>
      <c r="X327" s="202">
        <v>0</v>
      </c>
      <c r="Y327" s="203">
        <v>0</v>
      </c>
      <c r="Z327" s="203">
        <v>0</v>
      </c>
      <c r="AA327" s="203">
        <v>0</v>
      </c>
      <c r="AB327" s="203">
        <v>0</v>
      </c>
      <c r="AC327" s="203">
        <v>0</v>
      </c>
      <c r="AD327" s="203">
        <v>0</v>
      </c>
      <c r="AE327" s="203">
        <v>0</v>
      </c>
      <c r="AF327" s="202">
        <v>0</v>
      </c>
      <c r="AG327" s="203">
        <v>0</v>
      </c>
      <c r="AH327" s="202">
        <v>0</v>
      </c>
      <c r="AI327" s="203">
        <v>677.5</v>
      </c>
      <c r="AJ327" s="202">
        <f>7802.61*AI327/I327</f>
        <v>1750.9997598542561</v>
      </c>
      <c r="AK327" s="203">
        <v>0</v>
      </c>
      <c r="AL327" s="203">
        <v>0</v>
      </c>
      <c r="AM327" s="203">
        <v>0</v>
      </c>
      <c r="AN327" s="203"/>
      <c r="AO327" s="203">
        <v>0</v>
      </c>
    </row>
    <row r="328" spans="1:41" s="176" customFormat="1" ht="36" customHeight="1" x14ac:dyDescent="0.25">
      <c r="A328" s="176">
        <v>1</v>
      </c>
      <c r="B328" s="171">
        <f>SUBTOTAL(103,$A$16:A328)</f>
        <v>298</v>
      </c>
      <c r="C328" s="172" t="s">
        <v>1202</v>
      </c>
      <c r="D328" s="173">
        <v>1951</v>
      </c>
      <c r="E328" s="173"/>
      <c r="F328" s="174" t="s">
        <v>336</v>
      </c>
      <c r="G328" s="173">
        <v>2</v>
      </c>
      <c r="H328" s="173" t="s">
        <v>303</v>
      </c>
      <c r="I328" s="170">
        <v>859.4</v>
      </c>
      <c r="J328" s="170">
        <v>812.4</v>
      </c>
      <c r="K328" s="170">
        <v>812.4</v>
      </c>
      <c r="L328" s="206">
        <v>38</v>
      </c>
      <c r="M328" s="173" t="s">
        <v>265</v>
      </c>
      <c r="N328" s="173" t="s">
        <v>269</v>
      </c>
      <c r="O328" s="175" t="s">
        <v>333</v>
      </c>
      <c r="P328" s="170">
        <v>2890713.31</v>
      </c>
      <c r="Q328" s="170">
        <v>0</v>
      </c>
      <c r="R328" s="170">
        <v>0</v>
      </c>
      <c r="S328" s="170">
        <f t="shared" si="33"/>
        <v>2890713.31</v>
      </c>
      <c r="T328" s="170">
        <f t="shared" si="28"/>
        <v>3363.64127298115</v>
      </c>
      <c r="U328" s="170">
        <v>6854.7481382359783</v>
      </c>
      <c r="V328" s="202">
        <f t="shared" si="29"/>
        <v>3491.1068652548283</v>
      </c>
      <c r="W328" s="202">
        <f t="shared" si="34"/>
        <v>1081.8399999999999</v>
      </c>
      <c r="X328" s="202">
        <v>101.55</v>
      </c>
      <c r="Y328" s="203">
        <v>0</v>
      </c>
      <c r="Z328" s="203">
        <v>0</v>
      </c>
      <c r="AA328" s="203">
        <v>184.98</v>
      </c>
      <c r="AB328" s="203">
        <v>795.31</v>
      </c>
      <c r="AC328" s="203">
        <v>0</v>
      </c>
      <c r="AD328" s="203">
        <v>0</v>
      </c>
      <c r="AE328" s="203">
        <v>0</v>
      </c>
      <c r="AF328" s="202">
        <v>0</v>
      </c>
      <c r="AG328" s="203">
        <v>0</v>
      </c>
      <c r="AH328" s="202">
        <v>0</v>
      </c>
      <c r="AI328" s="203">
        <v>0</v>
      </c>
      <c r="AJ328" s="202">
        <v>0</v>
      </c>
      <c r="AK328" s="203">
        <v>0</v>
      </c>
      <c r="AL328" s="203">
        <v>0</v>
      </c>
      <c r="AM328" s="203">
        <v>0</v>
      </c>
      <c r="AN328" s="203"/>
      <c r="AO328" s="203">
        <v>0</v>
      </c>
    </row>
    <row r="329" spans="1:41" s="176" customFormat="1" ht="36" customHeight="1" x14ac:dyDescent="0.25">
      <c r="A329" s="176">
        <v>1</v>
      </c>
      <c r="B329" s="171">
        <f>SUBTOTAL(103,$A$16:A329)</f>
        <v>299</v>
      </c>
      <c r="C329" s="172" t="s">
        <v>1205</v>
      </c>
      <c r="D329" s="173">
        <v>1917</v>
      </c>
      <c r="E329" s="173"/>
      <c r="F329" s="174" t="s">
        <v>267</v>
      </c>
      <c r="G329" s="173">
        <v>2</v>
      </c>
      <c r="H329" s="173" t="s">
        <v>303</v>
      </c>
      <c r="I329" s="170">
        <v>389.7</v>
      </c>
      <c r="J329" s="170">
        <v>385</v>
      </c>
      <c r="K329" s="170">
        <v>385</v>
      </c>
      <c r="L329" s="206">
        <v>11</v>
      </c>
      <c r="M329" s="173" t="s">
        <v>265</v>
      </c>
      <c r="N329" s="173" t="s">
        <v>269</v>
      </c>
      <c r="O329" s="175" t="s">
        <v>333</v>
      </c>
      <c r="P329" s="170">
        <v>1714543.07</v>
      </c>
      <c r="Q329" s="170">
        <v>0</v>
      </c>
      <c r="R329" s="170">
        <v>0</v>
      </c>
      <c r="S329" s="170">
        <f t="shared" si="33"/>
        <v>1714543.07</v>
      </c>
      <c r="T329" s="170">
        <f t="shared" si="28"/>
        <v>4399.6486271490894</v>
      </c>
      <c r="U329" s="170">
        <v>6250.5314600975107</v>
      </c>
      <c r="V329" s="202">
        <f t="shared" si="29"/>
        <v>1850.8828329484213</v>
      </c>
      <c r="W329" s="202">
        <f t="shared" si="34"/>
        <v>15116.68090839107</v>
      </c>
      <c r="X329" s="202">
        <v>0</v>
      </c>
      <c r="Y329" s="203">
        <v>0</v>
      </c>
      <c r="Z329" s="203">
        <v>0</v>
      </c>
      <c r="AA329" s="203">
        <v>0</v>
      </c>
      <c r="AB329" s="203">
        <v>0</v>
      </c>
      <c r="AC329" s="203">
        <v>0</v>
      </c>
      <c r="AD329" s="203">
        <v>0</v>
      </c>
      <c r="AE329" s="203">
        <v>0</v>
      </c>
      <c r="AF329" s="202">
        <v>0</v>
      </c>
      <c r="AG329" s="203">
        <v>0</v>
      </c>
      <c r="AH329" s="202">
        <v>0</v>
      </c>
      <c r="AI329" s="203">
        <v>755</v>
      </c>
      <c r="AJ329" s="202">
        <f>7802.61*AI329/I329</f>
        <v>15116.68090839107</v>
      </c>
      <c r="AK329" s="203">
        <v>0</v>
      </c>
      <c r="AL329" s="203">
        <v>0</v>
      </c>
      <c r="AM329" s="203">
        <v>0</v>
      </c>
      <c r="AN329" s="203"/>
      <c r="AO329" s="203">
        <v>0</v>
      </c>
    </row>
    <row r="330" spans="1:41" s="176" customFormat="1" ht="36" customHeight="1" x14ac:dyDescent="0.25">
      <c r="A330" s="176">
        <v>1</v>
      </c>
      <c r="B330" s="171">
        <f>SUBTOTAL(103,$A$16:A330)</f>
        <v>300</v>
      </c>
      <c r="C330" s="172" t="s">
        <v>1519</v>
      </c>
      <c r="D330" s="173">
        <v>1967</v>
      </c>
      <c r="E330" s="173"/>
      <c r="F330" s="174" t="s">
        <v>267</v>
      </c>
      <c r="G330" s="173">
        <v>2</v>
      </c>
      <c r="H330" s="173" t="s">
        <v>304</v>
      </c>
      <c r="I330" s="170">
        <v>391.7</v>
      </c>
      <c r="J330" s="170">
        <v>362.7</v>
      </c>
      <c r="K330" s="170">
        <v>362.7</v>
      </c>
      <c r="L330" s="206">
        <v>18</v>
      </c>
      <c r="M330" s="173" t="s">
        <v>265</v>
      </c>
      <c r="N330" s="173" t="s">
        <v>269</v>
      </c>
      <c r="O330" s="175" t="s">
        <v>334</v>
      </c>
      <c r="P330" s="170">
        <v>1422597.9100000001</v>
      </c>
      <c r="Q330" s="170">
        <v>0</v>
      </c>
      <c r="R330" s="170">
        <v>0</v>
      </c>
      <c r="S330" s="170">
        <f t="shared" si="33"/>
        <v>1422597.9100000001</v>
      </c>
      <c r="T330" s="170">
        <f t="shared" si="28"/>
        <v>3631.8557824865975</v>
      </c>
      <c r="U330" s="170">
        <v>5447.2289992341075</v>
      </c>
      <c r="V330" s="202">
        <f t="shared" si="29"/>
        <v>1815.37321674751</v>
      </c>
      <c r="W330" s="202">
        <f t="shared" si="34"/>
        <v>16522.761261169264</v>
      </c>
      <c r="X330" s="202">
        <v>0</v>
      </c>
      <c r="Y330" s="203">
        <v>0</v>
      </c>
      <c r="Z330" s="203">
        <v>0</v>
      </c>
      <c r="AA330" s="203">
        <v>0</v>
      </c>
      <c r="AB330" s="203">
        <v>0</v>
      </c>
      <c r="AC330" s="203">
        <v>0</v>
      </c>
      <c r="AD330" s="203">
        <v>0</v>
      </c>
      <c r="AE330" s="203">
        <v>0</v>
      </c>
      <c r="AF330" s="202">
        <v>0</v>
      </c>
      <c r="AG330" s="203">
        <v>0</v>
      </c>
      <c r="AH330" s="202">
        <v>0</v>
      </c>
      <c r="AI330" s="203">
        <v>0</v>
      </c>
      <c r="AJ330" s="202">
        <v>0</v>
      </c>
      <c r="AK330" s="203">
        <v>84.3</v>
      </c>
      <c r="AL330" s="202">
        <f>76773.02*AK330/I330</f>
        <v>16522.761261169264</v>
      </c>
      <c r="AM330" s="203">
        <v>0</v>
      </c>
      <c r="AN330" s="203"/>
      <c r="AO330" s="203">
        <v>0</v>
      </c>
    </row>
    <row r="331" spans="1:41" s="176" customFormat="1" ht="36" customHeight="1" x14ac:dyDescent="0.25">
      <c r="A331" s="176">
        <v>1</v>
      </c>
      <c r="B331" s="171">
        <f>SUBTOTAL(103,$A$16:A331)</f>
        <v>301</v>
      </c>
      <c r="C331" s="172" t="s">
        <v>1520</v>
      </c>
      <c r="D331" s="173">
        <v>1969</v>
      </c>
      <c r="E331" s="173"/>
      <c r="F331" s="174" t="s">
        <v>267</v>
      </c>
      <c r="G331" s="173">
        <v>2</v>
      </c>
      <c r="H331" s="173" t="s">
        <v>303</v>
      </c>
      <c r="I331" s="170">
        <v>1229.8</v>
      </c>
      <c r="J331" s="170">
        <v>730</v>
      </c>
      <c r="K331" s="170">
        <v>648.4</v>
      </c>
      <c r="L331" s="206">
        <v>31</v>
      </c>
      <c r="M331" s="173" t="s">
        <v>265</v>
      </c>
      <c r="N331" s="173" t="s">
        <v>269</v>
      </c>
      <c r="O331" s="175" t="s">
        <v>333</v>
      </c>
      <c r="P331" s="170">
        <v>2288055.7799999998</v>
      </c>
      <c r="Q331" s="170">
        <v>0</v>
      </c>
      <c r="R331" s="170">
        <v>0</v>
      </c>
      <c r="S331" s="170">
        <f t="shared" si="33"/>
        <v>2288055.7799999998</v>
      </c>
      <c r="T331" s="170">
        <f t="shared" si="28"/>
        <v>1860.5104732476825</v>
      </c>
      <c r="U331" s="170">
        <v>3177.8086526264433</v>
      </c>
      <c r="V331" s="202">
        <f t="shared" si="29"/>
        <v>1317.2981793787608</v>
      </c>
      <c r="W331" s="202">
        <f t="shared" si="34"/>
        <v>1898.8648666449828</v>
      </c>
      <c r="X331" s="202">
        <v>0</v>
      </c>
      <c r="Y331" s="203">
        <v>0</v>
      </c>
      <c r="Z331" s="203">
        <v>0</v>
      </c>
      <c r="AA331" s="203">
        <v>0</v>
      </c>
      <c r="AB331" s="203">
        <v>0</v>
      </c>
      <c r="AC331" s="203">
        <v>0</v>
      </c>
      <c r="AD331" s="203">
        <v>0</v>
      </c>
      <c r="AE331" s="203">
        <v>374.3</v>
      </c>
      <c r="AF331" s="202">
        <f>6238.91*AE331/I331</f>
        <v>1898.8648666449828</v>
      </c>
      <c r="AG331" s="203">
        <v>0</v>
      </c>
      <c r="AH331" s="202">
        <v>0</v>
      </c>
      <c r="AI331" s="203">
        <v>0</v>
      </c>
      <c r="AJ331" s="202">
        <v>0</v>
      </c>
      <c r="AK331" s="203">
        <v>0</v>
      </c>
      <c r="AL331" s="203">
        <v>0</v>
      </c>
      <c r="AM331" s="203">
        <v>0</v>
      </c>
      <c r="AN331" s="203"/>
      <c r="AO331" s="203">
        <v>0</v>
      </c>
    </row>
    <row r="332" spans="1:41" s="176" customFormat="1" ht="36" customHeight="1" x14ac:dyDescent="0.25">
      <c r="A332" s="176">
        <v>1</v>
      </c>
      <c r="B332" s="171">
        <f>SUBTOTAL(103,$A$16:A332)</f>
        <v>302</v>
      </c>
      <c r="C332" s="172" t="s">
        <v>1534</v>
      </c>
      <c r="D332" s="173">
        <v>1949</v>
      </c>
      <c r="E332" s="173"/>
      <c r="F332" s="174" t="s">
        <v>1301</v>
      </c>
      <c r="G332" s="173">
        <v>2</v>
      </c>
      <c r="H332" s="173" t="s">
        <v>303</v>
      </c>
      <c r="I332" s="170">
        <v>760.8</v>
      </c>
      <c r="J332" s="170">
        <v>760.8</v>
      </c>
      <c r="K332" s="170">
        <v>760.8</v>
      </c>
      <c r="L332" s="206">
        <v>40</v>
      </c>
      <c r="M332" s="173" t="s">
        <v>265</v>
      </c>
      <c r="N332" s="173" t="s">
        <v>269</v>
      </c>
      <c r="O332" s="175" t="s">
        <v>334</v>
      </c>
      <c r="P332" s="170">
        <v>2348671.69</v>
      </c>
      <c r="Q332" s="170">
        <v>0</v>
      </c>
      <c r="R332" s="170">
        <v>0</v>
      </c>
      <c r="S332" s="170">
        <f>P332-R332-Q332</f>
        <v>2348671.69</v>
      </c>
      <c r="T332" s="170">
        <f t="shared" si="28"/>
        <v>3087.1078995793901</v>
      </c>
      <c r="U332" s="170">
        <v>5394.7703903785496</v>
      </c>
      <c r="V332" s="202">
        <f t="shared" si="29"/>
        <v>2307.6624907991595</v>
      </c>
      <c r="W332" s="202">
        <f t="shared" si="34"/>
        <v>2688.6848339905364</v>
      </c>
      <c r="X332" s="202">
        <v>0</v>
      </c>
      <c r="Y332" s="203">
        <v>0</v>
      </c>
      <c r="Z332" s="203">
        <v>0</v>
      </c>
      <c r="AA332" s="203">
        <v>0</v>
      </c>
      <c r="AB332" s="203">
        <v>0</v>
      </c>
      <c r="AC332" s="203">
        <v>0</v>
      </c>
      <c r="AD332" s="203">
        <v>0</v>
      </c>
      <c r="AE332" s="203">
        <v>327.87</v>
      </c>
      <c r="AF332" s="202">
        <f>6238.91*AE332/I332</f>
        <v>2688.6848339905364</v>
      </c>
      <c r="AG332" s="203">
        <v>0</v>
      </c>
      <c r="AH332" s="202">
        <v>0</v>
      </c>
      <c r="AI332" s="203">
        <v>0</v>
      </c>
      <c r="AJ332" s="202">
        <v>0</v>
      </c>
      <c r="AK332" s="203">
        <v>0</v>
      </c>
      <c r="AL332" s="203">
        <v>0</v>
      </c>
      <c r="AM332" s="203">
        <v>0</v>
      </c>
      <c r="AN332" s="203"/>
      <c r="AO332" s="203">
        <v>0</v>
      </c>
    </row>
    <row r="333" spans="1:41" s="176" customFormat="1" ht="36" customHeight="1" x14ac:dyDescent="0.25">
      <c r="A333" s="176">
        <v>1</v>
      </c>
      <c r="B333" s="171">
        <f>SUBTOTAL(103,$A$16:A333)</f>
        <v>303</v>
      </c>
      <c r="C333" s="172" t="s">
        <v>1535</v>
      </c>
      <c r="D333" s="173">
        <v>1961</v>
      </c>
      <c r="E333" s="173"/>
      <c r="F333" s="174" t="s">
        <v>267</v>
      </c>
      <c r="G333" s="173">
        <v>2</v>
      </c>
      <c r="H333" s="173" t="s">
        <v>303</v>
      </c>
      <c r="I333" s="170">
        <v>755.3</v>
      </c>
      <c r="J333" s="170">
        <v>755.3</v>
      </c>
      <c r="K333" s="170">
        <v>755.3</v>
      </c>
      <c r="L333" s="206">
        <v>28</v>
      </c>
      <c r="M333" s="173" t="s">
        <v>265</v>
      </c>
      <c r="N333" s="173" t="s">
        <v>269</v>
      </c>
      <c r="O333" s="175" t="s">
        <v>333</v>
      </c>
      <c r="P333" s="170">
        <v>2304366.3400000003</v>
      </c>
      <c r="Q333" s="170">
        <v>0</v>
      </c>
      <c r="R333" s="170">
        <v>0</v>
      </c>
      <c r="S333" s="170">
        <f>P333-R333-Q333</f>
        <v>2304366.3400000003</v>
      </c>
      <c r="T333" s="170">
        <f t="shared" ref="T333:T396" si="35">P333/I333</f>
        <v>3050.9285581887998</v>
      </c>
      <c r="U333" s="170">
        <v>5101.3027128293397</v>
      </c>
      <c r="V333" s="202">
        <f t="shared" si="29"/>
        <v>2050.3741546405399</v>
      </c>
      <c r="W333" s="202">
        <f t="shared" si="34"/>
        <v>4960.482751621872</v>
      </c>
      <c r="X333" s="202">
        <v>0</v>
      </c>
      <c r="Y333" s="203">
        <v>0</v>
      </c>
      <c r="Z333" s="203">
        <v>0</v>
      </c>
      <c r="AA333" s="203">
        <v>0</v>
      </c>
      <c r="AB333" s="203">
        <v>0</v>
      </c>
      <c r="AC333" s="203">
        <v>0</v>
      </c>
      <c r="AD333" s="203">
        <v>0</v>
      </c>
      <c r="AE333" s="203">
        <v>600.53</v>
      </c>
      <c r="AF333" s="202">
        <f>6238.91*AE333/I333</f>
        <v>4960.482751621872</v>
      </c>
      <c r="AG333" s="203">
        <v>0</v>
      </c>
      <c r="AH333" s="202">
        <v>0</v>
      </c>
      <c r="AI333" s="203">
        <v>0</v>
      </c>
      <c r="AJ333" s="202">
        <v>0</v>
      </c>
      <c r="AK333" s="203">
        <v>0</v>
      </c>
      <c r="AL333" s="203">
        <v>0</v>
      </c>
      <c r="AM333" s="203">
        <v>0</v>
      </c>
      <c r="AN333" s="203"/>
      <c r="AO333" s="203">
        <v>0</v>
      </c>
    </row>
    <row r="334" spans="1:41" s="176" customFormat="1" ht="36" customHeight="1" x14ac:dyDescent="0.25">
      <c r="A334" s="176">
        <v>1</v>
      </c>
      <c r="B334" s="171">
        <f>SUBTOTAL(103,$A$16:A334)</f>
        <v>304</v>
      </c>
      <c r="C334" s="172" t="s">
        <v>1203</v>
      </c>
      <c r="D334" s="173">
        <v>1955</v>
      </c>
      <c r="E334" s="173"/>
      <c r="F334" s="174" t="s">
        <v>1301</v>
      </c>
      <c r="G334" s="173">
        <v>2</v>
      </c>
      <c r="H334" s="173" t="s">
        <v>303</v>
      </c>
      <c r="I334" s="177">
        <v>805.7</v>
      </c>
      <c r="J334" s="177">
        <v>731</v>
      </c>
      <c r="K334" s="177">
        <v>705.2</v>
      </c>
      <c r="L334" s="206">
        <v>37</v>
      </c>
      <c r="M334" s="173" t="s">
        <v>265</v>
      </c>
      <c r="N334" s="173" t="s">
        <v>269</v>
      </c>
      <c r="O334" s="175" t="s">
        <v>333</v>
      </c>
      <c r="P334" s="170">
        <v>78793.16</v>
      </c>
      <c r="Q334" s="170">
        <v>0</v>
      </c>
      <c r="R334" s="170">
        <v>0</v>
      </c>
      <c r="S334" s="170">
        <f>P334-Q334-R334</f>
        <v>78793.16</v>
      </c>
      <c r="T334" s="170">
        <f t="shared" si="35"/>
        <v>97.794663025940181</v>
      </c>
      <c r="U334" s="170">
        <v>97.794663025940181</v>
      </c>
      <c r="V334" s="202">
        <f t="shared" si="29"/>
        <v>0</v>
      </c>
      <c r="W334" s="202">
        <f t="shared" si="34"/>
        <v>10862.758197840389</v>
      </c>
      <c r="X334" s="202">
        <v>0</v>
      </c>
      <c r="Y334" s="203">
        <v>0</v>
      </c>
      <c r="Z334" s="203">
        <v>0</v>
      </c>
      <c r="AA334" s="203">
        <v>0</v>
      </c>
      <c r="AB334" s="203">
        <v>0</v>
      </c>
      <c r="AC334" s="203">
        <v>0</v>
      </c>
      <c r="AD334" s="203">
        <v>0</v>
      </c>
      <c r="AE334" s="203">
        <v>0</v>
      </c>
      <c r="AF334" s="202">
        <v>0</v>
      </c>
      <c r="AG334" s="203">
        <v>0</v>
      </c>
      <c r="AH334" s="202">
        <v>0</v>
      </c>
      <c r="AI334" s="203">
        <v>0</v>
      </c>
      <c r="AJ334" s="202">
        <v>0</v>
      </c>
      <c r="AK334" s="203">
        <v>114</v>
      </c>
      <c r="AL334" s="202">
        <f>76773.02*AK334/I334</f>
        <v>10862.758197840389</v>
      </c>
      <c r="AM334" s="203">
        <v>0</v>
      </c>
      <c r="AN334" s="203"/>
      <c r="AO334" s="203">
        <v>0</v>
      </c>
    </row>
    <row r="335" spans="1:41" s="176" customFormat="1" ht="36" customHeight="1" x14ac:dyDescent="0.25">
      <c r="A335" s="176">
        <v>1</v>
      </c>
      <c r="B335" s="171">
        <f>SUBTOTAL(103,$A$16:A335)</f>
        <v>305</v>
      </c>
      <c r="C335" s="172" t="s">
        <v>1570</v>
      </c>
      <c r="D335" s="173">
        <v>1958</v>
      </c>
      <c r="E335" s="173"/>
      <c r="F335" s="174" t="s">
        <v>330</v>
      </c>
      <c r="G335" s="173">
        <v>2</v>
      </c>
      <c r="H335" s="173" t="s">
        <v>304</v>
      </c>
      <c r="I335" s="170">
        <v>658</v>
      </c>
      <c r="J335" s="170">
        <v>250.1</v>
      </c>
      <c r="K335" s="170">
        <v>250.1</v>
      </c>
      <c r="L335" s="206">
        <v>21</v>
      </c>
      <c r="M335" s="173" t="s">
        <v>265</v>
      </c>
      <c r="N335" s="173" t="s">
        <v>269</v>
      </c>
      <c r="O335" s="175" t="s">
        <v>333</v>
      </c>
      <c r="P335" s="170">
        <v>35684.67</v>
      </c>
      <c r="Q335" s="170">
        <v>0</v>
      </c>
      <c r="R335" s="170">
        <v>0</v>
      </c>
      <c r="S335" s="170">
        <f>P335-R335-Q335</f>
        <v>35684.67</v>
      </c>
      <c r="T335" s="170">
        <f t="shared" si="35"/>
        <v>54.232021276595745</v>
      </c>
      <c r="U335" s="170">
        <v>54.232021276595745</v>
      </c>
      <c r="V335" s="202">
        <f t="shared" si="29"/>
        <v>0</v>
      </c>
      <c r="W335" s="202">
        <f t="shared" si="34"/>
        <v>5745.8654407294835</v>
      </c>
      <c r="X335" s="202">
        <v>0</v>
      </c>
      <c r="Y335" s="203">
        <v>0</v>
      </c>
      <c r="Z335" s="203">
        <v>0</v>
      </c>
      <c r="AA335" s="203">
        <v>0</v>
      </c>
      <c r="AB335" s="203">
        <v>0</v>
      </c>
      <c r="AC335" s="203">
        <v>0</v>
      </c>
      <c r="AD335" s="203">
        <v>0</v>
      </c>
      <c r="AE335" s="203">
        <v>606</v>
      </c>
      <c r="AF335" s="202">
        <f>6238.91*AE335/I335</f>
        <v>5745.8654407294835</v>
      </c>
      <c r="AG335" s="203">
        <v>0</v>
      </c>
      <c r="AH335" s="202">
        <v>0</v>
      </c>
      <c r="AI335" s="203">
        <v>0</v>
      </c>
      <c r="AJ335" s="202">
        <v>0</v>
      </c>
      <c r="AK335" s="203">
        <v>0</v>
      </c>
      <c r="AL335" s="203">
        <v>0</v>
      </c>
      <c r="AM335" s="203">
        <v>0</v>
      </c>
      <c r="AN335" s="203"/>
      <c r="AO335" s="203">
        <v>0</v>
      </c>
    </row>
    <row r="336" spans="1:41" s="176" customFormat="1" ht="36" customHeight="1" x14ac:dyDescent="0.25">
      <c r="B336" s="172" t="s">
        <v>817</v>
      </c>
      <c r="C336" s="172"/>
      <c r="D336" s="173" t="s">
        <v>882</v>
      </c>
      <c r="E336" s="173" t="s">
        <v>882</v>
      </c>
      <c r="F336" s="173" t="s">
        <v>882</v>
      </c>
      <c r="G336" s="173" t="s">
        <v>882</v>
      </c>
      <c r="H336" s="173" t="s">
        <v>882</v>
      </c>
      <c r="I336" s="177">
        <f>SUM(I337:I340)</f>
        <v>1395.0000000000002</v>
      </c>
      <c r="J336" s="177">
        <f>SUM(J337:J340)</f>
        <v>1153.6999999999998</v>
      </c>
      <c r="K336" s="177">
        <f>SUM(K337:K340)</f>
        <v>1153.6999999999998</v>
      </c>
      <c r="L336" s="357">
        <f>SUM(L337:L340)</f>
        <v>56</v>
      </c>
      <c r="M336" s="173" t="s">
        <v>882</v>
      </c>
      <c r="N336" s="173" t="s">
        <v>882</v>
      </c>
      <c r="O336" s="175" t="s">
        <v>882</v>
      </c>
      <c r="P336" s="177">
        <v>2221160.0099999998</v>
      </c>
      <c r="Q336" s="177">
        <f>SUM(Q337:Q340)</f>
        <v>0</v>
      </c>
      <c r="R336" s="177">
        <f>SUM(R337:R340)</f>
        <v>0</v>
      </c>
      <c r="S336" s="177">
        <f>SUM(S337:S340)</f>
        <v>2221160.0099999998</v>
      </c>
      <c r="T336" s="170">
        <f t="shared" si="35"/>
        <v>1592.229397849462</v>
      </c>
      <c r="U336" s="170">
        <f>MAX(U337:U340)</f>
        <v>5801.2656816156814</v>
      </c>
      <c r="V336" s="202">
        <f t="shared" si="29"/>
        <v>4209.0362837662196</v>
      </c>
      <c r="W336" s="202"/>
      <c r="X336" s="202"/>
      <c r="Y336" s="203"/>
      <c r="Z336" s="203"/>
      <c r="AA336" s="203"/>
      <c r="AB336" s="203"/>
      <c r="AC336" s="203"/>
      <c r="AD336" s="203"/>
      <c r="AE336" s="203"/>
      <c r="AF336" s="203"/>
      <c r="AG336" s="203"/>
      <c r="AH336" s="203"/>
      <c r="AI336" s="203"/>
      <c r="AJ336" s="203"/>
      <c r="AK336" s="203"/>
      <c r="AL336" s="203"/>
      <c r="AM336" s="203"/>
      <c r="AN336" s="203"/>
      <c r="AO336" s="203"/>
    </row>
    <row r="337" spans="1:41" s="176" customFormat="1" ht="36" customHeight="1" x14ac:dyDescent="0.25">
      <c r="A337" s="176">
        <v>1</v>
      </c>
      <c r="B337" s="171">
        <f>SUBTOTAL(103,$A$16:A337)</f>
        <v>306</v>
      </c>
      <c r="C337" s="172" t="s">
        <v>246</v>
      </c>
      <c r="D337" s="173">
        <v>1955</v>
      </c>
      <c r="E337" s="173"/>
      <c r="F337" s="174" t="s">
        <v>330</v>
      </c>
      <c r="G337" s="173">
        <v>2</v>
      </c>
      <c r="H337" s="173" t="s">
        <v>303</v>
      </c>
      <c r="I337" s="170">
        <v>374.6</v>
      </c>
      <c r="J337" s="170">
        <v>343.4</v>
      </c>
      <c r="K337" s="170">
        <v>343.4</v>
      </c>
      <c r="L337" s="206">
        <v>9</v>
      </c>
      <c r="M337" s="173" t="s">
        <v>265</v>
      </c>
      <c r="N337" s="173" t="s">
        <v>266</v>
      </c>
      <c r="O337" s="175" t="s">
        <v>268</v>
      </c>
      <c r="P337" s="170">
        <v>9547.9500000000007</v>
      </c>
      <c r="Q337" s="170">
        <v>0</v>
      </c>
      <c r="R337" s="170">
        <v>0</v>
      </c>
      <c r="S337" s="170">
        <f>P337-Q337-R337</f>
        <v>9547.9500000000007</v>
      </c>
      <c r="T337" s="170">
        <f t="shared" si="35"/>
        <v>25.488387613454353</v>
      </c>
      <c r="U337" s="170">
        <v>25.488387613454353</v>
      </c>
      <c r="V337" s="202">
        <f t="shared" ref="V337:V399" si="36">U337-T337</f>
        <v>0</v>
      </c>
      <c r="W337" s="202">
        <f>T337</f>
        <v>25.488387613454353</v>
      </c>
      <c r="X337" s="202">
        <v>0</v>
      </c>
      <c r="Y337" s="203">
        <v>0</v>
      </c>
      <c r="Z337" s="203">
        <v>0</v>
      </c>
      <c r="AA337" s="203">
        <v>0</v>
      </c>
      <c r="AB337" s="203">
        <v>0</v>
      </c>
      <c r="AC337" s="203">
        <v>0</v>
      </c>
      <c r="AD337" s="203">
        <v>0</v>
      </c>
      <c r="AE337" s="203">
        <v>0</v>
      </c>
      <c r="AF337" s="202">
        <v>0</v>
      </c>
      <c r="AG337" s="203">
        <v>0</v>
      </c>
      <c r="AH337" s="202">
        <v>0</v>
      </c>
      <c r="AI337" s="203">
        <v>0</v>
      </c>
      <c r="AJ337" s="202">
        <v>0</v>
      </c>
      <c r="AK337" s="203">
        <v>0</v>
      </c>
      <c r="AL337" s="203">
        <v>0</v>
      </c>
      <c r="AM337" s="203">
        <v>0</v>
      </c>
      <c r="AN337" s="203"/>
      <c r="AO337" s="203">
        <v>0</v>
      </c>
    </row>
    <row r="338" spans="1:41" s="176" customFormat="1" ht="36" customHeight="1" x14ac:dyDescent="0.25">
      <c r="A338" s="176">
        <v>1</v>
      </c>
      <c r="B338" s="171">
        <f>SUBTOTAL(103,$A$16:A338)</f>
        <v>307</v>
      </c>
      <c r="C338" s="172" t="s">
        <v>244</v>
      </c>
      <c r="D338" s="173">
        <v>1969</v>
      </c>
      <c r="E338" s="173"/>
      <c r="F338" s="174" t="s">
        <v>267</v>
      </c>
      <c r="G338" s="173">
        <v>2</v>
      </c>
      <c r="H338" s="173" t="s">
        <v>304</v>
      </c>
      <c r="I338" s="170">
        <v>384.6</v>
      </c>
      <c r="J338" s="170">
        <v>229.2</v>
      </c>
      <c r="K338" s="170">
        <v>229.2</v>
      </c>
      <c r="L338" s="206">
        <v>18</v>
      </c>
      <c r="M338" s="173" t="s">
        <v>265</v>
      </c>
      <c r="N338" s="173" t="s">
        <v>266</v>
      </c>
      <c r="O338" s="175" t="s">
        <v>268</v>
      </c>
      <c r="P338" s="170">
        <v>53163.29</v>
      </c>
      <c r="Q338" s="170">
        <v>0</v>
      </c>
      <c r="R338" s="170">
        <v>0</v>
      </c>
      <c r="S338" s="170">
        <f>P338-Q338-R338</f>
        <v>53163.29</v>
      </c>
      <c r="T338" s="170">
        <f t="shared" si="35"/>
        <v>138.23008320332812</v>
      </c>
      <c r="U338" s="170">
        <v>138.23008320332812</v>
      </c>
      <c r="V338" s="202">
        <f t="shared" si="36"/>
        <v>0</v>
      </c>
      <c r="W338" s="202">
        <f>X338+Y338+Z338+AA338+AB338+AD338+AF338+AH338+AJ338+AL338+AN338+AO338</f>
        <v>8304.1020072802912</v>
      </c>
      <c r="X338" s="202">
        <v>0</v>
      </c>
      <c r="Y338" s="203">
        <v>0</v>
      </c>
      <c r="Z338" s="203">
        <v>0</v>
      </c>
      <c r="AA338" s="203">
        <v>0</v>
      </c>
      <c r="AB338" s="203">
        <v>0</v>
      </c>
      <c r="AC338" s="203">
        <v>0</v>
      </c>
      <c r="AD338" s="203">
        <v>0</v>
      </c>
      <c r="AE338" s="203">
        <v>0</v>
      </c>
      <c r="AF338" s="202">
        <v>0</v>
      </c>
      <c r="AG338" s="203">
        <v>0</v>
      </c>
      <c r="AH338" s="202">
        <v>0</v>
      </c>
      <c r="AI338" s="203">
        <v>0</v>
      </c>
      <c r="AJ338" s="202">
        <v>0</v>
      </c>
      <c r="AK338" s="203">
        <v>41.6</v>
      </c>
      <c r="AL338" s="202">
        <f>76773.02*AK338/I338</f>
        <v>8304.1020072802912</v>
      </c>
      <c r="AM338" s="203">
        <v>0</v>
      </c>
      <c r="AN338" s="203"/>
      <c r="AO338" s="203">
        <v>0</v>
      </c>
    </row>
    <row r="339" spans="1:41" s="176" customFormat="1" ht="36" customHeight="1" x14ac:dyDescent="0.25">
      <c r="A339" s="176">
        <v>1</v>
      </c>
      <c r="B339" s="171">
        <f>SUBTOTAL(103,$A$16:A339)</f>
        <v>308</v>
      </c>
      <c r="C339" s="172" t="s">
        <v>1521</v>
      </c>
      <c r="D339" s="173">
        <v>1960</v>
      </c>
      <c r="E339" s="173"/>
      <c r="F339" s="174" t="s">
        <v>267</v>
      </c>
      <c r="G339" s="173">
        <v>2</v>
      </c>
      <c r="H339" s="173" t="s">
        <v>304</v>
      </c>
      <c r="I339" s="170">
        <v>299.10000000000002</v>
      </c>
      <c r="J339" s="170">
        <v>244.4</v>
      </c>
      <c r="K339" s="170">
        <v>244.4</v>
      </c>
      <c r="L339" s="206">
        <v>16</v>
      </c>
      <c r="M339" s="173" t="s">
        <v>265</v>
      </c>
      <c r="N339" s="173" t="s">
        <v>266</v>
      </c>
      <c r="O339" s="175" t="s">
        <v>268</v>
      </c>
      <c r="P339" s="170">
        <v>944539.29999999993</v>
      </c>
      <c r="Q339" s="170">
        <v>0</v>
      </c>
      <c r="R339" s="170">
        <v>0</v>
      </c>
      <c r="S339" s="170">
        <f>P339-Q339-R339</f>
        <v>944539.29999999993</v>
      </c>
      <c r="T339" s="170">
        <f t="shared" si="35"/>
        <v>3157.9381477766628</v>
      </c>
      <c r="U339" s="170">
        <v>5651.7557739886324</v>
      </c>
      <c r="V339" s="202">
        <f t="shared" si="36"/>
        <v>2493.8176262119696</v>
      </c>
      <c r="W339" s="202">
        <f>X339+Y339+Z339+AA339+AB339+AD339+AF339+AH339+AJ339+AL339+AN339+AO339</f>
        <v>9180.1130391173538</v>
      </c>
      <c r="X339" s="202">
        <v>0</v>
      </c>
      <c r="Y339" s="203">
        <v>0</v>
      </c>
      <c r="Z339" s="203">
        <v>0</v>
      </c>
      <c r="AA339" s="203">
        <v>0</v>
      </c>
      <c r="AB339" s="203">
        <v>0</v>
      </c>
      <c r="AC339" s="203">
        <v>0</v>
      </c>
      <c r="AD339" s="203">
        <v>0</v>
      </c>
      <c r="AE339" s="203">
        <v>0</v>
      </c>
      <c r="AF339" s="202">
        <v>0</v>
      </c>
      <c r="AG339" s="203">
        <v>0</v>
      </c>
      <c r="AH339" s="202">
        <v>0</v>
      </c>
      <c r="AI339" s="203">
        <v>369.1</v>
      </c>
      <c r="AJ339" s="202">
        <f>7439.1*AI339/I339</f>
        <v>9180.1130391173538</v>
      </c>
      <c r="AK339" s="203">
        <v>0</v>
      </c>
      <c r="AL339" s="203">
        <v>0</v>
      </c>
      <c r="AM339" s="203">
        <v>0</v>
      </c>
      <c r="AN339" s="203"/>
      <c r="AO339" s="203">
        <v>0</v>
      </c>
    </row>
    <row r="340" spans="1:41" s="176" customFormat="1" ht="36" customHeight="1" x14ac:dyDescent="0.25">
      <c r="A340" s="176">
        <v>1</v>
      </c>
      <c r="B340" s="171">
        <f>SUBTOTAL(103,$A$16:A340)</f>
        <v>309</v>
      </c>
      <c r="C340" s="172" t="s">
        <v>1522</v>
      </c>
      <c r="D340" s="173">
        <v>1962</v>
      </c>
      <c r="E340" s="173"/>
      <c r="F340" s="174" t="s">
        <v>267</v>
      </c>
      <c r="G340" s="173">
        <v>2</v>
      </c>
      <c r="H340" s="173" t="s">
        <v>304</v>
      </c>
      <c r="I340" s="170">
        <v>336.7</v>
      </c>
      <c r="J340" s="170">
        <v>336.7</v>
      </c>
      <c r="K340" s="170">
        <v>336.7</v>
      </c>
      <c r="L340" s="206">
        <v>13</v>
      </c>
      <c r="M340" s="173" t="s">
        <v>265</v>
      </c>
      <c r="N340" s="173" t="s">
        <v>341</v>
      </c>
      <c r="O340" s="175" t="s">
        <v>1565</v>
      </c>
      <c r="P340" s="170">
        <v>1213909.47</v>
      </c>
      <c r="Q340" s="170">
        <v>0</v>
      </c>
      <c r="R340" s="170">
        <v>0</v>
      </c>
      <c r="S340" s="170">
        <f>P340-R340-Q340</f>
        <v>1213909.47</v>
      </c>
      <c r="T340" s="170">
        <f t="shared" si="35"/>
        <v>3605.3147312147312</v>
      </c>
      <c r="U340" s="170">
        <v>5801.2656816156814</v>
      </c>
      <c r="V340" s="202">
        <f t="shared" si="36"/>
        <v>2195.9509504009502</v>
      </c>
      <c r="W340" s="202">
        <f>X340+Y340+Z340+AA340+AB340+AD340+AF340+AH340+AJ340+AL340+AN340+AO340</f>
        <v>4813.2440201960198</v>
      </c>
      <c r="X340" s="202">
        <v>0</v>
      </c>
      <c r="Y340" s="203">
        <v>0</v>
      </c>
      <c r="Z340" s="203">
        <v>0</v>
      </c>
      <c r="AA340" s="203">
        <v>0</v>
      </c>
      <c r="AB340" s="203">
        <v>0</v>
      </c>
      <c r="AC340" s="203">
        <v>0</v>
      </c>
      <c r="AD340" s="203">
        <v>0</v>
      </c>
      <c r="AE340" s="203">
        <v>259.76</v>
      </c>
      <c r="AF340" s="202">
        <f>6238.91*AE340/I340</f>
        <v>4813.2440201960198</v>
      </c>
      <c r="AG340" s="203">
        <v>0</v>
      </c>
      <c r="AH340" s="202">
        <v>0</v>
      </c>
      <c r="AI340" s="203">
        <v>0</v>
      </c>
      <c r="AJ340" s="202">
        <v>0</v>
      </c>
      <c r="AK340" s="203">
        <v>0</v>
      </c>
      <c r="AL340" s="203">
        <v>0</v>
      </c>
      <c r="AM340" s="203">
        <v>0</v>
      </c>
      <c r="AN340" s="203"/>
      <c r="AO340" s="203">
        <v>0</v>
      </c>
    </row>
    <row r="341" spans="1:41" s="176" customFormat="1" ht="36" customHeight="1" x14ac:dyDescent="0.25">
      <c r="B341" s="172" t="s">
        <v>818</v>
      </c>
      <c r="C341" s="172"/>
      <c r="D341" s="173" t="s">
        <v>882</v>
      </c>
      <c r="E341" s="173" t="s">
        <v>882</v>
      </c>
      <c r="F341" s="173" t="s">
        <v>882</v>
      </c>
      <c r="G341" s="173" t="s">
        <v>882</v>
      </c>
      <c r="H341" s="173" t="s">
        <v>882</v>
      </c>
      <c r="I341" s="177">
        <f>SUM(I342:I343)</f>
        <v>1222.4000000000001</v>
      </c>
      <c r="J341" s="177">
        <f>SUM(J342:J343)</f>
        <v>1166.8</v>
      </c>
      <c r="K341" s="177">
        <f>SUM(K342:K343)</f>
        <v>1166.8</v>
      </c>
      <c r="L341" s="357">
        <f>SUM(L342:L343)</f>
        <v>44</v>
      </c>
      <c r="M341" s="173" t="s">
        <v>882</v>
      </c>
      <c r="N341" s="173" t="s">
        <v>882</v>
      </c>
      <c r="O341" s="175" t="s">
        <v>882</v>
      </c>
      <c r="P341" s="170">
        <v>4069083.7199999997</v>
      </c>
      <c r="Q341" s="170">
        <f>SUM(Q342:Q343)</f>
        <v>0</v>
      </c>
      <c r="R341" s="170">
        <f>SUM(R342:R343)</f>
        <v>0</v>
      </c>
      <c r="S341" s="170">
        <f>SUM(S342:S343)</f>
        <v>4069083.7199999997</v>
      </c>
      <c r="T341" s="170">
        <f t="shared" si="35"/>
        <v>3328.7661321989526</v>
      </c>
      <c r="U341" s="170">
        <f>MAX(U342:U343)</f>
        <v>8265.9378727897856</v>
      </c>
      <c r="V341" s="202">
        <f t="shared" si="36"/>
        <v>4937.171740590833</v>
      </c>
      <c r="W341" s="202"/>
      <c r="X341" s="202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</row>
    <row r="342" spans="1:41" s="176" customFormat="1" ht="36" customHeight="1" x14ac:dyDescent="0.25">
      <c r="A342" s="176">
        <v>1</v>
      </c>
      <c r="B342" s="171">
        <f>SUBTOTAL(103,$A$16:A342)</f>
        <v>310</v>
      </c>
      <c r="C342" s="172" t="s">
        <v>241</v>
      </c>
      <c r="D342" s="173">
        <v>1984</v>
      </c>
      <c r="E342" s="173"/>
      <c r="F342" s="174" t="s">
        <v>311</v>
      </c>
      <c r="G342" s="173">
        <v>2</v>
      </c>
      <c r="H342" s="173" t="s">
        <v>303</v>
      </c>
      <c r="I342" s="170">
        <v>611.6</v>
      </c>
      <c r="J342" s="170">
        <v>556</v>
      </c>
      <c r="K342" s="170">
        <v>556</v>
      </c>
      <c r="L342" s="206">
        <v>22</v>
      </c>
      <c r="M342" s="173" t="s">
        <v>265</v>
      </c>
      <c r="N342" s="173" t="s">
        <v>266</v>
      </c>
      <c r="O342" s="175" t="s">
        <v>268</v>
      </c>
      <c r="P342" s="170">
        <v>1936809.91</v>
      </c>
      <c r="Q342" s="170">
        <v>0</v>
      </c>
      <c r="R342" s="170">
        <v>0</v>
      </c>
      <c r="S342" s="170">
        <f>P342-Q342-R342</f>
        <v>1936809.91</v>
      </c>
      <c r="T342" s="170">
        <f t="shared" si="35"/>
        <v>3166.7918737737082</v>
      </c>
      <c r="U342" s="170">
        <v>8260.1011618705033</v>
      </c>
      <c r="V342" s="202">
        <f t="shared" si="36"/>
        <v>5093.3092880967952</v>
      </c>
      <c r="W342" s="202">
        <f>X342+Y342+Z342+AA342+AB342+AD342+AF342+AH342+AJ342+AL342+AN342+AO342</f>
        <v>6258.9281654676261</v>
      </c>
      <c r="X342" s="202">
        <v>0</v>
      </c>
      <c r="Y342" s="203">
        <v>0</v>
      </c>
      <c r="Z342" s="203">
        <v>0</v>
      </c>
      <c r="AA342" s="203">
        <v>0</v>
      </c>
      <c r="AB342" s="203">
        <v>0</v>
      </c>
      <c r="AC342" s="203">
        <v>0</v>
      </c>
      <c r="AD342" s="203">
        <v>0</v>
      </c>
      <c r="AE342" s="203">
        <v>0</v>
      </c>
      <c r="AF342" s="202">
        <v>0</v>
      </c>
      <c r="AG342" s="203">
        <v>0</v>
      </c>
      <c r="AH342" s="202">
        <v>0</v>
      </c>
      <c r="AI342" s="203">
        <v>490.6</v>
      </c>
      <c r="AJ342" s="202">
        <f>7802.61*AI342/I342</f>
        <v>6258.9281654676261</v>
      </c>
      <c r="AK342" s="203">
        <v>0</v>
      </c>
      <c r="AL342" s="203">
        <v>0</v>
      </c>
      <c r="AM342" s="203">
        <v>0</v>
      </c>
      <c r="AN342" s="203"/>
      <c r="AO342" s="203">
        <v>0</v>
      </c>
    </row>
    <row r="343" spans="1:41" s="176" customFormat="1" ht="36" customHeight="1" x14ac:dyDescent="0.25">
      <c r="A343" s="176">
        <v>1</v>
      </c>
      <c r="B343" s="171">
        <f>SUBTOTAL(103,$A$16:A343)</f>
        <v>311</v>
      </c>
      <c r="C343" s="172" t="s">
        <v>1206</v>
      </c>
      <c r="D343" s="173">
        <v>1984</v>
      </c>
      <c r="E343" s="173"/>
      <c r="F343" s="174" t="s">
        <v>318</v>
      </c>
      <c r="G343" s="173">
        <v>2</v>
      </c>
      <c r="H343" s="173" t="s">
        <v>303</v>
      </c>
      <c r="I343" s="170">
        <v>610.79999999999995</v>
      </c>
      <c r="J343" s="170">
        <v>610.79999999999995</v>
      </c>
      <c r="K343" s="170">
        <v>610.79999999999995</v>
      </c>
      <c r="L343" s="206">
        <v>22</v>
      </c>
      <c r="M343" s="173" t="s">
        <v>265</v>
      </c>
      <c r="N343" s="173" t="s">
        <v>266</v>
      </c>
      <c r="O343" s="175" t="s">
        <v>268</v>
      </c>
      <c r="P343" s="170">
        <v>2132273.81</v>
      </c>
      <c r="Q343" s="170">
        <v>0</v>
      </c>
      <c r="R343" s="170">
        <v>0</v>
      </c>
      <c r="S343" s="170">
        <f>P343-Q343-R343</f>
        <v>2132273.81</v>
      </c>
      <c r="T343" s="170">
        <f t="shared" si="35"/>
        <v>3490.9525376555339</v>
      </c>
      <c r="U343" s="170">
        <v>8265.9378727897856</v>
      </c>
      <c r="V343" s="202">
        <f t="shared" si="36"/>
        <v>4774.9853351342517</v>
      </c>
      <c r="W343" s="202">
        <f>X343+Y343+Z343+AA343+AB343+AD343+AF343+AH343+AJ343+AL343+AN343+AO343</f>
        <v>8407.3505982318275</v>
      </c>
      <c r="X343" s="202">
        <v>0</v>
      </c>
      <c r="Y343" s="203">
        <v>0</v>
      </c>
      <c r="Z343" s="203">
        <v>0</v>
      </c>
      <c r="AA343" s="203">
        <v>0</v>
      </c>
      <c r="AB343" s="203">
        <v>0</v>
      </c>
      <c r="AC343" s="203">
        <v>0</v>
      </c>
      <c r="AD343" s="203">
        <v>0</v>
      </c>
      <c r="AE343" s="203">
        <v>0</v>
      </c>
      <c r="AF343" s="202">
        <v>0</v>
      </c>
      <c r="AG343" s="203">
        <v>0</v>
      </c>
      <c r="AH343" s="202">
        <v>0</v>
      </c>
      <c r="AI343" s="203">
        <v>658.14</v>
      </c>
      <c r="AJ343" s="202">
        <f>7802.61*AI343/I343</f>
        <v>8407.3505982318275</v>
      </c>
      <c r="AK343" s="203">
        <v>0</v>
      </c>
      <c r="AL343" s="203">
        <v>0</v>
      </c>
      <c r="AM343" s="203">
        <v>0</v>
      </c>
      <c r="AN343" s="203"/>
      <c r="AO343" s="203">
        <v>0</v>
      </c>
    </row>
    <row r="344" spans="1:41" s="176" customFormat="1" ht="36" customHeight="1" x14ac:dyDescent="0.25">
      <c r="B344" s="172" t="s">
        <v>819</v>
      </c>
      <c r="C344" s="361"/>
      <c r="D344" s="173" t="s">
        <v>882</v>
      </c>
      <c r="E344" s="173" t="s">
        <v>882</v>
      </c>
      <c r="F344" s="173" t="s">
        <v>882</v>
      </c>
      <c r="G344" s="173" t="s">
        <v>882</v>
      </c>
      <c r="H344" s="173" t="s">
        <v>882</v>
      </c>
      <c r="I344" s="177">
        <f>SUM(I345:I346)</f>
        <v>1746.5</v>
      </c>
      <c r="J344" s="177">
        <f>SUM(J345:J346)</f>
        <v>1598.5</v>
      </c>
      <c r="K344" s="177">
        <f>SUM(K345:K346)</f>
        <v>1598.5</v>
      </c>
      <c r="L344" s="357">
        <f>SUM(L345:L346)</f>
        <v>78</v>
      </c>
      <c r="M344" s="173" t="s">
        <v>882</v>
      </c>
      <c r="N344" s="173" t="s">
        <v>882</v>
      </c>
      <c r="O344" s="175" t="s">
        <v>882</v>
      </c>
      <c r="P344" s="170">
        <v>5178138.5</v>
      </c>
      <c r="Q344" s="170">
        <f>SUM(Q345:Q346)</f>
        <v>0</v>
      </c>
      <c r="R344" s="170">
        <f>SUM(R345:R346)</f>
        <v>0</v>
      </c>
      <c r="S344" s="170">
        <f>SUM(S345:S346)</f>
        <v>5178138.5</v>
      </c>
      <c r="T344" s="170">
        <f t="shared" si="35"/>
        <v>2964.8660177497854</v>
      </c>
      <c r="U344" s="170">
        <f>MAX(U345:U346)</f>
        <v>5058.4257626762037</v>
      </c>
      <c r="V344" s="202">
        <f t="shared" si="36"/>
        <v>2093.5597449264183</v>
      </c>
      <c r="W344" s="202"/>
      <c r="X344" s="202"/>
      <c r="Y344" s="203"/>
      <c r="Z344" s="203"/>
      <c r="AA344" s="203"/>
      <c r="AB344" s="203"/>
      <c r="AC344" s="203"/>
      <c r="AD344" s="203"/>
      <c r="AE344" s="203"/>
      <c r="AF344" s="203"/>
      <c r="AG344" s="203"/>
      <c r="AH344" s="203"/>
      <c r="AI344" s="203"/>
      <c r="AJ344" s="203"/>
      <c r="AK344" s="203"/>
      <c r="AL344" s="203"/>
      <c r="AM344" s="203"/>
      <c r="AN344" s="203"/>
      <c r="AO344" s="203"/>
    </row>
    <row r="345" spans="1:41" s="176" customFormat="1" ht="36" customHeight="1" x14ac:dyDescent="0.25">
      <c r="A345" s="176">
        <v>1</v>
      </c>
      <c r="B345" s="171">
        <f>SUBTOTAL(103,$A$16:A345)</f>
        <v>312</v>
      </c>
      <c r="C345" s="362" t="s">
        <v>0</v>
      </c>
      <c r="D345" s="173">
        <v>1975</v>
      </c>
      <c r="E345" s="173"/>
      <c r="F345" s="174" t="s">
        <v>267</v>
      </c>
      <c r="G345" s="173">
        <v>2</v>
      </c>
      <c r="H345" s="173" t="s">
        <v>303</v>
      </c>
      <c r="I345" s="170">
        <v>795.9</v>
      </c>
      <c r="J345" s="170">
        <v>735.5</v>
      </c>
      <c r="K345" s="170">
        <v>735.5</v>
      </c>
      <c r="L345" s="206">
        <v>42</v>
      </c>
      <c r="M345" s="173" t="s">
        <v>265</v>
      </c>
      <c r="N345" s="173" t="s">
        <v>266</v>
      </c>
      <c r="O345" s="175" t="s">
        <v>268</v>
      </c>
      <c r="P345" s="170">
        <v>2834457.48</v>
      </c>
      <c r="Q345" s="170">
        <v>0</v>
      </c>
      <c r="R345" s="170">
        <v>0</v>
      </c>
      <c r="S345" s="170">
        <f>P345-Q345-R345</f>
        <v>2834457.48</v>
      </c>
      <c r="T345" s="170">
        <f t="shared" si="35"/>
        <v>3561.3236336223144</v>
      </c>
      <c r="U345" s="170">
        <v>5053.9130167106423</v>
      </c>
      <c r="V345" s="202">
        <f t="shared" si="36"/>
        <v>1492.5893830883278</v>
      </c>
      <c r="W345" s="202">
        <f>X345+Y345+Z345+AA345+AB345+AD345+AF345+AH345+AJ345+AL345+AN345+AO345</f>
        <v>4845.1693315743187</v>
      </c>
      <c r="X345" s="202">
        <v>0</v>
      </c>
      <c r="Y345" s="203">
        <v>0</v>
      </c>
      <c r="Z345" s="203">
        <v>0</v>
      </c>
      <c r="AA345" s="203">
        <v>0</v>
      </c>
      <c r="AB345" s="203">
        <v>0</v>
      </c>
      <c r="AC345" s="203">
        <v>0</v>
      </c>
      <c r="AD345" s="203">
        <v>0</v>
      </c>
      <c r="AE345" s="203">
        <v>618.1</v>
      </c>
      <c r="AF345" s="202">
        <f>6238.91*AE345/I345</f>
        <v>4845.1693315743187</v>
      </c>
      <c r="AG345" s="203">
        <v>0</v>
      </c>
      <c r="AH345" s="202">
        <v>0</v>
      </c>
      <c r="AI345" s="203">
        <v>0</v>
      </c>
      <c r="AJ345" s="202">
        <v>0</v>
      </c>
      <c r="AK345" s="203">
        <v>0</v>
      </c>
      <c r="AL345" s="203">
        <v>0</v>
      </c>
      <c r="AM345" s="203">
        <v>0</v>
      </c>
      <c r="AN345" s="203"/>
      <c r="AO345" s="203">
        <v>0</v>
      </c>
    </row>
    <row r="346" spans="1:41" s="176" customFormat="1" ht="36" customHeight="1" x14ac:dyDescent="0.25">
      <c r="A346" s="176">
        <v>1</v>
      </c>
      <c r="B346" s="171">
        <f>SUBTOTAL(103,$A$16:A346)</f>
        <v>313</v>
      </c>
      <c r="C346" s="172" t="s">
        <v>5</v>
      </c>
      <c r="D346" s="173">
        <v>1979</v>
      </c>
      <c r="E346" s="173"/>
      <c r="F346" s="174" t="s">
        <v>267</v>
      </c>
      <c r="G346" s="173">
        <v>2</v>
      </c>
      <c r="H346" s="173" t="s">
        <v>312</v>
      </c>
      <c r="I346" s="170">
        <v>950.6</v>
      </c>
      <c r="J346" s="170">
        <v>863</v>
      </c>
      <c r="K346" s="170">
        <v>863</v>
      </c>
      <c r="L346" s="206">
        <v>36</v>
      </c>
      <c r="M346" s="173" t="s">
        <v>265</v>
      </c>
      <c r="N346" s="173" t="s">
        <v>266</v>
      </c>
      <c r="O346" s="175" t="s">
        <v>268</v>
      </c>
      <c r="P346" s="170">
        <v>2343681.02</v>
      </c>
      <c r="Q346" s="170">
        <v>0</v>
      </c>
      <c r="R346" s="170">
        <v>0</v>
      </c>
      <c r="S346" s="170">
        <f>P346-Q346-R346</f>
        <v>2343681.02</v>
      </c>
      <c r="T346" s="170">
        <f t="shared" si="35"/>
        <v>2465.4755102040817</v>
      </c>
      <c r="U346" s="170">
        <v>5058.4257626762037</v>
      </c>
      <c r="V346" s="202">
        <f t="shared" si="36"/>
        <v>2592.950252472122</v>
      </c>
      <c r="W346" s="202">
        <f>T346</f>
        <v>2465.4755102040817</v>
      </c>
      <c r="X346" s="202">
        <v>0</v>
      </c>
      <c r="Y346" s="203">
        <v>0</v>
      </c>
      <c r="Z346" s="203">
        <v>0</v>
      </c>
      <c r="AA346" s="203">
        <v>0</v>
      </c>
      <c r="AB346" s="203">
        <v>0</v>
      </c>
      <c r="AC346" s="203">
        <v>0</v>
      </c>
      <c r="AD346" s="203">
        <v>0</v>
      </c>
      <c r="AE346" s="203">
        <v>722.14</v>
      </c>
      <c r="AF346" s="202">
        <f>6436.53*AE346/I346</f>
        <v>4889.6231582158634</v>
      </c>
      <c r="AG346" s="203">
        <v>0</v>
      </c>
      <c r="AH346" s="202">
        <v>0</v>
      </c>
      <c r="AI346" s="203">
        <v>0</v>
      </c>
      <c r="AJ346" s="202">
        <v>0</v>
      </c>
      <c r="AK346" s="203">
        <v>0</v>
      </c>
      <c r="AL346" s="203">
        <v>0</v>
      </c>
      <c r="AM346" s="203">
        <v>0</v>
      </c>
      <c r="AN346" s="203"/>
      <c r="AO346" s="203">
        <v>0</v>
      </c>
    </row>
    <row r="347" spans="1:41" s="176" customFormat="1" ht="36" customHeight="1" x14ac:dyDescent="0.25">
      <c r="B347" s="172" t="s">
        <v>820</v>
      </c>
      <c r="C347" s="359"/>
      <c r="D347" s="173" t="s">
        <v>882</v>
      </c>
      <c r="E347" s="173" t="s">
        <v>882</v>
      </c>
      <c r="F347" s="173" t="s">
        <v>882</v>
      </c>
      <c r="G347" s="173" t="s">
        <v>882</v>
      </c>
      <c r="H347" s="173" t="s">
        <v>882</v>
      </c>
      <c r="I347" s="177">
        <f>SUM(I348:I350)</f>
        <v>5843.6</v>
      </c>
      <c r="J347" s="177">
        <f>SUM(J348:J350)</f>
        <v>5341</v>
      </c>
      <c r="K347" s="177">
        <f>SUM(K348:K350)</f>
        <v>4976.3</v>
      </c>
      <c r="L347" s="357">
        <f>SUM(L348:L350)</f>
        <v>224</v>
      </c>
      <c r="M347" s="173" t="s">
        <v>882</v>
      </c>
      <c r="N347" s="173" t="s">
        <v>882</v>
      </c>
      <c r="O347" s="175" t="s">
        <v>882</v>
      </c>
      <c r="P347" s="177">
        <v>8426851.959999999</v>
      </c>
      <c r="Q347" s="177">
        <f>SUM(Q348:Q350)</f>
        <v>0</v>
      </c>
      <c r="R347" s="177">
        <f>SUM(R348:R350)</f>
        <v>0</v>
      </c>
      <c r="S347" s="177">
        <f>SUM(S348:S350)</f>
        <v>8426851.959999999</v>
      </c>
      <c r="T347" s="170">
        <f t="shared" si="35"/>
        <v>1442.0651584639604</v>
      </c>
      <c r="U347" s="170">
        <f>MAX(U348:U350)</f>
        <v>5858.3697566371675</v>
      </c>
      <c r="V347" s="202">
        <f t="shared" si="36"/>
        <v>4416.3045981732066</v>
      </c>
      <c r="W347" s="202"/>
      <c r="X347" s="202"/>
      <c r="Y347" s="203"/>
      <c r="Z347" s="203"/>
      <c r="AA347" s="203"/>
      <c r="AB347" s="203"/>
      <c r="AC347" s="203"/>
      <c r="AD347" s="203"/>
      <c r="AE347" s="203"/>
      <c r="AF347" s="203"/>
      <c r="AG347" s="203"/>
      <c r="AH347" s="203"/>
      <c r="AI347" s="203"/>
      <c r="AJ347" s="203"/>
      <c r="AK347" s="203"/>
      <c r="AL347" s="203"/>
      <c r="AM347" s="203"/>
      <c r="AN347" s="203"/>
      <c r="AO347" s="203"/>
    </row>
    <row r="348" spans="1:41" s="176" customFormat="1" ht="36" customHeight="1" x14ac:dyDescent="0.25">
      <c r="A348" s="176">
        <v>1</v>
      </c>
      <c r="B348" s="171">
        <f>SUBTOTAL(103,$A$16:A348)</f>
        <v>314</v>
      </c>
      <c r="C348" s="172" t="s">
        <v>684</v>
      </c>
      <c r="D348" s="173">
        <v>1928</v>
      </c>
      <c r="E348" s="173"/>
      <c r="F348" s="174" t="s">
        <v>330</v>
      </c>
      <c r="G348" s="173" t="s">
        <v>303</v>
      </c>
      <c r="H348" s="173" t="s">
        <v>304</v>
      </c>
      <c r="I348" s="170">
        <v>253.1</v>
      </c>
      <c r="J348" s="170">
        <v>231.8</v>
      </c>
      <c r="K348" s="170">
        <v>231.8</v>
      </c>
      <c r="L348" s="206">
        <v>14</v>
      </c>
      <c r="M348" s="173" t="s">
        <v>265</v>
      </c>
      <c r="N348" s="173" t="s">
        <v>269</v>
      </c>
      <c r="O348" s="175" t="s">
        <v>717</v>
      </c>
      <c r="P348" s="170">
        <v>51949.1</v>
      </c>
      <c r="Q348" s="170">
        <v>0</v>
      </c>
      <c r="R348" s="170">
        <v>0</v>
      </c>
      <c r="S348" s="170">
        <f>P348-Q348-R348</f>
        <v>51949.1</v>
      </c>
      <c r="T348" s="170">
        <f t="shared" si="35"/>
        <v>205.25128407743975</v>
      </c>
      <c r="U348" s="170">
        <v>205.25128407743975</v>
      </c>
      <c r="V348" s="202">
        <f t="shared" si="36"/>
        <v>0</v>
      </c>
      <c r="W348" s="202">
        <f>T348</f>
        <v>205.25128407743975</v>
      </c>
      <c r="X348" s="202">
        <v>0</v>
      </c>
      <c r="Y348" s="203">
        <v>0</v>
      </c>
      <c r="Z348" s="203">
        <v>0</v>
      </c>
      <c r="AA348" s="203">
        <v>0</v>
      </c>
      <c r="AB348" s="203">
        <v>0</v>
      </c>
      <c r="AC348" s="203">
        <v>0</v>
      </c>
      <c r="AD348" s="203">
        <v>0</v>
      </c>
      <c r="AE348" s="203">
        <v>0</v>
      </c>
      <c r="AF348" s="202">
        <v>0</v>
      </c>
      <c r="AG348" s="203">
        <v>0</v>
      </c>
      <c r="AH348" s="202">
        <v>0</v>
      </c>
      <c r="AI348" s="203">
        <v>0</v>
      </c>
      <c r="AJ348" s="202">
        <v>0</v>
      </c>
      <c r="AK348" s="203">
        <v>0</v>
      </c>
      <c r="AL348" s="203">
        <v>0</v>
      </c>
      <c r="AM348" s="203">
        <v>0</v>
      </c>
      <c r="AN348" s="203"/>
      <c r="AO348" s="203">
        <v>0</v>
      </c>
    </row>
    <row r="349" spans="1:41" s="176" customFormat="1" ht="36" customHeight="1" x14ac:dyDescent="0.25">
      <c r="A349" s="176">
        <v>1</v>
      </c>
      <c r="B349" s="171">
        <f>SUBTOTAL(103,$A$16:A349)</f>
        <v>315</v>
      </c>
      <c r="C349" s="172" t="s">
        <v>1209</v>
      </c>
      <c r="D349" s="173">
        <v>1972</v>
      </c>
      <c r="E349" s="173">
        <v>2010</v>
      </c>
      <c r="F349" s="174" t="s">
        <v>267</v>
      </c>
      <c r="G349" s="173">
        <v>5</v>
      </c>
      <c r="H349" s="173" t="s">
        <v>312</v>
      </c>
      <c r="I349" s="170">
        <v>5138.5</v>
      </c>
      <c r="J349" s="170">
        <v>4692.3</v>
      </c>
      <c r="K349" s="170">
        <v>4327.6000000000004</v>
      </c>
      <c r="L349" s="206">
        <v>197</v>
      </c>
      <c r="M349" s="173" t="s">
        <v>265</v>
      </c>
      <c r="N349" s="173" t="s">
        <v>269</v>
      </c>
      <c r="O349" s="175" t="s">
        <v>717</v>
      </c>
      <c r="P349" s="170">
        <v>6562845.1299999999</v>
      </c>
      <c r="Q349" s="170">
        <v>0</v>
      </c>
      <c r="R349" s="170">
        <v>0</v>
      </c>
      <c r="S349" s="170">
        <f>P349-Q349-R349</f>
        <v>6562845.1299999999</v>
      </c>
      <c r="T349" s="170">
        <f t="shared" si="35"/>
        <v>1277.1908397392235</v>
      </c>
      <c r="U349" s="170">
        <v>3259.66</v>
      </c>
      <c r="V349" s="202">
        <f t="shared" si="36"/>
        <v>1982.4691602607763</v>
      </c>
      <c r="W349" s="202">
        <f>X349+Y349+Z349+AA349+AB349+AD349+AF349+AH349+AJ349+AL349+AN349+AO349</f>
        <v>3259.66</v>
      </c>
      <c r="X349" s="202">
        <v>0</v>
      </c>
      <c r="Y349" s="203">
        <v>0</v>
      </c>
      <c r="Z349" s="203">
        <v>3259.66</v>
      </c>
      <c r="AA349" s="203">
        <v>0</v>
      </c>
      <c r="AB349" s="203">
        <v>0</v>
      </c>
      <c r="AC349" s="203">
        <v>0</v>
      </c>
      <c r="AD349" s="203">
        <v>0</v>
      </c>
      <c r="AE349" s="203">
        <v>0</v>
      </c>
      <c r="AF349" s="202">
        <v>0</v>
      </c>
      <c r="AG349" s="203">
        <v>0</v>
      </c>
      <c r="AH349" s="202">
        <v>0</v>
      </c>
      <c r="AI349" s="203">
        <v>0</v>
      </c>
      <c r="AJ349" s="202">
        <v>0</v>
      </c>
      <c r="AK349" s="203">
        <v>0</v>
      </c>
      <c r="AL349" s="203">
        <v>0</v>
      </c>
      <c r="AM349" s="203">
        <v>0</v>
      </c>
      <c r="AN349" s="203"/>
      <c r="AO349" s="203">
        <v>0</v>
      </c>
    </row>
    <row r="350" spans="1:41" s="176" customFormat="1" ht="36" customHeight="1" x14ac:dyDescent="0.25">
      <c r="A350" s="176">
        <v>1</v>
      </c>
      <c r="B350" s="171">
        <f>SUBTOTAL(103,$A$16:A350)</f>
        <v>316</v>
      </c>
      <c r="C350" s="172" t="s">
        <v>1558</v>
      </c>
      <c r="D350" s="173">
        <v>1985</v>
      </c>
      <c r="E350" s="173"/>
      <c r="F350" s="174" t="s">
        <v>267</v>
      </c>
      <c r="G350" s="173">
        <v>2</v>
      </c>
      <c r="H350" s="173" t="s">
        <v>304</v>
      </c>
      <c r="I350" s="170">
        <v>452</v>
      </c>
      <c r="J350" s="170">
        <v>416.9</v>
      </c>
      <c r="K350" s="170">
        <v>416.9</v>
      </c>
      <c r="L350" s="206">
        <v>13</v>
      </c>
      <c r="M350" s="173" t="s">
        <v>265</v>
      </c>
      <c r="N350" s="173" t="s">
        <v>269</v>
      </c>
      <c r="O350" s="175" t="s">
        <v>1566</v>
      </c>
      <c r="P350" s="170">
        <v>1812057.73</v>
      </c>
      <c r="Q350" s="170">
        <v>0</v>
      </c>
      <c r="R350" s="170">
        <v>0</v>
      </c>
      <c r="S350" s="170">
        <f>P350-R350-Q350</f>
        <v>1812057.73</v>
      </c>
      <c r="T350" s="170">
        <f t="shared" si="35"/>
        <v>4008.9772787610618</v>
      </c>
      <c r="U350" s="170">
        <v>5858.3697566371675</v>
      </c>
      <c r="V350" s="202">
        <f t="shared" si="36"/>
        <v>1849.3924778761057</v>
      </c>
      <c r="W350" s="202">
        <f>X350+Y350+Z350+AA350+AB350+AD350+AF350+AH350+AJ350+AL350+AN350+AO350</f>
        <v>5616.3992898230081</v>
      </c>
      <c r="X350" s="202">
        <v>0</v>
      </c>
      <c r="Y350" s="203">
        <v>0</v>
      </c>
      <c r="Z350" s="203">
        <v>0</v>
      </c>
      <c r="AA350" s="203">
        <v>0</v>
      </c>
      <c r="AB350" s="203">
        <v>0</v>
      </c>
      <c r="AC350" s="203">
        <v>0</v>
      </c>
      <c r="AD350" s="203">
        <v>0</v>
      </c>
      <c r="AE350" s="203">
        <v>406.9</v>
      </c>
      <c r="AF350" s="202">
        <f>6238.91*AE350/I350</f>
        <v>5616.3992898230081</v>
      </c>
      <c r="AG350" s="203">
        <v>0</v>
      </c>
      <c r="AH350" s="202">
        <v>0</v>
      </c>
      <c r="AI350" s="203">
        <v>0</v>
      </c>
      <c r="AJ350" s="202">
        <v>0</v>
      </c>
      <c r="AK350" s="203">
        <v>0</v>
      </c>
      <c r="AL350" s="203">
        <v>0</v>
      </c>
      <c r="AM350" s="203">
        <v>0</v>
      </c>
      <c r="AN350" s="203"/>
      <c r="AO350" s="203">
        <v>0</v>
      </c>
    </row>
    <row r="351" spans="1:41" s="176" customFormat="1" ht="36" customHeight="1" x14ac:dyDescent="0.25">
      <c r="B351" s="172" t="s">
        <v>821</v>
      </c>
      <c r="C351" s="172"/>
      <c r="D351" s="173" t="s">
        <v>882</v>
      </c>
      <c r="E351" s="173" t="s">
        <v>882</v>
      </c>
      <c r="F351" s="173" t="s">
        <v>882</v>
      </c>
      <c r="G351" s="173" t="s">
        <v>882</v>
      </c>
      <c r="H351" s="173" t="s">
        <v>882</v>
      </c>
      <c r="I351" s="177">
        <f>SUM(I352:I353)</f>
        <v>9076.82</v>
      </c>
      <c r="J351" s="177">
        <f>SUM(J352:J353)</f>
        <v>7152</v>
      </c>
      <c r="K351" s="177">
        <f>SUM(K352:K353)</f>
        <v>7030.7999999999993</v>
      </c>
      <c r="L351" s="357">
        <f>SUM(L352:L353)</f>
        <v>298</v>
      </c>
      <c r="M351" s="173" t="s">
        <v>882</v>
      </c>
      <c r="N351" s="173" t="s">
        <v>882</v>
      </c>
      <c r="O351" s="175" t="s">
        <v>882</v>
      </c>
      <c r="P351" s="177">
        <v>7968708.8700000001</v>
      </c>
      <c r="Q351" s="177">
        <f>SUM(Q352:Q353)</f>
        <v>0</v>
      </c>
      <c r="R351" s="177">
        <f>SUM(R352:R353)</f>
        <v>0</v>
      </c>
      <c r="S351" s="177">
        <f>SUM(S352:S353)</f>
        <v>7968708.8700000001</v>
      </c>
      <c r="T351" s="170">
        <f t="shared" si="35"/>
        <v>877.91857390583937</v>
      </c>
      <c r="U351" s="170">
        <f>MAX(U352:U353)</f>
        <v>3444.64</v>
      </c>
      <c r="V351" s="202">
        <f t="shared" si="36"/>
        <v>2566.7214260941605</v>
      </c>
      <c r="W351" s="202"/>
      <c r="X351" s="202"/>
      <c r="Y351" s="203"/>
      <c r="Z351" s="203"/>
      <c r="AA351" s="203"/>
      <c r="AB351" s="203"/>
      <c r="AC351" s="203"/>
      <c r="AD351" s="203"/>
      <c r="AE351" s="203"/>
      <c r="AF351" s="203"/>
      <c r="AG351" s="203"/>
      <c r="AH351" s="203"/>
      <c r="AI351" s="203"/>
      <c r="AJ351" s="203"/>
      <c r="AK351" s="203"/>
      <c r="AL351" s="203"/>
      <c r="AM351" s="203"/>
      <c r="AN351" s="203"/>
      <c r="AO351" s="203"/>
    </row>
    <row r="352" spans="1:41" s="176" customFormat="1" ht="36" customHeight="1" x14ac:dyDescent="0.25">
      <c r="A352" s="176">
        <v>1</v>
      </c>
      <c r="B352" s="171">
        <f>SUBTOTAL(103,$A$16:A352)</f>
        <v>317</v>
      </c>
      <c r="C352" s="172" t="s">
        <v>690</v>
      </c>
      <c r="D352" s="173">
        <v>1976</v>
      </c>
      <c r="E352" s="173">
        <v>2007</v>
      </c>
      <c r="F352" s="174" t="s">
        <v>311</v>
      </c>
      <c r="G352" s="173">
        <v>5</v>
      </c>
      <c r="H352" s="173" t="s">
        <v>370</v>
      </c>
      <c r="I352" s="170">
        <v>5095.72</v>
      </c>
      <c r="J352" s="170">
        <v>4603.3999999999996</v>
      </c>
      <c r="K352" s="170">
        <v>4482.2</v>
      </c>
      <c r="L352" s="206">
        <v>160</v>
      </c>
      <c r="M352" s="173" t="s">
        <v>265</v>
      </c>
      <c r="N352" s="173" t="s">
        <v>269</v>
      </c>
      <c r="O352" s="175" t="s">
        <v>718</v>
      </c>
      <c r="P352" s="170">
        <v>3211417.2</v>
      </c>
      <c r="Q352" s="170">
        <v>0</v>
      </c>
      <c r="R352" s="170">
        <v>0</v>
      </c>
      <c r="S352" s="170">
        <f>P352-Q352-R352</f>
        <v>3211417.2</v>
      </c>
      <c r="T352" s="170">
        <f t="shared" si="35"/>
        <v>630.21853634030128</v>
      </c>
      <c r="U352" s="170">
        <v>1461.6566067209342</v>
      </c>
      <c r="V352" s="202">
        <f t="shared" si="36"/>
        <v>831.43807038063289</v>
      </c>
      <c r="W352" s="202">
        <f>X352+Y352+Z352+AA352+AB352+AD352+AF352+AH352+AJ352+AL352+AN352+AO352</f>
        <v>1519.4098792712314</v>
      </c>
      <c r="X352" s="202">
        <v>0</v>
      </c>
      <c r="Y352" s="203">
        <v>0</v>
      </c>
      <c r="Z352" s="203">
        <v>0</v>
      </c>
      <c r="AA352" s="203">
        <v>0</v>
      </c>
      <c r="AB352" s="203">
        <v>0</v>
      </c>
      <c r="AC352" s="203">
        <v>0</v>
      </c>
      <c r="AD352" s="203">
        <v>0</v>
      </c>
      <c r="AE352" s="203">
        <v>1241</v>
      </c>
      <c r="AF352" s="202">
        <f>6238.91*AE352/I352</f>
        <v>1519.4098792712314</v>
      </c>
      <c r="AG352" s="203">
        <v>0</v>
      </c>
      <c r="AH352" s="202">
        <v>0</v>
      </c>
      <c r="AI352" s="203">
        <v>0</v>
      </c>
      <c r="AJ352" s="202">
        <v>0</v>
      </c>
      <c r="AK352" s="203">
        <v>0</v>
      </c>
      <c r="AL352" s="203">
        <v>0</v>
      </c>
      <c r="AM352" s="203">
        <v>0</v>
      </c>
      <c r="AN352" s="203"/>
      <c r="AO352" s="203">
        <v>0</v>
      </c>
    </row>
    <row r="353" spans="1:41" s="176" customFormat="1" ht="36" customHeight="1" x14ac:dyDescent="0.25">
      <c r="A353" s="176">
        <v>1</v>
      </c>
      <c r="B353" s="171">
        <f>SUBTOTAL(103,$A$16:A353)</f>
        <v>318</v>
      </c>
      <c r="C353" s="172" t="s">
        <v>1210</v>
      </c>
      <c r="D353" s="173">
        <v>1975</v>
      </c>
      <c r="E353" s="173">
        <v>2015</v>
      </c>
      <c r="F353" s="174" t="s">
        <v>267</v>
      </c>
      <c r="G353" s="173">
        <v>3</v>
      </c>
      <c r="H353" s="173" t="s">
        <v>303</v>
      </c>
      <c r="I353" s="170">
        <v>3981.1</v>
      </c>
      <c r="J353" s="170">
        <v>2548.6</v>
      </c>
      <c r="K353" s="170">
        <v>2548.6</v>
      </c>
      <c r="L353" s="206">
        <v>138</v>
      </c>
      <c r="M353" s="173" t="s">
        <v>265</v>
      </c>
      <c r="N353" s="173" t="s">
        <v>269</v>
      </c>
      <c r="O353" s="175" t="s">
        <v>717</v>
      </c>
      <c r="P353" s="170">
        <v>4757291.67</v>
      </c>
      <c r="Q353" s="170">
        <v>0</v>
      </c>
      <c r="R353" s="170">
        <v>0</v>
      </c>
      <c r="S353" s="170">
        <f>P353-Q353-R353</f>
        <v>4757291.67</v>
      </c>
      <c r="T353" s="170">
        <f t="shared" si="35"/>
        <v>1194.9691467182438</v>
      </c>
      <c r="U353" s="170">
        <v>3444.64</v>
      </c>
      <c r="V353" s="202">
        <f t="shared" si="36"/>
        <v>2249.6708532817561</v>
      </c>
      <c r="W353" s="202">
        <f>X353+Y353+Z353+AA353+AB353+AD353+AF353+AH353+AJ353+AL353+AN353+AO353</f>
        <v>3444.64</v>
      </c>
      <c r="X353" s="202">
        <v>0</v>
      </c>
      <c r="Y353" s="203">
        <v>0</v>
      </c>
      <c r="Z353" s="203">
        <v>3259.66</v>
      </c>
      <c r="AA353" s="203">
        <v>184.98</v>
      </c>
      <c r="AB353" s="203">
        <v>0</v>
      </c>
      <c r="AC353" s="203">
        <v>0</v>
      </c>
      <c r="AD353" s="203">
        <v>0</v>
      </c>
      <c r="AE353" s="203">
        <v>0</v>
      </c>
      <c r="AF353" s="202">
        <v>0</v>
      </c>
      <c r="AG353" s="203">
        <v>0</v>
      </c>
      <c r="AH353" s="202">
        <v>0</v>
      </c>
      <c r="AI353" s="203">
        <v>0</v>
      </c>
      <c r="AJ353" s="202">
        <v>0</v>
      </c>
      <c r="AK353" s="203">
        <v>0</v>
      </c>
      <c r="AL353" s="203">
        <v>0</v>
      </c>
      <c r="AM353" s="203">
        <v>0</v>
      </c>
      <c r="AN353" s="203"/>
      <c r="AO353" s="203">
        <v>0</v>
      </c>
    </row>
    <row r="354" spans="1:41" s="176" customFormat="1" ht="36" customHeight="1" x14ac:dyDescent="0.25">
      <c r="B354" s="172" t="s">
        <v>822</v>
      </c>
      <c r="C354" s="172"/>
      <c r="D354" s="173" t="s">
        <v>882</v>
      </c>
      <c r="E354" s="173" t="s">
        <v>882</v>
      </c>
      <c r="F354" s="173" t="s">
        <v>882</v>
      </c>
      <c r="G354" s="173" t="s">
        <v>882</v>
      </c>
      <c r="H354" s="173" t="s">
        <v>882</v>
      </c>
      <c r="I354" s="177">
        <f>I355</f>
        <v>846.4</v>
      </c>
      <c r="J354" s="177">
        <f>J355</f>
        <v>794.7</v>
      </c>
      <c r="K354" s="177">
        <f>K355</f>
        <v>794.7</v>
      </c>
      <c r="L354" s="357">
        <f>L355</f>
        <v>26</v>
      </c>
      <c r="M354" s="173" t="s">
        <v>882</v>
      </c>
      <c r="N354" s="173" t="s">
        <v>882</v>
      </c>
      <c r="O354" s="175" t="s">
        <v>882</v>
      </c>
      <c r="P354" s="170">
        <v>1861701.91</v>
      </c>
      <c r="Q354" s="170">
        <f>Q355</f>
        <v>0</v>
      </c>
      <c r="R354" s="170">
        <f>R355</f>
        <v>0</v>
      </c>
      <c r="S354" s="170">
        <f>S355</f>
        <v>1861701.91</v>
      </c>
      <c r="T354" s="170">
        <f t="shared" si="35"/>
        <v>2199.5532963137994</v>
      </c>
      <c r="U354" s="170">
        <f>MAX(U355)</f>
        <v>4382.5484404536865</v>
      </c>
      <c r="V354" s="202">
        <f t="shared" si="36"/>
        <v>2182.9951441398871</v>
      </c>
      <c r="W354" s="202"/>
      <c r="X354" s="202"/>
      <c r="Y354" s="203"/>
      <c r="Z354" s="203"/>
      <c r="AA354" s="203"/>
      <c r="AB354" s="203"/>
      <c r="AC354" s="203"/>
      <c r="AD354" s="203"/>
      <c r="AE354" s="203"/>
      <c r="AF354" s="203"/>
      <c r="AG354" s="203"/>
      <c r="AH354" s="203"/>
      <c r="AI354" s="203"/>
      <c r="AJ354" s="203"/>
      <c r="AK354" s="203"/>
      <c r="AL354" s="203"/>
      <c r="AM354" s="203"/>
      <c r="AN354" s="203"/>
      <c r="AO354" s="203"/>
    </row>
    <row r="355" spans="1:41" s="176" customFormat="1" ht="36" customHeight="1" x14ac:dyDescent="0.25">
      <c r="A355" s="176">
        <v>1</v>
      </c>
      <c r="B355" s="171">
        <f>SUBTOTAL(103,$A$16:A355)</f>
        <v>319</v>
      </c>
      <c r="C355" s="172" t="s">
        <v>787</v>
      </c>
      <c r="D355" s="173">
        <v>1981</v>
      </c>
      <c r="E355" s="173"/>
      <c r="F355" s="174" t="s">
        <v>267</v>
      </c>
      <c r="G355" s="173">
        <v>2</v>
      </c>
      <c r="H355" s="173" t="s">
        <v>312</v>
      </c>
      <c r="I355" s="170">
        <v>846.4</v>
      </c>
      <c r="J355" s="170">
        <v>794.7</v>
      </c>
      <c r="K355" s="170">
        <v>794.7</v>
      </c>
      <c r="L355" s="206">
        <v>26</v>
      </c>
      <c r="M355" s="173" t="s">
        <v>265</v>
      </c>
      <c r="N355" s="173" t="s">
        <v>269</v>
      </c>
      <c r="O355" s="175" t="s">
        <v>717</v>
      </c>
      <c r="P355" s="170">
        <v>1861701.91</v>
      </c>
      <c r="Q355" s="170">
        <v>0</v>
      </c>
      <c r="R355" s="170">
        <v>0</v>
      </c>
      <c r="S355" s="170">
        <f>P355-Q355-R355</f>
        <v>1861701.91</v>
      </c>
      <c r="T355" s="170">
        <f t="shared" si="35"/>
        <v>2199.5532963137994</v>
      </c>
      <c r="U355" s="170">
        <v>4382.5484404536865</v>
      </c>
      <c r="V355" s="202">
        <f>U355-T355</f>
        <v>2182.9951441398871</v>
      </c>
      <c r="W355" s="202">
        <f>X355+Y355+Z355+AA355+AB355+AD355+AF355+AH355+AJ355+AL355+AN355+AO355</f>
        <v>10368.151683246693</v>
      </c>
      <c r="X355" s="202">
        <v>0</v>
      </c>
      <c r="Y355" s="203">
        <v>0</v>
      </c>
      <c r="Z355" s="203">
        <v>0</v>
      </c>
      <c r="AA355" s="203">
        <v>0</v>
      </c>
      <c r="AB355" s="203">
        <v>0</v>
      </c>
      <c r="AC355" s="203">
        <v>0</v>
      </c>
      <c r="AD355" s="203">
        <v>0</v>
      </c>
      <c r="AE355" s="203">
        <v>552.27</v>
      </c>
      <c r="AF355" s="202">
        <f>6238.91*AE355/I355</f>
        <v>4070.8445483223063</v>
      </c>
      <c r="AG355" s="203">
        <v>0</v>
      </c>
      <c r="AH355" s="202">
        <v>0</v>
      </c>
      <c r="AI355" s="203">
        <v>716.49</v>
      </c>
      <c r="AJ355" s="202">
        <f>7439.1*AI355/I355</f>
        <v>6297.3071349243864</v>
      </c>
      <c r="AK355" s="203">
        <v>0</v>
      </c>
      <c r="AL355" s="203">
        <v>0</v>
      </c>
      <c r="AM355" s="203">
        <v>0</v>
      </c>
      <c r="AN355" s="203"/>
      <c r="AO355" s="203">
        <v>0</v>
      </c>
    </row>
    <row r="356" spans="1:41" s="176" customFormat="1" ht="36" customHeight="1" x14ac:dyDescent="0.25">
      <c r="B356" s="172" t="s">
        <v>823</v>
      </c>
      <c r="C356" s="359"/>
      <c r="D356" s="173" t="s">
        <v>882</v>
      </c>
      <c r="E356" s="173" t="s">
        <v>882</v>
      </c>
      <c r="F356" s="173" t="s">
        <v>882</v>
      </c>
      <c r="G356" s="173" t="s">
        <v>882</v>
      </c>
      <c r="H356" s="173" t="s">
        <v>882</v>
      </c>
      <c r="I356" s="177">
        <f>SUM(I357:I373)</f>
        <v>50658.080000000002</v>
      </c>
      <c r="J356" s="177">
        <f>SUM(J357:J373)</f>
        <v>46583.81</v>
      </c>
      <c r="K356" s="177">
        <f>SUM(K357:K373)</f>
        <v>46463.209999999992</v>
      </c>
      <c r="L356" s="357">
        <f>SUM(L357:L373)</f>
        <v>1648</v>
      </c>
      <c r="M356" s="173" t="s">
        <v>882</v>
      </c>
      <c r="N356" s="173" t="s">
        <v>882</v>
      </c>
      <c r="O356" s="175" t="s">
        <v>882</v>
      </c>
      <c r="P356" s="177">
        <v>44398957.329999998</v>
      </c>
      <c r="Q356" s="177">
        <f>SUM(Q357:Q373)</f>
        <v>0</v>
      </c>
      <c r="R356" s="177">
        <f>SUM(R357:R373)</f>
        <v>0</v>
      </c>
      <c r="S356" s="177">
        <f>SUM(S357:S373)</f>
        <v>44398957.329999998</v>
      </c>
      <c r="T356" s="170">
        <f t="shared" si="35"/>
        <v>876.44374461092877</v>
      </c>
      <c r="U356" s="170">
        <f>MAX(U357:U373)</f>
        <v>7098.4611084567596</v>
      </c>
      <c r="V356" s="202">
        <f t="shared" si="36"/>
        <v>6222.0173638458309</v>
      </c>
      <c r="W356" s="202"/>
      <c r="X356" s="202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  <c r="AJ356" s="203"/>
      <c r="AK356" s="203"/>
      <c r="AL356" s="203"/>
      <c r="AM356" s="203"/>
      <c r="AN356" s="203"/>
      <c r="AO356" s="203"/>
    </row>
    <row r="357" spans="1:41" s="176" customFormat="1" ht="36" customHeight="1" x14ac:dyDescent="0.25">
      <c r="A357" s="176">
        <v>1</v>
      </c>
      <c r="B357" s="171">
        <f>SUBTOTAL(103,$A$16:A357)</f>
        <v>320</v>
      </c>
      <c r="C357" s="172" t="s">
        <v>114</v>
      </c>
      <c r="D357" s="173">
        <v>1973</v>
      </c>
      <c r="E357" s="173"/>
      <c r="F357" s="174" t="s">
        <v>267</v>
      </c>
      <c r="G357" s="173">
        <v>2</v>
      </c>
      <c r="H357" s="173" t="s">
        <v>303</v>
      </c>
      <c r="I357" s="170">
        <v>781.06</v>
      </c>
      <c r="J357" s="170">
        <v>721</v>
      </c>
      <c r="K357" s="170">
        <v>721</v>
      </c>
      <c r="L357" s="206">
        <v>38</v>
      </c>
      <c r="M357" s="173" t="s">
        <v>265</v>
      </c>
      <c r="N357" s="173" t="s">
        <v>269</v>
      </c>
      <c r="O357" s="175" t="s">
        <v>284</v>
      </c>
      <c r="P357" s="170">
        <v>54256.44</v>
      </c>
      <c r="Q357" s="170">
        <v>0</v>
      </c>
      <c r="R357" s="170">
        <v>0</v>
      </c>
      <c r="S357" s="170">
        <f t="shared" ref="S357:S373" si="37">P357-Q357-R357</f>
        <v>54256.44</v>
      </c>
      <c r="T357" s="170">
        <f t="shared" si="35"/>
        <v>69.465137121347922</v>
      </c>
      <c r="U357" s="170">
        <v>69.465137121347922</v>
      </c>
      <c r="V357" s="202">
        <f t="shared" si="36"/>
        <v>0</v>
      </c>
      <c r="W357" s="202">
        <f>T357</f>
        <v>69.465137121347922</v>
      </c>
      <c r="X357" s="202">
        <v>0</v>
      </c>
      <c r="Y357" s="203">
        <v>0</v>
      </c>
      <c r="Z357" s="203">
        <v>0</v>
      </c>
      <c r="AA357" s="203">
        <v>0</v>
      </c>
      <c r="AB357" s="203">
        <v>0</v>
      </c>
      <c r="AC357" s="203">
        <v>0</v>
      </c>
      <c r="AD357" s="203">
        <v>0</v>
      </c>
      <c r="AE357" s="203">
        <v>0</v>
      </c>
      <c r="AF357" s="202">
        <v>0</v>
      </c>
      <c r="AG357" s="203">
        <v>0</v>
      </c>
      <c r="AH357" s="202">
        <v>0</v>
      </c>
      <c r="AI357" s="203">
        <v>0</v>
      </c>
      <c r="AJ357" s="202">
        <v>0</v>
      </c>
      <c r="AK357" s="203">
        <v>0</v>
      </c>
      <c r="AL357" s="203">
        <v>0</v>
      </c>
      <c r="AM357" s="203">
        <v>0</v>
      </c>
      <c r="AN357" s="203"/>
      <c r="AO357" s="203">
        <v>0</v>
      </c>
    </row>
    <row r="358" spans="1:41" s="176" customFormat="1" ht="36" customHeight="1" x14ac:dyDescent="0.25">
      <c r="A358" s="176">
        <v>1</v>
      </c>
      <c r="B358" s="171">
        <f>SUBTOTAL(103,$A$16:A358)</f>
        <v>321</v>
      </c>
      <c r="C358" s="172" t="s">
        <v>117</v>
      </c>
      <c r="D358" s="173">
        <v>1972</v>
      </c>
      <c r="E358" s="173"/>
      <c r="F358" s="174" t="s">
        <v>267</v>
      </c>
      <c r="G358" s="173">
        <v>2</v>
      </c>
      <c r="H358" s="173" t="s">
        <v>303</v>
      </c>
      <c r="I358" s="170">
        <v>788.14</v>
      </c>
      <c r="J358" s="170">
        <v>731.68</v>
      </c>
      <c r="K358" s="170">
        <v>731.68</v>
      </c>
      <c r="L358" s="206">
        <v>38</v>
      </c>
      <c r="M358" s="173" t="s">
        <v>265</v>
      </c>
      <c r="N358" s="173" t="s">
        <v>269</v>
      </c>
      <c r="O358" s="175" t="s">
        <v>284</v>
      </c>
      <c r="P358" s="170">
        <v>2480548.0700000003</v>
      </c>
      <c r="Q358" s="170">
        <v>0</v>
      </c>
      <c r="R358" s="170">
        <v>0</v>
      </c>
      <c r="S358" s="170">
        <f t="shared" si="37"/>
        <v>2480548.0700000003</v>
      </c>
      <c r="T358" s="170">
        <f t="shared" si="35"/>
        <v>3147.3444692567314</v>
      </c>
      <c r="U358" s="170">
        <v>5094.0955134874521</v>
      </c>
      <c r="V358" s="202">
        <f t="shared" si="36"/>
        <v>1946.7510442307207</v>
      </c>
      <c r="W358" s="202">
        <f t="shared" ref="W358:W370" si="38">X358+Y358+Z358+AA358+AB358+AD358+AF358+AH358+AJ358+AL358+AN358+AO358</f>
        <v>4931.6630674753214</v>
      </c>
      <c r="X358" s="202">
        <v>0</v>
      </c>
      <c r="Y358" s="203">
        <v>0</v>
      </c>
      <c r="Z358" s="203">
        <v>0</v>
      </c>
      <c r="AA358" s="203">
        <v>0</v>
      </c>
      <c r="AB358" s="203">
        <v>0</v>
      </c>
      <c r="AC358" s="203">
        <v>0</v>
      </c>
      <c r="AD358" s="203">
        <v>0</v>
      </c>
      <c r="AE358" s="203">
        <v>623</v>
      </c>
      <c r="AF358" s="202">
        <f>6238.91*AE358/I358</f>
        <v>4931.6630674753214</v>
      </c>
      <c r="AG358" s="203">
        <v>0</v>
      </c>
      <c r="AH358" s="202">
        <v>0</v>
      </c>
      <c r="AI358" s="203">
        <v>0</v>
      </c>
      <c r="AJ358" s="202">
        <v>0</v>
      </c>
      <c r="AK358" s="203">
        <v>0</v>
      </c>
      <c r="AL358" s="203">
        <v>0</v>
      </c>
      <c r="AM358" s="203">
        <v>0</v>
      </c>
      <c r="AN358" s="203"/>
      <c r="AO358" s="203">
        <v>0</v>
      </c>
    </row>
    <row r="359" spans="1:41" s="176" customFormat="1" ht="36" customHeight="1" x14ac:dyDescent="0.25">
      <c r="A359" s="176">
        <v>1</v>
      </c>
      <c r="B359" s="171">
        <f>SUBTOTAL(103,$A$16:A359)</f>
        <v>322</v>
      </c>
      <c r="C359" s="172" t="s">
        <v>113</v>
      </c>
      <c r="D359" s="173">
        <v>1969</v>
      </c>
      <c r="E359" s="173"/>
      <c r="F359" s="174" t="s">
        <v>267</v>
      </c>
      <c r="G359" s="173">
        <v>2</v>
      </c>
      <c r="H359" s="173" t="s">
        <v>303</v>
      </c>
      <c r="I359" s="170">
        <v>399.42</v>
      </c>
      <c r="J359" s="170">
        <v>370.5</v>
      </c>
      <c r="K359" s="170">
        <v>370.5</v>
      </c>
      <c r="L359" s="206">
        <v>15</v>
      </c>
      <c r="M359" s="173" t="s">
        <v>265</v>
      </c>
      <c r="N359" s="173" t="s">
        <v>269</v>
      </c>
      <c r="O359" s="175" t="s">
        <v>284</v>
      </c>
      <c r="P359" s="170">
        <v>1443898.48</v>
      </c>
      <c r="Q359" s="170">
        <v>0</v>
      </c>
      <c r="R359" s="170">
        <v>0</v>
      </c>
      <c r="S359" s="170">
        <f t="shared" si="37"/>
        <v>1443898.48</v>
      </c>
      <c r="T359" s="170">
        <f t="shared" si="35"/>
        <v>3614.9879325021279</v>
      </c>
      <c r="U359" s="170">
        <v>5546.0945370787631</v>
      </c>
      <c r="V359" s="202">
        <f t="shared" si="36"/>
        <v>1931.1066045766352</v>
      </c>
      <c r="W359" s="202">
        <f t="shared" si="38"/>
        <v>5310.7741224775918</v>
      </c>
      <c r="X359" s="202">
        <v>0</v>
      </c>
      <c r="Y359" s="203">
        <v>0</v>
      </c>
      <c r="Z359" s="203">
        <v>0</v>
      </c>
      <c r="AA359" s="203">
        <v>0</v>
      </c>
      <c r="AB359" s="203">
        <v>0</v>
      </c>
      <c r="AC359" s="203">
        <v>0</v>
      </c>
      <c r="AD359" s="203">
        <v>0</v>
      </c>
      <c r="AE359" s="203">
        <v>340</v>
      </c>
      <c r="AF359" s="202">
        <f>6238.91*AE359/I359</f>
        <v>5310.7741224775918</v>
      </c>
      <c r="AG359" s="203">
        <v>0</v>
      </c>
      <c r="AH359" s="202">
        <v>0</v>
      </c>
      <c r="AI359" s="203">
        <v>0</v>
      </c>
      <c r="AJ359" s="202">
        <v>0</v>
      </c>
      <c r="AK359" s="203">
        <v>0</v>
      </c>
      <c r="AL359" s="203">
        <v>0</v>
      </c>
      <c r="AM359" s="203">
        <v>0</v>
      </c>
      <c r="AN359" s="203"/>
      <c r="AO359" s="203">
        <v>0</v>
      </c>
    </row>
    <row r="360" spans="1:41" s="176" customFormat="1" ht="36" customHeight="1" x14ac:dyDescent="0.25">
      <c r="A360" s="176">
        <v>1</v>
      </c>
      <c r="B360" s="171">
        <f>SUBTOTAL(103,$A$16:A360)</f>
        <v>323</v>
      </c>
      <c r="C360" s="172" t="s">
        <v>115</v>
      </c>
      <c r="D360" s="173">
        <v>1972</v>
      </c>
      <c r="E360" s="173"/>
      <c r="F360" s="174" t="s">
        <v>287</v>
      </c>
      <c r="G360" s="173">
        <v>5</v>
      </c>
      <c r="H360" s="173" t="s">
        <v>351</v>
      </c>
      <c r="I360" s="170">
        <v>5806.44</v>
      </c>
      <c r="J360" s="170">
        <v>4487.95</v>
      </c>
      <c r="K360" s="170">
        <v>4487.95</v>
      </c>
      <c r="L360" s="206">
        <v>211</v>
      </c>
      <c r="M360" s="173" t="s">
        <v>265</v>
      </c>
      <c r="N360" s="173" t="s">
        <v>269</v>
      </c>
      <c r="O360" s="175" t="s">
        <v>285</v>
      </c>
      <c r="P360" s="170">
        <v>4557103.54</v>
      </c>
      <c r="Q360" s="170">
        <v>0</v>
      </c>
      <c r="R360" s="170">
        <v>0</v>
      </c>
      <c r="S360" s="170">
        <f t="shared" si="37"/>
        <v>4557103.54</v>
      </c>
      <c r="T360" s="170">
        <f t="shared" si="35"/>
        <v>784.83606822769207</v>
      </c>
      <c r="U360" s="170">
        <v>1384.7147908184706</v>
      </c>
      <c r="V360" s="202">
        <f t="shared" si="36"/>
        <v>599.87872259077858</v>
      </c>
      <c r="W360" s="202">
        <f t="shared" si="38"/>
        <v>1327.521390903893</v>
      </c>
      <c r="X360" s="202">
        <v>0</v>
      </c>
      <c r="Y360" s="203">
        <v>0</v>
      </c>
      <c r="Z360" s="203">
        <v>0</v>
      </c>
      <c r="AA360" s="203">
        <v>0</v>
      </c>
      <c r="AB360" s="203">
        <v>0</v>
      </c>
      <c r="AC360" s="203">
        <v>0</v>
      </c>
      <c r="AD360" s="203">
        <v>0</v>
      </c>
      <c r="AE360" s="203">
        <v>1235.5</v>
      </c>
      <c r="AF360" s="202">
        <f>6238.91*AE360/I360</f>
        <v>1327.521390903893</v>
      </c>
      <c r="AG360" s="203">
        <v>0</v>
      </c>
      <c r="AH360" s="202">
        <v>0</v>
      </c>
      <c r="AI360" s="203">
        <v>0</v>
      </c>
      <c r="AJ360" s="202">
        <v>0</v>
      </c>
      <c r="AK360" s="203">
        <v>0</v>
      </c>
      <c r="AL360" s="203">
        <v>0</v>
      </c>
      <c r="AM360" s="203">
        <v>0</v>
      </c>
      <c r="AN360" s="203"/>
      <c r="AO360" s="203">
        <v>0</v>
      </c>
    </row>
    <row r="361" spans="1:41" s="176" customFormat="1" ht="36" customHeight="1" x14ac:dyDescent="0.25">
      <c r="A361" s="176">
        <v>1</v>
      </c>
      <c r="B361" s="171">
        <f>SUBTOTAL(103,$A$16:A361)</f>
        <v>324</v>
      </c>
      <c r="C361" s="172" t="s">
        <v>116</v>
      </c>
      <c r="D361" s="173">
        <v>1973</v>
      </c>
      <c r="E361" s="173"/>
      <c r="F361" s="174" t="s">
        <v>287</v>
      </c>
      <c r="G361" s="173">
        <v>5</v>
      </c>
      <c r="H361" s="173" t="s">
        <v>370</v>
      </c>
      <c r="I361" s="170">
        <v>6042.57</v>
      </c>
      <c r="J361" s="170">
        <v>6042.57</v>
      </c>
      <c r="K361" s="170">
        <v>6042.57</v>
      </c>
      <c r="L361" s="206">
        <v>176</v>
      </c>
      <c r="M361" s="173" t="s">
        <v>265</v>
      </c>
      <c r="N361" s="173" t="s">
        <v>269</v>
      </c>
      <c r="O361" s="175" t="s">
        <v>285</v>
      </c>
      <c r="P361" s="170">
        <v>4223582.3699999992</v>
      </c>
      <c r="Q361" s="170">
        <v>0</v>
      </c>
      <c r="R361" s="170">
        <v>0</v>
      </c>
      <c r="S361" s="170">
        <f t="shared" si="37"/>
        <v>4223582.3699999992</v>
      </c>
      <c r="T361" s="170">
        <f t="shared" si="35"/>
        <v>698.97119437590288</v>
      </c>
      <c r="U361" s="170">
        <v>1194.5597131684035</v>
      </c>
      <c r="V361" s="202">
        <f t="shared" si="36"/>
        <v>495.58851879250062</v>
      </c>
      <c r="W361" s="202">
        <f t="shared" si="38"/>
        <v>1145.2203605088564</v>
      </c>
      <c r="X361" s="202">
        <v>0</v>
      </c>
      <c r="Y361" s="203">
        <v>0</v>
      </c>
      <c r="Z361" s="203">
        <v>0</v>
      </c>
      <c r="AA361" s="203">
        <v>0</v>
      </c>
      <c r="AB361" s="203">
        <v>0</v>
      </c>
      <c r="AC361" s="203">
        <v>0</v>
      </c>
      <c r="AD361" s="203">
        <v>0</v>
      </c>
      <c r="AE361" s="203">
        <v>1109.18</v>
      </c>
      <c r="AF361" s="202">
        <f>6238.91*AE361/I361</f>
        <v>1145.2203605088564</v>
      </c>
      <c r="AG361" s="203">
        <v>0</v>
      </c>
      <c r="AH361" s="202">
        <v>0</v>
      </c>
      <c r="AI361" s="203">
        <v>0</v>
      </c>
      <c r="AJ361" s="202">
        <v>0</v>
      </c>
      <c r="AK361" s="203">
        <v>0</v>
      </c>
      <c r="AL361" s="203">
        <v>0</v>
      </c>
      <c r="AM361" s="203">
        <v>0</v>
      </c>
      <c r="AN361" s="203"/>
      <c r="AO361" s="203">
        <v>0</v>
      </c>
    </row>
    <row r="362" spans="1:41" s="176" customFormat="1" ht="36" customHeight="1" x14ac:dyDescent="0.25">
      <c r="A362" s="176">
        <v>1</v>
      </c>
      <c r="B362" s="171">
        <f>SUBTOTAL(103,$A$16:A362)</f>
        <v>325</v>
      </c>
      <c r="C362" s="172" t="s">
        <v>118</v>
      </c>
      <c r="D362" s="173">
        <v>1973</v>
      </c>
      <c r="E362" s="173"/>
      <c r="F362" s="174" t="s">
        <v>267</v>
      </c>
      <c r="G362" s="173">
        <v>2</v>
      </c>
      <c r="H362" s="173" t="s">
        <v>303</v>
      </c>
      <c r="I362" s="170">
        <v>787.52</v>
      </c>
      <c r="J362" s="170">
        <v>787.52</v>
      </c>
      <c r="K362" s="170">
        <v>787.52</v>
      </c>
      <c r="L362" s="206">
        <v>30</v>
      </c>
      <c r="M362" s="173" t="s">
        <v>265</v>
      </c>
      <c r="N362" s="173" t="s">
        <v>269</v>
      </c>
      <c r="O362" s="175" t="s">
        <v>285</v>
      </c>
      <c r="P362" s="170">
        <v>3024337.71</v>
      </c>
      <c r="Q362" s="170">
        <v>0</v>
      </c>
      <c r="R362" s="170">
        <v>0</v>
      </c>
      <c r="S362" s="170">
        <f t="shared" si="37"/>
        <v>3024337.71</v>
      </c>
      <c r="T362" s="170">
        <f t="shared" si="35"/>
        <v>3840.3313058715971</v>
      </c>
      <c r="U362" s="170">
        <v>5277.8379126879317</v>
      </c>
      <c r="V362" s="202">
        <f t="shared" si="36"/>
        <v>1437.5066068163346</v>
      </c>
      <c r="W362" s="202">
        <f t="shared" si="38"/>
        <v>5030.612365400244</v>
      </c>
      <c r="X362" s="202">
        <v>0</v>
      </c>
      <c r="Y362" s="203">
        <v>0</v>
      </c>
      <c r="Z362" s="203">
        <v>0</v>
      </c>
      <c r="AA362" s="203">
        <v>0</v>
      </c>
      <c r="AB362" s="203">
        <v>0</v>
      </c>
      <c r="AC362" s="203">
        <v>0</v>
      </c>
      <c r="AD362" s="203">
        <v>0</v>
      </c>
      <c r="AE362" s="203">
        <v>635</v>
      </c>
      <c r="AF362" s="202">
        <f>6238.91*AE362/I362</f>
        <v>5030.612365400244</v>
      </c>
      <c r="AG362" s="203">
        <v>0</v>
      </c>
      <c r="AH362" s="202">
        <v>0</v>
      </c>
      <c r="AI362" s="203">
        <v>0</v>
      </c>
      <c r="AJ362" s="202">
        <v>0</v>
      </c>
      <c r="AK362" s="203">
        <v>0</v>
      </c>
      <c r="AL362" s="203">
        <v>0</v>
      </c>
      <c r="AM362" s="203">
        <v>0</v>
      </c>
      <c r="AN362" s="203"/>
      <c r="AO362" s="203">
        <v>0</v>
      </c>
    </row>
    <row r="363" spans="1:41" s="176" customFormat="1" ht="36" customHeight="1" x14ac:dyDescent="0.25">
      <c r="A363" s="176">
        <v>1</v>
      </c>
      <c r="B363" s="171">
        <f>SUBTOTAL(103,$A$16:A363)</f>
        <v>326</v>
      </c>
      <c r="C363" s="172" t="s">
        <v>1211</v>
      </c>
      <c r="D363" s="173" t="s">
        <v>309</v>
      </c>
      <c r="E363" s="173"/>
      <c r="F363" s="174" t="s">
        <v>267</v>
      </c>
      <c r="G363" s="173" t="s">
        <v>351</v>
      </c>
      <c r="H363" s="173" t="s">
        <v>370</v>
      </c>
      <c r="I363" s="170">
        <v>5104.3599999999997</v>
      </c>
      <c r="J363" s="170">
        <v>5104.3599999999997</v>
      </c>
      <c r="K363" s="170">
        <v>5104.3599999999997</v>
      </c>
      <c r="L363" s="206">
        <v>159</v>
      </c>
      <c r="M363" s="173" t="s">
        <v>265</v>
      </c>
      <c r="N363" s="173" t="s">
        <v>269</v>
      </c>
      <c r="O363" s="175" t="s">
        <v>1297</v>
      </c>
      <c r="P363" s="170">
        <v>5566366.3600000003</v>
      </c>
      <c r="Q363" s="170">
        <v>0</v>
      </c>
      <c r="R363" s="170">
        <v>0</v>
      </c>
      <c r="S363" s="170">
        <f t="shared" si="37"/>
        <v>5566366.3600000003</v>
      </c>
      <c r="T363" s="170">
        <f t="shared" si="35"/>
        <v>1090.5121033782884</v>
      </c>
      <c r="U363" s="170">
        <v>4134.3555078403569</v>
      </c>
      <c r="V363" s="202">
        <f t="shared" si="36"/>
        <v>3043.8434044620685</v>
      </c>
      <c r="W363" s="202">
        <f t="shared" si="38"/>
        <v>3546.19</v>
      </c>
      <c r="X363" s="202">
        <v>101.55</v>
      </c>
      <c r="Y363" s="203">
        <v>0</v>
      </c>
      <c r="Z363" s="203">
        <v>3259.66</v>
      </c>
      <c r="AA363" s="203">
        <v>184.98</v>
      </c>
      <c r="AB363" s="203">
        <v>0</v>
      </c>
      <c r="AC363" s="203">
        <v>0</v>
      </c>
      <c r="AD363" s="203">
        <v>0</v>
      </c>
      <c r="AE363" s="203">
        <v>0</v>
      </c>
      <c r="AF363" s="202">
        <v>0</v>
      </c>
      <c r="AG363" s="203">
        <v>0</v>
      </c>
      <c r="AH363" s="202">
        <v>0</v>
      </c>
      <c r="AI363" s="203">
        <v>0</v>
      </c>
      <c r="AJ363" s="202">
        <v>0</v>
      </c>
      <c r="AK363" s="203">
        <v>0</v>
      </c>
      <c r="AL363" s="203">
        <v>0</v>
      </c>
      <c r="AM363" s="203">
        <v>0</v>
      </c>
      <c r="AN363" s="203"/>
      <c r="AO363" s="203">
        <v>0</v>
      </c>
    </row>
    <row r="364" spans="1:41" s="176" customFormat="1" ht="36" customHeight="1" x14ac:dyDescent="0.25">
      <c r="A364" s="176">
        <v>1</v>
      </c>
      <c r="B364" s="171">
        <f>SUBTOTAL(103,$A$16:A364)</f>
        <v>327</v>
      </c>
      <c r="C364" s="172" t="s">
        <v>1212</v>
      </c>
      <c r="D364" s="173">
        <v>1973</v>
      </c>
      <c r="E364" s="173"/>
      <c r="F364" s="174" t="s">
        <v>318</v>
      </c>
      <c r="G364" s="173">
        <v>5</v>
      </c>
      <c r="H364" s="173" t="s">
        <v>370</v>
      </c>
      <c r="I364" s="170">
        <v>6039.17</v>
      </c>
      <c r="J364" s="170">
        <v>6039.17</v>
      </c>
      <c r="K364" s="170">
        <v>6039.17</v>
      </c>
      <c r="L364" s="206">
        <v>184</v>
      </c>
      <c r="M364" s="173" t="s">
        <v>265</v>
      </c>
      <c r="N364" s="173" t="s">
        <v>269</v>
      </c>
      <c r="O364" s="175" t="s">
        <v>1298</v>
      </c>
      <c r="P364" s="170">
        <v>4137160</v>
      </c>
      <c r="Q364" s="170">
        <v>0</v>
      </c>
      <c r="R364" s="170">
        <v>0</v>
      </c>
      <c r="S364" s="170">
        <f t="shared" si="37"/>
        <v>4137160</v>
      </c>
      <c r="T364" s="170">
        <f t="shared" si="35"/>
        <v>685.05440317129671</v>
      </c>
      <c r="U364" s="170">
        <v>1249.3160730696436</v>
      </c>
      <c r="V364" s="202">
        <f t="shared" si="36"/>
        <v>564.2616698983469</v>
      </c>
      <c r="W364" s="202">
        <f t="shared" si="38"/>
        <v>3494.3939117461509</v>
      </c>
      <c r="X364" s="202">
        <v>0</v>
      </c>
      <c r="Y364" s="203">
        <v>0</v>
      </c>
      <c r="Z364" s="203">
        <v>0</v>
      </c>
      <c r="AA364" s="203">
        <v>0</v>
      </c>
      <c r="AB364" s="203">
        <v>0</v>
      </c>
      <c r="AC364" s="203">
        <v>0</v>
      </c>
      <c r="AD364" s="203">
        <v>0</v>
      </c>
      <c r="AE364" s="203">
        <v>0</v>
      </c>
      <c r="AF364" s="202">
        <v>0</v>
      </c>
      <c r="AG364" s="203">
        <v>0</v>
      </c>
      <c r="AH364" s="202">
        <v>0</v>
      </c>
      <c r="AI364" s="203">
        <v>2836.8</v>
      </c>
      <c r="AJ364" s="202">
        <f>7439.1*AI364/I364</f>
        <v>3494.3939117461509</v>
      </c>
      <c r="AK364" s="203">
        <v>0</v>
      </c>
      <c r="AL364" s="203">
        <v>0</v>
      </c>
      <c r="AM364" s="203">
        <v>0</v>
      </c>
      <c r="AN364" s="203"/>
      <c r="AO364" s="203">
        <v>0</v>
      </c>
    </row>
    <row r="365" spans="1:41" s="176" customFormat="1" ht="36" customHeight="1" x14ac:dyDescent="0.25">
      <c r="A365" s="176">
        <v>1</v>
      </c>
      <c r="B365" s="171">
        <f>SUBTOTAL(103,$A$16:A365)</f>
        <v>328</v>
      </c>
      <c r="C365" s="172" t="s">
        <v>1213</v>
      </c>
      <c r="D365" s="173">
        <v>1974</v>
      </c>
      <c r="E365" s="173"/>
      <c r="F365" s="174" t="s">
        <v>287</v>
      </c>
      <c r="G365" s="173">
        <v>5</v>
      </c>
      <c r="H365" s="173" t="s">
        <v>308</v>
      </c>
      <c r="I365" s="170">
        <v>4571.8999999999996</v>
      </c>
      <c r="J365" s="170">
        <v>3098.1</v>
      </c>
      <c r="K365" s="170">
        <v>3098.1</v>
      </c>
      <c r="L365" s="206">
        <v>119</v>
      </c>
      <c r="M365" s="173" t="s">
        <v>265</v>
      </c>
      <c r="N365" s="173" t="s">
        <v>269</v>
      </c>
      <c r="O365" s="175" t="s">
        <v>1319</v>
      </c>
      <c r="P365" s="170">
        <v>2786718.1</v>
      </c>
      <c r="Q365" s="170">
        <v>0</v>
      </c>
      <c r="R365" s="170">
        <v>0</v>
      </c>
      <c r="S365" s="170">
        <f t="shared" si="37"/>
        <v>2786718.1</v>
      </c>
      <c r="T365" s="170">
        <f t="shared" si="35"/>
        <v>609.53172641571348</v>
      </c>
      <c r="U365" s="170">
        <v>1088.9106279664911</v>
      </c>
      <c r="V365" s="202">
        <f t="shared" si="36"/>
        <v>479.37890155077764</v>
      </c>
      <c r="W365" s="202">
        <f t="shared" si="38"/>
        <v>1582.1004586058311</v>
      </c>
      <c r="X365" s="202">
        <v>0</v>
      </c>
      <c r="Y365" s="203">
        <v>0</v>
      </c>
      <c r="Z365" s="203">
        <v>0</v>
      </c>
      <c r="AA365" s="203">
        <v>0</v>
      </c>
      <c r="AB365" s="203">
        <v>0</v>
      </c>
      <c r="AC365" s="203">
        <v>0</v>
      </c>
      <c r="AD365" s="203">
        <v>0</v>
      </c>
      <c r="AE365" s="203">
        <v>1159.3699999999999</v>
      </c>
      <c r="AF365" s="202">
        <f>6238.91*AE365/I365</f>
        <v>1582.1004586058311</v>
      </c>
      <c r="AG365" s="203">
        <v>0</v>
      </c>
      <c r="AH365" s="202">
        <v>0</v>
      </c>
      <c r="AI365" s="203">
        <v>0</v>
      </c>
      <c r="AJ365" s="202">
        <v>0</v>
      </c>
      <c r="AK365" s="203">
        <v>0</v>
      </c>
      <c r="AL365" s="203">
        <v>0</v>
      </c>
      <c r="AM365" s="203">
        <v>0</v>
      </c>
      <c r="AN365" s="203"/>
      <c r="AO365" s="203">
        <v>0</v>
      </c>
    </row>
    <row r="366" spans="1:41" s="176" customFormat="1" ht="36" customHeight="1" x14ac:dyDescent="0.25">
      <c r="A366" s="176">
        <v>1</v>
      </c>
      <c r="B366" s="171">
        <f>SUBTOTAL(103,$A$16:A366)</f>
        <v>329</v>
      </c>
      <c r="C366" s="172" t="s">
        <v>1214</v>
      </c>
      <c r="D366" s="173">
        <v>1966</v>
      </c>
      <c r="E366" s="173"/>
      <c r="F366" s="174" t="s">
        <v>287</v>
      </c>
      <c r="G366" s="173">
        <v>2</v>
      </c>
      <c r="H366" s="173" t="s">
        <v>312</v>
      </c>
      <c r="I366" s="170">
        <v>418.6</v>
      </c>
      <c r="J366" s="170">
        <v>418.6</v>
      </c>
      <c r="K366" s="170">
        <v>418.6</v>
      </c>
      <c r="L366" s="206">
        <v>29</v>
      </c>
      <c r="M366" s="173" t="s">
        <v>265</v>
      </c>
      <c r="N366" s="173" t="s">
        <v>269</v>
      </c>
      <c r="O366" s="175" t="s">
        <v>1319</v>
      </c>
      <c r="P366" s="170">
        <v>1749750.39</v>
      </c>
      <c r="Q366" s="170">
        <v>0</v>
      </c>
      <c r="R366" s="170">
        <v>0</v>
      </c>
      <c r="S366" s="170">
        <f t="shared" si="37"/>
        <v>1749750.39</v>
      </c>
      <c r="T366" s="170">
        <f t="shared" si="35"/>
        <v>4180.0057095078828</v>
      </c>
      <c r="U366" s="170">
        <v>7098.4611084567596</v>
      </c>
      <c r="V366" s="202">
        <f t="shared" si="36"/>
        <v>2918.4553989488768</v>
      </c>
      <c r="W366" s="202">
        <f t="shared" si="38"/>
        <v>11383.849636884854</v>
      </c>
      <c r="X366" s="202">
        <v>0</v>
      </c>
      <c r="Y366" s="203">
        <v>0</v>
      </c>
      <c r="Z366" s="203">
        <v>0</v>
      </c>
      <c r="AA366" s="203">
        <v>0</v>
      </c>
      <c r="AB366" s="203">
        <v>0</v>
      </c>
      <c r="AC366" s="203">
        <v>0</v>
      </c>
      <c r="AD366" s="203">
        <v>0</v>
      </c>
      <c r="AE366" s="203">
        <v>763.8</v>
      </c>
      <c r="AF366" s="202">
        <f>6238.91*AE366/I366</f>
        <v>11383.849636884854</v>
      </c>
      <c r="AG366" s="203">
        <v>0</v>
      </c>
      <c r="AH366" s="202">
        <v>0</v>
      </c>
      <c r="AI366" s="203">
        <v>0</v>
      </c>
      <c r="AJ366" s="202">
        <v>0</v>
      </c>
      <c r="AK366" s="203">
        <v>0</v>
      </c>
      <c r="AL366" s="203">
        <v>0</v>
      </c>
      <c r="AM366" s="203">
        <v>0</v>
      </c>
      <c r="AN366" s="203"/>
      <c r="AO366" s="203">
        <v>0</v>
      </c>
    </row>
    <row r="367" spans="1:41" s="176" customFormat="1" ht="36" customHeight="1" x14ac:dyDescent="0.25">
      <c r="A367" s="176">
        <v>1</v>
      </c>
      <c r="B367" s="171">
        <f>SUBTOTAL(103,$A$16:A367)</f>
        <v>330</v>
      </c>
      <c r="C367" s="172" t="s">
        <v>1215</v>
      </c>
      <c r="D367" s="173">
        <v>1987</v>
      </c>
      <c r="E367" s="173"/>
      <c r="F367" s="174" t="s">
        <v>267</v>
      </c>
      <c r="G367" s="173">
        <v>2</v>
      </c>
      <c r="H367" s="173" t="s">
        <v>312</v>
      </c>
      <c r="I367" s="170">
        <v>1448.2</v>
      </c>
      <c r="J367" s="170">
        <v>1448.2</v>
      </c>
      <c r="K367" s="170">
        <v>1448.2</v>
      </c>
      <c r="L367" s="206">
        <v>53</v>
      </c>
      <c r="M367" s="173" t="s">
        <v>265</v>
      </c>
      <c r="N367" s="173" t="s">
        <v>269</v>
      </c>
      <c r="O367" s="175" t="s">
        <v>1320</v>
      </c>
      <c r="P367" s="170">
        <v>119132.15</v>
      </c>
      <c r="Q367" s="170">
        <v>0</v>
      </c>
      <c r="R367" s="170">
        <v>0</v>
      </c>
      <c r="S367" s="170">
        <f t="shared" si="37"/>
        <v>119132.15</v>
      </c>
      <c r="T367" s="170">
        <f t="shared" si="35"/>
        <v>82.262222068775031</v>
      </c>
      <c r="U367" s="170">
        <v>113.09</v>
      </c>
      <c r="V367" s="202">
        <f t="shared" si="36"/>
        <v>30.827777931224972</v>
      </c>
      <c r="W367" s="202">
        <f t="shared" si="38"/>
        <v>1967.0531045435712</v>
      </c>
      <c r="X367" s="202">
        <v>0</v>
      </c>
      <c r="Y367" s="203">
        <v>0</v>
      </c>
      <c r="Z367" s="203">
        <v>0</v>
      </c>
      <c r="AA367" s="203">
        <v>0</v>
      </c>
      <c r="AB367" s="203">
        <v>0</v>
      </c>
      <c r="AC367" s="203">
        <v>0</v>
      </c>
      <c r="AD367" s="203">
        <v>0</v>
      </c>
      <c r="AE367" s="203">
        <v>456.6</v>
      </c>
      <c r="AF367" s="202">
        <f>6238.91*AE367/I367</f>
        <v>1967.0531045435712</v>
      </c>
      <c r="AG367" s="203">
        <v>0</v>
      </c>
      <c r="AH367" s="202">
        <v>0</v>
      </c>
      <c r="AI367" s="203">
        <v>0</v>
      </c>
      <c r="AJ367" s="202">
        <v>0</v>
      </c>
      <c r="AK367" s="203">
        <v>0</v>
      </c>
      <c r="AL367" s="203">
        <v>0</v>
      </c>
      <c r="AM367" s="203">
        <v>0</v>
      </c>
      <c r="AN367" s="203"/>
      <c r="AO367" s="203">
        <v>0</v>
      </c>
    </row>
    <row r="368" spans="1:41" s="176" customFormat="1" ht="36" customHeight="1" x14ac:dyDescent="0.25">
      <c r="A368" s="176">
        <v>1</v>
      </c>
      <c r="B368" s="171">
        <f>SUBTOTAL(103,$A$16:A368)</f>
        <v>331</v>
      </c>
      <c r="C368" s="172" t="s">
        <v>1216</v>
      </c>
      <c r="D368" s="173">
        <v>1978</v>
      </c>
      <c r="E368" s="173"/>
      <c r="F368" s="174" t="s">
        <v>318</v>
      </c>
      <c r="G368" s="173">
        <v>5</v>
      </c>
      <c r="H368" s="173" t="s">
        <v>2250</v>
      </c>
      <c r="I368" s="170">
        <v>7971.79</v>
      </c>
      <c r="J368" s="170">
        <v>7971.79</v>
      </c>
      <c r="K368" s="170">
        <v>7971.79</v>
      </c>
      <c r="L368" s="206">
        <v>264</v>
      </c>
      <c r="M368" s="173" t="s">
        <v>265</v>
      </c>
      <c r="N368" s="173" t="s">
        <v>269</v>
      </c>
      <c r="O368" s="175" t="s">
        <v>1320</v>
      </c>
      <c r="P368" s="170">
        <v>6270786.4399999995</v>
      </c>
      <c r="Q368" s="170">
        <v>0</v>
      </c>
      <c r="R368" s="170">
        <v>0</v>
      </c>
      <c r="S368" s="170">
        <f t="shared" si="37"/>
        <v>6270786.4399999995</v>
      </c>
      <c r="T368" s="170">
        <f t="shared" si="35"/>
        <v>786.6221312904629</v>
      </c>
      <c r="U368" s="170">
        <v>1251.1407317553521</v>
      </c>
      <c r="V368" s="202">
        <f t="shared" si="36"/>
        <v>464.51860046488923</v>
      </c>
      <c r="W368" s="202">
        <f t="shared" si="38"/>
        <v>3546.19</v>
      </c>
      <c r="X368" s="202">
        <v>101.55</v>
      </c>
      <c r="Y368" s="203">
        <v>0</v>
      </c>
      <c r="Z368" s="203">
        <v>3259.66</v>
      </c>
      <c r="AA368" s="203">
        <v>184.98</v>
      </c>
      <c r="AB368" s="203">
        <v>0</v>
      </c>
      <c r="AC368" s="203">
        <v>0</v>
      </c>
      <c r="AD368" s="203">
        <v>0</v>
      </c>
      <c r="AE368" s="203">
        <v>0</v>
      </c>
      <c r="AF368" s="202">
        <v>0</v>
      </c>
      <c r="AG368" s="203">
        <v>0</v>
      </c>
      <c r="AH368" s="202">
        <v>0</v>
      </c>
      <c r="AI368" s="203">
        <v>0</v>
      </c>
      <c r="AJ368" s="202">
        <v>0</v>
      </c>
      <c r="AK368" s="203">
        <v>0</v>
      </c>
      <c r="AL368" s="203">
        <v>0</v>
      </c>
      <c r="AM368" s="203">
        <v>0</v>
      </c>
      <c r="AN368" s="203"/>
      <c r="AO368" s="203">
        <v>0</v>
      </c>
    </row>
    <row r="369" spans="1:41" s="176" customFormat="1" ht="36" customHeight="1" x14ac:dyDescent="0.25">
      <c r="A369" s="176">
        <v>1</v>
      </c>
      <c r="B369" s="171">
        <f>SUBTOTAL(103,$A$16:A369)</f>
        <v>332</v>
      </c>
      <c r="C369" s="172" t="s">
        <v>1545</v>
      </c>
      <c r="D369" s="173">
        <v>1977</v>
      </c>
      <c r="E369" s="173"/>
      <c r="F369" s="174" t="s">
        <v>1562</v>
      </c>
      <c r="G369" s="173">
        <v>2</v>
      </c>
      <c r="H369" s="173" t="s">
        <v>312</v>
      </c>
      <c r="I369" s="170">
        <v>982.4</v>
      </c>
      <c r="J369" s="170">
        <v>564.1</v>
      </c>
      <c r="K369" s="170">
        <v>564.1</v>
      </c>
      <c r="L369" s="206">
        <v>46</v>
      </c>
      <c r="M369" s="173" t="s">
        <v>265</v>
      </c>
      <c r="N369" s="173" t="s">
        <v>269</v>
      </c>
      <c r="O369" s="175" t="s">
        <v>1568</v>
      </c>
      <c r="P369" s="170">
        <v>3749769.7199999997</v>
      </c>
      <c r="Q369" s="170">
        <v>0</v>
      </c>
      <c r="R369" s="170">
        <v>0</v>
      </c>
      <c r="S369" s="170">
        <f t="shared" si="37"/>
        <v>3749769.7199999997</v>
      </c>
      <c r="T369" s="170">
        <f t="shared" si="35"/>
        <v>3816.9480048859932</v>
      </c>
      <c r="U369" s="170">
        <v>6021.9410006107501</v>
      </c>
      <c r="V369" s="202">
        <f t="shared" si="36"/>
        <v>2204.9929957247568</v>
      </c>
      <c r="W369" s="202">
        <f t="shared" si="38"/>
        <v>9709.5577147801305</v>
      </c>
      <c r="X369" s="202">
        <v>0</v>
      </c>
      <c r="Y369" s="203">
        <v>0</v>
      </c>
      <c r="Z369" s="203">
        <v>0</v>
      </c>
      <c r="AA369" s="203">
        <v>0</v>
      </c>
      <c r="AB369" s="203">
        <v>0</v>
      </c>
      <c r="AC369" s="203">
        <v>0</v>
      </c>
      <c r="AD369" s="203">
        <v>0</v>
      </c>
      <c r="AE369" s="203">
        <v>1528.9</v>
      </c>
      <c r="AF369" s="202">
        <f>6238.91*AE369/I369</f>
        <v>9709.5577147801305</v>
      </c>
      <c r="AG369" s="203">
        <v>0</v>
      </c>
      <c r="AH369" s="202">
        <v>0</v>
      </c>
      <c r="AI369" s="203">
        <v>0</v>
      </c>
      <c r="AJ369" s="202">
        <v>0</v>
      </c>
      <c r="AK369" s="203">
        <v>0</v>
      </c>
      <c r="AL369" s="203">
        <v>0</v>
      </c>
      <c r="AM369" s="203">
        <v>0</v>
      </c>
      <c r="AN369" s="203"/>
      <c r="AO369" s="203">
        <v>0</v>
      </c>
    </row>
    <row r="370" spans="1:41" s="176" customFormat="1" ht="36" customHeight="1" x14ac:dyDescent="0.25">
      <c r="A370" s="176">
        <v>1</v>
      </c>
      <c r="B370" s="171">
        <f>SUBTOTAL(103,$A$16:A370)</f>
        <v>333</v>
      </c>
      <c r="C370" s="172" t="s">
        <v>135</v>
      </c>
      <c r="D370" s="173">
        <v>1976</v>
      </c>
      <c r="E370" s="173"/>
      <c r="F370" s="174" t="s">
        <v>287</v>
      </c>
      <c r="G370" s="173">
        <v>5</v>
      </c>
      <c r="H370" s="173" t="s">
        <v>370</v>
      </c>
      <c r="I370" s="170">
        <v>6117.57</v>
      </c>
      <c r="J370" s="170">
        <v>6117.57</v>
      </c>
      <c r="K370" s="170">
        <v>6117.57</v>
      </c>
      <c r="L370" s="206">
        <v>166</v>
      </c>
      <c r="M370" s="173" t="s">
        <v>265</v>
      </c>
      <c r="N370" s="173" t="s">
        <v>269</v>
      </c>
      <c r="O370" s="175" t="s">
        <v>285</v>
      </c>
      <c r="P370" s="170">
        <v>3929633.31</v>
      </c>
      <c r="Q370" s="170">
        <v>0</v>
      </c>
      <c r="R370" s="170">
        <v>0</v>
      </c>
      <c r="S370" s="170">
        <f>P370-R370-Q370</f>
        <v>3929633.31</v>
      </c>
      <c r="T370" s="170">
        <f t="shared" si="35"/>
        <v>642.35199760689295</v>
      </c>
      <c r="U370" s="170">
        <v>1181.2337634060584</v>
      </c>
      <c r="V370" s="202">
        <f t="shared" si="36"/>
        <v>538.88176579916546</v>
      </c>
      <c r="W370" s="202">
        <f t="shared" si="38"/>
        <v>887.25616543823776</v>
      </c>
      <c r="X370" s="202">
        <v>0</v>
      </c>
      <c r="Y370" s="203">
        <v>0</v>
      </c>
      <c r="Z370" s="203">
        <v>0</v>
      </c>
      <c r="AA370" s="203">
        <v>0</v>
      </c>
      <c r="AB370" s="203">
        <v>0</v>
      </c>
      <c r="AC370" s="203">
        <v>0</v>
      </c>
      <c r="AD370" s="203">
        <v>0</v>
      </c>
      <c r="AE370" s="203">
        <v>870</v>
      </c>
      <c r="AF370" s="202">
        <f>6238.91*AE370/I370</f>
        <v>887.25616543823776</v>
      </c>
      <c r="AG370" s="203">
        <v>0</v>
      </c>
      <c r="AH370" s="202">
        <v>0</v>
      </c>
      <c r="AI370" s="203">
        <v>0</v>
      </c>
      <c r="AJ370" s="202">
        <v>0</v>
      </c>
      <c r="AK370" s="203">
        <v>0</v>
      </c>
      <c r="AL370" s="203">
        <v>0</v>
      </c>
      <c r="AM370" s="203">
        <v>0</v>
      </c>
      <c r="AN370" s="203"/>
      <c r="AO370" s="203">
        <v>0</v>
      </c>
    </row>
    <row r="371" spans="1:41" s="176" customFormat="1" ht="36" customHeight="1" x14ac:dyDescent="0.25">
      <c r="A371" s="176">
        <v>1</v>
      </c>
      <c r="B371" s="171">
        <f>SUBTOTAL(103,$A371:A$552)</f>
        <v>136</v>
      </c>
      <c r="C371" s="172" t="s">
        <v>128</v>
      </c>
      <c r="D371" s="173">
        <v>1983</v>
      </c>
      <c r="E371" s="173"/>
      <c r="F371" s="174" t="s">
        <v>267</v>
      </c>
      <c r="G371" s="173">
        <v>2</v>
      </c>
      <c r="H371" s="173" t="s">
        <v>312</v>
      </c>
      <c r="I371" s="177">
        <v>1039.7</v>
      </c>
      <c r="J371" s="177">
        <v>968.1</v>
      </c>
      <c r="K371" s="177">
        <v>908.6</v>
      </c>
      <c r="L371" s="206">
        <v>39</v>
      </c>
      <c r="M371" s="173" t="s">
        <v>265</v>
      </c>
      <c r="N371" s="173" t="s">
        <v>269</v>
      </c>
      <c r="O371" s="175" t="s">
        <v>284</v>
      </c>
      <c r="P371" s="170">
        <v>108615.8</v>
      </c>
      <c r="Q371" s="170">
        <v>0</v>
      </c>
      <c r="R371" s="170">
        <v>0</v>
      </c>
      <c r="S371" s="170">
        <f t="shared" si="37"/>
        <v>108615.8</v>
      </c>
      <c r="T371" s="170">
        <f t="shared" si="35"/>
        <v>104.4684043474079</v>
      </c>
      <c r="U371" s="170">
        <v>104.4684043474079</v>
      </c>
      <c r="V371" s="202">
        <f t="shared" si="36"/>
        <v>0</v>
      </c>
      <c r="W371" s="202">
        <f>T371</f>
        <v>104.4684043474079</v>
      </c>
      <c r="X371" s="202">
        <v>0</v>
      </c>
      <c r="Y371" s="203">
        <v>0</v>
      </c>
      <c r="Z371" s="203">
        <v>0</v>
      </c>
      <c r="AA371" s="203">
        <v>0</v>
      </c>
      <c r="AB371" s="203">
        <v>0</v>
      </c>
      <c r="AC371" s="203">
        <v>0</v>
      </c>
      <c r="AD371" s="203">
        <v>0</v>
      </c>
      <c r="AE371" s="203">
        <v>0</v>
      </c>
      <c r="AF371" s="202">
        <v>0</v>
      </c>
      <c r="AG371" s="203">
        <v>0</v>
      </c>
      <c r="AH371" s="202">
        <v>0</v>
      </c>
      <c r="AI371" s="203">
        <v>0</v>
      </c>
      <c r="AJ371" s="202">
        <v>0</v>
      </c>
      <c r="AK371" s="203">
        <v>0</v>
      </c>
      <c r="AL371" s="203">
        <v>0</v>
      </c>
      <c r="AM371" s="203">
        <v>334.1</v>
      </c>
      <c r="AN371" s="203">
        <f>6984.52*AM371/I371</f>
        <v>2244.4244801385016</v>
      </c>
      <c r="AO371" s="203">
        <v>0</v>
      </c>
    </row>
    <row r="372" spans="1:41" s="176" customFormat="1" ht="36" customHeight="1" x14ac:dyDescent="0.25">
      <c r="A372" s="176">
        <v>1</v>
      </c>
      <c r="B372" s="171">
        <f>SUBTOTAL(103,$A372:A$552)</f>
        <v>135</v>
      </c>
      <c r="C372" s="172" t="s">
        <v>126</v>
      </c>
      <c r="D372" s="173">
        <v>1981</v>
      </c>
      <c r="E372" s="173"/>
      <c r="F372" s="174" t="s">
        <v>267</v>
      </c>
      <c r="G372" s="173">
        <v>2</v>
      </c>
      <c r="H372" s="173" t="s">
        <v>312</v>
      </c>
      <c r="I372" s="177">
        <v>1572.8</v>
      </c>
      <c r="J372" s="177">
        <v>986.3</v>
      </c>
      <c r="K372" s="177">
        <v>925.2</v>
      </c>
      <c r="L372" s="206">
        <v>49</v>
      </c>
      <c r="M372" s="173" t="s">
        <v>265</v>
      </c>
      <c r="N372" s="173" t="s">
        <v>269</v>
      </c>
      <c r="O372" s="175" t="s">
        <v>284</v>
      </c>
      <c r="P372" s="170">
        <v>108130.57</v>
      </c>
      <c r="Q372" s="170">
        <v>0</v>
      </c>
      <c r="R372" s="170">
        <v>0</v>
      </c>
      <c r="S372" s="170">
        <f t="shared" si="37"/>
        <v>108130.57</v>
      </c>
      <c r="T372" s="170">
        <f t="shared" si="35"/>
        <v>68.750362410986781</v>
      </c>
      <c r="U372" s="170">
        <v>68.750362410986781</v>
      </c>
      <c r="V372" s="202">
        <f t="shared" si="36"/>
        <v>0</v>
      </c>
      <c r="W372" s="202">
        <f>X372+Y372+Z372+AA372+AB372+AD372+AF372+AH372+AJ372+AL372+AN372+AO372</f>
        <v>3514.5436546286878</v>
      </c>
      <c r="X372" s="202">
        <v>0</v>
      </c>
      <c r="Y372" s="203">
        <v>0</v>
      </c>
      <c r="Z372" s="203">
        <v>0</v>
      </c>
      <c r="AA372" s="203">
        <v>0</v>
      </c>
      <c r="AB372" s="203">
        <v>0</v>
      </c>
      <c r="AC372" s="203">
        <v>0</v>
      </c>
      <c r="AD372" s="203">
        <v>0</v>
      </c>
      <c r="AE372" s="203">
        <v>886</v>
      </c>
      <c r="AF372" s="202">
        <f>6238.91*AE372/I372</f>
        <v>3514.5436546286878</v>
      </c>
      <c r="AG372" s="203">
        <v>0</v>
      </c>
      <c r="AH372" s="202">
        <v>0</v>
      </c>
      <c r="AI372" s="203">
        <v>0</v>
      </c>
      <c r="AJ372" s="202">
        <v>0</v>
      </c>
      <c r="AK372" s="203">
        <v>0</v>
      </c>
      <c r="AL372" s="203">
        <v>0</v>
      </c>
      <c r="AM372" s="203">
        <v>0</v>
      </c>
      <c r="AN372" s="203"/>
      <c r="AO372" s="203">
        <v>0</v>
      </c>
    </row>
    <row r="373" spans="1:41" s="176" customFormat="1" ht="36" customHeight="1" x14ac:dyDescent="0.25">
      <c r="A373" s="176">
        <v>1</v>
      </c>
      <c r="B373" s="171">
        <f>SUBTOTAL(103,$A373:A$552)</f>
        <v>134</v>
      </c>
      <c r="C373" s="172" t="s">
        <v>129</v>
      </c>
      <c r="D373" s="173">
        <v>1975</v>
      </c>
      <c r="E373" s="173"/>
      <c r="F373" s="174" t="s">
        <v>267</v>
      </c>
      <c r="G373" s="173">
        <v>2</v>
      </c>
      <c r="H373" s="173" t="s">
        <v>312</v>
      </c>
      <c r="I373" s="177">
        <v>786.44</v>
      </c>
      <c r="J373" s="177">
        <v>726.3</v>
      </c>
      <c r="K373" s="177">
        <v>726.3</v>
      </c>
      <c r="L373" s="206">
        <v>32</v>
      </c>
      <c r="M373" s="173" t="s">
        <v>265</v>
      </c>
      <c r="N373" s="173" t="s">
        <v>269</v>
      </c>
      <c r="O373" s="175" t="s">
        <v>284</v>
      </c>
      <c r="P373" s="170">
        <v>89167.88</v>
      </c>
      <c r="Q373" s="170">
        <v>0</v>
      </c>
      <c r="R373" s="170">
        <v>0</v>
      </c>
      <c r="S373" s="170">
        <f t="shared" si="37"/>
        <v>89167.88</v>
      </c>
      <c r="T373" s="170">
        <f t="shared" si="35"/>
        <v>113.38166929454249</v>
      </c>
      <c r="U373" s="170">
        <v>113.38166929454249</v>
      </c>
      <c r="V373" s="202">
        <f t="shared" si="36"/>
        <v>0</v>
      </c>
      <c r="W373" s="202">
        <f>X373+Y373+Z373+AA373+AB373+AD373+AF373+AH373+AJ373+AL373+AN373+AO373</f>
        <v>5315.1794161029438</v>
      </c>
      <c r="X373" s="202">
        <v>0</v>
      </c>
      <c r="Y373" s="203">
        <v>0</v>
      </c>
      <c r="Z373" s="203">
        <v>0</v>
      </c>
      <c r="AA373" s="203">
        <v>0</v>
      </c>
      <c r="AB373" s="203">
        <v>0</v>
      </c>
      <c r="AC373" s="203">
        <v>0</v>
      </c>
      <c r="AD373" s="203">
        <v>0</v>
      </c>
      <c r="AE373" s="203">
        <v>670</v>
      </c>
      <c r="AF373" s="202">
        <f>6238.91*AE373/I373</f>
        <v>5315.1794161029438</v>
      </c>
      <c r="AG373" s="203">
        <v>0</v>
      </c>
      <c r="AH373" s="202">
        <v>0</v>
      </c>
      <c r="AI373" s="203">
        <v>0</v>
      </c>
      <c r="AJ373" s="202">
        <v>0</v>
      </c>
      <c r="AK373" s="203">
        <v>0</v>
      </c>
      <c r="AL373" s="203">
        <v>0</v>
      </c>
      <c r="AM373" s="203">
        <v>0</v>
      </c>
      <c r="AN373" s="203"/>
      <c r="AO373" s="203">
        <v>0</v>
      </c>
    </row>
    <row r="374" spans="1:41" s="176" customFormat="1" ht="36" customHeight="1" x14ac:dyDescent="0.25">
      <c r="B374" s="172" t="s">
        <v>824</v>
      </c>
      <c r="C374" s="172"/>
      <c r="D374" s="173" t="s">
        <v>882</v>
      </c>
      <c r="E374" s="173" t="s">
        <v>882</v>
      </c>
      <c r="F374" s="173" t="s">
        <v>882</v>
      </c>
      <c r="G374" s="173" t="s">
        <v>882</v>
      </c>
      <c r="H374" s="173" t="s">
        <v>882</v>
      </c>
      <c r="I374" s="177">
        <f>SUM(I375:I376)</f>
        <v>2529.2999999999997</v>
      </c>
      <c r="J374" s="177">
        <f>SUM(J375:J376)</f>
        <v>2222.2999999999997</v>
      </c>
      <c r="K374" s="177">
        <f>SUM(K375:K376)</f>
        <v>2222.2999999999997</v>
      </c>
      <c r="L374" s="357">
        <f>SUM(L375:L376)</f>
        <v>106</v>
      </c>
      <c r="M374" s="173" t="s">
        <v>882</v>
      </c>
      <c r="N374" s="173" t="s">
        <v>882</v>
      </c>
      <c r="O374" s="175" t="s">
        <v>882</v>
      </c>
      <c r="P374" s="170">
        <v>2076549.34</v>
      </c>
      <c r="Q374" s="170">
        <f>SUM(Q375:Q376)</f>
        <v>0</v>
      </c>
      <c r="R374" s="170">
        <f>SUM(R375:R376)</f>
        <v>0</v>
      </c>
      <c r="S374" s="170">
        <f>SUM(S375:S376)</f>
        <v>2076549.34</v>
      </c>
      <c r="T374" s="170">
        <f t="shared" si="35"/>
        <v>820.99764361681105</v>
      </c>
      <c r="U374" s="170">
        <f>MAX(U375:U376)</f>
        <v>1658.5450994506534</v>
      </c>
      <c r="V374" s="202">
        <f t="shared" si="36"/>
        <v>837.54745583384238</v>
      </c>
      <c r="W374" s="202"/>
      <c r="X374" s="202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  <c r="AJ374" s="203"/>
      <c r="AK374" s="203"/>
      <c r="AL374" s="203"/>
      <c r="AM374" s="203"/>
      <c r="AN374" s="203"/>
      <c r="AO374" s="203"/>
    </row>
    <row r="375" spans="1:41" s="176" customFormat="1" ht="36" customHeight="1" x14ac:dyDescent="0.25">
      <c r="A375" s="176">
        <v>1</v>
      </c>
      <c r="B375" s="171">
        <f>SUBTOTAL(103,$A$16:A375)</f>
        <v>337</v>
      </c>
      <c r="C375" s="172" t="s">
        <v>120</v>
      </c>
      <c r="D375" s="173">
        <v>1984</v>
      </c>
      <c r="E375" s="173"/>
      <c r="F375" s="174" t="s">
        <v>287</v>
      </c>
      <c r="G375" s="173">
        <v>5</v>
      </c>
      <c r="H375" s="173" t="s">
        <v>312</v>
      </c>
      <c r="I375" s="170">
        <v>2111.6</v>
      </c>
      <c r="J375" s="170">
        <v>1804.6</v>
      </c>
      <c r="K375" s="170">
        <v>1804.6</v>
      </c>
      <c r="L375" s="206">
        <v>84</v>
      </c>
      <c r="M375" s="173" t="s">
        <v>265</v>
      </c>
      <c r="N375" s="173" t="s">
        <v>269</v>
      </c>
      <c r="O375" s="175" t="s">
        <v>286</v>
      </c>
      <c r="P375" s="170">
        <v>1724251.6300000001</v>
      </c>
      <c r="Q375" s="170">
        <v>0</v>
      </c>
      <c r="R375" s="170">
        <v>0</v>
      </c>
      <c r="S375" s="170">
        <f>P375-Q375-R375</f>
        <v>1724251.6300000001</v>
      </c>
      <c r="T375" s="170">
        <f t="shared" si="35"/>
        <v>816.56167361242672</v>
      </c>
      <c r="U375" s="170">
        <v>1658.5450994506534</v>
      </c>
      <c r="V375" s="202">
        <f t="shared" si="36"/>
        <v>841.98342583822671</v>
      </c>
      <c r="W375" s="202">
        <f>X375+Y375+Z375+AA375+AB375+AD375+AF375+AH375+AJ375+AL375+AN375+AO375</f>
        <v>1598.7280739723433</v>
      </c>
      <c r="X375" s="202">
        <v>0</v>
      </c>
      <c r="Y375" s="203">
        <v>0</v>
      </c>
      <c r="Z375" s="203">
        <v>0</v>
      </c>
      <c r="AA375" s="203">
        <v>0</v>
      </c>
      <c r="AB375" s="203">
        <v>0</v>
      </c>
      <c r="AC375" s="203">
        <v>0</v>
      </c>
      <c r="AD375" s="203">
        <v>0</v>
      </c>
      <c r="AE375" s="203">
        <v>541.1</v>
      </c>
      <c r="AF375" s="202">
        <f>6238.91*AE375/I375</f>
        <v>1598.7280739723433</v>
      </c>
      <c r="AG375" s="203">
        <v>0</v>
      </c>
      <c r="AH375" s="202">
        <v>0</v>
      </c>
      <c r="AI375" s="203">
        <v>0</v>
      </c>
      <c r="AJ375" s="202">
        <v>0</v>
      </c>
      <c r="AK375" s="203">
        <v>0</v>
      </c>
      <c r="AL375" s="203">
        <v>0</v>
      </c>
      <c r="AM375" s="203">
        <v>0</v>
      </c>
      <c r="AN375" s="203"/>
      <c r="AO375" s="203">
        <v>0</v>
      </c>
    </row>
    <row r="376" spans="1:41" s="176" customFormat="1" ht="36" customHeight="1" x14ac:dyDescent="0.25">
      <c r="A376" s="176">
        <v>1</v>
      </c>
      <c r="B376" s="171">
        <f>SUBTOTAL(103,$A$16:A376)</f>
        <v>338</v>
      </c>
      <c r="C376" s="172" t="s">
        <v>1217</v>
      </c>
      <c r="D376" s="173">
        <v>1987</v>
      </c>
      <c r="E376" s="173"/>
      <c r="F376" s="174" t="s">
        <v>267</v>
      </c>
      <c r="G376" s="173">
        <v>2</v>
      </c>
      <c r="H376" s="173" t="s">
        <v>304</v>
      </c>
      <c r="I376" s="170">
        <v>417.7</v>
      </c>
      <c r="J376" s="170">
        <v>417.7</v>
      </c>
      <c r="K376" s="170">
        <v>417.7</v>
      </c>
      <c r="L376" s="206">
        <v>22</v>
      </c>
      <c r="M376" s="173" t="s">
        <v>265</v>
      </c>
      <c r="N376" s="173" t="s">
        <v>266</v>
      </c>
      <c r="O376" s="175" t="s">
        <v>268</v>
      </c>
      <c r="P376" s="170">
        <v>352297.70999999996</v>
      </c>
      <c r="Q376" s="170">
        <v>0</v>
      </c>
      <c r="R376" s="170">
        <v>0</v>
      </c>
      <c r="S376" s="170">
        <f>P376-Q376-R376</f>
        <v>352297.70999999996</v>
      </c>
      <c r="T376" s="170">
        <f t="shared" si="35"/>
        <v>843.4228154177639</v>
      </c>
      <c r="U376" s="170">
        <v>1108.53</v>
      </c>
      <c r="V376" s="202">
        <f t="shared" si="36"/>
        <v>265.10718458223607</v>
      </c>
      <c r="W376" s="202">
        <f>T376</f>
        <v>843.4228154177639</v>
      </c>
      <c r="X376" s="202">
        <v>113.09</v>
      </c>
      <c r="Y376" s="203">
        <v>0</v>
      </c>
      <c r="Z376" s="203">
        <v>0</v>
      </c>
      <c r="AA376" s="203">
        <v>184.98</v>
      </c>
      <c r="AB376" s="203">
        <v>795.31</v>
      </c>
      <c r="AC376" s="203">
        <v>0</v>
      </c>
      <c r="AD376" s="203">
        <v>0</v>
      </c>
      <c r="AE376" s="203">
        <v>0</v>
      </c>
      <c r="AF376" s="202">
        <v>0</v>
      </c>
      <c r="AG376" s="203">
        <v>0</v>
      </c>
      <c r="AH376" s="202">
        <v>0</v>
      </c>
      <c r="AI376" s="203">
        <v>0</v>
      </c>
      <c r="AJ376" s="202">
        <v>0</v>
      </c>
      <c r="AK376" s="203">
        <v>0</v>
      </c>
      <c r="AL376" s="203">
        <v>0</v>
      </c>
      <c r="AM376" s="203">
        <v>0</v>
      </c>
      <c r="AN376" s="203"/>
      <c r="AO376" s="203">
        <v>0</v>
      </c>
    </row>
    <row r="377" spans="1:41" s="176" customFormat="1" ht="36" customHeight="1" x14ac:dyDescent="0.25">
      <c r="B377" s="172" t="s">
        <v>883</v>
      </c>
      <c r="C377" s="172"/>
      <c r="D377" s="173" t="s">
        <v>882</v>
      </c>
      <c r="E377" s="173" t="s">
        <v>882</v>
      </c>
      <c r="F377" s="173" t="s">
        <v>882</v>
      </c>
      <c r="G377" s="173" t="s">
        <v>882</v>
      </c>
      <c r="H377" s="173" t="s">
        <v>882</v>
      </c>
      <c r="I377" s="177">
        <f>I378</f>
        <v>375</v>
      </c>
      <c r="J377" s="177">
        <f>J378</f>
        <v>310</v>
      </c>
      <c r="K377" s="177">
        <f>K378</f>
        <v>310</v>
      </c>
      <c r="L377" s="357">
        <f>L378</f>
        <v>21</v>
      </c>
      <c r="M377" s="173" t="s">
        <v>882</v>
      </c>
      <c r="N377" s="173" t="s">
        <v>882</v>
      </c>
      <c r="O377" s="175" t="s">
        <v>882</v>
      </c>
      <c r="P377" s="170">
        <v>2005046.9200000002</v>
      </c>
      <c r="Q377" s="170">
        <f>Q378</f>
        <v>0</v>
      </c>
      <c r="R377" s="170">
        <f>R378</f>
        <v>0</v>
      </c>
      <c r="S377" s="170">
        <f>S378</f>
        <v>2005046.9200000002</v>
      </c>
      <c r="T377" s="170">
        <f t="shared" si="35"/>
        <v>5346.7917866666667</v>
      </c>
      <c r="U377" s="170">
        <f>MAX(U378)</f>
        <v>12747.550706666667</v>
      </c>
      <c r="V377" s="202">
        <f t="shared" si="36"/>
        <v>7400.7589200000002</v>
      </c>
      <c r="W377" s="202"/>
      <c r="X377" s="202"/>
      <c r="Y377" s="203"/>
      <c r="Z377" s="203"/>
      <c r="AA377" s="203"/>
      <c r="AB377" s="203"/>
      <c r="AC377" s="203"/>
      <c r="AD377" s="203"/>
      <c r="AE377" s="203"/>
      <c r="AF377" s="203"/>
      <c r="AG377" s="203"/>
      <c r="AH377" s="203"/>
      <c r="AI377" s="203"/>
      <c r="AJ377" s="203"/>
      <c r="AK377" s="203"/>
      <c r="AL377" s="203"/>
      <c r="AM377" s="203"/>
      <c r="AN377" s="203"/>
      <c r="AO377" s="203"/>
    </row>
    <row r="378" spans="1:41" s="176" customFormat="1" ht="36" customHeight="1" x14ac:dyDescent="0.25">
      <c r="A378" s="176">
        <v>1</v>
      </c>
      <c r="B378" s="171">
        <f>SUBTOTAL(103,$A$16:A378)</f>
        <v>339</v>
      </c>
      <c r="C378" s="172" t="s">
        <v>121</v>
      </c>
      <c r="D378" s="173">
        <v>1967</v>
      </c>
      <c r="E378" s="173"/>
      <c r="F378" s="174" t="s">
        <v>267</v>
      </c>
      <c r="G378" s="173">
        <v>2</v>
      </c>
      <c r="H378" s="173" t="s">
        <v>304</v>
      </c>
      <c r="I378" s="170">
        <v>375</v>
      </c>
      <c r="J378" s="170">
        <v>310</v>
      </c>
      <c r="K378" s="170">
        <v>310</v>
      </c>
      <c r="L378" s="206">
        <v>21</v>
      </c>
      <c r="M378" s="173" t="s">
        <v>265</v>
      </c>
      <c r="N378" s="173" t="s">
        <v>266</v>
      </c>
      <c r="O378" s="175" t="s">
        <v>268</v>
      </c>
      <c r="P378" s="170">
        <v>2005046.9200000002</v>
      </c>
      <c r="Q378" s="170">
        <v>0</v>
      </c>
      <c r="R378" s="170">
        <v>0</v>
      </c>
      <c r="S378" s="170">
        <f>P378-Q378-R378</f>
        <v>2005046.9200000002</v>
      </c>
      <c r="T378" s="170">
        <f t="shared" si="35"/>
        <v>5346.7917866666667</v>
      </c>
      <c r="U378" s="170">
        <v>12747.550706666667</v>
      </c>
      <c r="V378" s="202">
        <f>U378-T378</f>
        <v>7400.7589200000002</v>
      </c>
      <c r="W378" s="202">
        <f>X378+Y378+Z378+AA378+AB378+AD378+AF378+AH378+AJ378+AL378+AN378+AO378</f>
        <v>13156.01648266667</v>
      </c>
      <c r="X378" s="202">
        <v>0</v>
      </c>
      <c r="Y378" s="203">
        <v>0</v>
      </c>
      <c r="Z378" s="203">
        <v>0</v>
      </c>
      <c r="AA378" s="203">
        <v>0</v>
      </c>
      <c r="AB378" s="203">
        <v>0</v>
      </c>
      <c r="AC378" s="203">
        <v>0</v>
      </c>
      <c r="AD378" s="203">
        <v>0</v>
      </c>
      <c r="AE378" s="203">
        <v>313.10000000000002</v>
      </c>
      <c r="AF378" s="202">
        <f>6238.91*AE378/I378</f>
        <v>5209.0739226666674</v>
      </c>
      <c r="AG378" s="203">
        <v>0</v>
      </c>
      <c r="AH378" s="202">
        <v>0</v>
      </c>
      <c r="AI378" s="203">
        <v>400.6</v>
      </c>
      <c r="AJ378" s="202">
        <f>7439.1*AI378/I378</f>
        <v>7946.9425600000013</v>
      </c>
      <c r="AK378" s="203">
        <v>0</v>
      </c>
      <c r="AL378" s="203">
        <v>0</v>
      </c>
      <c r="AM378" s="203">
        <v>0</v>
      </c>
      <c r="AN378" s="203"/>
      <c r="AO378" s="203">
        <v>0</v>
      </c>
    </row>
    <row r="379" spans="1:41" s="176" customFormat="1" ht="36" customHeight="1" x14ac:dyDescent="0.25">
      <c r="B379" s="172" t="s">
        <v>825</v>
      </c>
      <c r="C379" s="172"/>
      <c r="D379" s="173" t="s">
        <v>882</v>
      </c>
      <c r="E379" s="173" t="s">
        <v>882</v>
      </c>
      <c r="F379" s="173" t="s">
        <v>882</v>
      </c>
      <c r="G379" s="173" t="s">
        <v>882</v>
      </c>
      <c r="H379" s="173" t="s">
        <v>882</v>
      </c>
      <c r="I379" s="177">
        <f>I380</f>
        <v>1156.21</v>
      </c>
      <c r="J379" s="177">
        <f>J380</f>
        <v>880.01</v>
      </c>
      <c r="K379" s="177">
        <f>K380</f>
        <v>880.01</v>
      </c>
      <c r="L379" s="357">
        <f>L380</f>
        <v>44</v>
      </c>
      <c r="M379" s="173" t="s">
        <v>882</v>
      </c>
      <c r="N379" s="173" t="s">
        <v>882</v>
      </c>
      <c r="O379" s="175" t="s">
        <v>882</v>
      </c>
      <c r="P379" s="170">
        <v>3682576.42</v>
      </c>
      <c r="Q379" s="170">
        <f>Q380</f>
        <v>0</v>
      </c>
      <c r="R379" s="170">
        <f>R380</f>
        <v>0</v>
      </c>
      <c r="S379" s="170">
        <f>S380</f>
        <v>3682576.42</v>
      </c>
      <c r="T379" s="170">
        <f t="shared" si="35"/>
        <v>3185.0411430449485</v>
      </c>
      <c r="U379" s="170">
        <f>MAX(U380)</f>
        <v>4708.7828508661923</v>
      </c>
      <c r="V379" s="202">
        <f t="shared" si="36"/>
        <v>1523.7417078212438</v>
      </c>
      <c r="W379" s="202"/>
      <c r="X379" s="202"/>
      <c r="Y379" s="203"/>
      <c r="Z379" s="203"/>
      <c r="AA379" s="203"/>
      <c r="AB379" s="203"/>
      <c r="AC379" s="203"/>
      <c r="AD379" s="203"/>
      <c r="AE379" s="203"/>
      <c r="AF379" s="203"/>
      <c r="AG379" s="203"/>
      <c r="AH379" s="203"/>
      <c r="AI379" s="203"/>
      <c r="AJ379" s="203"/>
      <c r="AK379" s="203"/>
      <c r="AL379" s="203"/>
      <c r="AM379" s="203"/>
      <c r="AN379" s="203"/>
      <c r="AO379" s="203"/>
    </row>
    <row r="380" spans="1:41" s="176" customFormat="1" ht="36" customHeight="1" x14ac:dyDescent="0.25">
      <c r="A380" s="176">
        <v>1</v>
      </c>
      <c r="B380" s="171">
        <f>SUBTOTAL(103,$A$16:A380)</f>
        <v>340</v>
      </c>
      <c r="C380" s="172" t="s">
        <v>122</v>
      </c>
      <c r="D380" s="173">
        <v>1990</v>
      </c>
      <c r="E380" s="173"/>
      <c r="F380" s="174" t="s">
        <v>267</v>
      </c>
      <c r="G380" s="173">
        <v>2</v>
      </c>
      <c r="H380" s="173" t="s">
        <v>312</v>
      </c>
      <c r="I380" s="170">
        <v>1156.21</v>
      </c>
      <c r="J380" s="170">
        <v>880.01</v>
      </c>
      <c r="K380" s="170">
        <v>880.01</v>
      </c>
      <c r="L380" s="206">
        <v>44</v>
      </c>
      <c r="M380" s="173" t="s">
        <v>265</v>
      </c>
      <c r="N380" s="173" t="s">
        <v>266</v>
      </c>
      <c r="O380" s="175" t="s">
        <v>268</v>
      </c>
      <c r="P380" s="170">
        <v>3682576.42</v>
      </c>
      <c r="Q380" s="170">
        <v>0</v>
      </c>
      <c r="R380" s="170">
        <v>0</v>
      </c>
      <c r="S380" s="170">
        <f>P380-Q380-R380</f>
        <v>3682576.42</v>
      </c>
      <c r="T380" s="170">
        <f t="shared" si="35"/>
        <v>3185.0411430449485</v>
      </c>
      <c r="U380" s="170">
        <v>4708.7828508661923</v>
      </c>
      <c r="V380" s="202">
        <f>U380-T380</f>
        <v>1523.7417078212438</v>
      </c>
      <c r="W380" s="202">
        <f>X380+Y380+Z380+AA380+AB380+AD380+AF380+AH380+AJ380+AL380+AN380+AO380</f>
        <v>4357.0547466290727</v>
      </c>
      <c r="X380" s="202">
        <v>0</v>
      </c>
      <c r="Y380" s="203">
        <v>0</v>
      </c>
      <c r="Z380" s="203">
        <v>0</v>
      </c>
      <c r="AA380" s="203">
        <v>0</v>
      </c>
      <c r="AB380" s="203">
        <v>0</v>
      </c>
      <c r="AC380" s="203">
        <v>0</v>
      </c>
      <c r="AD380" s="203">
        <v>0</v>
      </c>
      <c r="AE380" s="203">
        <v>807.46</v>
      </c>
      <c r="AF380" s="202">
        <f>6238.91*AE380/I380</f>
        <v>4357.0547466290727</v>
      </c>
      <c r="AG380" s="203">
        <v>0</v>
      </c>
      <c r="AH380" s="202">
        <v>0</v>
      </c>
      <c r="AI380" s="203">
        <v>0</v>
      </c>
      <c r="AJ380" s="202">
        <v>0</v>
      </c>
      <c r="AK380" s="203">
        <v>0</v>
      </c>
      <c r="AL380" s="203">
        <v>0</v>
      </c>
      <c r="AM380" s="203">
        <v>0</v>
      </c>
      <c r="AN380" s="203"/>
      <c r="AO380" s="203">
        <v>0</v>
      </c>
    </row>
    <row r="381" spans="1:41" s="176" customFormat="1" ht="36" customHeight="1" x14ac:dyDescent="0.25">
      <c r="B381" s="172" t="s">
        <v>826</v>
      </c>
      <c r="C381" s="359"/>
      <c r="D381" s="173" t="s">
        <v>882</v>
      </c>
      <c r="E381" s="173" t="s">
        <v>882</v>
      </c>
      <c r="F381" s="173" t="s">
        <v>882</v>
      </c>
      <c r="G381" s="173" t="s">
        <v>882</v>
      </c>
      <c r="H381" s="173" t="s">
        <v>882</v>
      </c>
      <c r="I381" s="177">
        <f>SUM(I382:I385)</f>
        <v>2624.2</v>
      </c>
      <c r="J381" s="177">
        <f>SUM(J382:J385)</f>
        <v>2293.7000000000003</v>
      </c>
      <c r="K381" s="177">
        <f>SUM(K382:K385)</f>
        <v>2293.7000000000003</v>
      </c>
      <c r="L381" s="357">
        <f>SUM(L382:L385)</f>
        <v>125</v>
      </c>
      <c r="M381" s="173" t="s">
        <v>882</v>
      </c>
      <c r="N381" s="173" t="s">
        <v>882</v>
      </c>
      <c r="O381" s="175" t="s">
        <v>882</v>
      </c>
      <c r="P381" s="177">
        <v>4283070.8099999996</v>
      </c>
      <c r="Q381" s="177">
        <f>SUM(Q382:Q385)</f>
        <v>0</v>
      </c>
      <c r="R381" s="177">
        <f>SUM(R382:R385)</f>
        <v>0</v>
      </c>
      <c r="S381" s="177">
        <f>SUM(S382:S385)</f>
        <v>4283070.8099999996</v>
      </c>
      <c r="T381" s="170">
        <f t="shared" si="35"/>
        <v>1632.1434380001524</v>
      </c>
      <c r="U381" s="170">
        <f>MAX(U382:U385)</f>
        <v>9712.3472287707482</v>
      </c>
      <c r="V381" s="202">
        <f t="shared" si="36"/>
        <v>8080.2037907705962</v>
      </c>
      <c r="W381" s="202"/>
      <c r="X381" s="202"/>
      <c r="Y381" s="203"/>
      <c r="Z381" s="203"/>
      <c r="AA381" s="203"/>
      <c r="AB381" s="203"/>
      <c r="AC381" s="203"/>
      <c r="AD381" s="203"/>
      <c r="AE381" s="203"/>
      <c r="AF381" s="203"/>
      <c r="AG381" s="203"/>
      <c r="AH381" s="203"/>
      <c r="AI381" s="203"/>
      <c r="AJ381" s="203"/>
      <c r="AK381" s="203"/>
      <c r="AL381" s="203"/>
      <c r="AM381" s="203"/>
      <c r="AN381" s="203"/>
      <c r="AO381" s="203"/>
    </row>
    <row r="382" spans="1:41" s="176" customFormat="1" ht="36" customHeight="1" x14ac:dyDescent="0.25">
      <c r="A382" s="176">
        <v>1</v>
      </c>
      <c r="B382" s="171">
        <f>SUBTOTAL(103,$A$16:A382)</f>
        <v>341</v>
      </c>
      <c r="C382" s="172" t="s">
        <v>170</v>
      </c>
      <c r="D382" s="173">
        <v>1957</v>
      </c>
      <c r="E382" s="173"/>
      <c r="F382" s="174" t="s">
        <v>267</v>
      </c>
      <c r="G382" s="173">
        <v>2</v>
      </c>
      <c r="H382" s="173" t="s">
        <v>303</v>
      </c>
      <c r="I382" s="170">
        <v>765.1</v>
      </c>
      <c r="J382" s="170">
        <v>686.7</v>
      </c>
      <c r="K382" s="170">
        <v>686.7</v>
      </c>
      <c r="L382" s="206">
        <v>31</v>
      </c>
      <c r="M382" s="173" t="s">
        <v>265</v>
      </c>
      <c r="N382" s="173" t="s">
        <v>337</v>
      </c>
      <c r="O382" s="175" t="s">
        <v>990</v>
      </c>
      <c r="P382" s="170">
        <v>2321700.09</v>
      </c>
      <c r="Q382" s="170">
        <v>0</v>
      </c>
      <c r="R382" s="170">
        <v>0</v>
      </c>
      <c r="S382" s="170">
        <f>P382-Q382-R382</f>
        <v>2321700.09</v>
      </c>
      <c r="T382" s="170">
        <f t="shared" si="35"/>
        <v>3034.5054110573778</v>
      </c>
      <c r="U382" s="170">
        <v>5769.4064958828903</v>
      </c>
      <c r="V382" s="202">
        <f t="shared" si="36"/>
        <v>2734.9010848255125</v>
      </c>
      <c r="W382" s="202">
        <f>X382+Y382+Z382+AA382+AB382+AD382+AF382+AH382+AJ382+AL382+AN382+AO382</f>
        <v>5531.1105123513262</v>
      </c>
      <c r="X382" s="202">
        <v>0</v>
      </c>
      <c r="Y382" s="203">
        <v>0</v>
      </c>
      <c r="Z382" s="203">
        <v>0</v>
      </c>
      <c r="AA382" s="203">
        <v>0</v>
      </c>
      <c r="AB382" s="203">
        <v>0</v>
      </c>
      <c r="AC382" s="203">
        <v>0</v>
      </c>
      <c r="AD382" s="203">
        <v>0</v>
      </c>
      <c r="AE382" s="203">
        <v>678.3</v>
      </c>
      <c r="AF382" s="202">
        <f>6238.91*AE382/I382</f>
        <v>5531.1105123513262</v>
      </c>
      <c r="AG382" s="203">
        <v>0</v>
      </c>
      <c r="AH382" s="202">
        <v>0</v>
      </c>
      <c r="AI382" s="203">
        <v>0</v>
      </c>
      <c r="AJ382" s="202">
        <v>0</v>
      </c>
      <c r="AK382" s="203">
        <v>0</v>
      </c>
      <c r="AL382" s="203">
        <v>0</v>
      </c>
      <c r="AM382" s="203">
        <v>0</v>
      </c>
      <c r="AN382" s="203"/>
      <c r="AO382" s="203">
        <v>0</v>
      </c>
    </row>
    <row r="383" spans="1:41" s="176" customFormat="1" ht="36" customHeight="1" x14ac:dyDescent="0.25">
      <c r="A383" s="176">
        <v>1</v>
      </c>
      <c r="B383" s="171">
        <f>SUBTOTAL(103,$A$16:A383)</f>
        <v>342</v>
      </c>
      <c r="C383" s="172" t="s">
        <v>171</v>
      </c>
      <c r="D383" s="173">
        <v>1957</v>
      </c>
      <c r="E383" s="173"/>
      <c r="F383" s="174" t="s">
        <v>267</v>
      </c>
      <c r="G383" s="173">
        <v>2</v>
      </c>
      <c r="H383" s="173" t="s">
        <v>303</v>
      </c>
      <c r="I383" s="170">
        <v>415.7</v>
      </c>
      <c r="J383" s="170">
        <v>368.1</v>
      </c>
      <c r="K383" s="170">
        <v>368.1</v>
      </c>
      <c r="L383" s="206">
        <v>26</v>
      </c>
      <c r="M383" s="173" t="s">
        <v>265</v>
      </c>
      <c r="N383" s="173" t="s">
        <v>337</v>
      </c>
      <c r="O383" s="175" t="s">
        <v>802</v>
      </c>
      <c r="P383" s="170">
        <v>1808703.59</v>
      </c>
      <c r="Q383" s="170">
        <v>0</v>
      </c>
      <c r="R383" s="170">
        <v>0</v>
      </c>
      <c r="S383" s="170">
        <f>P383-Q383-R383</f>
        <v>1808703.59</v>
      </c>
      <c r="T383" s="170">
        <f t="shared" si="35"/>
        <v>4350.9828963194614</v>
      </c>
      <c r="U383" s="170">
        <v>9712.3472287707482</v>
      </c>
      <c r="V383" s="202">
        <f t="shared" si="36"/>
        <v>5361.3643324512868</v>
      </c>
      <c r="W383" s="202">
        <f>X383+Y383+Z383+AA383+AB383+AD383+AF383+AH383+AJ383+AL383+AN383+AO383</f>
        <v>10179.952913158528</v>
      </c>
      <c r="X383" s="202">
        <v>0</v>
      </c>
      <c r="Y383" s="203">
        <v>0</v>
      </c>
      <c r="Z383" s="203">
        <v>0</v>
      </c>
      <c r="AA383" s="203">
        <v>0</v>
      </c>
      <c r="AB383" s="203">
        <v>0</v>
      </c>
      <c r="AC383" s="203">
        <v>0</v>
      </c>
      <c r="AD383" s="203">
        <v>0</v>
      </c>
      <c r="AE383" s="203">
        <v>0</v>
      </c>
      <c r="AF383" s="202">
        <v>0</v>
      </c>
      <c r="AG383" s="203">
        <v>0</v>
      </c>
      <c r="AH383" s="202">
        <v>0</v>
      </c>
      <c r="AI383" s="203">
        <v>568.86</v>
      </c>
      <c r="AJ383" s="202">
        <f>7439.1*AI383/I383</f>
        <v>10179.952913158528</v>
      </c>
      <c r="AK383" s="203">
        <v>0</v>
      </c>
      <c r="AL383" s="203">
        <v>0</v>
      </c>
      <c r="AM383" s="203">
        <v>0</v>
      </c>
      <c r="AN383" s="203"/>
      <c r="AO383" s="203">
        <v>0</v>
      </c>
    </row>
    <row r="384" spans="1:41" s="176" customFormat="1" ht="36" customHeight="1" x14ac:dyDescent="0.25">
      <c r="A384" s="176">
        <v>1</v>
      </c>
      <c r="B384" s="171">
        <f>SUBTOTAL(103,$A$16:A384)</f>
        <v>343</v>
      </c>
      <c r="C384" s="172" t="s">
        <v>169</v>
      </c>
      <c r="D384" s="173">
        <v>1983</v>
      </c>
      <c r="E384" s="173"/>
      <c r="F384" s="174" t="s">
        <v>267</v>
      </c>
      <c r="G384" s="173">
        <v>2</v>
      </c>
      <c r="H384" s="173" t="s">
        <v>312</v>
      </c>
      <c r="I384" s="170">
        <v>1044.4000000000001</v>
      </c>
      <c r="J384" s="170">
        <v>943.9</v>
      </c>
      <c r="K384" s="170">
        <v>943.9</v>
      </c>
      <c r="L384" s="206">
        <v>47</v>
      </c>
      <c r="M384" s="173" t="s">
        <v>265</v>
      </c>
      <c r="N384" s="173" t="s">
        <v>337</v>
      </c>
      <c r="O384" s="175" t="s">
        <v>802</v>
      </c>
      <c r="P384" s="170">
        <v>104027.61</v>
      </c>
      <c r="Q384" s="170">
        <v>0</v>
      </c>
      <c r="R384" s="170">
        <v>0</v>
      </c>
      <c r="S384" s="170">
        <f>P384-Q384-R384</f>
        <v>104027.61</v>
      </c>
      <c r="T384" s="170">
        <f t="shared" si="35"/>
        <v>99.605141708157788</v>
      </c>
      <c r="U384" s="170">
        <v>99.605141708157788</v>
      </c>
      <c r="V384" s="202">
        <f t="shared" si="36"/>
        <v>0</v>
      </c>
      <c r="W384" s="202">
        <f>T384</f>
        <v>99.605141708157788</v>
      </c>
      <c r="X384" s="202">
        <v>0</v>
      </c>
      <c r="Y384" s="203">
        <v>0</v>
      </c>
      <c r="Z384" s="203">
        <v>0</v>
      </c>
      <c r="AA384" s="203">
        <v>0</v>
      </c>
      <c r="AB384" s="203">
        <v>0</v>
      </c>
      <c r="AC384" s="203">
        <v>0</v>
      </c>
      <c r="AD384" s="203">
        <v>0</v>
      </c>
      <c r="AE384" s="203">
        <v>0</v>
      </c>
      <c r="AF384" s="202">
        <v>0</v>
      </c>
      <c r="AG384" s="203">
        <v>0</v>
      </c>
      <c r="AH384" s="202">
        <v>0</v>
      </c>
      <c r="AI384" s="203">
        <v>0</v>
      </c>
      <c r="AJ384" s="202">
        <v>0</v>
      </c>
      <c r="AK384" s="203">
        <v>0</v>
      </c>
      <c r="AL384" s="203">
        <v>0</v>
      </c>
      <c r="AM384" s="203">
        <v>690</v>
      </c>
      <c r="AN384" s="203">
        <f>6984.52*AM384/I384</f>
        <v>4614.4377633090771</v>
      </c>
      <c r="AO384" s="203">
        <v>0</v>
      </c>
    </row>
    <row r="385" spans="1:41" s="176" customFormat="1" ht="36" customHeight="1" x14ac:dyDescent="0.25">
      <c r="A385" s="176">
        <v>1</v>
      </c>
      <c r="B385" s="171">
        <f>SUBTOTAL(103,$A$16:A385)</f>
        <v>344</v>
      </c>
      <c r="C385" s="172" t="s">
        <v>1560</v>
      </c>
      <c r="D385" s="173">
        <v>1967</v>
      </c>
      <c r="E385" s="173"/>
      <c r="F385" s="174" t="s">
        <v>1562</v>
      </c>
      <c r="G385" s="173">
        <v>2</v>
      </c>
      <c r="H385" s="173" t="s">
        <v>304</v>
      </c>
      <c r="I385" s="170">
        <v>399</v>
      </c>
      <c r="J385" s="170">
        <v>295</v>
      </c>
      <c r="K385" s="170">
        <v>295</v>
      </c>
      <c r="L385" s="206">
        <v>21</v>
      </c>
      <c r="M385" s="173" t="s">
        <v>265</v>
      </c>
      <c r="N385" s="173" t="s">
        <v>337</v>
      </c>
      <c r="O385" s="175" t="s">
        <v>802</v>
      </c>
      <c r="P385" s="170">
        <v>48639.519999999997</v>
      </c>
      <c r="Q385" s="170">
        <v>0</v>
      </c>
      <c r="R385" s="170">
        <v>0</v>
      </c>
      <c r="S385" s="170">
        <f>P385-R385-Q385</f>
        <v>48639.519999999997</v>
      </c>
      <c r="T385" s="170">
        <f t="shared" si="35"/>
        <v>121.9035588972431</v>
      </c>
      <c r="U385" s="170">
        <v>121.9035588972431</v>
      </c>
      <c r="V385" s="202">
        <f t="shared" si="36"/>
        <v>0</v>
      </c>
      <c r="W385" s="202">
        <f>T385</f>
        <v>121.9035588972431</v>
      </c>
      <c r="X385" s="202">
        <v>0</v>
      </c>
      <c r="Y385" s="203">
        <v>0</v>
      </c>
      <c r="Z385" s="203">
        <v>0</v>
      </c>
      <c r="AA385" s="203">
        <v>0</v>
      </c>
      <c r="AB385" s="203">
        <v>0</v>
      </c>
      <c r="AC385" s="203">
        <v>0</v>
      </c>
      <c r="AD385" s="203">
        <v>0</v>
      </c>
      <c r="AE385" s="203">
        <v>172</v>
      </c>
      <c r="AF385" s="202">
        <f>6436.53*AE385/I385</f>
        <v>2774.6445112781953</v>
      </c>
      <c r="AG385" s="203">
        <v>0</v>
      </c>
      <c r="AH385" s="202">
        <v>0</v>
      </c>
      <c r="AI385" s="203">
        <v>0</v>
      </c>
      <c r="AJ385" s="202">
        <v>0</v>
      </c>
      <c r="AK385" s="203">
        <v>0</v>
      </c>
      <c r="AL385" s="203">
        <v>0</v>
      </c>
      <c r="AM385" s="203">
        <v>0</v>
      </c>
      <c r="AN385" s="203"/>
      <c r="AO385" s="203">
        <v>0</v>
      </c>
    </row>
    <row r="386" spans="1:41" s="176" customFormat="1" ht="36" customHeight="1" x14ac:dyDescent="0.25">
      <c r="B386" s="172" t="s">
        <v>827</v>
      </c>
      <c r="C386" s="172"/>
      <c r="D386" s="173" t="s">
        <v>882</v>
      </c>
      <c r="E386" s="173" t="s">
        <v>882</v>
      </c>
      <c r="F386" s="173" t="s">
        <v>882</v>
      </c>
      <c r="G386" s="173" t="s">
        <v>882</v>
      </c>
      <c r="H386" s="173" t="s">
        <v>882</v>
      </c>
      <c r="I386" s="177">
        <f>SUM(I387:I388)</f>
        <v>1157</v>
      </c>
      <c r="J386" s="177">
        <f>SUM(J387:J388)</f>
        <v>1036</v>
      </c>
      <c r="K386" s="177">
        <f>SUM(K387:K388)</f>
        <v>1036</v>
      </c>
      <c r="L386" s="357">
        <f>SUM(L387:L388)</f>
        <v>40</v>
      </c>
      <c r="M386" s="173" t="s">
        <v>882</v>
      </c>
      <c r="N386" s="173" t="s">
        <v>882</v>
      </c>
      <c r="O386" s="175" t="s">
        <v>882</v>
      </c>
      <c r="P386" s="170">
        <v>3114731.1799999997</v>
      </c>
      <c r="Q386" s="170">
        <f>SUM(Q387:Q388)</f>
        <v>0</v>
      </c>
      <c r="R386" s="170">
        <f>SUM(R387:R388)</f>
        <v>0</v>
      </c>
      <c r="S386" s="170">
        <f>SUM(S387:S388)</f>
        <v>3114731.1799999997</v>
      </c>
      <c r="T386" s="170">
        <f t="shared" si="35"/>
        <v>2692.0753500432152</v>
      </c>
      <c r="U386" s="170">
        <f>MAX(U387:U388)</f>
        <v>5729.0594035087715</v>
      </c>
      <c r="V386" s="202">
        <f t="shared" si="36"/>
        <v>3036.9840534655564</v>
      </c>
      <c r="W386" s="202"/>
      <c r="X386" s="202"/>
      <c r="Y386" s="203"/>
      <c r="Z386" s="203"/>
      <c r="AA386" s="203"/>
      <c r="AB386" s="203"/>
      <c r="AC386" s="203"/>
      <c r="AD386" s="203"/>
      <c r="AE386" s="203"/>
      <c r="AF386" s="203"/>
      <c r="AG386" s="203"/>
      <c r="AH386" s="203"/>
      <c r="AI386" s="203"/>
      <c r="AJ386" s="203"/>
      <c r="AK386" s="203"/>
      <c r="AL386" s="203"/>
      <c r="AM386" s="203"/>
      <c r="AN386" s="203"/>
      <c r="AO386" s="203"/>
    </row>
    <row r="387" spans="1:41" s="176" customFormat="1" ht="36" customHeight="1" x14ac:dyDescent="0.25">
      <c r="A387" s="176">
        <v>1</v>
      </c>
      <c r="B387" s="171">
        <f>SUBTOTAL(103,$A$16:A387)</f>
        <v>345</v>
      </c>
      <c r="C387" s="172" t="s">
        <v>168</v>
      </c>
      <c r="D387" s="173">
        <v>1956</v>
      </c>
      <c r="E387" s="173"/>
      <c r="F387" s="174" t="s">
        <v>267</v>
      </c>
      <c r="G387" s="173">
        <v>2</v>
      </c>
      <c r="H387" s="173" t="s">
        <v>303</v>
      </c>
      <c r="I387" s="170">
        <v>456</v>
      </c>
      <c r="J387" s="170">
        <v>399</v>
      </c>
      <c r="K387" s="170">
        <v>399</v>
      </c>
      <c r="L387" s="206">
        <v>14</v>
      </c>
      <c r="M387" s="173" t="s">
        <v>265</v>
      </c>
      <c r="N387" s="173" t="s">
        <v>337</v>
      </c>
      <c r="O387" s="175" t="s">
        <v>991</v>
      </c>
      <c r="P387" s="170">
        <v>1327902.99</v>
      </c>
      <c r="Q387" s="170">
        <v>0</v>
      </c>
      <c r="R387" s="170">
        <v>0</v>
      </c>
      <c r="S387" s="170">
        <f>P387-Q387-R387</f>
        <v>1327902.99</v>
      </c>
      <c r="T387" s="170">
        <f t="shared" si="35"/>
        <v>2912.0679605263158</v>
      </c>
      <c r="U387" s="170">
        <v>5729.0594035087715</v>
      </c>
      <c r="V387" s="202">
        <f t="shared" si="36"/>
        <v>2816.9914429824557</v>
      </c>
      <c r="W387" s="202">
        <f>X387+Y387+Z387+AA387+AB387+AD387+AF387+AH387+AJ387+AL387+AN387+AO387</f>
        <v>5648.129004824561</v>
      </c>
      <c r="X387" s="202">
        <v>0</v>
      </c>
      <c r="Y387" s="203">
        <v>0</v>
      </c>
      <c r="Z387" s="203">
        <v>0</v>
      </c>
      <c r="AA387" s="203">
        <v>0</v>
      </c>
      <c r="AB387" s="203">
        <v>0</v>
      </c>
      <c r="AC387" s="203">
        <v>0</v>
      </c>
      <c r="AD387" s="203">
        <v>0</v>
      </c>
      <c r="AE387" s="203">
        <v>412.82</v>
      </c>
      <c r="AF387" s="202">
        <f>6238.91*AE387/I387</f>
        <v>5648.129004824561</v>
      </c>
      <c r="AG387" s="203">
        <v>0</v>
      </c>
      <c r="AH387" s="202">
        <v>0</v>
      </c>
      <c r="AI387" s="203">
        <v>0</v>
      </c>
      <c r="AJ387" s="202">
        <v>0</v>
      </c>
      <c r="AK387" s="203">
        <v>0</v>
      </c>
      <c r="AL387" s="203">
        <v>0</v>
      </c>
      <c r="AM387" s="203">
        <v>0</v>
      </c>
      <c r="AN387" s="203"/>
      <c r="AO387" s="203">
        <v>0</v>
      </c>
    </row>
    <row r="388" spans="1:41" s="176" customFormat="1" ht="36" customHeight="1" x14ac:dyDescent="0.25">
      <c r="A388" s="176">
        <v>1</v>
      </c>
      <c r="B388" s="171">
        <f>SUBTOTAL(103,$A$16:A388)</f>
        <v>346</v>
      </c>
      <c r="C388" s="172" t="s">
        <v>1220</v>
      </c>
      <c r="D388" s="173">
        <v>1960</v>
      </c>
      <c r="E388" s="173"/>
      <c r="F388" s="174" t="s">
        <v>267</v>
      </c>
      <c r="G388" s="173">
        <v>2</v>
      </c>
      <c r="H388" s="173" t="s">
        <v>303</v>
      </c>
      <c r="I388" s="170">
        <v>701</v>
      </c>
      <c r="J388" s="170">
        <v>637</v>
      </c>
      <c r="K388" s="170">
        <v>637</v>
      </c>
      <c r="L388" s="206">
        <v>26</v>
      </c>
      <c r="M388" s="173" t="s">
        <v>265</v>
      </c>
      <c r="N388" s="173" t="s">
        <v>269</v>
      </c>
      <c r="O388" s="175" t="s">
        <v>991</v>
      </c>
      <c r="P388" s="170">
        <v>1786828.19</v>
      </c>
      <c r="Q388" s="170">
        <v>0</v>
      </c>
      <c r="R388" s="170">
        <v>0</v>
      </c>
      <c r="S388" s="170">
        <f>P388-Q388-R388</f>
        <v>1786828.19</v>
      </c>
      <c r="T388" s="170">
        <f t="shared" si="35"/>
        <v>2548.9703138373752</v>
      </c>
      <c r="U388" s="170">
        <v>4183.21</v>
      </c>
      <c r="V388" s="202">
        <f t="shared" si="36"/>
        <v>1634.2396861626248</v>
      </c>
      <c r="W388" s="202">
        <f>X388+Y388+Z388+AA388+AB388+AD388+AF388+AH388+AJ388+AL388+AN388+AO388</f>
        <v>4156.5200000000004</v>
      </c>
      <c r="X388" s="202">
        <v>101.55</v>
      </c>
      <c r="Y388" s="203">
        <v>0</v>
      </c>
      <c r="Z388" s="203">
        <v>3259.66</v>
      </c>
      <c r="AA388" s="203">
        <v>0</v>
      </c>
      <c r="AB388" s="203">
        <v>795.31</v>
      </c>
      <c r="AC388" s="203">
        <v>0</v>
      </c>
      <c r="AD388" s="203">
        <v>0</v>
      </c>
      <c r="AE388" s="203">
        <v>0</v>
      </c>
      <c r="AF388" s="202">
        <v>0</v>
      </c>
      <c r="AG388" s="203">
        <v>0</v>
      </c>
      <c r="AH388" s="202">
        <v>0</v>
      </c>
      <c r="AI388" s="203">
        <v>0</v>
      </c>
      <c r="AJ388" s="202">
        <v>0</v>
      </c>
      <c r="AK388" s="203">
        <v>0</v>
      </c>
      <c r="AL388" s="203">
        <v>0</v>
      </c>
      <c r="AM388" s="203">
        <v>0</v>
      </c>
      <c r="AN388" s="203"/>
      <c r="AO388" s="203">
        <v>0</v>
      </c>
    </row>
    <row r="389" spans="1:41" s="176" customFormat="1" ht="36" customHeight="1" x14ac:dyDescent="0.25">
      <c r="B389" s="172" t="s">
        <v>829</v>
      </c>
      <c r="C389" s="172"/>
      <c r="D389" s="173" t="s">
        <v>882</v>
      </c>
      <c r="E389" s="173" t="s">
        <v>882</v>
      </c>
      <c r="F389" s="173" t="s">
        <v>882</v>
      </c>
      <c r="G389" s="173" t="s">
        <v>882</v>
      </c>
      <c r="H389" s="173" t="s">
        <v>882</v>
      </c>
      <c r="I389" s="177">
        <f>I390</f>
        <v>407.9</v>
      </c>
      <c r="J389" s="177">
        <f>J390</f>
        <v>352.3</v>
      </c>
      <c r="K389" s="177">
        <f>K390</f>
        <v>352.3</v>
      </c>
      <c r="L389" s="357">
        <f>L390</f>
        <v>21</v>
      </c>
      <c r="M389" s="173" t="s">
        <v>882</v>
      </c>
      <c r="N389" s="173" t="s">
        <v>882</v>
      </c>
      <c r="O389" s="175" t="s">
        <v>882</v>
      </c>
      <c r="P389" s="170">
        <v>43566.44</v>
      </c>
      <c r="Q389" s="170">
        <f>Q390</f>
        <v>0</v>
      </c>
      <c r="R389" s="170">
        <f>R390</f>
        <v>0</v>
      </c>
      <c r="S389" s="170">
        <f>S390</f>
        <v>43566.44</v>
      </c>
      <c r="T389" s="170">
        <f t="shared" si="35"/>
        <v>106.80666830105419</v>
      </c>
      <c r="U389" s="170">
        <f>MAX(U390)</f>
        <v>106.80666830105419</v>
      </c>
      <c r="V389" s="202">
        <f t="shared" si="36"/>
        <v>0</v>
      </c>
      <c r="W389" s="202"/>
      <c r="X389" s="202"/>
      <c r="Y389" s="203"/>
      <c r="Z389" s="203"/>
      <c r="AA389" s="203"/>
      <c r="AB389" s="203"/>
      <c r="AC389" s="203"/>
      <c r="AD389" s="203"/>
      <c r="AE389" s="203"/>
      <c r="AF389" s="203"/>
      <c r="AG389" s="203"/>
      <c r="AH389" s="203"/>
      <c r="AI389" s="203"/>
      <c r="AJ389" s="203"/>
      <c r="AK389" s="203"/>
      <c r="AL389" s="203"/>
      <c r="AM389" s="203"/>
      <c r="AN389" s="203"/>
      <c r="AO389" s="203"/>
    </row>
    <row r="390" spans="1:41" s="176" customFormat="1" ht="36" customHeight="1" x14ac:dyDescent="0.25">
      <c r="A390" s="176">
        <v>1</v>
      </c>
      <c r="B390" s="171">
        <f>SUBTOTAL(103,$A$16:A390)</f>
        <v>347</v>
      </c>
      <c r="C390" s="172" t="s">
        <v>167</v>
      </c>
      <c r="D390" s="173">
        <v>1954</v>
      </c>
      <c r="E390" s="173"/>
      <c r="F390" s="174" t="s">
        <v>267</v>
      </c>
      <c r="G390" s="173">
        <v>2</v>
      </c>
      <c r="H390" s="173" t="s">
        <v>304</v>
      </c>
      <c r="I390" s="170">
        <v>407.9</v>
      </c>
      <c r="J390" s="170">
        <v>352.3</v>
      </c>
      <c r="K390" s="170">
        <v>352.3</v>
      </c>
      <c r="L390" s="206">
        <v>21</v>
      </c>
      <c r="M390" s="173" t="s">
        <v>265</v>
      </c>
      <c r="N390" s="173" t="s">
        <v>266</v>
      </c>
      <c r="O390" s="175" t="s">
        <v>268</v>
      </c>
      <c r="P390" s="170">
        <v>43566.44</v>
      </c>
      <c r="Q390" s="170">
        <v>0</v>
      </c>
      <c r="R390" s="170">
        <v>0</v>
      </c>
      <c r="S390" s="170">
        <f>P390-Q390-R390</f>
        <v>43566.44</v>
      </c>
      <c r="T390" s="170">
        <f t="shared" si="35"/>
        <v>106.80666830105419</v>
      </c>
      <c r="U390" s="170">
        <v>106.80666830105419</v>
      </c>
      <c r="V390" s="202">
        <f>U390-T390</f>
        <v>0</v>
      </c>
      <c r="W390" s="202">
        <f>X390+Y390+Z390+AA390+AB390+AD390+AF390+AH390+AJ390+AL390+AN390+AO390</f>
        <v>5141.3268139249822</v>
      </c>
      <c r="X390" s="202">
        <v>0</v>
      </c>
      <c r="Y390" s="203">
        <v>0</v>
      </c>
      <c r="Z390" s="203">
        <v>0</v>
      </c>
      <c r="AA390" s="203">
        <v>0</v>
      </c>
      <c r="AB390" s="203">
        <v>0</v>
      </c>
      <c r="AC390" s="203">
        <v>0</v>
      </c>
      <c r="AD390" s="203">
        <v>0</v>
      </c>
      <c r="AE390" s="203">
        <v>336.14</v>
      </c>
      <c r="AF390" s="202">
        <f>6238.91*AE390/I390</f>
        <v>5141.3268139249822</v>
      </c>
      <c r="AG390" s="203">
        <v>0</v>
      </c>
      <c r="AH390" s="202">
        <v>0</v>
      </c>
      <c r="AI390" s="203">
        <v>0</v>
      </c>
      <c r="AJ390" s="202">
        <v>0</v>
      </c>
      <c r="AK390" s="203">
        <v>0</v>
      </c>
      <c r="AL390" s="203">
        <v>0</v>
      </c>
      <c r="AM390" s="203">
        <v>0</v>
      </c>
      <c r="AN390" s="203"/>
      <c r="AO390" s="203">
        <v>0</v>
      </c>
    </row>
    <row r="391" spans="1:41" s="176" customFormat="1" ht="36" customHeight="1" x14ac:dyDescent="0.25">
      <c r="B391" s="172" t="s">
        <v>828</v>
      </c>
      <c r="C391" s="172"/>
      <c r="D391" s="173" t="s">
        <v>882</v>
      </c>
      <c r="E391" s="173" t="s">
        <v>882</v>
      </c>
      <c r="F391" s="173" t="s">
        <v>882</v>
      </c>
      <c r="G391" s="173" t="s">
        <v>882</v>
      </c>
      <c r="H391" s="173" t="s">
        <v>882</v>
      </c>
      <c r="I391" s="177">
        <f>SUM(I392:I395)</f>
        <v>2253.2999999999997</v>
      </c>
      <c r="J391" s="177">
        <f>SUM(J392:J395)</f>
        <v>1874.1</v>
      </c>
      <c r="K391" s="177">
        <f>SUM(K392:K395)</f>
        <v>1874.1</v>
      </c>
      <c r="L391" s="357">
        <f>SUM(L392:L395)</f>
        <v>108</v>
      </c>
      <c r="M391" s="173" t="s">
        <v>882</v>
      </c>
      <c r="N391" s="173" t="s">
        <v>882</v>
      </c>
      <c r="O391" s="175" t="s">
        <v>882</v>
      </c>
      <c r="P391" s="177">
        <v>4166442.5</v>
      </c>
      <c r="Q391" s="177">
        <f>SUM(Q392:Q395)</f>
        <v>0</v>
      </c>
      <c r="R391" s="177">
        <f>SUM(R392:R395)</f>
        <v>0</v>
      </c>
      <c r="S391" s="177">
        <f>SUM(S392:S395)</f>
        <v>4166442.5</v>
      </c>
      <c r="T391" s="170">
        <f t="shared" si="35"/>
        <v>1849.0402964540897</v>
      </c>
      <c r="U391" s="170">
        <f>MAX(U392:U395)</f>
        <v>6169.8696682464451</v>
      </c>
      <c r="V391" s="202">
        <f t="shared" si="36"/>
        <v>4320.8293717923552</v>
      </c>
      <c r="W391" s="202"/>
      <c r="X391" s="202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  <c r="AJ391" s="203"/>
      <c r="AK391" s="203"/>
      <c r="AL391" s="203"/>
      <c r="AM391" s="203"/>
      <c r="AN391" s="203"/>
      <c r="AO391" s="203"/>
    </row>
    <row r="392" spans="1:41" s="176" customFormat="1" ht="36" customHeight="1" x14ac:dyDescent="0.25">
      <c r="A392" s="176">
        <v>1</v>
      </c>
      <c r="B392" s="171">
        <f>SUBTOTAL(103,$A$16:A392)</f>
        <v>348</v>
      </c>
      <c r="C392" s="172" t="s">
        <v>181</v>
      </c>
      <c r="D392" s="173">
        <v>1955</v>
      </c>
      <c r="E392" s="173"/>
      <c r="F392" s="174" t="s">
        <v>267</v>
      </c>
      <c r="G392" s="173">
        <v>2</v>
      </c>
      <c r="H392" s="173" t="s">
        <v>304</v>
      </c>
      <c r="I392" s="170">
        <v>545.6</v>
      </c>
      <c r="J392" s="170">
        <v>501.6</v>
      </c>
      <c r="K392" s="170">
        <v>501.6</v>
      </c>
      <c r="L392" s="206">
        <v>27</v>
      </c>
      <c r="M392" s="173" t="s">
        <v>265</v>
      </c>
      <c r="N392" s="173" t="s">
        <v>266</v>
      </c>
      <c r="O392" s="175" t="s">
        <v>268</v>
      </c>
      <c r="P392" s="170">
        <v>71741.72</v>
      </c>
      <c r="Q392" s="170">
        <v>0</v>
      </c>
      <c r="R392" s="170">
        <v>0</v>
      </c>
      <c r="S392" s="170">
        <f>P392-Q392-R392</f>
        <v>71741.72</v>
      </c>
      <c r="T392" s="170">
        <f t="shared" si="35"/>
        <v>131.49142228739004</v>
      </c>
      <c r="U392" s="170">
        <v>131.49142228739004</v>
      </c>
      <c r="V392" s="202">
        <f t="shared" si="36"/>
        <v>0</v>
      </c>
      <c r="W392" s="202">
        <f>X392+Y392+Z392+AA392+AB392+AD392+AF392+AH392+AJ392+AL392+AN392+AO392</f>
        <v>5497.5167155425215</v>
      </c>
      <c r="X392" s="202">
        <v>0</v>
      </c>
      <c r="Y392" s="203">
        <v>0</v>
      </c>
      <c r="Z392" s="203">
        <v>0</v>
      </c>
      <c r="AA392" s="203">
        <v>0</v>
      </c>
      <c r="AB392" s="203">
        <v>0</v>
      </c>
      <c r="AC392" s="203">
        <v>0</v>
      </c>
      <c r="AD392" s="203">
        <v>0</v>
      </c>
      <c r="AE392" s="203">
        <v>0</v>
      </c>
      <c r="AF392" s="202">
        <v>0</v>
      </c>
      <c r="AG392" s="203">
        <v>0</v>
      </c>
      <c r="AH392" s="202">
        <v>0</v>
      </c>
      <c r="AI392" s="203">
        <v>403.2</v>
      </c>
      <c r="AJ392" s="202">
        <f>7439.1*AI392/I392</f>
        <v>5497.5167155425215</v>
      </c>
      <c r="AK392" s="203">
        <v>0</v>
      </c>
      <c r="AL392" s="203">
        <v>0</v>
      </c>
      <c r="AM392" s="203">
        <v>0</v>
      </c>
      <c r="AN392" s="203"/>
      <c r="AO392" s="203">
        <v>0</v>
      </c>
    </row>
    <row r="393" spans="1:41" s="176" customFormat="1" ht="36" customHeight="1" x14ac:dyDescent="0.25">
      <c r="A393" s="176">
        <v>1</v>
      </c>
      <c r="B393" s="171">
        <f>SUBTOTAL(103,$A$16:A393)</f>
        <v>349</v>
      </c>
      <c r="C393" s="172" t="s">
        <v>1218</v>
      </c>
      <c r="D393" s="173">
        <v>1965</v>
      </c>
      <c r="E393" s="173"/>
      <c r="F393" s="174" t="s">
        <v>267</v>
      </c>
      <c r="G393" s="173">
        <v>2</v>
      </c>
      <c r="H393" s="173" t="s">
        <v>303</v>
      </c>
      <c r="I393" s="170">
        <v>527.5</v>
      </c>
      <c r="J393" s="170">
        <v>390.5</v>
      </c>
      <c r="K393" s="170">
        <v>390.5</v>
      </c>
      <c r="L393" s="206">
        <v>21</v>
      </c>
      <c r="M393" s="173" t="s">
        <v>265</v>
      </c>
      <c r="N393" s="173" t="s">
        <v>269</v>
      </c>
      <c r="O393" s="175" t="s">
        <v>1322</v>
      </c>
      <c r="P393" s="170">
        <v>1831950.75</v>
      </c>
      <c r="Q393" s="170">
        <v>0</v>
      </c>
      <c r="R393" s="170">
        <v>0</v>
      </c>
      <c r="S393" s="170">
        <f>P393-Q393-R393</f>
        <v>1831950.75</v>
      </c>
      <c r="T393" s="170">
        <f t="shared" si="35"/>
        <v>3472.8924170616115</v>
      </c>
      <c r="U393" s="170">
        <v>6169.8696682464451</v>
      </c>
      <c r="V393" s="202">
        <f t="shared" si="36"/>
        <v>2696.9772511848337</v>
      </c>
      <c r="W393" s="202">
        <f>X393+Y393+Z393+AA393+AB393+AD393+AF393+AH393+AJ393+AL393+AN393+AO393</f>
        <v>6169.8696682464451</v>
      </c>
      <c r="X393" s="202">
        <v>0</v>
      </c>
      <c r="Y393" s="203">
        <v>0</v>
      </c>
      <c r="Z393" s="203">
        <v>0</v>
      </c>
      <c r="AA393" s="203">
        <v>0</v>
      </c>
      <c r="AB393" s="203">
        <v>0</v>
      </c>
      <c r="AC393" s="203">
        <v>0</v>
      </c>
      <c r="AD393" s="203">
        <v>0</v>
      </c>
      <c r="AE393" s="203">
        <v>0</v>
      </c>
      <c r="AF393" s="202">
        <v>0</v>
      </c>
      <c r="AG393" s="203">
        <v>0</v>
      </c>
      <c r="AH393" s="202">
        <v>0</v>
      </c>
      <c r="AI393" s="203">
        <v>437.5</v>
      </c>
      <c r="AJ393" s="202">
        <f>7439.1*AI393/I393</f>
        <v>6169.8696682464451</v>
      </c>
      <c r="AK393" s="203">
        <v>0</v>
      </c>
      <c r="AL393" s="203">
        <v>0</v>
      </c>
      <c r="AM393" s="203">
        <v>0</v>
      </c>
      <c r="AN393" s="203"/>
      <c r="AO393" s="203">
        <v>0</v>
      </c>
    </row>
    <row r="394" spans="1:41" s="176" customFormat="1" ht="36" customHeight="1" x14ac:dyDescent="0.25">
      <c r="A394" s="176">
        <v>1</v>
      </c>
      <c r="B394" s="171">
        <f>SUBTOTAL(103,$A$16:A394)</f>
        <v>350</v>
      </c>
      <c r="C394" s="172" t="s">
        <v>1219</v>
      </c>
      <c r="D394" s="173">
        <v>1963</v>
      </c>
      <c r="E394" s="173"/>
      <c r="F394" s="174" t="s">
        <v>267</v>
      </c>
      <c r="G394" s="173">
        <v>2</v>
      </c>
      <c r="H394" s="173" t="s">
        <v>303</v>
      </c>
      <c r="I394" s="170">
        <v>663.1</v>
      </c>
      <c r="J394" s="170">
        <v>609.9</v>
      </c>
      <c r="K394" s="170">
        <v>609.9</v>
      </c>
      <c r="L394" s="206">
        <v>42</v>
      </c>
      <c r="M394" s="173" t="s">
        <v>265</v>
      </c>
      <c r="N394" s="173" t="s">
        <v>269</v>
      </c>
      <c r="O394" s="175" t="s">
        <v>1322</v>
      </c>
      <c r="P394" s="170">
        <v>2207932.36</v>
      </c>
      <c r="Q394" s="170">
        <v>0</v>
      </c>
      <c r="R394" s="170">
        <v>0</v>
      </c>
      <c r="S394" s="170">
        <f>P394-Q394-R394</f>
        <v>2207932.36</v>
      </c>
      <c r="T394" s="170">
        <f t="shared" si="35"/>
        <v>3329.7125018850847</v>
      </c>
      <c r="U394" s="170">
        <v>5325.6951922786902</v>
      </c>
      <c r="V394" s="202">
        <f t="shared" si="36"/>
        <v>1995.9826903936055</v>
      </c>
      <c r="W394" s="202">
        <f>X394+Y394+Z394+AA394+AB394+AD394+AF394+AH394+AJ394+AL394+AN394+AO394</f>
        <v>5105.7259849193179</v>
      </c>
      <c r="X394" s="202">
        <v>0</v>
      </c>
      <c r="Y394" s="203">
        <v>0</v>
      </c>
      <c r="Z394" s="203">
        <v>0</v>
      </c>
      <c r="AA394" s="203">
        <v>0</v>
      </c>
      <c r="AB394" s="203">
        <v>0</v>
      </c>
      <c r="AC394" s="203">
        <v>0</v>
      </c>
      <c r="AD394" s="203">
        <v>0</v>
      </c>
      <c r="AE394" s="203">
        <v>542.66</v>
      </c>
      <c r="AF394" s="202">
        <f>6238.91*AE394/I394</f>
        <v>5105.7259849193179</v>
      </c>
      <c r="AG394" s="203">
        <v>0</v>
      </c>
      <c r="AH394" s="202">
        <v>0</v>
      </c>
      <c r="AI394" s="203">
        <v>0</v>
      </c>
      <c r="AJ394" s="202">
        <v>0</v>
      </c>
      <c r="AK394" s="203">
        <v>0</v>
      </c>
      <c r="AL394" s="203">
        <v>0</v>
      </c>
      <c r="AM394" s="203">
        <v>0</v>
      </c>
      <c r="AN394" s="203"/>
      <c r="AO394" s="203">
        <v>0</v>
      </c>
    </row>
    <row r="395" spans="1:41" s="176" customFormat="1" ht="36" customHeight="1" x14ac:dyDescent="0.25">
      <c r="A395" s="176">
        <v>1</v>
      </c>
      <c r="B395" s="171">
        <f>SUBTOTAL(103,$A$16:A395)</f>
        <v>351</v>
      </c>
      <c r="C395" s="172" t="s">
        <v>1559</v>
      </c>
      <c r="D395" s="173">
        <v>1976</v>
      </c>
      <c r="E395" s="173"/>
      <c r="F395" s="174" t="s">
        <v>1562</v>
      </c>
      <c r="G395" s="173">
        <v>2</v>
      </c>
      <c r="H395" s="173" t="s">
        <v>304</v>
      </c>
      <c r="I395" s="170">
        <v>517.1</v>
      </c>
      <c r="J395" s="170">
        <v>372.1</v>
      </c>
      <c r="K395" s="170">
        <v>372.1</v>
      </c>
      <c r="L395" s="206">
        <v>18</v>
      </c>
      <c r="M395" s="173" t="s">
        <v>265</v>
      </c>
      <c r="N395" s="173" t="s">
        <v>266</v>
      </c>
      <c r="O395" s="175" t="s">
        <v>268</v>
      </c>
      <c r="P395" s="170">
        <v>54817.67</v>
      </c>
      <c r="Q395" s="170">
        <v>0</v>
      </c>
      <c r="R395" s="170">
        <v>0</v>
      </c>
      <c r="S395" s="170">
        <f>P395-R395-Q395</f>
        <v>54817.67</v>
      </c>
      <c r="T395" s="170">
        <f t="shared" si="35"/>
        <v>106.00980467994584</v>
      </c>
      <c r="U395" s="170">
        <v>106.00980467994584</v>
      </c>
      <c r="V395" s="202">
        <f t="shared" si="36"/>
        <v>0</v>
      </c>
      <c r="W395" s="202">
        <f>T395</f>
        <v>106.00980467994584</v>
      </c>
      <c r="X395" s="202">
        <v>0</v>
      </c>
      <c r="Y395" s="203">
        <v>0</v>
      </c>
      <c r="Z395" s="203">
        <v>0</v>
      </c>
      <c r="AA395" s="203">
        <v>0</v>
      </c>
      <c r="AB395" s="203">
        <v>0</v>
      </c>
      <c r="AC395" s="203">
        <v>0</v>
      </c>
      <c r="AD395" s="203">
        <v>0</v>
      </c>
      <c r="AE395" s="203">
        <v>0</v>
      </c>
      <c r="AF395" s="202">
        <v>0</v>
      </c>
      <c r="AG395" s="203">
        <v>0</v>
      </c>
      <c r="AH395" s="202">
        <v>0</v>
      </c>
      <c r="AI395" s="203">
        <v>0</v>
      </c>
      <c r="AJ395" s="202">
        <v>0</v>
      </c>
      <c r="AK395" s="203">
        <v>0</v>
      </c>
      <c r="AL395" s="203">
        <v>0</v>
      </c>
      <c r="AM395" s="203">
        <v>211.2</v>
      </c>
      <c r="AN395" s="203">
        <f>6984.52*AM395/I395</f>
        <v>2852.6989441113906</v>
      </c>
      <c r="AO395" s="203">
        <v>0</v>
      </c>
    </row>
    <row r="396" spans="1:41" s="176" customFormat="1" ht="36" customHeight="1" x14ac:dyDescent="0.25">
      <c r="B396" s="172" t="s">
        <v>863</v>
      </c>
      <c r="C396" s="172"/>
      <c r="D396" s="173" t="s">
        <v>882</v>
      </c>
      <c r="E396" s="173" t="s">
        <v>882</v>
      </c>
      <c r="F396" s="173" t="s">
        <v>882</v>
      </c>
      <c r="G396" s="173" t="s">
        <v>882</v>
      </c>
      <c r="H396" s="173" t="s">
        <v>882</v>
      </c>
      <c r="I396" s="177">
        <f>I397</f>
        <v>829.4</v>
      </c>
      <c r="J396" s="177">
        <f>J397</f>
        <v>758.4</v>
      </c>
      <c r="K396" s="177">
        <f>K397</f>
        <v>758.4</v>
      </c>
      <c r="L396" s="357">
        <f>L397</f>
        <v>42</v>
      </c>
      <c r="M396" s="173" t="s">
        <v>882</v>
      </c>
      <c r="N396" s="173" t="s">
        <v>882</v>
      </c>
      <c r="O396" s="175" t="s">
        <v>882</v>
      </c>
      <c r="P396" s="170">
        <v>2786770.47</v>
      </c>
      <c r="Q396" s="170">
        <f>Q397</f>
        <v>0</v>
      </c>
      <c r="R396" s="170">
        <f>R397</f>
        <v>0</v>
      </c>
      <c r="S396" s="170">
        <f>S397</f>
        <v>2786770.47</v>
      </c>
      <c r="T396" s="170">
        <f t="shared" si="35"/>
        <v>3359.9836870026529</v>
      </c>
      <c r="U396" s="170">
        <f>MAX(U397)</f>
        <v>7340.5278888353032</v>
      </c>
      <c r="V396" s="202">
        <f t="shared" si="36"/>
        <v>3980.5442018326503</v>
      </c>
      <c r="W396" s="202"/>
      <c r="X396" s="202"/>
      <c r="Y396" s="203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03"/>
      <c r="AJ396" s="203"/>
      <c r="AK396" s="203"/>
      <c r="AL396" s="203"/>
      <c r="AM396" s="203"/>
      <c r="AN396" s="203"/>
      <c r="AO396" s="203"/>
    </row>
    <row r="397" spans="1:41" s="176" customFormat="1" ht="36" customHeight="1" x14ac:dyDescent="0.25">
      <c r="A397" s="176">
        <v>1</v>
      </c>
      <c r="B397" s="171">
        <f>SUBTOTAL(103,$A$16:A397)</f>
        <v>352</v>
      </c>
      <c r="C397" s="172" t="s">
        <v>1221</v>
      </c>
      <c r="D397" s="173">
        <v>1972</v>
      </c>
      <c r="E397" s="173">
        <v>2010</v>
      </c>
      <c r="F397" s="174" t="s">
        <v>267</v>
      </c>
      <c r="G397" s="173">
        <v>2</v>
      </c>
      <c r="H397" s="173" t="s">
        <v>303</v>
      </c>
      <c r="I397" s="170">
        <v>829.4</v>
      </c>
      <c r="J397" s="170">
        <v>758.4</v>
      </c>
      <c r="K397" s="170">
        <v>758.4</v>
      </c>
      <c r="L397" s="206">
        <v>42</v>
      </c>
      <c r="M397" s="173" t="s">
        <v>265</v>
      </c>
      <c r="N397" s="173" t="s">
        <v>269</v>
      </c>
      <c r="O397" s="175" t="s">
        <v>802</v>
      </c>
      <c r="P397" s="170">
        <v>2786770.47</v>
      </c>
      <c r="Q397" s="170">
        <v>0</v>
      </c>
      <c r="R397" s="170">
        <v>0</v>
      </c>
      <c r="S397" s="170">
        <f>P397-Q397-R397</f>
        <v>2786770.47</v>
      </c>
      <c r="T397" s="170">
        <f t="shared" ref="T397:T460" si="39">P397/I397</f>
        <v>3359.9836870026529</v>
      </c>
      <c r="U397" s="170">
        <v>7340.5278888353032</v>
      </c>
      <c r="V397" s="202">
        <f>U397-T397</f>
        <v>3980.5442018326503</v>
      </c>
      <c r="W397" s="202">
        <f>X397+Y397+Z397+AA397+AB397+AD397+AF397+AH397+AJ397+AL397+AN397+AO397</f>
        <v>6301.439710634193</v>
      </c>
      <c r="X397" s="202">
        <v>0</v>
      </c>
      <c r="Y397" s="203">
        <v>0</v>
      </c>
      <c r="Z397" s="203">
        <v>0</v>
      </c>
      <c r="AA397" s="203">
        <v>0</v>
      </c>
      <c r="AB397" s="203">
        <v>0</v>
      </c>
      <c r="AC397" s="203">
        <v>0</v>
      </c>
      <c r="AD397" s="203">
        <v>0</v>
      </c>
      <c r="AE397" s="203">
        <v>0</v>
      </c>
      <c r="AF397" s="202">
        <v>0</v>
      </c>
      <c r="AG397" s="203">
        <v>0</v>
      </c>
      <c r="AH397" s="202">
        <v>0</v>
      </c>
      <c r="AI397" s="203">
        <v>702.56</v>
      </c>
      <c r="AJ397" s="202">
        <f>7439.1*AI397/I397</f>
        <v>6301.439710634193</v>
      </c>
      <c r="AK397" s="203">
        <v>0</v>
      </c>
      <c r="AL397" s="203">
        <v>0</v>
      </c>
      <c r="AM397" s="203">
        <v>0</v>
      </c>
      <c r="AN397" s="203"/>
      <c r="AO397" s="203">
        <v>0</v>
      </c>
    </row>
    <row r="398" spans="1:41" s="176" customFormat="1" ht="36" customHeight="1" x14ac:dyDescent="0.25">
      <c r="B398" s="172" t="s">
        <v>830</v>
      </c>
      <c r="C398" s="359"/>
      <c r="D398" s="173" t="s">
        <v>882</v>
      </c>
      <c r="E398" s="173" t="s">
        <v>882</v>
      </c>
      <c r="F398" s="173" t="s">
        <v>882</v>
      </c>
      <c r="G398" s="173" t="s">
        <v>882</v>
      </c>
      <c r="H398" s="173" t="s">
        <v>882</v>
      </c>
      <c r="I398" s="177">
        <f>SUM(I399:I405)</f>
        <v>10312.24</v>
      </c>
      <c r="J398" s="177">
        <f>SUM(J399:J405)</f>
        <v>9429.44</v>
      </c>
      <c r="K398" s="177">
        <f>SUM(K399:K405)</f>
        <v>8532.14</v>
      </c>
      <c r="L398" s="357">
        <f>SUM(L399:L405)</f>
        <v>425</v>
      </c>
      <c r="M398" s="173" t="s">
        <v>882</v>
      </c>
      <c r="N398" s="173" t="s">
        <v>882</v>
      </c>
      <c r="O398" s="175" t="s">
        <v>882</v>
      </c>
      <c r="P398" s="170">
        <v>8480737.0799999982</v>
      </c>
      <c r="Q398" s="170">
        <f>SUM(Q399:Q405)</f>
        <v>0</v>
      </c>
      <c r="R398" s="170">
        <f>SUM(R399:R405)</f>
        <v>0</v>
      </c>
      <c r="S398" s="170">
        <f>SUM(S399:S405)</f>
        <v>8480737.0799999982</v>
      </c>
      <c r="T398" s="170">
        <f t="shared" si="39"/>
        <v>822.39523905572389</v>
      </c>
      <c r="U398" s="170">
        <f>MAX(U399:U405)</f>
        <v>4797.49056381222</v>
      </c>
      <c r="V398" s="202">
        <f t="shared" si="36"/>
        <v>3975.0953247564962</v>
      </c>
      <c r="W398" s="202"/>
      <c r="X398" s="202"/>
      <c r="Y398" s="203"/>
      <c r="Z398" s="203"/>
      <c r="AA398" s="203"/>
      <c r="AB398" s="203"/>
      <c r="AC398" s="203"/>
      <c r="AD398" s="203"/>
      <c r="AE398" s="203"/>
      <c r="AF398" s="203"/>
      <c r="AG398" s="203"/>
      <c r="AH398" s="203"/>
      <c r="AI398" s="203"/>
      <c r="AJ398" s="203"/>
      <c r="AK398" s="203"/>
      <c r="AL398" s="203"/>
      <c r="AM398" s="203"/>
      <c r="AN398" s="203"/>
      <c r="AO398" s="203"/>
    </row>
    <row r="399" spans="1:41" s="176" customFormat="1" ht="36" customHeight="1" x14ac:dyDescent="0.25">
      <c r="A399" s="176">
        <v>1</v>
      </c>
      <c r="B399" s="171">
        <f>SUBTOTAL(103,$A$16:A399)</f>
        <v>353</v>
      </c>
      <c r="C399" s="172" t="s">
        <v>75</v>
      </c>
      <c r="D399" s="173">
        <v>1950</v>
      </c>
      <c r="E399" s="173"/>
      <c r="F399" s="174" t="s">
        <v>267</v>
      </c>
      <c r="G399" s="173">
        <v>3</v>
      </c>
      <c r="H399" s="173" t="s">
        <v>303</v>
      </c>
      <c r="I399" s="170">
        <v>847.8</v>
      </c>
      <c r="J399" s="170">
        <v>766.9</v>
      </c>
      <c r="K399" s="170">
        <v>663.2</v>
      </c>
      <c r="L399" s="206">
        <v>20</v>
      </c>
      <c r="M399" s="173" t="s">
        <v>265</v>
      </c>
      <c r="N399" s="173" t="s">
        <v>269</v>
      </c>
      <c r="O399" s="175" t="s">
        <v>276</v>
      </c>
      <c r="P399" s="170">
        <v>2519278.3999999994</v>
      </c>
      <c r="Q399" s="170">
        <v>0</v>
      </c>
      <c r="R399" s="170">
        <v>0</v>
      </c>
      <c r="S399" s="170">
        <f t="shared" ref="S399:S405" si="40">P399-Q399-R399</f>
        <v>2519278.3999999994</v>
      </c>
      <c r="T399" s="170">
        <f t="shared" si="39"/>
        <v>2971.548006605331</v>
      </c>
      <c r="U399" s="170">
        <v>4797.49056381222</v>
      </c>
      <c r="V399" s="202">
        <f t="shared" si="36"/>
        <v>1825.942557206889</v>
      </c>
      <c r="W399" s="202">
        <f t="shared" ref="W399:W405" si="41">X399+Y399+Z399+AA399+AB399+AD399+AF399+AH399+AJ399+AL399+AN399+AO399</f>
        <v>4599.33799245105</v>
      </c>
      <c r="X399" s="202">
        <v>0</v>
      </c>
      <c r="Y399" s="203">
        <v>0</v>
      </c>
      <c r="Z399" s="203">
        <v>0</v>
      </c>
      <c r="AA399" s="203">
        <v>0</v>
      </c>
      <c r="AB399" s="203">
        <v>0</v>
      </c>
      <c r="AC399" s="203">
        <v>0</v>
      </c>
      <c r="AD399" s="203">
        <v>0</v>
      </c>
      <c r="AE399" s="203">
        <v>625</v>
      </c>
      <c r="AF399" s="202">
        <f t="shared" ref="AF399:AF405" si="42">6238.91*AE399/I399</f>
        <v>4599.33799245105</v>
      </c>
      <c r="AG399" s="203">
        <v>0</v>
      </c>
      <c r="AH399" s="202">
        <v>0</v>
      </c>
      <c r="AI399" s="203">
        <v>0</v>
      </c>
      <c r="AJ399" s="202">
        <v>0</v>
      </c>
      <c r="AK399" s="203">
        <v>0</v>
      </c>
      <c r="AL399" s="203">
        <v>0</v>
      </c>
      <c r="AM399" s="203">
        <v>0</v>
      </c>
      <c r="AN399" s="203"/>
      <c r="AO399" s="203">
        <v>0</v>
      </c>
    </row>
    <row r="400" spans="1:41" s="176" customFormat="1" ht="36" customHeight="1" x14ac:dyDescent="0.25">
      <c r="A400" s="176">
        <v>1</v>
      </c>
      <c r="B400" s="171">
        <f>SUBTOTAL(103,$A$16:A400)</f>
        <v>354</v>
      </c>
      <c r="C400" s="172" t="s">
        <v>74</v>
      </c>
      <c r="D400" s="173">
        <v>1963</v>
      </c>
      <c r="E400" s="173"/>
      <c r="F400" s="174" t="s">
        <v>267</v>
      </c>
      <c r="G400" s="173">
        <v>4</v>
      </c>
      <c r="H400" s="173" t="s">
        <v>303</v>
      </c>
      <c r="I400" s="170">
        <v>1600.4</v>
      </c>
      <c r="J400" s="170">
        <v>1253</v>
      </c>
      <c r="K400" s="170">
        <v>1210.5999999999999</v>
      </c>
      <c r="L400" s="206">
        <v>54</v>
      </c>
      <c r="M400" s="173" t="s">
        <v>265</v>
      </c>
      <c r="N400" s="173" t="s">
        <v>269</v>
      </c>
      <c r="O400" s="175" t="s">
        <v>277</v>
      </c>
      <c r="P400" s="170">
        <v>2316768.9099999997</v>
      </c>
      <c r="Q400" s="170">
        <v>0</v>
      </c>
      <c r="R400" s="170">
        <v>0</v>
      </c>
      <c r="S400" s="170">
        <f t="shared" si="40"/>
        <v>2316768.9099999997</v>
      </c>
      <c r="T400" s="170">
        <f t="shared" si="39"/>
        <v>1447.6186640839787</v>
      </c>
      <c r="U400" s="170">
        <v>2001.8374843789052</v>
      </c>
      <c r="V400" s="202">
        <f t="shared" ref="V400:V463" si="43">U400-T400</f>
        <v>554.21882029492645</v>
      </c>
      <c r="W400" s="202">
        <f t="shared" si="41"/>
        <v>1964.7654586353412</v>
      </c>
      <c r="X400" s="202">
        <v>0</v>
      </c>
      <c r="Y400" s="203">
        <v>0</v>
      </c>
      <c r="Z400" s="203">
        <v>0</v>
      </c>
      <c r="AA400" s="203">
        <v>0</v>
      </c>
      <c r="AB400" s="203">
        <v>0</v>
      </c>
      <c r="AC400" s="203">
        <v>0</v>
      </c>
      <c r="AD400" s="203">
        <v>0</v>
      </c>
      <c r="AE400" s="203">
        <v>504</v>
      </c>
      <c r="AF400" s="202">
        <f t="shared" si="42"/>
        <v>1964.7654586353412</v>
      </c>
      <c r="AG400" s="203">
        <v>0</v>
      </c>
      <c r="AH400" s="202">
        <v>0</v>
      </c>
      <c r="AI400" s="203">
        <v>0</v>
      </c>
      <c r="AJ400" s="202">
        <v>0</v>
      </c>
      <c r="AK400" s="203">
        <v>0</v>
      </c>
      <c r="AL400" s="203">
        <v>0</v>
      </c>
      <c r="AM400" s="203">
        <v>0</v>
      </c>
      <c r="AN400" s="203"/>
      <c r="AO400" s="203">
        <v>0</v>
      </c>
    </row>
    <row r="401" spans="1:41" s="176" customFormat="1" ht="36" customHeight="1" x14ac:dyDescent="0.25">
      <c r="A401" s="176">
        <v>1</v>
      </c>
      <c r="B401" s="171">
        <f>SUBTOTAL(103,$A$16:A401)</f>
        <v>355</v>
      </c>
      <c r="C401" s="172" t="s">
        <v>76</v>
      </c>
      <c r="D401" s="173">
        <v>1948</v>
      </c>
      <c r="E401" s="173"/>
      <c r="F401" s="174" t="s">
        <v>267</v>
      </c>
      <c r="G401" s="173">
        <v>4</v>
      </c>
      <c r="H401" s="173" t="s">
        <v>312</v>
      </c>
      <c r="I401" s="170">
        <v>1954.5</v>
      </c>
      <c r="J401" s="170">
        <v>1781</v>
      </c>
      <c r="K401" s="170">
        <v>1514.3</v>
      </c>
      <c r="L401" s="206">
        <v>58</v>
      </c>
      <c r="M401" s="173" t="s">
        <v>265</v>
      </c>
      <c r="N401" s="173" t="s">
        <v>269</v>
      </c>
      <c r="O401" s="175" t="s">
        <v>278</v>
      </c>
      <c r="P401" s="170">
        <v>132502.74</v>
      </c>
      <c r="Q401" s="170">
        <v>0</v>
      </c>
      <c r="R401" s="170">
        <v>0</v>
      </c>
      <c r="S401" s="170">
        <f t="shared" si="40"/>
        <v>132502.74</v>
      </c>
      <c r="T401" s="170">
        <f t="shared" si="39"/>
        <v>67.793676132003071</v>
      </c>
      <c r="U401" s="170">
        <v>67.793676132003071</v>
      </c>
      <c r="V401" s="202">
        <f>U401-T401</f>
        <v>0</v>
      </c>
      <c r="W401" s="202">
        <f>X401+Y401+Z401+AA401+AB401+AD401+AF401+AH401+AJ401+AL401+AN401+AO401</f>
        <v>3045.23926323868</v>
      </c>
      <c r="X401" s="202">
        <v>0</v>
      </c>
      <c r="Y401" s="203">
        <v>0</v>
      </c>
      <c r="Z401" s="203">
        <v>0</v>
      </c>
      <c r="AA401" s="203">
        <v>0</v>
      </c>
      <c r="AB401" s="203">
        <v>0</v>
      </c>
      <c r="AC401" s="203">
        <v>0</v>
      </c>
      <c r="AD401" s="203">
        <v>0</v>
      </c>
      <c r="AE401" s="203">
        <v>954</v>
      </c>
      <c r="AF401" s="202">
        <f t="shared" si="42"/>
        <v>3045.23926323868</v>
      </c>
      <c r="AG401" s="203">
        <v>0</v>
      </c>
      <c r="AH401" s="202">
        <v>0</v>
      </c>
      <c r="AI401" s="203">
        <v>0</v>
      </c>
      <c r="AJ401" s="202">
        <v>0</v>
      </c>
      <c r="AK401" s="203">
        <v>0</v>
      </c>
      <c r="AL401" s="203">
        <v>0</v>
      </c>
      <c r="AM401" s="203">
        <v>0</v>
      </c>
      <c r="AN401" s="203"/>
      <c r="AO401" s="203">
        <v>0</v>
      </c>
    </row>
    <row r="402" spans="1:41" s="176" customFormat="1" ht="36" customHeight="1" x14ac:dyDescent="0.25">
      <c r="A402" s="176">
        <v>1</v>
      </c>
      <c r="B402" s="171">
        <f>SUBTOTAL(103,$A$16:A402)</f>
        <v>356</v>
      </c>
      <c r="C402" s="172" t="s">
        <v>1222</v>
      </c>
      <c r="D402" s="173">
        <v>1974</v>
      </c>
      <c r="E402" s="173"/>
      <c r="F402" s="174" t="s">
        <v>267</v>
      </c>
      <c r="G402" s="173">
        <v>5</v>
      </c>
      <c r="H402" s="173" t="s">
        <v>303</v>
      </c>
      <c r="I402" s="170">
        <v>3906.04</v>
      </c>
      <c r="J402" s="170">
        <v>3790.94</v>
      </c>
      <c r="K402" s="170">
        <v>3406.44</v>
      </c>
      <c r="L402" s="206">
        <v>200</v>
      </c>
      <c r="M402" s="173" t="s">
        <v>265</v>
      </c>
      <c r="N402" s="173" t="s">
        <v>269</v>
      </c>
      <c r="O402" s="175" t="s">
        <v>1321</v>
      </c>
      <c r="P402" s="170">
        <v>3299628.9099999997</v>
      </c>
      <c r="Q402" s="170">
        <v>0</v>
      </c>
      <c r="R402" s="170">
        <v>0</v>
      </c>
      <c r="S402" s="170">
        <f t="shared" si="40"/>
        <v>3299628.9099999997</v>
      </c>
      <c r="T402" s="170">
        <f t="shared" si="39"/>
        <v>844.75041474229647</v>
      </c>
      <c r="U402" s="170">
        <v>1624.6758179639737</v>
      </c>
      <c r="V402" s="202">
        <f>U402-T402</f>
        <v>779.92540322167724</v>
      </c>
      <c r="W402" s="202">
        <f>X402+Y402+Z402+AA402+AB402+AD402+AF402+AH402+AJ402+AL402+AN402+AO402</f>
        <v>1557.6351066553339</v>
      </c>
      <c r="X402" s="202">
        <v>0</v>
      </c>
      <c r="Y402" s="203">
        <v>0</v>
      </c>
      <c r="Z402" s="203">
        <v>0</v>
      </c>
      <c r="AA402" s="203">
        <v>0</v>
      </c>
      <c r="AB402" s="203">
        <v>0</v>
      </c>
      <c r="AC402" s="203">
        <v>0</v>
      </c>
      <c r="AD402" s="203">
        <v>0</v>
      </c>
      <c r="AE402" s="203">
        <v>975.2</v>
      </c>
      <c r="AF402" s="202">
        <f t="shared" si="42"/>
        <v>1557.6351066553339</v>
      </c>
      <c r="AG402" s="203">
        <v>0</v>
      </c>
      <c r="AH402" s="202">
        <v>0</v>
      </c>
      <c r="AI402" s="203">
        <v>0</v>
      </c>
      <c r="AJ402" s="202">
        <v>0</v>
      </c>
      <c r="AK402" s="203">
        <v>0</v>
      </c>
      <c r="AL402" s="203">
        <v>0</v>
      </c>
      <c r="AM402" s="203">
        <v>0</v>
      </c>
      <c r="AN402" s="203"/>
      <c r="AO402" s="203">
        <v>0</v>
      </c>
    </row>
    <row r="403" spans="1:41" s="176" customFormat="1" ht="36" customHeight="1" x14ac:dyDescent="0.25">
      <c r="A403" s="176">
        <v>1</v>
      </c>
      <c r="B403" s="171">
        <f>SUBTOTAL(103,$A$16:A403)</f>
        <v>357</v>
      </c>
      <c r="C403" s="172" t="s">
        <v>79</v>
      </c>
      <c r="D403" s="173">
        <v>1962</v>
      </c>
      <c r="E403" s="173"/>
      <c r="F403" s="174" t="s">
        <v>267</v>
      </c>
      <c r="G403" s="173">
        <v>2</v>
      </c>
      <c r="H403" s="173" t="s">
        <v>303</v>
      </c>
      <c r="I403" s="170">
        <v>355.8</v>
      </c>
      <c r="J403" s="170">
        <v>326.10000000000002</v>
      </c>
      <c r="K403" s="170">
        <v>326.10000000000002</v>
      </c>
      <c r="L403" s="206">
        <v>21</v>
      </c>
      <c r="M403" s="173" t="s">
        <v>265</v>
      </c>
      <c r="N403" s="173" t="s">
        <v>266</v>
      </c>
      <c r="O403" s="175" t="s">
        <v>268</v>
      </c>
      <c r="P403" s="170">
        <v>60672.79</v>
      </c>
      <c r="Q403" s="170">
        <v>0</v>
      </c>
      <c r="R403" s="170">
        <v>0</v>
      </c>
      <c r="S403" s="170">
        <f t="shared" si="40"/>
        <v>60672.79</v>
      </c>
      <c r="T403" s="170">
        <f t="shared" si="39"/>
        <v>170.52498594716133</v>
      </c>
      <c r="U403" s="170">
        <v>170.52498594716133</v>
      </c>
      <c r="V403" s="202">
        <f t="shared" si="43"/>
        <v>0</v>
      </c>
      <c r="W403" s="202">
        <f t="shared" si="41"/>
        <v>16728.274704890388</v>
      </c>
      <c r="X403" s="202">
        <v>0</v>
      </c>
      <c r="Y403" s="203">
        <v>0</v>
      </c>
      <c r="Z403" s="203">
        <v>0</v>
      </c>
      <c r="AA403" s="203">
        <v>0</v>
      </c>
      <c r="AB403" s="203">
        <v>0</v>
      </c>
      <c r="AC403" s="203">
        <v>0</v>
      </c>
      <c r="AD403" s="203">
        <v>0</v>
      </c>
      <c r="AE403" s="203">
        <v>954</v>
      </c>
      <c r="AF403" s="202">
        <f t="shared" si="42"/>
        <v>16728.274704890388</v>
      </c>
      <c r="AG403" s="203">
        <v>0</v>
      </c>
      <c r="AH403" s="202">
        <v>0</v>
      </c>
      <c r="AI403" s="203">
        <v>0</v>
      </c>
      <c r="AJ403" s="202">
        <v>0</v>
      </c>
      <c r="AK403" s="203">
        <v>0</v>
      </c>
      <c r="AL403" s="203">
        <v>0</v>
      </c>
      <c r="AM403" s="203">
        <v>0</v>
      </c>
      <c r="AN403" s="203"/>
      <c r="AO403" s="203">
        <v>0</v>
      </c>
    </row>
    <row r="404" spans="1:41" s="176" customFormat="1" ht="36" customHeight="1" x14ac:dyDescent="0.25">
      <c r="A404" s="176">
        <v>1</v>
      </c>
      <c r="B404" s="171">
        <f>SUBTOTAL(103,$A$16:A404)</f>
        <v>358</v>
      </c>
      <c r="C404" s="172" t="s">
        <v>80</v>
      </c>
      <c r="D404" s="173">
        <v>1964</v>
      </c>
      <c r="E404" s="173"/>
      <c r="F404" s="174" t="s">
        <v>267</v>
      </c>
      <c r="G404" s="173">
        <v>2</v>
      </c>
      <c r="H404" s="173" t="s">
        <v>303</v>
      </c>
      <c r="I404" s="170">
        <v>651.6</v>
      </c>
      <c r="J404" s="170">
        <v>628.9</v>
      </c>
      <c r="K404" s="170">
        <v>628.9</v>
      </c>
      <c r="L404" s="206">
        <v>42</v>
      </c>
      <c r="M404" s="173" t="s">
        <v>265</v>
      </c>
      <c r="N404" s="173" t="s">
        <v>266</v>
      </c>
      <c r="O404" s="175" t="s">
        <v>268</v>
      </c>
      <c r="P404" s="170">
        <v>60672.79</v>
      </c>
      <c r="Q404" s="170">
        <v>0</v>
      </c>
      <c r="R404" s="170">
        <v>0</v>
      </c>
      <c r="S404" s="170">
        <f t="shared" si="40"/>
        <v>60672.79</v>
      </c>
      <c r="T404" s="170">
        <f t="shared" si="39"/>
        <v>93.113551258440765</v>
      </c>
      <c r="U404" s="170">
        <v>93.113551258440765</v>
      </c>
      <c r="V404" s="202">
        <f t="shared" si="43"/>
        <v>0</v>
      </c>
      <c r="W404" s="202">
        <f t="shared" si="41"/>
        <v>9337.3005402087183</v>
      </c>
      <c r="X404" s="202">
        <v>0</v>
      </c>
      <c r="Y404" s="203">
        <v>0</v>
      </c>
      <c r="Z404" s="203">
        <v>0</v>
      </c>
      <c r="AA404" s="203">
        <v>0</v>
      </c>
      <c r="AB404" s="203">
        <v>0</v>
      </c>
      <c r="AC404" s="203">
        <v>0</v>
      </c>
      <c r="AD404" s="203">
        <v>0</v>
      </c>
      <c r="AE404" s="203">
        <v>975.2</v>
      </c>
      <c r="AF404" s="202">
        <f t="shared" si="42"/>
        <v>9337.3005402087183</v>
      </c>
      <c r="AG404" s="203">
        <v>0</v>
      </c>
      <c r="AH404" s="202">
        <v>0</v>
      </c>
      <c r="AI404" s="203">
        <v>0</v>
      </c>
      <c r="AJ404" s="202">
        <v>0</v>
      </c>
      <c r="AK404" s="203">
        <v>0</v>
      </c>
      <c r="AL404" s="203">
        <v>0</v>
      </c>
      <c r="AM404" s="203">
        <v>0</v>
      </c>
      <c r="AN404" s="203"/>
      <c r="AO404" s="203">
        <v>0</v>
      </c>
    </row>
    <row r="405" spans="1:41" s="176" customFormat="1" ht="36" customHeight="1" x14ac:dyDescent="0.25">
      <c r="A405" s="176">
        <v>1</v>
      </c>
      <c r="B405" s="171">
        <f>SUBTOTAL(103,$A$16:A405)</f>
        <v>359</v>
      </c>
      <c r="C405" s="172" t="s">
        <v>1664</v>
      </c>
      <c r="D405" s="173">
        <v>1953</v>
      </c>
      <c r="E405" s="173"/>
      <c r="F405" s="174" t="s">
        <v>267</v>
      </c>
      <c r="G405" s="173">
        <v>2</v>
      </c>
      <c r="H405" s="173" t="s">
        <v>312</v>
      </c>
      <c r="I405" s="170">
        <v>996.1</v>
      </c>
      <c r="J405" s="170">
        <v>882.6</v>
      </c>
      <c r="K405" s="170">
        <v>782.6</v>
      </c>
      <c r="L405" s="206">
        <v>30</v>
      </c>
      <c r="M405" s="173" t="s">
        <v>265</v>
      </c>
      <c r="N405" s="173" t="s">
        <v>266</v>
      </c>
      <c r="O405" s="175" t="s">
        <v>268</v>
      </c>
      <c r="P405" s="170">
        <v>91212.54</v>
      </c>
      <c r="Q405" s="170">
        <v>0</v>
      </c>
      <c r="R405" s="170">
        <v>0</v>
      </c>
      <c r="S405" s="170">
        <f t="shared" si="40"/>
        <v>91212.54</v>
      </c>
      <c r="T405" s="170">
        <f t="shared" si="39"/>
        <v>91.569661680554148</v>
      </c>
      <c r="U405" s="170">
        <v>91.569661680554148</v>
      </c>
      <c r="V405" s="202">
        <f t="shared" si="43"/>
        <v>0</v>
      </c>
      <c r="W405" s="202">
        <f t="shared" si="41"/>
        <v>3758.0022086135928</v>
      </c>
      <c r="X405" s="202">
        <v>0</v>
      </c>
      <c r="Y405" s="203">
        <v>0</v>
      </c>
      <c r="Z405" s="203">
        <v>0</v>
      </c>
      <c r="AA405" s="203">
        <v>0</v>
      </c>
      <c r="AB405" s="203">
        <v>0</v>
      </c>
      <c r="AC405" s="203">
        <v>0</v>
      </c>
      <c r="AD405" s="203">
        <v>0</v>
      </c>
      <c r="AE405" s="203">
        <v>600</v>
      </c>
      <c r="AF405" s="202">
        <f t="shared" si="42"/>
        <v>3758.0022086135928</v>
      </c>
      <c r="AG405" s="203">
        <v>0</v>
      </c>
      <c r="AH405" s="202">
        <v>0</v>
      </c>
      <c r="AI405" s="203">
        <v>0</v>
      </c>
      <c r="AJ405" s="202">
        <v>0</v>
      </c>
      <c r="AK405" s="203">
        <v>0</v>
      </c>
      <c r="AL405" s="203">
        <v>0</v>
      </c>
      <c r="AM405" s="203">
        <v>0</v>
      </c>
      <c r="AN405" s="203"/>
      <c r="AO405" s="203">
        <v>0</v>
      </c>
    </row>
    <row r="406" spans="1:41" s="176" customFormat="1" ht="36" customHeight="1" x14ac:dyDescent="0.25">
      <c r="B406" s="172" t="s">
        <v>831</v>
      </c>
      <c r="C406" s="172"/>
      <c r="D406" s="173" t="s">
        <v>882</v>
      </c>
      <c r="E406" s="173" t="s">
        <v>882</v>
      </c>
      <c r="F406" s="173" t="s">
        <v>882</v>
      </c>
      <c r="G406" s="173" t="s">
        <v>882</v>
      </c>
      <c r="H406" s="173" t="s">
        <v>882</v>
      </c>
      <c r="I406" s="177">
        <f>I407</f>
        <v>613</v>
      </c>
      <c r="J406" s="177">
        <f>J407</f>
        <v>386</v>
      </c>
      <c r="K406" s="177">
        <f>K407</f>
        <v>386</v>
      </c>
      <c r="L406" s="357">
        <f>L407</f>
        <v>32</v>
      </c>
      <c r="M406" s="173" t="s">
        <v>882</v>
      </c>
      <c r="N406" s="173" t="s">
        <v>882</v>
      </c>
      <c r="O406" s="175" t="s">
        <v>882</v>
      </c>
      <c r="P406" s="170">
        <v>2358530.46</v>
      </c>
      <c r="Q406" s="170">
        <f>Q407</f>
        <v>0</v>
      </c>
      <c r="R406" s="170">
        <f>R407</f>
        <v>0</v>
      </c>
      <c r="S406" s="170">
        <f>S407</f>
        <v>2358530.46</v>
      </c>
      <c r="T406" s="170">
        <f t="shared" si="39"/>
        <v>3847.521141924959</v>
      </c>
      <c r="U406" s="170">
        <f>MAX(U407)</f>
        <v>5735.3750815660678</v>
      </c>
      <c r="V406" s="202">
        <f t="shared" si="43"/>
        <v>1887.8539396411088</v>
      </c>
      <c r="W406" s="202"/>
      <c r="X406" s="202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203"/>
      <c r="AL406" s="203"/>
      <c r="AM406" s="203"/>
      <c r="AN406" s="203"/>
      <c r="AO406" s="203"/>
    </row>
    <row r="407" spans="1:41" s="176" customFormat="1" ht="36" customHeight="1" x14ac:dyDescent="0.25">
      <c r="A407" s="176">
        <v>1</v>
      </c>
      <c r="B407" s="171">
        <f>SUBTOTAL(103,$A$16:A407)</f>
        <v>360</v>
      </c>
      <c r="C407" s="172" t="s">
        <v>77</v>
      </c>
      <c r="D407" s="173">
        <v>1966</v>
      </c>
      <c r="E407" s="173"/>
      <c r="F407" s="174" t="s">
        <v>267</v>
      </c>
      <c r="G407" s="173">
        <v>2</v>
      </c>
      <c r="H407" s="173" t="s">
        <v>303</v>
      </c>
      <c r="I407" s="170">
        <v>613</v>
      </c>
      <c r="J407" s="170">
        <v>386</v>
      </c>
      <c r="K407" s="170">
        <v>386</v>
      </c>
      <c r="L407" s="206">
        <v>32</v>
      </c>
      <c r="M407" s="173" t="s">
        <v>265</v>
      </c>
      <c r="N407" s="173" t="s">
        <v>266</v>
      </c>
      <c r="O407" s="175" t="s">
        <v>268</v>
      </c>
      <c r="P407" s="170">
        <v>2358530.46</v>
      </c>
      <c r="Q407" s="170">
        <v>0</v>
      </c>
      <c r="R407" s="170">
        <v>0</v>
      </c>
      <c r="S407" s="170">
        <f>P407-Q407-R407</f>
        <v>2358530.46</v>
      </c>
      <c r="T407" s="170">
        <f t="shared" si="39"/>
        <v>3847.521141924959</v>
      </c>
      <c r="U407" s="170">
        <v>5735.3750815660678</v>
      </c>
      <c r="V407" s="202">
        <f>U407-T407</f>
        <v>1887.8539396411088</v>
      </c>
      <c r="W407" s="202">
        <f>X407+Y407+Z407+AA407+AB407+AD407+AF407+AH407+AJ407+AL407+AN407+AO407</f>
        <v>6086.2449918433931</v>
      </c>
      <c r="X407" s="202">
        <v>0</v>
      </c>
      <c r="Y407" s="203">
        <v>0</v>
      </c>
      <c r="Z407" s="203">
        <v>0</v>
      </c>
      <c r="AA407" s="203">
        <v>0</v>
      </c>
      <c r="AB407" s="203">
        <v>0</v>
      </c>
      <c r="AC407" s="203">
        <v>0</v>
      </c>
      <c r="AD407" s="203">
        <v>0</v>
      </c>
      <c r="AE407" s="203">
        <v>598</v>
      </c>
      <c r="AF407" s="202">
        <f>6238.91*AE407/I407</f>
        <v>6086.2449918433931</v>
      </c>
      <c r="AG407" s="203">
        <v>0</v>
      </c>
      <c r="AH407" s="202">
        <v>0</v>
      </c>
      <c r="AI407" s="203">
        <v>0</v>
      </c>
      <c r="AJ407" s="202">
        <v>0</v>
      </c>
      <c r="AK407" s="203">
        <v>0</v>
      </c>
      <c r="AL407" s="203">
        <v>0</v>
      </c>
      <c r="AM407" s="203">
        <v>0</v>
      </c>
      <c r="AN407" s="203"/>
      <c r="AO407" s="203">
        <v>0</v>
      </c>
    </row>
    <row r="408" spans="1:41" s="176" customFormat="1" ht="36" customHeight="1" x14ac:dyDescent="0.25">
      <c r="B408" s="172" t="s">
        <v>864</v>
      </c>
      <c r="C408" s="172"/>
      <c r="D408" s="173" t="s">
        <v>882</v>
      </c>
      <c r="E408" s="173" t="s">
        <v>882</v>
      </c>
      <c r="F408" s="173" t="s">
        <v>882</v>
      </c>
      <c r="G408" s="173" t="s">
        <v>882</v>
      </c>
      <c r="H408" s="173" t="s">
        <v>882</v>
      </c>
      <c r="I408" s="177">
        <f>SUM(I409:I411)</f>
        <v>866.6</v>
      </c>
      <c r="J408" s="177">
        <f>SUM(J409:J411)</f>
        <v>817.90000000000009</v>
      </c>
      <c r="K408" s="177">
        <f>SUM(K409:K411)</f>
        <v>794.40000000000009</v>
      </c>
      <c r="L408" s="357">
        <f>SUM(L409:L411)</f>
        <v>34</v>
      </c>
      <c r="M408" s="173" t="s">
        <v>882</v>
      </c>
      <c r="N408" s="173" t="s">
        <v>882</v>
      </c>
      <c r="O408" s="175" t="s">
        <v>882</v>
      </c>
      <c r="P408" s="170">
        <v>178408.21000000002</v>
      </c>
      <c r="Q408" s="170">
        <f>SUM(Q409:Q411)</f>
        <v>0</v>
      </c>
      <c r="R408" s="170">
        <f>SUM(R409:R411)</f>
        <v>0</v>
      </c>
      <c r="S408" s="170">
        <f>SUM(S409:S411)</f>
        <v>178408.21000000002</v>
      </c>
      <c r="T408" s="170">
        <f t="shared" si="39"/>
        <v>205.87146318947615</v>
      </c>
      <c r="U408" s="170">
        <f>MAX(U409:U411)</f>
        <v>282.33215434083604</v>
      </c>
      <c r="V408" s="202">
        <f t="shared" si="43"/>
        <v>76.460691151359896</v>
      </c>
      <c r="W408" s="202"/>
      <c r="X408" s="202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</row>
    <row r="409" spans="1:41" s="176" customFormat="1" ht="36" customHeight="1" x14ac:dyDescent="0.25">
      <c r="A409" s="176">
        <v>1</v>
      </c>
      <c r="B409" s="171">
        <f>SUBTOTAL(103,$A$16:A409)</f>
        <v>361</v>
      </c>
      <c r="C409" s="172" t="s">
        <v>1224</v>
      </c>
      <c r="D409" s="173">
        <v>1962</v>
      </c>
      <c r="E409" s="173"/>
      <c r="F409" s="174" t="s">
        <v>267</v>
      </c>
      <c r="G409" s="173">
        <v>2</v>
      </c>
      <c r="H409" s="173" t="s">
        <v>304</v>
      </c>
      <c r="I409" s="170">
        <v>311</v>
      </c>
      <c r="J409" s="170">
        <v>311</v>
      </c>
      <c r="K409" s="170">
        <v>287.5</v>
      </c>
      <c r="L409" s="206">
        <v>10</v>
      </c>
      <c r="M409" s="173" t="s">
        <v>265</v>
      </c>
      <c r="N409" s="173" t="s">
        <v>269</v>
      </c>
      <c r="O409" s="175" t="s">
        <v>1295</v>
      </c>
      <c r="P409" s="170">
        <v>87805.3</v>
      </c>
      <c r="Q409" s="170">
        <v>0</v>
      </c>
      <c r="R409" s="170">
        <v>0</v>
      </c>
      <c r="S409" s="170">
        <f>P409-Q409-R409</f>
        <v>87805.3</v>
      </c>
      <c r="T409" s="170">
        <f t="shared" si="39"/>
        <v>282.33215434083604</v>
      </c>
      <c r="U409" s="170">
        <v>282.33215434083604</v>
      </c>
      <c r="V409" s="202">
        <f>U409-T409</f>
        <v>0</v>
      </c>
      <c r="W409" s="202">
        <f>T409</f>
        <v>282.33215434083604</v>
      </c>
      <c r="X409" s="202">
        <v>0</v>
      </c>
      <c r="Y409" s="203">
        <v>0</v>
      </c>
      <c r="Z409" s="203">
        <v>0</v>
      </c>
      <c r="AA409" s="203">
        <v>184.98</v>
      </c>
      <c r="AB409" s="203">
        <v>0</v>
      </c>
      <c r="AC409" s="203">
        <v>0</v>
      </c>
      <c r="AD409" s="203">
        <v>0</v>
      </c>
      <c r="AE409" s="203">
        <v>0</v>
      </c>
      <c r="AF409" s="202">
        <v>0</v>
      </c>
      <c r="AG409" s="203">
        <v>0</v>
      </c>
      <c r="AH409" s="202">
        <v>0</v>
      </c>
      <c r="AI409" s="203">
        <v>0</v>
      </c>
      <c r="AJ409" s="202">
        <v>0</v>
      </c>
      <c r="AK409" s="203">
        <v>0</v>
      </c>
      <c r="AL409" s="203">
        <v>0</v>
      </c>
      <c r="AM409" s="203">
        <v>0</v>
      </c>
      <c r="AN409" s="203"/>
      <c r="AO409" s="203">
        <v>0</v>
      </c>
    </row>
    <row r="410" spans="1:41" s="176" customFormat="1" ht="36" customHeight="1" x14ac:dyDescent="0.25">
      <c r="A410" s="176">
        <v>1</v>
      </c>
      <c r="B410" s="171">
        <f>SUBTOTAL(103,$A$16:A410)</f>
        <v>362</v>
      </c>
      <c r="C410" s="172" t="s">
        <v>81</v>
      </c>
      <c r="D410" s="173">
        <v>1931</v>
      </c>
      <c r="E410" s="173"/>
      <c r="F410" s="174" t="s">
        <v>267</v>
      </c>
      <c r="G410" s="173">
        <v>2</v>
      </c>
      <c r="H410" s="173" t="s">
        <v>304</v>
      </c>
      <c r="I410" s="170">
        <v>345.1</v>
      </c>
      <c r="J410" s="170">
        <v>319.60000000000002</v>
      </c>
      <c r="K410" s="170">
        <v>319.60000000000002</v>
      </c>
      <c r="L410" s="206">
        <v>9</v>
      </c>
      <c r="M410" s="173" t="s">
        <v>265</v>
      </c>
      <c r="N410" s="173" t="s">
        <v>266</v>
      </c>
      <c r="O410" s="175" t="s">
        <v>268</v>
      </c>
      <c r="P410" s="170">
        <v>50003.71</v>
      </c>
      <c r="Q410" s="170">
        <v>0</v>
      </c>
      <c r="R410" s="170">
        <v>0</v>
      </c>
      <c r="S410" s="170">
        <f>P410-Q410-R410</f>
        <v>50003.71</v>
      </c>
      <c r="T410" s="170">
        <f t="shared" si="39"/>
        <v>144.89629093016515</v>
      </c>
      <c r="U410" s="170">
        <v>144.89629093016515</v>
      </c>
      <c r="V410" s="202">
        <f>U410-T410</f>
        <v>0</v>
      </c>
      <c r="W410" s="202">
        <f>T410</f>
        <v>144.89629093016515</v>
      </c>
      <c r="X410" s="202">
        <v>0</v>
      </c>
      <c r="Y410" s="203">
        <v>0</v>
      </c>
      <c r="Z410" s="203">
        <v>0</v>
      </c>
      <c r="AA410" s="203">
        <v>184.98</v>
      </c>
      <c r="AB410" s="203">
        <v>0</v>
      </c>
      <c r="AC410" s="203">
        <v>0</v>
      </c>
      <c r="AD410" s="203">
        <v>0</v>
      </c>
      <c r="AE410" s="203">
        <v>0</v>
      </c>
      <c r="AF410" s="202">
        <v>0</v>
      </c>
      <c r="AG410" s="203">
        <v>0</v>
      </c>
      <c r="AH410" s="202">
        <v>0</v>
      </c>
      <c r="AI410" s="203">
        <v>0</v>
      </c>
      <c r="AJ410" s="202">
        <v>0</v>
      </c>
      <c r="AK410" s="203">
        <v>0</v>
      </c>
      <c r="AL410" s="203">
        <v>0</v>
      </c>
      <c r="AM410" s="203">
        <v>0</v>
      </c>
      <c r="AN410" s="203"/>
      <c r="AO410" s="203">
        <v>0</v>
      </c>
    </row>
    <row r="411" spans="1:41" s="176" customFormat="1" ht="36" customHeight="1" x14ac:dyDescent="0.25">
      <c r="A411" s="176">
        <v>1</v>
      </c>
      <c r="B411" s="171">
        <f>SUBTOTAL(103,$A$16:A411)</f>
        <v>363</v>
      </c>
      <c r="C411" s="172" t="s">
        <v>82</v>
      </c>
      <c r="D411" s="173">
        <v>1965</v>
      </c>
      <c r="E411" s="173"/>
      <c r="F411" s="174" t="s">
        <v>267</v>
      </c>
      <c r="G411" s="173">
        <v>2</v>
      </c>
      <c r="H411" s="173" t="s">
        <v>304</v>
      </c>
      <c r="I411" s="170">
        <v>210.5</v>
      </c>
      <c r="J411" s="170">
        <v>187.3</v>
      </c>
      <c r="K411" s="170">
        <v>187.3</v>
      </c>
      <c r="L411" s="206">
        <v>15</v>
      </c>
      <c r="M411" s="173" t="s">
        <v>265</v>
      </c>
      <c r="N411" s="173" t="s">
        <v>269</v>
      </c>
      <c r="O411" s="175" t="s">
        <v>279</v>
      </c>
      <c r="P411" s="170">
        <v>40599.199999999997</v>
      </c>
      <c r="Q411" s="170">
        <v>0</v>
      </c>
      <c r="R411" s="170">
        <v>0</v>
      </c>
      <c r="S411" s="170">
        <f>P411-Q411-R411</f>
        <v>40599.199999999997</v>
      </c>
      <c r="T411" s="170">
        <f t="shared" si="39"/>
        <v>192.87030878859855</v>
      </c>
      <c r="U411" s="170">
        <v>192.87030878859855</v>
      </c>
      <c r="V411" s="202">
        <f>U411-T411</f>
        <v>0</v>
      </c>
      <c r="W411" s="202">
        <f>T411</f>
        <v>192.87030878859855</v>
      </c>
      <c r="X411" s="202">
        <v>0</v>
      </c>
      <c r="Y411" s="203">
        <v>0</v>
      </c>
      <c r="Z411" s="203">
        <v>0</v>
      </c>
      <c r="AA411" s="203">
        <v>184.98</v>
      </c>
      <c r="AB411" s="203">
        <v>0</v>
      </c>
      <c r="AC411" s="203">
        <v>0</v>
      </c>
      <c r="AD411" s="203">
        <v>0</v>
      </c>
      <c r="AE411" s="203">
        <v>0</v>
      </c>
      <c r="AF411" s="202">
        <v>0</v>
      </c>
      <c r="AG411" s="203">
        <v>0</v>
      </c>
      <c r="AH411" s="202">
        <v>0</v>
      </c>
      <c r="AI411" s="203">
        <v>0</v>
      </c>
      <c r="AJ411" s="202">
        <v>0</v>
      </c>
      <c r="AK411" s="203">
        <v>0</v>
      </c>
      <c r="AL411" s="203">
        <v>0</v>
      </c>
      <c r="AM411" s="203">
        <v>0</v>
      </c>
      <c r="AN411" s="203"/>
      <c r="AO411" s="203">
        <v>0</v>
      </c>
    </row>
    <row r="412" spans="1:41" s="176" customFormat="1" ht="36" customHeight="1" x14ac:dyDescent="0.25">
      <c r="B412" s="172" t="s">
        <v>832</v>
      </c>
      <c r="C412" s="359"/>
      <c r="D412" s="173" t="s">
        <v>882</v>
      </c>
      <c r="E412" s="173" t="s">
        <v>882</v>
      </c>
      <c r="F412" s="173" t="s">
        <v>882</v>
      </c>
      <c r="G412" s="173" t="s">
        <v>882</v>
      </c>
      <c r="H412" s="173" t="s">
        <v>882</v>
      </c>
      <c r="I412" s="177">
        <f>SUM(I413:I415)</f>
        <v>3663.2799999999997</v>
      </c>
      <c r="J412" s="177">
        <f>SUM(J413:J415)</f>
        <v>2787.65</v>
      </c>
      <c r="K412" s="177">
        <f>SUM(K413:K415)</f>
        <v>2473.65</v>
      </c>
      <c r="L412" s="357">
        <f>SUM(L413:L415)</f>
        <v>115</v>
      </c>
      <c r="M412" s="173" t="s">
        <v>882</v>
      </c>
      <c r="N412" s="173" t="s">
        <v>882</v>
      </c>
      <c r="O412" s="175" t="s">
        <v>882</v>
      </c>
      <c r="P412" s="177">
        <v>8700170.3300000001</v>
      </c>
      <c r="Q412" s="177">
        <f>SUM(Q413:Q415)</f>
        <v>0</v>
      </c>
      <c r="R412" s="177">
        <f>SUM(R413:R415)</f>
        <v>0</v>
      </c>
      <c r="S412" s="177">
        <f>SUM(S413:S415)</f>
        <v>8700170.3300000001</v>
      </c>
      <c r="T412" s="170">
        <f t="shared" si="39"/>
        <v>2374.9673325544322</v>
      </c>
      <c r="U412" s="170">
        <f>MAX(U413:U415)</f>
        <v>5752.3124668609562</v>
      </c>
      <c r="V412" s="202">
        <f t="shared" si="43"/>
        <v>3377.345134306524</v>
      </c>
      <c r="W412" s="202"/>
      <c r="X412" s="202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</row>
    <row r="413" spans="1:41" s="176" customFormat="1" ht="36" customHeight="1" x14ac:dyDescent="0.25">
      <c r="A413" s="176">
        <v>1</v>
      </c>
      <c r="B413" s="171">
        <f>SUBTOTAL(103,$A$16:A413)</f>
        <v>364</v>
      </c>
      <c r="C413" s="172" t="s">
        <v>107</v>
      </c>
      <c r="D413" s="173">
        <v>1961</v>
      </c>
      <c r="E413" s="173"/>
      <c r="F413" s="174" t="s">
        <v>267</v>
      </c>
      <c r="G413" s="173">
        <v>3</v>
      </c>
      <c r="H413" s="173" t="s">
        <v>303</v>
      </c>
      <c r="I413" s="170">
        <v>1048.3800000000001</v>
      </c>
      <c r="J413" s="170">
        <v>975.35</v>
      </c>
      <c r="K413" s="170">
        <v>975.35</v>
      </c>
      <c r="L413" s="206">
        <v>49</v>
      </c>
      <c r="M413" s="173" t="s">
        <v>265</v>
      </c>
      <c r="N413" s="173" t="s">
        <v>269</v>
      </c>
      <c r="O413" s="175" t="s">
        <v>1071</v>
      </c>
      <c r="P413" s="170">
        <v>1877560.0999999999</v>
      </c>
      <c r="Q413" s="170">
        <v>0</v>
      </c>
      <c r="R413" s="170">
        <v>0</v>
      </c>
      <c r="S413" s="170">
        <f>P413-Q413-R413</f>
        <v>1877560.0999999999</v>
      </c>
      <c r="T413" s="170">
        <f t="shared" si="39"/>
        <v>1790.9156031210055</v>
      </c>
      <c r="U413" s="170">
        <v>3409.9036999942764</v>
      </c>
      <c r="V413" s="202">
        <f t="shared" si="43"/>
        <v>1618.9880968732709</v>
      </c>
      <c r="W413" s="202">
        <f>X413+Y413+Z413+AA413+AB413+AD413+AF413+AH413+AJ413+AL413+AN413+AO413</f>
        <v>3269.0631548675096</v>
      </c>
      <c r="X413" s="202">
        <v>0</v>
      </c>
      <c r="Y413" s="203">
        <v>0</v>
      </c>
      <c r="Z413" s="203">
        <v>0</v>
      </c>
      <c r="AA413" s="203">
        <v>0</v>
      </c>
      <c r="AB413" s="203">
        <v>0</v>
      </c>
      <c r="AC413" s="203">
        <v>0</v>
      </c>
      <c r="AD413" s="203">
        <v>0</v>
      </c>
      <c r="AE413" s="203">
        <v>549.33000000000004</v>
      </c>
      <c r="AF413" s="202">
        <f>6238.91*AE413/I413</f>
        <v>3269.0631548675096</v>
      </c>
      <c r="AG413" s="203">
        <v>0</v>
      </c>
      <c r="AH413" s="202">
        <v>0</v>
      </c>
      <c r="AI413" s="203">
        <v>0</v>
      </c>
      <c r="AJ413" s="202">
        <v>0</v>
      </c>
      <c r="AK413" s="203">
        <v>0</v>
      </c>
      <c r="AL413" s="203">
        <v>0</v>
      </c>
      <c r="AM413" s="203">
        <v>0</v>
      </c>
      <c r="AN413" s="203"/>
      <c r="AO413" s="203">
        <v>0</v>
      </c>
    </row>
    <row r="414" spans="1:41" s="176" customFormat="1" ht="36" customHeight="1" x14ac:dyDescent="0.25">
      <c r="A414" s="176">
        <v>1</v>
      </c>
      <c r="B414" s="171">
        <f>SUBTOTAL(103,$A$16:A414)</f>
        <v>365</v>
      </c>
      <c r="C414" s="172" t="s">
        <v>109</v>
      </c>
      <c r="D414" s="173">
        <v>1977</v>
      </c>
      <c r="E414" s="173"/>
      <c r="F414" s="174" t="s">
        <v>267</v>
      </c>
      <c r="G414" s="173">
        <v>2</v>
      </c>
      <c r="H414" s="173" t="s">
        <v>312</v>
      </c>
      <c r="I414" s="170">
        <v>1063.7</v>
      </c>
      <c r="J414" s="170">
        <v>938.3</v>
      </c>
      <c r="K414" s="170">
        <v>938.3</v>
      </c>
      <c r="L414" s="206">
        <v>34</v>
      </c>
      <c r="M414" s="173" t="s">
        <v>265</v>
      </c>
      <c r="N414" s="173" t="s">
        <v>266</v>
      </c>
      <c r="O414" s="175" t="s">
        <v>268</v>
      </c>
      <c r="P414" s="170">
        <v>3555061.2899999996</v>
      </c>
      <c r="Q414" s="170">
        <v>0</v>
      </c>
      <c r="R414" s="170">
        <v>0</v>
      </c>
      <c r="S414" s="170">
        <f>P414-Q414-R414</f>
        <v>3555061.2899999996</v>
      </c>
      <c r="T414" s="170">
        <f t="shared" si="39"/>
        <v>3342.1653567735257</v>
      </c>
      <c r="U414" s="170">
        <v>5752.3124668609562</v>
      </c>
      <c r="V414" s="202">
        <f t="shared" si="43"/>
        <v>2410.1471100874305</v>
      </c>
      <c r="W414" s="202">
        <f>X414+Y414+Z414+AA414+AB414+AD414+AF414+AH414+AJ414+AL414+AN414+AO414</f>
        <v>5514.7225244899873</v>
      </c>
      <c r="X414" s="202">
        <v>0</v>
      </c>
      <c r="Y414" s="203">
        <v>0</v>
      </c>
      <c r="Z414" s="203">
        <v>0</v>
      </c>
      <c r="AA414" s="203">
        <v>0</v>
      </c>
      <c r="AB414" s="203">
        <v>0</v>
      </c>
      <c r="AC414" s="203">
        <v>0</v>
      </c>
      <c r="AD414" s="203">
        <v>0</v>
      </c>
      <c r="AE414" s="203">
        <v>940.23</v>
      </c>
      <c r="AF414" s="202">
        <f>6238.91*AE414/I414</f>
        <v>5514.7225244899873</v>
      </c>
      <c r="AG414" s="203">
        <v>0</v>
      </c>
      <c r="AH414" s="202">
        <v>0</v>
      </c>
      <c r="AI414" s="203">
        <v>0</v>
      </c>
      <c r="AJ414" s="202">
        <v>0</v>
      </c>
      <c r="AK414" s="203">
        <v>0</v>
      </c>
      <c r="AL414" s="203">
        <v>0</v>
      </c>
      <c r="AM414" s="203">
        <v>0</v>
      </c>
      <c r="AN414" s="203"/>
      <c r="AO414" s="203">
        <v>0</v>
      </c>
    </row>
    <row r="415" spans="1:41" s="176" customFormat="1" ht="36" customHeight="1" x14ac:dyDescent="0.25">
      <c r="A415" s="176">
        <v>1</v>
      </c>
      <c r="B415" s="171">
        <f>SUBTOTAL(103,$A$16:A415)</f>
        <v>366</v>
      </c>
      <c r="C415" s="172" t="s">
        <v>1225</v>
      </c>
      <c r="D415" s="173">
        <v>1934</v>
      </c>
      <c r="E415" s="173"/>
      <c r="F415" s="174" t="s">
        <v>267</v>
      </c>
      <c r="G415" s="173">
        <v>2</v>
      </c>
      <c r="H415" s="173" t="s">
        <v>312</v>
      </c>
      <c r="I415" s="170">
        <v>1551.2</v>
      </c>
      <c r="J415" s="170">
        <v>874</v>
      </c>
      <c r="K415" s="170">
        <v>560</v>
      </c>
      <c r="L415" s="206">
        <v>32</v>
      </c>
      <c r="M415" s="173" t="s">
        <v>265</v>
      </c>
      <c r="N415" s="173" t="s">
        <v>266</v>
      </c>
      <c r="O415" s="175" t="s">
        <v>268</v>
      </c>
      <c r="P415" s="170">
        <v>3267548.94</v>
      </c>
      <c r="Q415" s="170">
        <v>0</v>
      </c>
      <c r="R415" s="170">
        <v>0</v>
      </c>
      <c r="S415" s="170">
        <f>P415-Q415-R415</f>
        <v>3267548.94</v>
      </c>
      <c r="T415" s="170">
        <f t="shared" si="39"/>
        <v>2106.465278494069</v>
      </c>
      <c r="U415" s="170">
        <v>3387.2595281072713</v>
      </c>
      <c r="V415" s="202">
        <f t="shared" si="43"/>
        <v>1280.7942496132023</v>
      </c>
      <c r="W415" s="202">
        <f>T415</f>
        <v>2106.465278494069</v>
      </c>
      <c r="X415" s="202">
        <v>0</v>
      </c>
      <c r="Y415" s="203">
        <v>0</v>
      </c>
      <c r="Z415" s="203">
        <v>0</v>
      </c>
      <c r="AA415" s="203">
        <v>0</v>
      </c>
      <c r="AB415" s="203">
        <v>0</v>
      </c>
      <c r="AC415" s="203">
        <v>0</v>
      </c>
      <c r="AD415" s="203">
        <v>0</v>
      </c>
      <c r="AE415" s="203">
        <v>0</v>
      </c>
      <c r="AF415" s="202">
        <v>0</v>
      </c>
      <c r="AG415" s="203">
        <v>0</v>
      </c>
      <c r="AH415" s="202">
        <v>0</v>
      </c>
      <c r="AI415" s="203">
        <v>0</v>
      </c>
      <c r="AJ415" s="202">
        <v>0</v>
      </c>
      <c r="AK415" s="203">
        <v>0</v>
      </c>
      <c r="AL415" s="203">
        <v>0</v>
      </c>
      <c r="AM415" s="203">
        <v>763.84</v>
      </c>
      <c r="AN415" s="203">
        <f>6984.52*AM415/I415</f>
        <v>3439.3087653429607</v>
      </c>
      <c r="AO415" s="203">
        <v>0</v>
      </c>
    </row>
    <row r="416" spans="1:41" s="176" customFormat="1" ht="36" customHeight="1" x14ac:dyDescent="0.25">
      <c r="B416" s="172" t="s">
        <v>833</v>
      </c>
      <c r="C416" s="359"/>
      <c r="D416" s="173" t="s">
        <v>882</v>
      </c>
      <c r="E416" s="173" t="s">
        <v>882</v>
      </c>
      <c r="F416" s="173" t="s">
        <v>882</v>
      </c>
      <c r="G416" s="173" t="s">
        <v>882</v>
      </c>
      <c r="H416" s="173" t="s">
        <v>882</v>
      </c>
      <c r="I416" s="177">
        <f>I417</f>
        <v>2767.4</v>
      </c>
      <c r="J416" s="177">
        <f>J417</f>
        <v>2688.9</v>
      </c>
      <c r="K416" s="177">
        <f>K417</f>
        <v>2688.9</v>
      </c>
      <c r="L416" s="357">
        <f>L417</f>
        <v>31</v>
      </c>
      <c r="M416" s="173" t="s">
        <v>882</v>
      </c>
      <c r="N416" s="173" t="s">
        <v>882</v>
      </c>
      <c r="O416" s="175" t="s">
        <v>882</v>
      </c>
      <c r="P416" s="170">
        <v>4281723.32</v>
      </c>
      <c r="Q416" s="170">
        <f>Q417</f>
        <v>0</v>
      </c>
      <c r="R416" s="170">
        <f>R417</f>
        <v>2908349.77</v>
      </c>
      <c r="S416" s="170">
        <f>S417</f>
        <v>1373373.5500000003</v>
      </c>
      <c r="T416" s="170">
        <f t="shared" si="39"/>
        <v>1547.2007371540074</v>
      </c>
      <c r="U416" s="170">
        <f>MAX(U417)</f>
        <v>2271.0165769314153</v>
      </c>
      <c r="V416" s="202">
        <f t="shared" si="43"/>
        <v>723.81583977740797</v>
      </c>
      <c r="W416" s="202"/>
      <c r="X416" s="202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  <c r="AJ416" s="203"/>
      <c r="AK416" s="203"/>
      <c r="AL416" s="203"/>
      <c r="AM416" s="203"/>
      <c r="AN416" s="203"/>
      <c r="AO416" s="203"/>
    </row>
    <row r="417" spans="1:41" s="176" customFormat="1" ht="36" customHeight="1" x14ac:dyDescent="0.25">
      <c r="A417" s="176">
        <v>1</v>
      </c>
      <c r="B417" s="171">
        <f>SUBTOTAL(103,$A$16:A417)</f>
        <v>367</v>
      </c>
      <c r="C417" s="172" t="s">
        <v>40</v>
      </c>
      <c r="D417" s="173">
        <v>1979</v>
      </c>
      <c r="E417" s="173"/>
      <c r="F417" s="174" t="s">
        <v>267</v>
      </c>
      <c r="G417" s="173">
        <v>5</v>
      </c>
      <c r="H417" s="173" t="s">
        <v>308</v>
      </c>
      <c r="I417" s="170">
        <v>2767.4</v>
      </c>
      <c r="J417" s="170">
        <v>2688.9</v>
      </c>
      <c r="K417" s="170">
        <v>2688.9</v>
      </c>
      <c r="L417" s="206">
        <v>31</v>
      </c>
      <c r="M417" s="173" t="s">
        <v>265</v>
      </c>
      <c r="N417" s="173" t="s">
        <v>266</v>
      </c>
      <c r="O417" s="175" t="s">
        <v>268</v>
      </c>
      <c r="P417" s="170">
        <v>4281723.32</v>
      </c>
      <c r="Q417" s="170">
        <v>0</v>
      </c>
      <c r="R417" s="170">
        <v>2908349.77</v>
      </c>
      <c r="S417" s="170">
        <f>P417-R417</f>
        <v>1373373.5500000003</v>
      </c>
      <c r="T417" s="170">
        <f t="shared" si="39"/>
        <v>1547.2007371540074</v>
      </c>
      <c r="U417" s="170">
        <v>2271.0165769314153</v>
      </c>
      <c r="V417" s="202">
        <f>U417-T417</f>
        <v>723.81583977740797</v>
      </c>
      <c r="W417" s="202">
        <f>X417+Y417+Z417+AA417+AB417+AD417+AF417+AH417+AJ417+AL417+AN417+AO417</f>
        <v>2502.4174676591742</v>
      </c>
      <c r="X417" s="202">
        <v>0</v>
      </c>
      <c r="Y417" s="203">
        <v>0</v>
      </c>
      <c r="Z417" s="203">
        <v>0</v>
      </c>
      <c r="AA417" s="203">
        <v>0</v>
      </c>
      <c r="AB417" s="203">
        <v>0</v>
      </c>
      <c r="AC417" s="203">
        <v>0</v>
      </c>
      <c r="AD417" s="203">
        <v>0</v>
      </c>
      <c r="AE417" s="203">
        <v>1110</v>
      </c>
      <c r="AF417" s="202">
        <f>6238.91*AE417/I417</f>
        <v>2502.4174676591742</v>
      </c>
      <c r="AG417" s="203">
        <v>0</v>
      </c>
      <c r="AH417" s="202">
        <v>0</v>
      </c>
      <c r="AI417" s="203">
        <v>0</v>
      </c>
      <c r="AJ417" s="202">
        <v>0</v>
      </c>
      <c r="AK417" s="203">
        <v>0</v>
      </c>
      <c r="AL417" s="203">
        <v>0</v>
      </c>
      <c r="AM417" s="203">
        <v>0</v>
      </c>
      <c r="AN417" s="203"/>
      <c r="AO417" s="203">
        <v>0</v>
      </c>
    </row>
    <row r="418" spans="1:41" s="176" customFormat="1" ht="36" customHeight="1" x14ac:dyDescent="0.25">
      <c r="B418" s="172" t="s">
        <v>834</v>
      </c>
      <c r="C418" s="172"/>
      <c r="D418" s="173" t="s">
        <v>882</v>
      </c>
      <c r="E418" s="173" t="s">
        <v>882</v>
      </c>
      <c r="F418" s="173" t="s">
        <v>882</v>
      </c>
      <c r="G418" s="173" t="s">
        <v>882</v>
      </c>
      <c r="H418" s="173" t="s">
        <v>882</v>
      </c>
      <c r="I418" s="177">
        <f>SUM(I419:I421)</f>
        <v>15666.63</v>
      </c>
      <c r="J418" s="177">
        <f>SUM(J419:J421)</f>
        <v>12577.22</v>
      </c>
      <c r="K418" s="177">
        <f>SUM(K419:K421)</f>
        <v>12577.22</v>
      </c>
      <c r="L418" s="357">
        <f>SUM(L419:L421)</f>
        <v>545</v>
      </c>
      <c r="M418" s="173" t="s">
        <v>882</v>
      </c>
      <c r="N418" s="173" t="s">
        <v>882</v>
      </c>
      <c r="O418" s="175" t="s">
        <v>882</v>
      </c>
      <c r="P418" s="177">
        <v>2434186.5899999994</v>
      </c>
      <c r="Q418" s="177">
        <f>SUM(Q419:Q421)</f>
        <v>0</v>
      </c>
      <c r="R418" s="177">
        <f>SUM(R419:R421)</f>
        <v>0</v>
      </c>
      <c r="S418" s="177">
        <f>SUM(S419:S421)</f>
        <v>2434186.5899999994</v>
      </c>
      <c r="T418" s="170">
        <f t="shared" si="39"/>
        <v>155.37397576887943</v>
      </c>
      <c r="U418" s="170">
        <f>MAX(U419:U421)</f>
        <v>3820.48</v>
      </c>
      <c r="V418" s="202">
        <f t="shared" si="43"/>
        <v>3665.1060242311205</v>
      </c>
      <c r="W418" s="202"/>
      <c r="X418" s="202"/>
      <c r="Y418" s="203"/>
      <c r="Z418" s="203"/>
      <c r="AA418" s="203"/>
      <c r="AB418" s="203"/>
      <c r="AC418" s="203"/>
      <c r="AD418" s="203"/>
      <c r="AE418" s="203"/>
      <c r="AF418" s="203"/>
      <c r="AG418" s="203"/>
      <c r="AH418" s="203"/>
      <c r="AI418" s="203"/>
      <c r="AJ418" s="203"/>
      <c r="AK418" s="203"/>
      <c r="AL418" s="203"/>
      <c r="AM418" s="203"/>
      <c r="AN418" s="203"/>
      <c r="AO418" s="203"/>
    </row>
    <row r="419" spans="1:41" s="176" customFormat="1" ht="36" customHeight="1" x14ac:dyDescent="0.25">
      <c r="A419" s="176">
        <v>1</v>
      </c>
      <c r="B419" s="171">
        <f>SUBTOTAL(103,$A$16:A419)</f>
        <v>368</v>
      </c>
      <c r="C419" s="172" t="s">
        <v>63</v>
      </c>
      <c r="D419" s="173">
        <v>1976</v>
      </c>
      <c r="E419" s="173"/>
      <c r="F419" s="174" t="s">
        <v>267</v>
      </c>
      <c r="G419" s="173">
        <v>5</v>
      </c>
      <c r="H419" s="173" t="s">
        <v>370</v>
      </c>
      <c r="I419" s="170">
        <v>4783.1499999999996</v>
      </c>
      <c r="J419" s="170">
        <v>4417.7</v>
      </c>
      <c r="K419" s="170">
        <v>4417.7</v>
      </c>
      <c r="L419" s="206">
        <v>190</v>
      </c>
      <c r="M419" s="173" t="s">
        <v>265</v>
      </c>
      <c r="N419" s="173" t="s">
        <v>269</v>
      </c>
      <c r="O419" s="175" t="s">
        <v>270</v>
      </c>
      <c r="P419" s="170">
        <v>158769.03</v>
      </c>
      <c r="Q419" s="170">
        <v>0</v>
      </c>
      <c r="R419" s="170">
        <v>0</v>
      </c>
      <c r="S419" s="170">
        <f>P419-Q419-R419</f>
        <v>158769.03</v>
      </c>
      <c r="T419" s="170">
        <f t="shared" si="39"/>
        <v>33.193403928373563</v>
      </c>
      <c r="U419" s="170">
        <v>33.193403928373563</v>
      </c>
      <c r="V419" s="202">
        <f t="shared" si="43"/>
        <v>0</v>
      </c>
      <c r="W419" s="202">
        <f>X419+Y419+Z419+AA419+AB419+AD419+AF419+AH419+AJ419+AL419+AN419+AO419</f>
        <v>1852.1794633243783</v>
      </c>
      <c r="X419" s="202">
        <v>0</v>
      </c>
      <c r="Y419" s="203">
        <v>0</v>
      </c>
      <c r="Z419" s="203">
        <v>0</v>
      </c>
      <c r="AA419" s="203">
        <v>0</v>
      </c>
      <c r="AB419" s="203">
        <v>0</v>
      </c>
      <c r="AC419" s="203">
        <v>0</v>
      </c>
      <c r="AD419" s="203">
        <v>0</v>
      </c>
      <c r="AE419" s="203">
        <v>1420</v>
      </c>
      <c r="AF419" s="202">
        <f>6238.91*AE419/I419</f>
        <v>1852.1794633243783</v>
      </c>
      <c r="AG419" s="203">
        <v>0</v>
      </c>
      <c r="AH419" s="202">
        <v>0</v>
      </c>
      <c r="AI419" s="203">
        <v>0</v>
      </c>
      <c r="AJ419" s="202">
        <v>0</v>
      </c>
      <c r="AK419" s="203">
        <v>0</v>
      </c>
      <c r="AL419" s="203">
        <v>0</v>
      </c>
      <c r="AM419" s="203">
        <v>0</v>
      </c>
      <c r="AN419" s="203"/>
      <c r="AO419" s="203">
        <v>0</v>
      </c>
    </row>
    <row r="420" spans="1:41" s="176" customFormat="1" ht="36" customHeight="1" x14ac:dyDescent="0.25">
      <c r="A420" s="176">
        <v>1</v>
      </c>
      <c r="B420" s="171">
        <f>SUBTOTAL(103,$A$16:A420)</f>
        <v>369</v>
      </c>
      <c r="C420" s="172" t="s">
        <v>1240</v>
      </c>
      <c r="D420" s="173">
        <v>1969</v>
      </c>
      <c r="E420" s="173"/>
      <c r="F420" s="174" t="s">
        <v>267</v>
      </c>
      <c r="G420" s="173">
        <v>5</v>
      </c>
      <c r="H420" s="173" t="s">
        <v>303</v>
      </c>
      <c r="I420" s="170">
        <v>3712.73</v>
      </c>
      <c r="J420" s="170">
        <v>3066.62</v>
      </c>
      <c r="K420" s="170">
        <v>3066.62</v>
      </c>
      <c r="L420" s="206">
        <v>137</v>
      </c>
      <c r="M420" s="173" t="s">
        <v>265</v>
      </c>
      <c r="N420" s="173" t="s">
        <v>269</v>
      </c>
      <c r="O420" s="175" t="s">
        <v>1291</v>
      </c>
      <c r="P420" s="170">
        <v>2151195.7399999998</v>
      </c>
      <c r="Q420" s="170">
        <v>0</v>
      </c>
      <c r="R420" s="170">
        <v>0</v>
      </c>
      <c r="S420" s="170">
        <f>P420-Q420-R420</f>
        <v>2151195.7399999998</v>
      </c>
      <c r="T420" s="170">
        <f t="shared" si="39"/>
        <v>579.41076781775132</v>
      </c>
      <c r="U420" s="170">
        <v>3820.48</v>
      </c>
      <c r="V420" s="202">
        <f t="shared" si="43"/>
        <v>3241.0692321822489</v>
      </c>
      <c r="W420" s="202">
        <f>X420+Y420+Z420+AA420+AB420+AD420+AF420+AH420+AJ420+AL420+AN420+AO420</f>
        <v>3791.6299999999997</v>
      </c>
      <c r="X420" s="202">
        <v>101.55</v>
      </c>
      <c r="Y420" s="203">
        <v>245.44</v>
      </c>
      <c r="Z420" s="203">
        <v>3259.66</v>
      </c>
      <c r="AA420" s="203">
        <v>184.98</v>
      </c>
      <c r="AB420" s="203">
        <v>0</v>
      </c>
      <c r="AC420" s="203">
        <v>0</v>
      </c>
      <c r="AD420" s="203">
        <v>0</v>
      </c>
      <c r="AE420" s="203">
        <v>0</v>
      </c>
      <c r="AF420" s="202">
        <v>0</v>
      </c>
      <c r="AG420" s="203">
        <v>0</v>
      </c>
      <c r="AH420" s="202">
        <v>0</v>
      </c>
      <c r="AI420" s="203">
        <v>0</v>
      </c>
      <c r="AJ420" s="202">
        <v>0</v>
      </c>
      <c r="AK420" s="203">
        <v>0</v>
      </c>
      <c r="AL420" s="203">
        <v>0</v>
      </c>
      <c r="AM420" s="203">
        <v>0</v>
      </c>
      <c r="AN420" s="203"/>
      <c r="AO420" s="203">
        <v>0</v>
      </c>
    </row>
    <row r="421" spans="1:41" s="176" customFormat="1" ht="36" customHeight="1" x14ac:dyDescent="0.25">
      <c r="A421" s="176">
        <v>1</v>
      </c>
      <c r="B421" s="171">
        <f>SUBTOTAL(103,$A$16:A421)</f>
        <v>370</v>
      </c>
      <c r="C421" s="172" t="s">
        <v>52</v>
      </c>
      <c r="D421" s="173">
        <v>1981</v>
      </c>
      <c r="E421" s="173"/>
      <c r="F421" s="174" t="s">
        <v>267</v>
      </c>
      <c r="G421" s="173">
        <v>5</v>
      </c>
      <c r="H421" s="173" t="s">
        <v>2250</v>
      </c>
      <c r="I421" s="170">
        <v>7170.75</v>
      </c>
      <c r="J421" s="170">
        <v>5092.8999999999996</v>
      </c>
      <c r="K421" s="170">
        <v>5092.8999999999996</v>
      </c>
      <c r="L421" s="206">
        <v>218</v>
      </c>
      <c r="M421" s="173" t="s">
        <v>265</v>
      </c>
      <c r="N421" s="173" t="s">
        <v>269</v>
      </c>
      <c r="O421" s="175" t="s">
        <v>270</v>
      </c>
      <c r="P421" s="170">
        <v>124221.82</v>
      </c>
      <c r="Q421" s="170">
        <v>0</v>
      </c>
      <c r="R421" s="170">
        <v>0</v>
      </c>
      <c r="S421" s="170">
        <f>P421-R421-Q421</f>
        <v>124221.82</v>
      </c>
      <c r="T421" s="170">
        <f t="shared" si="39"/>
        <v>17.323406896070843</v>
      </c>
      <c r="U421" s="170">
        <v>17.323406896070843</v>
      </c>
      <c r="V421" s="202">
        <f t="shared" si="43"/>
        <v>0</v>
      </c>
      <c r="W421" s="202">
        <f>X421+Y421+Z421+AA421+AB421+AD421+AF421+AH421+AJ421+AL421+AN421+AO421</f>
        <v>1184.137853083708</v>
      </c>
      <c r="X421" s="202">
        <v>0</v>
      </c>
      <c r="Y421" s="203">
        <v>0</v>
      </c>
      <c r="Z421" s="203">
        <v>0</v>
      </c>
      <c r="AA421" s="203">
        <v>0</v>
      </c>
      <c r="AB421" s="203">
        <v>0</v>
      </c>
      <c r="AC421" s="203">
        <v>0</v>
      </c>
      <c r="AD421" s="203">
        <v>0</v>
      </c>
      <c r="AE421" s="203">
        <v>1361</v>
      </c>
      <c r="AF421" s="202">
        <f>6238.91*AE421/I421</f>
        <v>1184.137853083708</v>
      </c>
      <c r="AG421" s="203">
        <v>0</v>
      </c>
      <c r="AH421" s="202">
        <v>0</v>
      </c>
      <c r="AI421" s="203">
        <v>0</v>
      </c>
      <c r="AJ421" s="202">
        <v>0</v>
      </c>
      <c r="AK421" s="203">
        <v>0</v>
      </c>
      <c r="AL421" s="203">
        <v>0</v>
      </c>
      <c r="AM421" s="203">
        <v>0</v>
      </c>
      <c r="AN421" s="203"/>
      <c r="AO421" s="203">
        <v>0</v>
      </c>
    </row>
    <row r="422" spans="1:41" s="176" customFormat="1" ht="36" customHeight="1" x14ac:dyDescent="0.25">
      <c r="B422" s="172" t="s">
        <v>835</v>
      </c>
      <c r="C422" s="172"/>
      <c r="D422" s="173" t="s">
        <v>882</v>
      </c>
      <c r="E422" s="173" t="s">
        <v>882</v>
      </c>
      <c r="F422" s="173" t="s">
        <v>882</v>
      </c>
      <c r="G422" s="173" t="s">
        <v>882</v>
      </c>
      <c r="H422" s="173" t="s">
        <v>882</v>
      </c>
      <c r="I422" s="177">
        <f>SUM(I423:I428)</f>
        <v>14224.350000000002</v>
      </c>
      <c r="J422" s="177">
        <f>SUM(J423:J428)</f>
        <v>11894.25</v>
      </c>
      <c r="K422" s="177">
        <f>SUM(K423:K428)</f>
        <v>11435.45</v>
      </c>
      <c r="L422" s="357">
        <f>SUM(L423:L428)</f>
        <v>742</v>
      </c>
      <c r="M422" s="173" t="s">
        <v>882</v>
      </c>
      <c r="N422" s="173" t="s">
        <v>882</v>
      </c>
      <c r="O422" s="175" t="s">
        <v>882</v>
      </c>
      <c r="P422" s="177">
        <v>19736488.859999999</v>
      </c>
      <c r="Q422" s="177">
        <f>SUM(Q423:Q428)</f>
        <v>0</v>
      </c>
      <c r="R422" s="177">
        <f>SUM(R423:R428)</f>
        <v>0</v>
      </c>
      <c r="S422" s="177">
        <f>SUM(S423:S428)</f>
        <v>19736488.859999999</v>
      </c>
      <c r="T422" s="170">
        <f t="shared" si="39"/>
        <v>1387.5142878233448</v>
      </c>
      <c r="U422" s="170">
        <f>MAX(U423:U428)</f>
        <v>6123.0721713300127</v>
      </c>
      <c r="V422" s="202">
        <f t="shared" si="43"/>
        <v>4735.5578835066681</v>
      </c>
      <c r="W422" s="202"/>
      <c r="X422" s="202"/>
      <c r="Y422" s="203"/>
      <c r="Z422" s="203"/>
      <c r="AA422" s="203"/>
      <c r="AB422" s="203"/>
      <c r="AC422" s="203"/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</row>
    <row r="423" spans="1:41" s="176" customFormat="1" ht="36" customHeight="1" x14ac:dyDescent="0.25">
      <c r="A423" s="176">
        <v>1</v>
      </c>
      <c r="B423" s="171">
        <f>SUBTOTAL(103,$A$16:A423)</f>
        <v>371</v>
      </c>
      <c r="C423" s="172" t="s">
        <v>47</v>
      </c>
      <c r="D423" s="173">
        <v>1964</v>
      </c>
      <c r="E423" s="173"/>
      <c r="F423" s="174" t="s">
        <v>267</v>
      </c>
      <c r="G423" s="173">
        <v>3</v>
      </c>
      <c r="H423" s="173" t="s">
        <v>303</v>
      </c>
      <c r="I423" s="170">
        <v>961.6</v>
      </c>
      <c r="J423" s="170">
        <v>723.4</v>
      </c>
      <c r="K423" s="170">
        <v>723.4</v>
      </c>
      <c r="L423" s="206">
        <v>25</v>
      </c>
      <c r="M423" s="173" t="s">
        <v>265</v>
      </c>
      <c r="N423" s="173" t="s">
        <v>269</v>
      </c>
      <c r="O423" s="175" t="s">
        <v>271</v>
      </c>
      <c r="P423" s="170">
        <v>106790.64</v>
      </c>
      <c r="Q423" s="170">
        <v>0</v>
      </c>
      <c r="R423" s="170">
        <v>0</v>
      </c>
      <c r="S423" s="170">
        <f t="shared" ref="S423:S428" si="44">P423-Q423-R423</f>
        <v>106790.64</v>
      </c>
      <c r="T423" s="170">
        <f t="shared" si="39"/>
        <v>111.05515806988352</v>
      </c>
      <c r="U423" s="170">
        <v>111.05515806988352</v>
      </c>
      <c r="V423" s="202">
        <f t="shared" si="43"/>
        <v>0</v>
      </c>
      <c r="W423" s="202">
        <f t="shared" ref="W423:W428" si="45">X423+Y423+Z423+AA423+AB423+AD423+AF423+AH423+AJ423+AL423+AN423+AO423</f>
        <v>4066.0616649334447</v>
      </c>
      <c r="X423" s="202">
        <v>0</v>
      </c>
      <c r="Y423" s="203">
        <v>0</v>
      </c>
      <c r="Z423" s="203">
        <v>0</v>
      </c>
      <c r="AA423" s="203">
        <v>0</v>
      </c>
      <c r="AB423" s="203">
        <v>0</v>
      </c>
      <c r="AC423" s="203">
        <v>0</v>
      </c>
      <c r="AD423" s="203">
        <v>0</v>
      </c>
      <c r="AE423" s="203">
        <v>626.70000000000005</v>
      </c>
      <c r="AF423" s="202">
        <f>6238.91*AE423/I423</f>
        <v>4066.0616649334447</v>
      </c>
      <c r="AG423" s="203">
        <v>0</v>
      </c>
      <c r="AH423" s="202">
        <v>0</v>
      </c>
      <c r="AI423" s="203">
        <v>0</v>
      </c>
      <c r="AJ423" s="202">
        <v>0</v>
      </c>
      <c r="AK423" s="203">
        <v>0</v>
      </c>
      <c r="AL423" s="203">
        <v>0</v>
      </c>
      <c r="AM423" s="203">
        <v>0</v>
      </c>
      <c r="AN423" s="203"/>
      <c r="AO423" s="203">
        <v>0</v>
      </c>
    </row>
    <row r="424" spans="1:41" s="176" customFormat="1" ht="36" customHeight="1" x14ac:dyDescent="0.25">
      <c r="A424" s="176">
        <v>1</v>
      </c>
      <c r="B424" s="171">
        <f>SUBTOTAL(103,$A$16:A424)</f>
        <v>372</v>
      </c>
      <c r="C424" s="172" t="s">
        <v>788</v>
      </c>
      <c r="D424" s="173">
        <v>1989</v>
      </c>
      <c r="E424" s="173"/>
      <c r="F424" s="174" t="s">
        <v>267</v>
      </c>
      <c r="G424" s="173">
        <v>4</v>
      </c>
      <c r="H424" s="173" t="s">
        <v>304</v>
      </c>
      <c r="I424" s="170">
        <v>1871.3</v>
      </c>
      <c r="J424" s="170">
        <v>779.1</v>
      </c>
      <c r="K424" s="170">
        <v>779.1</v>
      </c>
      <c r="L424" s="206">
        <v>88</v>
      </c>
      <c r="M424" s="173" t="s">
        <v>265</v>
      </c>
      <c r="N424" s="173" t="s">
        <v>266</v>
      </c>
      <c r="O424" s="175" t="s">
        <v>268</v>
      </c>
      <c r="P424" s="170">
        <v>2606495.48</v>
      </c>
      <c r="Q424" s="170">
        <v>0</v>
      </c>
      <c r="R424" s="170">
        <v>0</v>
      </c>
      <c r="S424" s="170">
        <f t="shared" si="44"/>
        <v>2606495.48</v>
      </c>
      <c r="T424" s="170">
        <f t="shared" si="39"/>
        <v>1392.87953828889</v>
      </c>
      <c r="U424" s="170">
        <v>2152.6566023619944</v>
      </c>
      <c r="V424" s="202">
        <f t="shared" si="43"/>
        <v>759.77706407310438</v>
      </c>
      <c r="W424" s="202">
        <f t="shared" si="45"/>
        <v>2147.0945545877198</v>
      </c>
      <c r="X424" s="202">
        <v>0</v>
      </c>
      <c r="Y424" s="203">
        <v>0</v>
      </c>
      <c r="Z424" s="203">
        <v>0</v>
      </c>
      <c r="AA424" s="203">
        <v>0</v>
      </c>
      <c r="AB424" s="203">
        <v>0</v>
      </c>
      <c r="AC424" s="203">
        <v>0</v>
      </c>
      <c r="AD424" s="203">
        <v>0</v>
      </c>
      <c r="AE424" s="203">
        <v>644</v>
      </c>
      <c r="AF424" s="202">
        <f>6238.91*AE424/I424</f>
        <v>2147.0945545877198</v>
      </c>
      <c r="AG424" s="203">
        <v>0</v>
      </c>
      <c r="AH424" s="202">
        <v>0</v>
      </c>
      <c r="AI424" s="203">
        <v>0</v>
      </c>
      <c r="AJ424" s="202">
        <v>0</v>
      </c>
      <c r="AK424" s="203">
        <v>0</v>
      </c>
      <c r="AL424" s="203">
        <v>0</v>
      </c>
      <c r="AM424" s="203">
        <v>0</v>
      </c>
      <c r="AN424" s="203"/>
      <c r="AO424" s="203">
        <v>0</v>
      </c>
    </row>
    <row r="425" spans="1:41" s="176" customFormat="1" ht="36" customHeight="1" x14ac:dyDescent="0.25">
      <c r="A425" s="176">
        <v>1</v>
      </c>
      <c r="B425" s="171">
        <f>SUBTOTAL(103,$A$16:A425)</f>
        <v>373</v>
      </c>
      <c r="C425" s="172" t="s">
        <v>1228</v>
      </c>
      <c r="D425" s="173">
        <v>1977</v>
      </c>
      <c r="E425" s="173"/>
      <c r="F425" s="174" t="s">
        <v>267</v>
      </c>
      <c r="G425" s="173">
        <v>5</v>
      </c>
      <c r="H425" s="173" t="s">
        <v>308</v>
      </c>
      <c r="I425" s="170">
        <v>3134.05</v>
      </c>
      <c r="J425" s="170">
        <v>3134.05</v>
      </c>
      <c r="K425" s="170">
        <v>3134.05</v>
      </c>
      <c r="L425" s="206">
        <v>182</v>
      </c>
      <c r="M425" s="173" t="s">
        <v>265</v>
      </c>
      <c r="N425" s="173" t="s">
        <v>269</v>
      </c>
      <c r="O425" s="175" t="s">
        <v>1293</v>
      </c>
      <c r="P425" s="170">
        <v>5055398.58</v>
      </c>
      <c r="Q425" s="170">
        <v>0</v>
      </c>
      <c r="R425" s="170">
        <v>0</v>
      </c>
      <c r="S425" s="170">
        <f t="shared" si="44"/>
        <v>5055398.58</v>
      </c>
      <c r="T425" s="170">
        <f t="shared" si="39"/>
        <v>1613.0561350329444</v>
      </c>
      <c r="U425" s="170">
        <v>3820.48</v>
      </c>
      <c r="V425" s="202">
        <f t="shared" si="43"/>
        <v>2207.4238649670556</v>
      </c>
      <c r="W425" s="202">
        <f t="shared" si="45"/>
        <v>3791.6299999999997</v>
      </c>
      <c r="X425" s="202">
        <v>101.55</v>
      </c>
      <c r="Y425" s="203">
        <v>245.44</v>
      </c>
      <c r="Z425" s="203">
        <v>3259.66</v>
      </c>
      <c r="AA425" s="203">
        <v>184.98</v>
      </c>
      <c r="AB425" s="203">
        <v>0</v>
      </c>
      <c r="AC425" s="203">
        <v>0</v>
      </c>
      <c r="AD425" s="203">
        <v>0</v>
      </c>
      <c r="AE425" s="203">
        <v>0</v>
      </c>
      <c r="AF425" s="202">
        <v>0</v>
      </c>
      <c r="AG425" s="203">
        <v>0</v>
      </c>
      <c r="AH425" s="202">
        <v>0</v>
      </c>
      <c r="AI425" s="203">
        <v>0</v>
      </c>
      <c r="AJ425" s="202">
        <v>0</v>
      </c>
      <c r="AK425" s="203">
        <v>0</v>
      </c>
      <c r="AL425" s="203">
        <v>0</v>
      </c>
      <c r="AM425" s="203">
        <v>0</v>
      </c>
      <c r="AN425" s="203"/>
      <c r="AO425" s="203">
        <v>0</v>
      </c>
    </row>
    <row r="426" spans="1:41" s="176" customFormat="1" ht="36" customHeight="1" x14ac:dyDescent="0.25">
      <c r="A426" s="176">
        <v>1</v>
      </c>
      <c r="B426" s="171">
        <f>SUBTOTAL(103,$A$16:A426)</f>
        <v>374</v>
      </c>
      <c r="C426" s="172" t="s">
        <v>1229</v>
      </c>
      <c r="D426" s="173">
        <v>1992</v>
      </c>
      <c r="E426" s="173"/>
      <c r="F426" s="174" t="s">
        <v>267</v>
      </c>
      <c r="G426" s="173">
        <v>5</v>
      </c>
      <c r="H426" s="173" t="s">
        <v>351</v>
      </c>
      <c r="I426" s="170">
        <v>3322.7</v>
      </c>
      <c r="J426" s="170">
        <v>3322.7</v>
      </c>
      <c r="K426" s="170">
        <v>3322.7</v>
      </c>
      <c r="L426" s="206">
        <v>157</v>
      </c>
      <c r="M426" s="173" t="s">
        <v>265</v>
      </c>
      <c r="N426" s="173" t="s">
        <v>269</v>
      </c>
      <c r="O426" s="175" t="s">
        <v>1293</v>
      </c>
      <c r="P426" s="170">
        <v>5685725.29</v>
      </c>
      <c r="Q426" s="170">
        <v>0</v>
      </c>
      <c r="R426" s="170">
        <v>0</v>
      </c>
      <c r="S426" s="170">
        <f t="shared" si="44"/>
        <v>5685725.29</v>
      </c>
      <c r="T426" s="170">
        <f t="shared" si="39"/>
        <v>1711.1762392030578</v>
      </c>
      <c r="U426" s="170">
        <v>3820.48</v>
      </c>
      <c r="V426" s="202">
        <f t="shared" si="43"/>
        <v>2109.3037607969422</v>
      </c>
      <c r="W426" s="202">
        <f t="shared" si="45"/>
        <v>3259.66</v>
      </c>
      <c r="X426" s="202">
        <v>0</v>
      </c>
      <c r="Y426" s="203">
        <v>0</v>
      </c>
      <c r="Z426" s="203">
        <v>3259.66</v>
      </c>
      <c r="AA426" s="203">
        <v>0</v>
      </c>
      <c r="AB426" s="203">
        <v>0</v>
      </c>
      <c r="AC426" s="203">
        <v>0</v>
      </c>
      <c r="AD426" s="203">
        <v>0</v>
      </c>
      <c r="AE426" s="203">
        <v>0</v>
      </c>
      <c r="AF426" s="202">
        <v>0</v>
      </c>
      <c r="AG426" s="203">
        <v>0</v>
      </c>
      <c r="AH426" s="202">
        <v>0</v>
      </c>
      <c r="AI426" s="203">
        <v>0</v>
      </c>
      <c r="AJ426" s="202">
        <v>0</v>
      </c>
      <c r="AK426" s="203">
        <v>0</v>
      </c>
      <c r="AL426" s="203">
        <v>0</v>
      </c>
      <c r="AM426" s="203">
        <v>0</v>
      </c>
      <c r="AN426" s="203"/>
      <c r="AO426" s="203">
        <v>0</v>
      </c>
    </row>
    <row r="427" spans="1:41" s="176" customFormat="1" ht="36" customHeight="1" x14ac:dyDescent="0.25">
      <c r="A427" s="176">
        <v>1</v>
      </c>
      <c r="B427" s="171">
        <f>SUBTOTAL(103,$A$16:A427)</f>
        <v>375</v>
      </c>
      <c r="C427" s="172" t="s">
        <v>1230</v>
      </c>
      <c r="D427" s="173">
        <v>1970</v>
      </c>
      <c r="E427" s="173"/>
      <c r="F427" s="174" t="s">
        <v>267</v>
      </c>
      <c r="G427" s="173">
        <v>5</v>
      </c>
      <c r="H427" s="173" t="s">
        <v>312</v>
      </c>
      <c r="I427" s="170">
        <v>3891.1</v>
      </c>
      <c r="J427" s="170">
        <v>2891.4</v>
      </c>
      <c r="K427" s="170">
        <v>2505.5</v>
      </c>
      <c r="L427" s="206">
        <v>253</v>
      </c>
      <c r="M427" s="173" t="s">
        <v>265</v>
      </c>
      <c r="N427" s="173" t="s">
        <v>269</v>
      </c>
      <c r="O427" s="175" t="s">
        <v>1293</v>
      </c>
      <c r="P427" s="170">
        <v>2648193.62</v>
      </c>
      <c r="Q427" s="170">
        <v>0</v>
      </c>
      <c r="R427" s="170">
        <v>0</v>
      </c>
      <c r="S427" s="170">
        <f t="shared" si="44"/>
        <v>2648193.62</v>
      </c>
      <c r="T427" s="170">
        <f t="shared" si="39"/>
        <v>680.57711701061396</v>
      </c>
      <c r="U427" s="170">
        <v>3259.66</v>
      </c>
      <c r="V427" s="202">
        <f t="shared" si="43"/>
        <v>2579.0828829893858</v>
      </c>
      <c r="W427" s="202">
        <f t="shared" si="45"/>
        <v>4586.9399999999996</v>
      </c>
      <c r="X427" s="202">
        <v>101.55</v>
      </c>
      <c r="Y427" s="203">
        <v>245.44</v>
      </c>
      <c r="Z427" s="203">
        <v>3259.66</v>
      </c>
      <c r="AA427" s="203">
        <v>184.98</v>
      </c>
      <c r="AB427" s="203">
        <v>795.31</v>
      </c>
      <c r="AC427" s="203">
        <v>0</v>
      </c>
      <c r="AD427" s="203">
        <v>0</v>
      </c>
      <c r="AE427" s="203">
        <v>0</v>
      </c>
      <c r="AF427" s="202">
        <v>0</v>
      </c>
      <c r="AG427" s="203">
        <v>0</v>
      </c>
      <c r="AH427" s="202">
        <v>0</v>
      </c>
      <c r="AI427" s="203">
        <v>0</v>
      </c>
      <c r="AJ427" s="202">
        <v>0</v>
      </c>
      <c r="AK427" s="203">
        <v>0</v>
      </c>
      <c r="AL427" s="203">
        <v>0</v>
      </c>
      <c r="AM427" s="203">
        <v>0</v>
      </c>
      <c r="AN427" s="203"/>
      <c r="AO427" s="203">
        <v>0</v>
      </c>
    </row>
    <row r="428" spans="1:41" s="176" customFormat="1" ht="36" customHeight="1" x14ac:dyDescent="0.25">
      <c r="A428" s="176">
        <v>1</v>
      </c>
      <c r="B428" s="171">
        <f>SUBTOTAL(103,$A$16:A428)</f>
        <v>376</v>
      </c>
      <c r="C428" s="172" t="s">
        <v>1232</v>
      </c>
      <c r="D428" s="173">
        <v>1964</v>
      </c>
      <c r="E428" s="173"/>
      <c r="F428" s="174" t="s">
        <v>267</v>
      </c>
      <c r="G428" s="173">
        <v>3</v>
      </c>
      <c r="H428" s="173" t="s">
        <v>303</v>
      </c>
      <c r="I428" s="170">
        <v>1043.5999999999999</v>
      </c>
      <c r="J428" s="170">
        <v>1043.5999999999999</v>
      </c>
      <c r="K428" s="170">
        <v>970.7</v>
      </c>
      <c r="L428" s="206">
        <v>37</v>
      </c>
      <c r="M428" s="173" t="s">
        <v>265</v>
      </c>
      <c r="N428" s="173" t="s">
        <v>269</v>
      </c>
      <c r="O428" s="175" t="s">
        <v>271</v>
      </c>
      <c r="P428" s="170">
        <v>3633885.25</v>
      </c>
      <c r="Q428" s="170">
        <v>0</v>
      </c>
      <c r="R428" s="170">
        <v>0</v>
      </c>
      <c r="S428" s="170">
        <f t="shared" si="44"/>
        <v>3633885.25</v>
      </c>
      <c r="T428" s="170">
        <f t="shared" si="39"/>
        <v>3482.0671234189349</v>
      </c>
      <c r="U428" s="170">
        <v>6123.0721713300127</v>
      </c>
      <c r="V428" s="202">
        <f t="shared" si="43"/>
        <v>2641.0050479110778</v>
      </c>
      <c r="W428" s="202">
        <f t="shared" si="45"/>
        <v>6123.0721713300127</v>
      </c>
      <c r="X428" s="202">
        <v>0</v>
      </c>
      <c r="Y428" s="203">
        <v>0</v>
      </c>
      <c r="Z428" s="203">
        <v>0</v>
      </c>
      <c r="AA428" s="203">
        <v>0</v>
      </c>
      <c r="AB428" s="203">
        <v>0</v>
      </c>
      <c r="AC428" s="203">
        <v>0</v>
      </c>
      <c r="AD428" s="203">
        <v>0</v>
      </c>
      <c r="AE428" s="203">
        <v>0</v>
      </c>
      <c r="AF428" s="202">
        <v>0</v>
      </c>
      <c r="AG428" s="203">
        <v>0</v>
      </c>
      <c r="AH428" s="202">
        <v>0</v>
      </c>
      <c r="AI428" s="203">
        <v>858.98</v>
      </c>
      <c r="AJ428" s="202">
        <f>7439.1*AI428/I428</f>
        <v>6123.0721713300127</v>
      </c>
      <c r="AK428" s="203">
        <v>0</v>
      </c>
      <c r="AL428" s="203">
        <v>0</v>
      </c>
      <c r="AM428" s="203">
        <v>0</v>
      </c>
      <c r="AN428" s="203"/>
      <c r="AO428" s="203">
        <v>0</v>
      </c>
    </row>
    <row r="429" spans="1:41" s="176" customFormat="1" ht="36" customHeight="1" x14ac:dyDescent="0.25">
      <c r="B429" s="172" t="s">
        <v>836</v>
      </c>
      <c r="C429" s="172"/>
      <c r="D429" s="173" t="s">
        <v>882</v>
      </c>
      <c r="E429" s="173" t="s">
        <v>882</v>
      </c>
      <c r="F429" s="173" t="s">
        <v>882</v>
      </c>
      <c r="G429" s="173" t="s">
        <v>882</v>
      </c>
      <c r="H429" s="173" t="s">
        <v>882</v>
      </c>
      <c r="I429" s="177">
        <f>SUM(I430:I434)</f>
        <v>4806.5999999999995</v>
      </c>
      <c r="J429" s="177">
        <f>SUM(J430:J434)</f>
        <v>4646.83</v>
      </c>
      <c r="K429" s="177">
        <f>SUM(K430:K434)</f>
        <v>4528.83</v>
      </c>
      <c r="L429" s="357">
        <f>SUM(L430:L434)</f>
        <v>165</v>
      </c>
      <c r="M429" s="173" t="s">
        <v>882</v>
      </c>
      <c r="N429" s="173" t="s">
        <v>882</v>
      </c>
      <c r="O429" s="175" t="s">
        <v>882</v>
      </c>
      <c r="P429" s="170">
        <v>9389545.5499999989</v>
      </c>
      <c r="Q429" s="170">
        <f>SUM(Q430:Q434)</f>
        <v>0</v>
      </c>
      <c r="R429" s="170">
        <f>SUM(R430:R434)</f>
        <v>0</v>
      </c>
      <c r="S429" s="170">
        <f>SUM(S430:S434)</f>
        <v>9389545.5499999989</v>
      </c>
      <c r="T429" s="170">
        <f t="shared" si="39"/>
        <v>1953.4693026255566</v>
      </c>
      <c r="U429" s="170">
        <f>MAX(U430:U434)</f>
        <v>5579.7465826018415</v>
      </c>
      <c r="V429" s="202">
        <f t="shared" si="43"/>
        <v>3626.2772799762852</v>
      </c>
      <c r="W429" s="202"/>
      <c r="X429" s="202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</row>
    <row r="430" spans="1:41" s="176" customFormat="1" ht="36" customHeight="1" x14ac:dyDescent="0.25">
      <c r="A430" s="176">
        <v>1</v>
      </c>
      <c r="B430" s="171">
        <f>SUBTOTAL(103,$A$16:A430)</f>
        <v>377</v>
      </c>
      <c r="C430" s="172" t="s">
        <v>44</v>
      </c>
      <c r="D430" s="173">
        <v>1956</v>
      </c>
      <c r="E430" s="173"/>
      <c r="F430" s="174" t="s">
        <v>267</v>
      </c>
      <c r="G430" s="173">
        <v>2</v>
      </c>
      <c r="H430" s="173" t="s">
        <v>303</v>
      </c>
      <c r="I430" s="170">
        <v>735.94</v>
      </c>
      <c r="J430" s="170">
        <v>672.45</v>
      </c>
      <c r="K430" s="170">
        <v>672.45</v>
      </c>
      <c r="L430" s="206">
        <v>32</v>
      </c>
      <c r="M430" s="173" t="s">
        <v>265</v>
      </c>
      <c r="N430" s="173" t="s">
        <v>269</v>
      </c>
      <c r="O430" s="175" t="s">
        <v>272</v>
      </c>
      <c r="P430" s="170">
        <v>2250143.48</v>
      </c>
      <c r="Q430" s="170">
        <v>0</v>
      </c>
      <c r="R430" s="170">
        <v>0</v>
      </c>
      <c r="S430" s="170">
        <f>P430-Q430-R430</f>
        <v>2250143.48</v>
      </c>
      <c r="T430" s="170">
        <f t="shared" si="39"/>
        <v>3057.5094165285209</v>
      </c>
      <c r="U430" s="170">
        <v>5579.7465826018415</v>
      </c>
      <c r="V430" s="202">
        <f t="shared" si="43"/>
        <v>2522.2371660733206</v>
      </c>
      <c r="W430" s="202">
        <f>X430+Y430+Z430+AA430+AB430+AD430+AF430+AH430+AJ430+AL430+AN430+AO430</f>
        <v>5349.2841943636704</v>
      </c>
      <c r="X430" s="202">
        <v>0</v>
      </c>
      <c r="Y430" s="203">
        <v>0</v>
      </c>
      <c r="Z430" s="203">
        <v>0</v>
      </c>
      <c r="AA430" s="203">
        <v>0</v>
      </c>
      <c r="AB430" s="203">
        <v>0</v>
      </c>
      <c r="AC430" s="203">
        <v>0</v>
      </c>
      <c r="AD430" s="203">
        <v>0</v>
      </c>
      <c r="AE430" s="203">
        <v>631</v>
      </c>
      <c r="AF430" s="202">
        <f>6238.91*AE430/I430</f>
        <v>5349.2841943636704</v>
      </c>
      <c r="AG430" s="203">
        <v>0</v>
      </c>
      <c r="AH430" s="202">
        <v>0</v>
      </c>
      <c r="AI430" s="203">
        <v>0</v>
      </c>
      <c r="AJ430" s="202">
        <v>0</v>
      </c>
      <c r="AK430" s="203">
        <v>0</v>
      </c>
      <c r="AL430" s="203">
        <v>0</v>
      </c>
      <c r="AM430" s="203">
        <v>0</v>
      </c>
      <c r="AN430" s="203"/>
      <c r="AO430" s="203">
        <v>0</v>
      </c>
    </row>
    <row r="431" spans="1:41" s="176" customFormat="1" ht="36" customHeight="1" x14ac:dyDescent="0.25">
      <c r="A431" s="176">
        <v>1</v>
      </c>
      <c r="B431" s="171">
        <f>SUBTOTAL(103,$A$16:A431)</f>
        <v>378</v>
      </c>
      <c r="C431" s="172" t="s">
        <v>43</v>
      </c>
      <c r="D431" s="173">
        <v>1963</v>
      </c>
      <c r="E431" s="173"/>
      <c r="F431" s="174" t="s">
        <v>267</v>
      </c>
      <c r="G431" s="173">
        <v>2</v>
      </c>
      <c r="H431" s="173" t="s">
        <v>303</v>
      </c>
      <c r="I431" s="170">
        <v>687.5</v>
      </c>
      <c r="J431" s="170">
        <v>639.5</v>
      </c>
      <c r="K431" s="170">
        <v>521.5</v>
      </c>
      <c r="L431" s="206">
        <v>16</v>
      </c>
      <c r="M431" s="173" t="s">
        <v>265</v>
      </c>
      <c r="N431" s="173" t="s">
        <v>269</v>
      </c>
      <c r="O431" s="175" t="s">
        <v>272</v>
      </c>
      <c r="P431" s="170">
        <v>2167263.7000000002</v>
      </c>
      <c r="Q431" s="170">
        <v>0</v>
      </c>
      <c r="R431" s="170">
        <v>0</v>
      </c>
      <c r="S431" s="170">
        <f>P431-Q431-R431</f>
        <v>2167263.7000000002</v>
      </c>
      <c r="T431" s="170">
        <f t="shared" si="39"/>
        <v>3152.3835636363638</v>
      </c>
      <c r="U431" s="170">
        <v>5252.5421527272729</v>
      </c>
      <c r="V431" s="202">
        <f t="shared" si="43"/>
        <v>2100.1585890909091</v>
      </c>
      <c r="W431" s="202">
        <f>X431+Y431+Z431+AA431+AB431+AD431+AF431+AH431+AJ431+AL431+AN431+AO431</f>
        <v>5035.5944130909093</v>
      </c>
      <c r="X431" s="202">
        <v>0</v>
      </c>
      <c r="Y431" s="203">
        <v>0</v>
      </c>
      <c r="Z431" s="203">
        <v>0</v>
      </c>
      <c r="AA431" s="203">
        <v>0</v>
      </c>
      <c r="AB431" s="203">
        <v>0</v>
      </c>
      <c r="AC431" s="203">
        <v>0</v>
      </c>
      <c r="AD431" s="203">
        <v>0</v>
      </c>
      <c r="AE431" s="203">
        <v>554.9</v>
      </c>
      <c r="AF431" s="202">
        <f>6238.91*AE431/I431</f>
        <v>5035.5944130909093</v>
      </c>
      <c r="AG431" s="203">
        <v>0</v>
      </c>
      <c r="AH431" s="202">
        <v>0</v>
      </c>
      <c r="AI431" s="203">
        <v>0</v>
      </c>
      <c r="AJ431" s="202">
        <v>0</v>
      </c>
      <c r="AK431" s="203">
        <v>0</v>
      </c>
      <c r="AL431" s="203">
        <v>0</v>
      </c>
      <c r="AM431" s="203">
        <v>0</v>
      </c>
      <c r="AN431" s="203"/>
      <c r="AO431" s="203">
        <v>0</v>
      </c>
    </row>
    <row r="432" spans="1:41" s="176" customFormat="1" ht="36" customHeight="1" x14ac:dyDescent="0.25">
      <c r="A432" s="176">
        <v>1</v>
      </c>
      <c r="B432" s="171">
        <f>SUBTOTAL(103,$A$16:A432)</f>
        <v>379</v>
      </c>
      <c r="C432" s="172" t="s">
        <v>45</v>
      </c>
      <c r="D432" s="173">
        <v>1964</v>
      </c>
      <c r="E432" s="173"/>
      <c r="F432" s="174" t="s">
        <v>267</v>
      </c>
      <c r="G432" s="173">
        <v>2</v>
      </c>
      <c r="H432" s="173" t="s">
        <v>303</v>
      </c>
      <c r="I432" s="170">
        <v>691.68</v>
      </c>
      <c r="J432" s="170">
        <v>643.4</v>
      </c>
      <c r="K432" s="170">
        <v>643.4</v>
      </c>
      <c r="L432" s="206">
        <v>10</v>
      </c>
      <c r="M432" s="173" t="s">
        <v>265</v>
      </c>
      <c r="N432" s="173" t="s">
        <v>269</v>
      </c>
      <c r="O432" s="175" t="s">
        <v>272</v>
      </c>
      <c r="P432" s="170">
        <v>2202329.54</v>
      </c>
      <c r="Q432" s="170">
        <v>0</v>
      </c>
      <c r="R432" s="170">
        <v>0</v>
      </c>
      <c r="S432" s="170">
        <f>P432-Q432-R432</f>
        <v>2202329.54</v>
      </c>
      <c r="T432" s="170">
        <f t="shared" si="39"/>
        <v>3184.0295223224616</v>
      </c>
      <c r="U432" s="170">
        <v>5287.6003354152208</v>
      </c>
      <c r="V432" s="202">
        <f t="shared" si="43"/>
        <v>2103.5708130927592</v>
      </c>
      <c r="W432" s="202">
        <f>X432+Y432+Z432+AA432+AB432+AD432+AF432+AH432+AJ432+AL432+AN432+AO432</f>
        <v>5069.2045743696508</v>
      </c>
      <c r="X432" s="202">
        <v>0</v>
      </c>
      <c r="Y432" s="203">
        <v>0</v>
      </c>
      <c r="Z432" s="203">
        <v>0</v>
      </c>
      <c r="AA432" s="203">
        <v>0</v>
      </c>
      <c r="AB432" s="203">
        <v>0</v>
      </c>
      <c r="AC432" s="203">
        <v>0</v>
      </c>
      <c r="AD432" s="203">
        <v>0</v>
      </c>
      <c r="AE432" s="203">
        <v>562</v>
      </c>
      <c r="AF432" s="202">
        <f>6238.91*AE432/I432</f>
        <v>5069.2045743696508</v>
      </c>
      <c r="AG432" s="203">
        <v>0</v>
      </c>
      <c r="AH432" s="202">
        <v>0</v>
      </c>
      <c r="AI432" s="203">
        <v>0</v>
      </c>
      <c r="AJ432" s="202">
        <v>0</v>
      </c>
      <c r="AK432" s="203">
        <v>0</v>
      </c>
      <c r="AL432" s="203">
        <v>0</v>
      </c>
      <c r="AM432" s="203">
        <v>0</v>
      </c>
      <c r="AN432" s="203"/>
      <c r="AO432" s="203">
        <v>0</v>
      </c>
    </row>
    <row r="433" spans="1:41" s="176" customFormat="1" ht="36" customHeight="1" x14ac:dyDescent="0.25">
      <c r="A433" s="176">
        <v>1</v>
      </c>
      <c r="B433" s="171">
        <f>SUBTOTAL(103,$A$16:A433)</f>
        <v>380</v>
      </c>
      <c r="C433" s="172" t="s">
        <v>1238</v>
      </c>
      <c r="D433" s="173">
        <v>1974</v>
      </c>
      <c r="E433" s="173"/>
      <c r="F433" s="174" t="s">
        <v>267</v>
      </c>
      <c r="G433" s="173">
        <v>5</v>
      </c>
      <c r="H433" s="173" t="s">
        <v>303</v>
      </c>
      <c r="I433" s="170">
        <v>2146.1799999999998</v>
      </c>
      <c r="J433" s="170">
        <v>2146.1799999999998</v>
      </c>
      <c r="K433" s="170">
        <v>2146.1799999999998</v>
      </c>
      <c r="L433" s="206">
        <v>78</v>
      </c>
      <c r="M433" s="173" t="s">
        <v>265</v>
      </c>
      <c r="N433" s="173" t="s">
        <v>269</v>
      </c>
      <c r="O433" s="175" t="s">
        <v>272</v>
      </c>
      <c r="P433" s="170">
        <v>1467154.4200000002</v>
      </c>
      <c r="Q433" s="170">
        <v>0</v>
      </c>
      <c r="R433" s="170">
        <v>0</v>
      </c>
      <c r="S433" s="170">
        <f>P433-Q433-R433</f>
        <v>1467154.4200000002</v>
      </c>
      <c r="T433" s="170">
        <f t="shared" si="39"/>
        <v>683.61200831244366</v>
      </c>
      <c r="U433" s="170">
        <v>4183.21</v>
      </c>
      <c r="V433" s="202">
        <f t="shared" si="43"/>
        <v>3499.5979916875563</v>
      </c>
      <c r="W433" s="202">
        <f>X433+Y433+Z433+AA433+AB433+AD433+AF433+AH433+AJ433+AL433+AN433+AO433</f>
        <v>4156.5200000000004</v>
      </c>
      <c r="X433" s="202">
        <v>101.55</v>
      </c>
      <c r="Y433" s="203">
        <v>0</v>
      </c>
      <c r="Z433" s="203">
        <v>3259.66</v>
      </c>
      <c r="AA433" s="203">
        <v>0</v>
      </c>
      <c r="AB433" s="203">
        <v>795.31</v>
      </c>
      <c r="AC433" s="203">
        <v>0</v>
      </c>
      <c r="AD433" s="203">
        <v>0</v>
      </c>
      <c r="AE433" s="203">
        <v>0</v>
      </c>
      <c r="AF433" s="202">
        <v>0</v>
      </c>
      <c r="AG433" s="203">
        <v>0</v>
      </c>
      <c r="AH433" s="202">
        <v>0</v>
      </c>
      <c r="AI433" s="203">
        <v>0</v>
      </c>
      <c r="AJ433" s="202">
        <v>0</v>
      </c>
      <c r="AK433" s="203">
        <v>0</v>
      </c>
      <c r="AL433" s="203">
        <v>0</v>
      </c>
      <c r="AM433" s="203">
        <v>0</v>
      </c>
      <c r="AN433" s="203"/>
      <c r="AO433" s="203">
        <v>0</v>
      </c>
    </row>
    <row r="434" spans="1:41" s="176" customFormat="1" ht="36" customHeight="1" x14ac:dyDescent="0.25">
      <c r="A434" s="176">
        <v>1</v>
      </c>
      <c r="B434" s="171">
        <f>SUBTOTAL(103,$A$16:A434)</f>
        <v>381</v>
      </c>
      <c r="C434" s="172" t="s">
        <v>1239</v>
      </c>
      <c r="D434" s="173">
        <v>1936</v>
      </c>
      <c r="E434" s="173"/>
      <c r="F434" s="174" t="s">
        <v>330</v>
      </c>
      <c r="G434" s="173">
        <v>2</v>
      </c>
      <c r="H434" s="173" t="s">
        <v>303</v>
      </c>
      <c r="I434" s="170">
        <v>545.29999999999995</v>
      </c>
      <c r="J434" s="170">
        <v>545.29999999999995</v>
      </c>
      <c r="K434" s="170">
        <v>545.29999999999995</v>
      </c>
      <c r="L434" s="206">
        <v>29</v>
      </c>
      <c r="M434" s="173" t="s">
        <v>265</v>
      </c>
      <c r="N434" s="173" t="s">
        <v>269</v>
      </c>
      <c r="O434" s="175" t="s">
        <v>272</v>
      </c>
      <c r="P434" s="170">
        <v>1302654.4099999999</v>
      </c>
      <c r="Q434" s="170">
        <v>0</v>
      </c>
      <c r="R434" s="170">
        <v>0</v>
      </c>
      <c r="S434" s="170">
        <f>P434-Q434-R434</f>
        <v>1302654.4099999999</v>
      </c>
      <c r="T434" s="170">
        <f t="shared" si="39"/>
        <v>2388.8766000366772</v>
      </c>
      <c r="U434" s="170">
        <v>5242.9172272143778</v>
      </c>
      <c r="V434" s="202">
        <f t="shared" si="43"/>
        <v>2854.0406271777006</v>
      </c>
      <c r="W434" s="202">
        <f>X434+Y434+Z434+AA434+AB434+AD434+AF434+AH434+AJ434+AL434+AN434+AO434</f>
        <v>5194.3244819365491</v>
      </c>
      <c r="X434" s="202">
        <v>0</v>
      </c>
      <c r="Y434" s="203">
        <v>0</v>
      </c>
      <c r="Z434" s="203">
        <v>0</v>
      </c>
      <c r="AA434" s="203">
        <v>0</v>
      </c>
      <c r="AB434" s="203">
        <v>0</v>
      </c>
      <c r="AC434" s="203">
        <v>0</v>
      </c>
      <c r="AD434" s="203">
        <v>0</v>
      </c>
      <c r="AE434" s="203">
        <v>454</v>
      </c>
      <c r="AF434" s="202">
        <f>6238.91*AE434/I434</f>
        <v>5194.3244819365491</v>
      </c>
      <c r="AG434" s="203">
        <v>0</v>
      </c>
      <c r="AH434" s="202">
        <v>0</v>
      </c>
      <c r="AI434" s="203">
        <v>0</v>
      </c>
      <c r="AJ434" s="202">
        <v>0</v>
      </c>
      <c r="AK434" s="203">
        <v>0</v>
      </c>
      <c r="AL434" s="203">
        <v>0</v>
      </c>
      <c r="AM434" s="203">
        <v>0</v>
      </c>
      <c r="AN434" s="203"/>
      <c r="AO434" s="203">
        <v>0</v>
      </c>
    </row>
    <row r="435" spans="1:41" s="176" customFormat="1" ht="36" customHeight="1" x14ac:dyDescent="0.25">
      <c r="B435" s="172" t="s">
        <v>837</v>
      </c>
      <c r="C435" s="172"/>
      <c r="D435" s="173" t="s">
        <v>882</v>
      </c>
      <c r="E435" s="173" t="s">
        <v>882</v>
      </c>
      <c r="F435" s="173" t="s">
        <v>882</v>
      </c>
      <c r="G435" s="173" t="s">
        <v>882</v>
      </c>
      <c r="H435" s="173" t="s">
        <v>882</v>
      </c>
      <c r="I435" s="177">
        <f>SUM(I436:I437)</f>
        <v>1322.5</v>
      </c>
      <c r="J435" s="177">
        <f>SUM(J436:J437)</f>
        <v>1216.4000000000001</v>
      </c>
      <c r="K435" s="177">
        <f>SUM(K436:K437)</f>
        <v>1216.4000000000001</v>
      </c>
      <c r="L435" s="357">
        <f>SUM(L436:L437)</f>
        <v>60</v>
      </c>
      <c r="M435" s="173" t="s">
        <v>882</v>
      </c>
      <c r="N435" s="173" t="s">
        <v>882</v>
      </c>
      <c r="O435" s="175" t="s">
        <v>882</v>
      </c>
      <c r="P435" s="177">
        <v>5138784.57</v>
      </c>
      <c r="Q435" s="177">
        <f>SUM(Q436:Q437)</f>
        <v>0</v>
      </c>
      <c r="R435" s="177">
        <f>SUM(R436:R437)</f>
        <v>0</v>
      </c>
      <c r="S435" s="177">
        <f>SUM(S436:S437)</f>
        <v>5138784.57</v>
      </c>
      <c r="T435" s="170">
        <f t="shared" si="39"/>
        <v>3885.6594102079398</v>
      </c>
      <c r="U435" s="170">
        <f>MAX(U436:U437)</f>
        <v>7820.0190077399384</v>
      </c>
      <c r="V435" s="202">
        <f t="shared" si="43"/>
        <v>3934.3595975319986</v>
      </c>
      <c r="W435" s="202"/>
      <c r="X435" s="202"/>
      <c r="Y435" s="203"/>
      <c r="Z435" s="203"/>
      <c r="AA435" s="203"/>
      <c r="AB435" s="203"/>
      <c r="AC435" s="203"/>
      <c r="AD435" s="203"/>
      <c r="AE435" s="203"/>
      <c r="AF435" s="203"/>
      <c r="AG435" s="203"/>
      <c r="AH435" s="203"/>
      <c r="AI435" s="203"/>
      <c r="AJ435" s="203"/>
      <c r="AK435" s="203"/>
      <c r="AL435" s="203"/>
      <c r="AM435" s="203"/>
      <c r="AN435" s="203"/>
      <c r="AO435" s="203"/>
    </row>
    <row r="436" spans="1:41" s="176" customFormat="1" ht="36" customHeight="1" x14ac:dyDescent="0.25">
      <c r="A436" s="176">
        <v>1</v>
      </c>
      <c r="B436" s="171">
        <f>SUBTOTAL(103,$A$16:A436)</f>
        <v>382</v>
      </c>
      <c r="C436" s="172" t="s">
        <v>42</v>
      </c>
      <c r="D436" s="173">
        <v>1960</v>
      </c>
      <c r="E436" s="173"/>
      <c r="F436" s="174" t="s">
        <v>267</v>
      </c>
      <c r="G436" s="173">
        <v>2</v>
      </c>
      <c r="H436" s="173" t="s">
        <v>303</v>
      </c>
      <c r="I436" s="170">
        <v>676.5</v>
      </c>
      <c r="J436" s="170">
        <v>628.1</v>
      </c>
      <c r="K436" s="170">
        <v>628.1</v>
      </c>
      <c r="L436" s="206">
        <v>25</v>
      </c>
      <c r="M436" s="173" t="s">
        <v>265</v>
      </c>
      <c r="N436" s="173" t="s">
        <v>269</v>
      </c>
      <c r="O436" s="175" t="s">
        <v>273</v>
      </c>
      <c r="P436" s="170">
        <v>2210436.8400000003</v>
      </c>
      <c r="Q436" s="170">
        <v>0</v>
      </c>
      <c r="R436" s="170">
        <v>0</v>
      </c>
      <c r="S436" s="170">
        <f>P436-Q436-R436</f>
        <v>2210436.8400000003</v>
      </c>
      <c r="T436" s="170">
        <f t="shared" si="39"/>
        <v>3267.4602217294905</v>
      </c>
      <c r="U436" s="170">
        <v>5724.5634781966</v>
      </c>
      <c r="V436" s="202">
        <f t="shared" si="43"/>
        <v>2457.1032564671095</v>
      </c>
      <c r="W436" s="202">
        <f>X436+Y436+Z436+AA436+AB436+AD436+AF436+AH436+AJ436+AL436+AN436+AO436</f>
        <v>5488.1196628233556</v>
      </c>
      <c r="X436" s="202">
        <v>0</v>
      </c>
      <c r="Y436" s="203">
        <v>0</v>
      </c>
      <c r="Z436" s="203">
        <v>0</v>
      </c>
      <c r="AA436" s="203">
        <v>0</v>
      </c>
      <c r="AB436" s="203">
        <v>0</v>
      </c>
      <c r="AC436" s="203">
        <v>0</v>
      </c>
      <c r="AD436" s="203">
        <v>0</v>
      </c>
      <c r="AE436" s="203">
        <v>595.09</v>
      </c>
      <c r="AF436" s="202">
        <f>6238.91*AE436/I436</f>
        <v>5488.1196628233556</v>
      </c>
      <c r="AG436" s="203">
        <v>0</v>
      </c>
      <c r="AH436" s="202">
        <v>0</v>
      </c>
      <c r="AI436" s="203">
        <v>0</v>
      </c>
      <c r="AJ436" s="202">
        <v>0</v>
      </c>
      <c r="AK436" s="203">
        <v>0</v>
      </c>
      <c r="AL436" s="203">
        <v>0</v>
      </c>
      <c r="AM436" s="203">
        <v>0</v>
      </c>
      <c r="AN436" s="203"/>
      <c r="AO436" s="203">
        <v>0</v>
      </c>
    </row>
    <row r="437" spans="1:41" s="176" customFormat="1" ht="36" customHeight="1" x14ac:dyDescent="0.25">
      <c r="A437" s="176">
        <v>1</v>
      </c>
      <c r="B437" s="171">
        <f>SUBTOTAL(103,$A$16:A437)</f>
        <v>383</v>
      </c>
      <c r="C437" s="172" t="s">
        <v>1540</v>
      </c>
      <c r="D437" s="173">
        <v>1957</v>
      </c>
      <c r="E437" s="173"/>
      <c r="F437" s="174" t="s">
        <v>267</v>
      </c>
      <c r="G437" s="173">
        <v>2</v>
      </c>
      <c r="H437" s="173" t="s">
        <v>303</v>
      </c>
      <c r="I437" s="170">
        <v>646</v>
      </c>
      <c r="J437" s="170">
        <v>588.29999999999995</v>
      </c>
      <c r="K437" s="170">
        <v>588.29999999999995</v>
      </c>
      <c r="L437" s="206">
        <v>35</v>
      </c>
      <c r="M437" s="173" t="s">
        <v>265</v>
      </c>
      <c r="N437" s="173" t="s">
        <v>269</v>
      </c>
      <c r="O437" s="175" t="s">
        <v>273</v>
      </c>
      <c r="P437" s="170">
        <v>2928347.73</v>
      </c>
      <c r="Q437" s="170">
        <v>0</v>
      </c>
      <c r="R437" s="170">
        <v>0</v>
      </c>
      <c r="S437" s="170">
        <f>P437-R437-Q437</f>
        <v>2928347.73</v>
      </c>
      <c r="T437" s="170">
        <f t="shared" si="39"/>
        <v>4533.0460216718266</v>
      </c>
      <c r="U437" s="170">
        <v>7820.0190077399384</v>
      </c>
      <c r="V437" s="202">
        <f t="shared" si="43"/>
        <v>3286.9729860681118</v>
      </c>
      <c r="W437" s="202">
        <f>X437+Y437+Z437+AA437+AB437+AD437+AF437+AH437+AJ437+AL437+AN437+AO437</f>
        <v>7217.2406238390095</v>
      </c>
      <c r="X437" s="202">
        <v>0</v>
      </c>
      <c r="Y437" s="203">
        <v>0</v>
      </c>
      <c r="Z437" s="203">
        <v>0</v>
      </c>
      <c r="AA437" s="203">
        <v>0</v>
      </c>
      <c r="AB437" s="203">
        <v>0</v>
      </c>
      <c r="AC437" s="203">
        <v>0</v>
      </c>
      <c r="AD437" s="203">
        <v>0</v>
      </c>
      <c r="AE437" s="203">
        <v>747.3</v>
      </c>
      <c r="AF437" s="202">
        <f>6238.91*AE437/I437</f>
        <v>7217.2406238390095</v>
      </c>
      <c r="AG437" s="203">
        <v>0</v>
      </c>
      <c r="AH437" s="202">
        <v>0</v>
      </c>
      <c r="AI437" s="203">
        <v>0</v>
      </c>
      <c r="AJ437" s="202">
        <v>0</v>
      </c>
      <c r="AK437" s="203">
        <v>0</v>
      </c>
      <c r="AL437" s="203">
        <v>0</v>
      </c>
      <c r="AM437" s="203">
        <v>0</v>
      </c>
      <c r="AN437" s="203"/>
      <c r="AO437" s="203">
        <v>0</v>
      </c>
    </row>
    <row r="438" spans="1:41" s="176" customFormat="1" ht="36" customHeight="1" x14ac:dyDescent="0.25">
      <c r="B438" s="172" t="s">
        <v>838</v>
      </c>
      <c r="C438" s="172"/>
      <c r="D438" s="173" t="s">
        <v>882</v>
      </c>
      <c r="E438" s="173" t="s">
        <v>882</v>
      </c>
      <c r="F438" s="173" t="s">
        <v>882</v>
      </c>
      <c r="G438" s="173" t="s">
        <v>882</v>
      </c>
      <c r="H438" s="173" t="s">
        <v>882</v>
      </c>
      <c r="I438" s="177">
        <f>SUM(I439:I448)</f>
        <v>13058.16</v>
      </c>
      <c r="J438" s="177">
        <f>SUM(J439:J448)</f>
        <v>11210.9</v>
      </c>
      <c r="K438" s="177">
        <f>SUM(K439:K448)</f>
        <v>11135.9</v>
      </c>
      <c r="L438" s="357">
        <f>SUM(L439:L448)</f>
        <v>529</v>
      </c>
      <c r="M438" s="173" t="s">
        <v>882</v>
      </c>
      <c r="N438" s="173" t="s">
        <v>882</v>
      </c>
      <c r="O438" s="175" t="s">
        <v>882</v>
      </c>
      <c r="P438" s="170">
        <v>17752085.210000001</v>
      </c>
      <c r="Q438" s="170">
        <f>SUM(Q439:Q448)</f>
        <v>0</v>
      </c>
      <c r="R438" s="170">
        <f>SUM(R439:R448)</f>
        <v>0</v>
      </c>
      <c r="S438" s="170">
        <f>SUM(S439:S448)</f>
        <v>17752085.210000001</v>
      </c>
      <c r="T438" s="170">
        <f t="shared" si="39"/>
        <v>1359.4629878941598</v>
      </c>
      <c r="U438" s="170">
        <f>MAX(U439:U448)</f>
        <v>8177.8135334538874</v>
      </c>
      <c r="V438" s="202">
        <f t="shared" si="43"/>
        <v>6818.3505455597278</v>
      </c>
      <c r="W438" s="202"/>
      <c r="X438" s="202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  <c r="AJ438" s="203"/>
      <c r="AK438" s="203"/>
      <c r="AL438" s="203"/>
      <c r="AM438" s="203"/>
      <c r="AN438" s="203"/>
      <c r="AO438" s="203"/>
    </row>
    <row r="439" spans="1:41" s="176" customFormat="1" ht="36" customHeight="1" x14ac:dyDescent="0.25">
      <c r="A439" s="176">
        <v>1</v>
      </c>
      <c r="B439" s="171">
        <f>SUBTOTAL(103,$A$16:A439)</f>
        <v>384</v>
      </c>
      <c r="C439" s="172" t="s">
        <v>50</v>
      </c>
      <c r="D439" s="173">
        <v>1941</v>
      </c>
      <c r="E439" s="173"/>
      <c r="F439" s="174" t="s">
        <v>267</v>
      </c>
      <c r="G439" s="173">
        <v>3</v>
      </c>
      <c r="H439" s="173" t="s">
        <v>312</v>
      </c>
      <c r="I439" s="170">
        <v>1207.5</v>
      </c>
      <c r="J439" s="170">
        <v>1191.18</v>
      </c>
      <c r="K439" s="170">
        <v>1191.18</v>
      </c>
      <c r="L439" s="206">
        <v>51</v>
      </c>
      <c r="M439" s="173" t="s">
        <v>265</v>
      </c>
      <c r="N439" s="173" t="s">
        <v>266</v>
      </c>
      <c r="O439" s="175" t="s">
        <v>268</v>
      </c>
      <c r="P439" s="170">
        <v>4771616.71</v>
      </c>
      <c r="Q439" s="170">
        <v>0</v>
      </c>
      <c r="R439" s="170">
        <v>0</v>
      </c>
      <c r="S439" s="170">
        <f t="shared" ref="S439:S448" si="46">P439-Q439-R439</f>
        <v>4771616.71</v>
      </c>
      <c r="T439" s="170">
        <f t="shared" si="39"/>
        <v>3951.6494492753623</v>
      </c>
      <c r="U439" s="170">
        <v>4132.5377084886131</v>
      </c>
      <c r="V439" s="202">
        <v>341.20257308488544</v>
      </c>
      <c r="W439" s="202">
        <v>4481.1649217391296</v>
      </c>
      <c r="X439" s="202">
        <v>0</v>
      </c>
      <c r="Y439" s="203">
        <v>0</v>
      </c>
      <c r="Z439" s="203">
        <v>0</v>
      </c>
      <c r="AA439" s="203">
        <v>0</v>
      </c>
      <c r="AB439" s="203">
        <v>0</v>
      </c>
      <c r="AC439" s="203">
        <v>0</v>
      </c>
      <c r="AD439" s="203">
        <v>0</v>
      </c>
      <c r="AE439" s="203">
        <v>867.3</v>
      </c>
      <c r="AF439" s="202">
        <v>4481.1649217391296</v>
      </c>
      <c r="AG439" s="203">
        <v>0</v>
      </c>
      <c r="AH439" s="202">
        <v>0</v>
      </c>
      <c r="AI439" s="203">
        <v>0</v>
      </c>
      <c r="AJ439" s="202">
        <v>0</v>
      </c>
      <c r="AK439" s="203">
        <v>0</v>
      </c>
      <c r="AL439" s="203">
        <v>0</v>
      </c>
      <c r="AM439" s="203">
        <v>0</v>
      </c>
      <c r="AN439" s="203"/>
      <c r="AO439" s="203">
        <v>0</v>
      </c>
    </row>
    <row r="440" spans="1:41" s="176" customFormat="1" ht="36" customHeight="1" x14ac:dyDescent="0.25">
      <c r="A440" s="176">
        <v>1</v>
      </c>
      <c r="B440" s="171">
        <f>SUBTOTAL(103,$A$16:A440)</f>
        <v>385</v>
      </c>
      <c r="C440" s="172" t="s">
        <v>48</v>
      </c>
      <c r="D440" s="173">
        <v>1972</v>
      </c>
      <c r="E440" s="173"/>
      <c r="F440" s="174" t="s">
        <v>267</v>
      </c>
      <c r="G440" s="173">
        <v>2</v>
      </c>
      <c r="H440" s="173" t="s">
        <v>303</v>
      </c>
      <c r="I440" s="170">
        <v>729.8</v>
      </c>
      <c r="J440" s="170">
        <v>482.52</v>
      </c>
      <c r="K440" s="170">
        <v>482.52</v>
      </c>
      <c r="L440" s="206">
        <v>30</v>
      </c>
      <c r="M440" s="173" t="s">
        <v>265</v>
      </c>
      <c r="N440" s="173" t="s">
        <v>266</v>
      </c>
      <c r="O440" s="175" t="s">
        <v>268</v>
      </c>
      <c r="P440" s="170">
        <v>2810575.6300000004</v>
      </c>
      <c r="Q440" s="170">
        <v>0</v>
      </c>
      <c r="R440" s="170">
        <v>0</v>
      </c>
      <c r="S440" s="170">
        <f t="shared" si="46"/>
        <v>2810575.6300000004</v>
      </c>
      <c r="T440" s="170">
        <f t="shared" si="39"/>
        <v>3851.1587147163614</v>
      </c>
      <c r="U440" s="170">
        <v>5822.8666758015897</v>
      </c>
      <c r="V440" s="202">
        <f t="shared" si="43"/>
        <v>1971.7079610852284</v>
      </c>
      <c r="W440" s="202">
        <f t="shared" ref="W440:W448" si="47">X440+Y440+Z440+AA440+AB440+AD440+AF440+AH440+AJ440+AL440+AN440+AO440</f>
        <v>5579.7979679364216</v>
      </c>
      <c r="X440" s="202">
        <v>0</v>
      </c>
      <c r="Y440" s="203">
        <v>0</v>
      </c>
      <c r="Z440" s="203">
        <v>0</v>
      </c>
      <c r="AA440" s="203">
        <v>0</v>
      </c>
      <c r="AB440" s="203">
        <v>0</v>
      </c>
      <c r="AC440" s="203">
        <v>0</v>
      </c>
      <c r="AD440" s="203">
        <v>0</v>
      </c>
      <c r="AE440" s="203">
        <v>652.70000000000005</v>
      </c>
      <c r="AF440" s="202">
        <f>6238.91*AE440/I440</f>
        <v>5579.7979679364216</v>
      </c>
      <c r="AG440" s="203">
        <v>0</v>
      </c>
      <c r="AH440" s="202">
        <v>0</v>
      </c>
      <c r="AI440" s="203">
        <v>0</v>
      </c>
      <c r="AJ440" s="202">
        <v>0</v>
      </c>
      <c r="AK440" s="203">
        <v>0</v>
      </c>
      <c r="AL440" s="203">
        <v>0</v>
      </c>
      <c r="AM440" s="203">
        <v>0</v>
      </c>
      <c r="AN440" s="203"/>
      <c r="AO440" s="203">
        <v>0</v>
      </c>
    </row>
    <row r="441" spans="1:41" s="176" customFormat="1" ht="36" customHeight="1" x14ac:dyDescent="0.25">
      <c r="A441" s="176">
        <v>1</v>
      </c>
      <c r="B441" s="171">
        <f>SUBTOTAL(103,$A$16:A441)</f>
        <v>386</v>
      </c>
      <c r="C441" s="172" t="s">
        <v>49</v>
      </c>
      <c r="D441" s="173">
        <v>1962</v>
      </c>
      <c r="E441" s="173"/>
      <c r="F441" s="174" t="s">
        <v>267</v>
      </c>
      <c r="G441" s="173">
        <v>4</v>
      </c>
      <c r="H441" s="173" t="s">
        <v>312</v>
      </c>
      <c r="I441" s="170">
        <v>1905.34</v>
      </c>
      <c r="J441" s="170">
        <v>1905.34</v>
      </c>
      <c r="K441" s="170">
        <v>1830.34</v>
      </c>
      <c r="L441" s="206">
        <v>101</v>
      </c>
      <c r="M441" s="173" t="s">
        <v>265</v>
      </c>
      <c r="N441" s="173" t="s">
        <v>266</v>
      </c>
      <c r="O441" s="175" t="s">
        <v>268</v>
      </c>
      <c r="P441" s="170">
        <v>131037.61</v>
      </c>
      <c r="Q441" s="170">
        <v>0</v>
      </c>
      <c r="R441" s="170">
        <v>0</v>
      </c>
      <c r="S441" s="170">
        <f t="shared" si="46"/>
        <v>131037.61</v>
      </c>
      <c r="T441" s="170">
        <f t="shared" si="39"/>
        <v>68.773872379732751</v>
      </c>
      <c r="U441" s="170">
        <v>68.773872379732751</v>
      </c>
      <c r="V441" s="202">
        <f t="shared" si="43"/>
        <v>0</v>
      </c>
      <c r="W441" s="202">
        <f t="shared" si="47"/>
        <v>2936.8398180902095</v>
      </c>
      <c r="X441" s="202">
        <v>0</v>
      </c>
      <c r="Y441" s="203">
        <v>0</v>
      </c>
      <c r="Z441" s="203">
        <v>0</v>
      </c>
      <c r="AA441" s="203">
        <v>0</v>
      </c>
      <c r="AB441" s="203">
        <v>0</v>
      </c>
      <c r="AC441" s="203">
        <v>0</v>
      </c>
      <c r="AD441" s="203">
        <v>0</v>
      </c>
      <c r="AE441" s="203">
        <v>896.9</v>
      </c>
      <c r="AF441" s="202">
        <f>6238.91*AE441/I441</f>
        <v>2936.8398180902095</v>
      </c>
      <c r="AG441" s="203">
        <v>0</v>
      </c>
      <c r="AH441" s="202">
        <v>0</v>
      </c>
      <c r="AI441" s="203">
        <v>0</v>
      </c>
      <c r="AJ441" s="202">
        <v>0</v>
      </c>
      <c r="AK441" s="203">
        <v>0</v>
      </c>
      <c r="AL441" s="203">
        <v>0</v>
      </c>
      <c r="AM441" s="203">
        <v>0</v>
      </c>
      <c r="AN441" s="203"/>
      <c r="AO441" s="203">
        <v>0</v>
      </c>
    </row>
    <row r="442" spans="1:41" s="176" customFormat="1" ht="36" customHeight="1" x14ac:dyDescent="0.25">
      <c r="A442" s="176">
        <v>1</v>
      </c>
      <c r="B442" s="171">
        <f>SUBTOTAL(103,$A$16:A442)</f>
        <v>387</v>
      </c>
      <c r="C442" s="172" t="s">
        <v>51</v>
      </c>
      <c r="D442" s="173">
        <v>1971</v>
      </c>
      <c r="E442" s="173"/>
      <c r="F442" s="174" t="s">
        <v>267</v>
      </c>
      <c r="G442" s="173">
        <v>2</v>
      </c>
      <c r="H442" s="173" t="s">
        <v>303</v>
      </c>
      <c r="I442" s="170">
        <v>754.85</v>
      </c>
      <c r="J442" s="170">
        <v>754.85</v>
      </c>
      <c r="K442" s="170">
        <v>754.85</v>
      </c>
      <c r="L442" s="206">
        <v>42</v>
      </c>
      <c r="M442" s="173" t="s">
        <v>265</v>
      </c>
      <c r="N442" s="173" t="s">
        <v>266</v>
      </c>
      <c r="O442" s="175" t="s">
        <v>268</v>
      </c>
      <c r="P442" s="170">
        <v>2938871.62</v>
      </c>
      <c r="Q442" s="170">
        <v>0</v>
      </c>
      <c r="R442" s="170">
        <v>0</v>
      </c>
      <c r="S442" s="170">
        <f t="shared" si="46"/>
        <v>2938871.62</v>
      </c>
      <c r="T442" s="170">
        <f t="shared" si="39"/>
        <v>3893.3186990792874</v>
      </c>
      <c r="U442" s="170">
        <v>5862.4044512154733</v>
      </c>
      <c r="V442" s="202">
        <f t="shared" si="43"/>
        <v>1969.0857521361859</v>
      </c>
      <c r="W442" s="202">
        <f t="shared" si="47"/>
        <v>5628.5324369079945</v>
      </c>
      <c r="X442" s="202">
        <v>0</v>
      </c>
      <c r="Y442" s="203">
        <v>0</v>
      </c>
      <c r="Z442" s="203">
        <v>0</v>
      </c>
      <c r="AA442" s="203">
        <v>0</v>
      </c>
      <c r="AB442" s="203">
        <v>0</v>
      </c>
      <c r="AC442" s="203">
        <v>0</v>
      </c>
      <c r="AD442" s="203">
        <v>0</v>
      </c>
      <c r="AE442" s="203">
        <v>681</v>
      </c>
      <c r="AF442" s="202">
        <f>6238.91*AE442/I442</f>
        <v>5628.5324369079945</v>
      </c>
      <c r="AG442" s="203">
        <v>0</v>
      </c>
      <c r="AH442" s="202">
        <v>0</v>
      </c>
      <c r="AI442" s="203">
        <v>0</v>
      </c>
      <c r="AJ442" s="202">
        <v>0</v>
      </c>
      <c r="AK442" s="203">
        <v>0</v>
      </c>
      <c r="AL442" s="203">
        <v>0</v>
      </c>
      <c r="AM442" s="203">
        <v>0</v>
      </c>
      <c r="AN442" s="203"/>
      <c r="AO442" s="203">
        <v>0</v>
      </c>
    </row>
    <row r="443" spans="1:41" s="176" customFormat="1" ht="36" customHeight="1" x14ac:dyDescent="0.25">
      <c r="A443" s="176">
        <v>1</v>
      </c>
      <c r="B443" s="171">
        <f>SUBTOTAL(103,$A$16:A443)</f>
        <v>388</v>
      </c>
      <c r="C443" s="172" t="s">
        <v>1233</v>
      </c>
      <c r="D443" s="173">
        <v>1978</v>
      </c>
      <c r="E443" s="173"/>
      <c r="F443" s="174" t="s">
        <v>267</v>
      </c>
      <c r="G443" s="173">
        <v>3</v>
      </c>
      <c r="H443" s="173" t="s">
        <v>312</v>
      </c>
      <c r="I443" s="170">
        <v>1326.37</v>
      </c>
      <c r="J443" s="170">
        <v>1326.37</v>
      </c>
      <c r="K443" s="170">
        <v>1326.37</v>
      </c>
      <c r="L443" s="206">
        <v>61</v>
      </c>
      <c r="M443" s="173" t="s">
        <v>265</v>
      </c>
      <c r="N443" s="173" t="s">
        <v>266</v>
      </c>
      <c r="O443" s="175" t="s">
        <v>268</v>
      </c>
      <c r="P443" s="170">
        <v>2250237.6300000004</v>
      </c>
      <c r="Q443" s="170">
        <v>0</v>
      </c>
      <c r="R443" s="170">
        <v>0</v>
      </c>
      <c r="S443" s="170">
        <f t="shared" si="46"/>
        <v>2250237.6300000004</v>
      </c>
      <c r="T443" s="170">
        <f t="shared" si="39"/>
        <v>1696.5383942640444</v>
      </c>
      <c r="U443" s="170">
        <v>3328.9914955856966</v>
      </c>
      <c r="V443" s="202">
        <f t="shared" si="43"/>
        <v>1632.4531013216522</v>
      </c>
      <c r="W443" s="202">
        <f t="shared" si="47"/>
        <v>3191.4928979093315</v>
      </c>
      <c r="X443" s="202">
        <v>0</v>
      </c>
      <c r="Y443" s="203">
        <v>0</v>
      </c>
      <c r="Z443" s="203">
        <v>0</v>
      </c>
      <c r="AA443" s="203">
        <v>0</v>
      </c>
      <c r="AB443" s="203">
        <v>0</v>
      </c>
      <c r="AC443" s="203">
        <v>0</v>
      </c>
      <c r="AD443" s="203">
        <v>0</v>
      </c>
      <c r="AE443" s="203">
        <v>678.5</v>
      </c>
      <c r="AF443" s="202">
        <f>6238.91*AE443/I443</f>
        <v>3191.4928979093315</v>
      </c>
      <c r="AG443" s="203">
        <v>0</v>
      </c>
      <c r="AH443" s="202">
        <v>0</v>
      </c>
      <c r="AI443" s="203">
        <v>0</v>
      </c>
      <c r="AJ443" s="202">
        <v>0</v>
      </c>
      <c r="AK443" s="203">
        <v>0</v>
      </c>
      <c r="AL443" s="203">
        <v>0</v>
      </c>
      <c r="AM443" s="203">
        <v>0</v>
      </c>
      <c r="AN443" s="203"/>
      <c r="AO443" s="203">
        <v>0</v>
      </c>
    </row>
    <row r="444" spans="1:41" s="176" customFormat="1" ht="36" customHeight="1" x14ac:dyDescent="0.25">
      <c r="A444" s="176">
        <v>1</v>
      </c>
      <c r="B444" s="171">
        <f>SUBTOTAL(103,$A$16:A444)</f>
        <v>389</v>
      </c>
      <c r="C444" s="172" t="s">
        <v>1234</v>
      </c>
      <c r="D444" s="173">
        <v>1983</v>
      </c>
      <c r="E444" s="173"/>
      <c r="F444" s="174" t="s">
        <v>267</v>
      </c>
      <c r="G444" s="173">
        <v>5</v>
      </c>
      <c r="H444" s="173" t="s">
        <v>370</v>
      </c>
      <c r="I444" s="170">
        <v>5165.2</v>
      </c>
      <c r="J444" s="170">
        <v>4087.35</v>
      </c>
      <c r="K444" s="170">
        <v>4087.35</v>
      </c>
      <c r="L444" s="206">
        <v>153</v>
      </c>
      <c r="M444" s="173" t="s">
        <v>265</v>
      </c>
      <c r="N444" s="173" t="s">
        <v>269</v>
      </c>
      <c r="O444" s="175" t="s">
        <v>1292</v>
      </c>
      <c r="P444" s="170">
        <v>2695769.57</v>
      </c>
      <c r="Q444" s="170">
        <v>0</v>
      </c>
      <c r="R444" s="170">
        <v>0</v>
      </c>
      <c r="S444" s="170">
        <f t="shared" si="46"/>
        <v>2695769.57</v>
      </c>
      <c r="T444" s="170">
        <f t="shared" si="39"/>
        <v>521.91000735692717</v>
      </c>
      <c r="U444" s="170">
        <v>1605.1159147758074</v>
      </c>
      <c r="V444" s="202">
        <f t="shared" si="43"/>
        <v>1083.2059074188801</v>
      </c>
      <c r="W444" s="202">
        <f t="shared" si="47"/>
        <v>1538.8192036900798</v>
      </c>
      <c r="X444" s="202">
        <v>0</v>
      </c>
      <c r="Y444" s="203">
        <v>0</v>
      </c>
      <c r="Z444" s="203">
        <v>0</v>
      </c>
      <c r="AA444" s="203">
        <v>0</v>
      </c>
      <c r="AB444" s="203">
        <v>0</v>
      </c>
      <c r="AC444" s="203">
        <v>0</v>
      </c>
      <c r="AD444" s="203">
        <v>0</v>
      </c>
      <c r="AE444" s="203">
        <v>1273.99</v>
      </c>
      <c r="AF444" s="202">
        <f>6238.91*AE444/I444</f>
        <v>1538.8192036900798</v>
      </c>
      <c r="AG444" s="203">
        <v>0</v>
      </c>
      <c r="AH444" s="202">
        <v>0</v>
      </c>
      <c r="AI444" s="203">
        <v>0</v>
      </c>
      <c r="AJ444" s="202">
        <v>0</v>
      </c>
      <c r="AK444" s="203">
        <v>0</v>
      </c>
      <c r="AL444" s="203">
        <v>0</v>
      </c>
      <c r="AM444" s="203">
        <v>0</v>
      </c>
      <c r="AN444" s="203"/>
      <c r="AO444" s="203">
        <v>0</v>
      </c>
    </row>
    <row r="445" spans="1:41" s="176" customFormat="1" ht="36" customHeight="1" x14ac:dyDescent="0.25">
      <c r="A445" s="176">
        <v>1</v>
      </c>
      <c r="B445" s="171">
        <f>SUBTOTAL(103,$A$16:A445)</f>
        <v>390</v>
      </c>
      <c r="C445" s="172" t="s">
        <v>1236</v>
      </c>
      <c r="D445" s="173">
        <v>1959</v>
      </c>
      <c r="E445" s="173"/>
      <c r="F445" s="174" t="s">
        <v>267</v>
      </c>
      <c r="G445" s="173" t="s">
        <v>303</v>
      </c>
      <c r="H445" s="173" t="s">
        <v>304</v>
      </c>
      <c r="I445" s="170">
        <v>264.3</v>
      </c>
      <c r="J445" s="170">
        <v>264.3</v>
      </c>
      <c r="K445" s="170">
        <v>264.3</v>
      </c>
      <c r="L445" s="206">
        <v>15</v>
      </c>
      <c r="M445" s="173" t="s">
        <v>265</v>
      </c>
      <c r="N445" s="173" t="s">
        <v>266</v>
      </c>
      <c r="O445" s="175" t="s">
        <v>268</v>
      </c>
      <c r="P445" s="170">
        <v>791834.9</v>
      </c>
      <c r="Q445" s="170">
        <v>0</v>
      </c>
      <c r="R445" s="170">
        <v>0</v>
      </c>
      <c r="S445" s="170">
        <f t="shared" si="46"/>
        <v>791834.9</v>
      </c>
      <c r="T445" s="170">
        <f t="shared" si="39"/>
        <v>2995.9701097237985</v>
      </c>
      <c r="U445" s="170">
        <v>5761.6413166855846</v>
      </c>
      <c r="V445" s="202">
        <f t="shared" si="43"/>
        <v>2765.6712069617861</v>
      </c>
      <c r="W445" s="202">
        <f t="shared" si="47"/>
        <v>85213.180607264454</v>
      </c>
      <c r="X445" s="202">
        <v>0</v>
      </c>
      <c r="Y445" s="203">
        <v>0</v>
      </c>
      <c r="Z445" s="203">
        <v>0</v>
      </c>
      <c r="AA445" s="203">
        <v>0</v>
      </c>
      <c r="AB445" s="203">
        <v>0</v>
      </c>
      <c r="AC445" s="203">
        <v>0</v>
      </c>
      <c r="AD445" s="203">
        <v>0</v>
      </c>
      <c r="AE445" s="203">
        <v>0</v>
      </c>
      <c r="AF445" s="202">
        <v>0</v>
      </c>
      <c r="AG445" s="203">
        <v>0</v>
      </c>
      <c r="AH445" s="202">
        <v>0</v>
      </c>
      <c r="AI445" s="203">
        <v>2886.45</v>
      </c>
      <c r="AJ445" s="202">
        <f>7802.61*AI445/I445</f>
        <v>85213.180607264454</v>
      </c>
      <c r="AK445" s="203">
        <v>0</v>
      </c>
      <c r="AL445" s="203">
        <v>0</v>
      </c>
      <c r="AM445" s="203">
        <v>0</v>
      </c>
      <c r="AN445" s="203"/>
      <c r="AO445" s="203">
        <v>0</v>
      </c>
    </row>
    <row r="446" spans="1:41" s="176" customFormat="1" ht="36" customHeight="1" x14ac:dyDescent="0.25">
      <c r="A446" s="176">
        <v>1</v>
      </c>
      <c r="B446" s="171">
        <f>SUBTOTAL(103,$A$16:A446)</f>
        <v>391</v>
      </c>
      <c r="C446" s="172" t="s">
        <v>1237</v>
      </c>
      <c r="D446" s="173">
        <v>1957</v>
      </c>
      <c r="E446" s="173"/>
      <c r="F446" s="174" t="s">
        <v>330</v>
      </c>
      <c r="G446" s="173">
        <v>2</v>
      </c>
      <c r="H446" s="173" t="s">
        <v>303</v>
      </c>
      <c r="I446" s="170">
        <v>276.5</v>
      </c>
      <c r="J446" s="170">
        <v>234.3</v>
      </c>
      <c r="K446" s="170">
        <v>234.3</v>
      </c>
      <c r="L446" s="206">
        <v>12</v>
      </c>
      <c r="M446" s="173" t="s">
        <v>265</v>
      </c>
      <c r="N446" s="173" t="s">
        <v>266</v>
      </c>
      <c r="O446" s="175" t="s">
        <v>268</v>
      </c>
      <c r="P446" s="170">
        <v>1207929.18</v>
      </c>
      <c r="Q446" s="170">
        <v>0</v>
      </c>
      <c r="R446" s="170">
        <v>0</v>
      </c>
      <c r="S446" s="170">
        <f>P446-Q446-R446</f>
        <v>1207929.18</v>
      </c>
      <c r="T446" s="170">
        <f t="shared" si="39"/>
        <v>4368.640795660036</v>
      </c>
      <c r="U446" s="170">
        <v>8177.8135334538874</v>
      </c>
      <c r="V446" s="202">
        <f>U446-T446</f>
        <v>3809.1727377938514</v>
      </c>
      <c r="W446" s="202">
        <f>X446+Y446+Z446+AA446+AB446+AD446+AF446+AH446+AJ446+AL446+AN446+AO446</f>
        <v>5279.9455334538879</v>
      </c>
      <c r="X446" s="202">
        <v>0</v>
      </c>
      <c r="Y446" s="203">
        <v>0</v>
      </c>
      <c r="Z446" s="203">
        <v>0</v>
      </c>
      <c r="AA446" s="203">
        <v>0</v>
      </c>
      <c r="AB446" s="203">
        <v>0</v>
      </c>
      <c r="AC446" s="203">
        <v>0</v>
      </c>
      <c r="AD446" s="203">
        <v>0</v>
      </c>
      <c r="AE446" s="203">
        <v>234</v>
      </c>
      <c r="AF446" s="202">
        <f>6238.91*AE446/I446</f>
        <v>5279.9455334538879</v>
      </c>
      <c r="AG446" s="203">
        <v>0</v>
      </c>
      <c r="AH446" s="202">
        <v>0</v>
      </c>
      <c r="AI446" s="203">
        <v>0</v>
      </c>
      <c r="AJ446" s="202">
        <v>0</v>
      </c>
      <c r="AK446" s="203">
        <v>0</v>
      </c>
      <c r="AL446" s="203">
        <v>0</v>
      </c>
      <c r="AM446" s="203">
        <v>0</v>
      </c>
      <c r="AN446" s="203"/>
      <c r="AO446" s="203">
        <v>0</v>
      </c>
    </row>
    <row r="447" spans="1:41" s="176" customFormat="1" ht="36" customHeight="1" x14ac:dyDescent="0.25">
      <c r="A447" s="176">
        <v>1</v>
      </c>
      <c r="B447" s="171">
        <f>SUBTOTAL(103,$A$16:A447)</f>
        <v>392</v>
      </c>
      <c r="C447" s="172" t="s">
        <v>58</v>
      </c>
      <c r="D447" s="173">
        <v>1970</v>
      </c>
      <c r="E447" s="173"/>
      <c r="F447" s="174" t="s">
        <v>267</v>
      </c>
      <c r="G447" s="173">
        <v>2</v>
      </c>
      <c r="H447" s="173" t="s">
        <v>303</v>
      </c>
      <c r="I447" s="170">
        <v>726.6</v>
      </c>
      <c r="J447" s="170">
        <v>482.19</v>
      </c>
      <c r="K447" s="170">
        <v>482.19</v>
      </c>
      <c r="L447" s="206">
        <v>33</v>
      </c>
      <c r="M447" s="173" t="s">
        <v>265</v>
      </c>
      <c r="N447" s="173" t="s">
        <v>266</v>
      </c>
      <c r="O447" s="175" t="s">
        <v>268</v>
      </c>
      <c r="P447" s="170">
        <v>77311.89</v>
      </c>
      <c r="Q447" s="170">
        <v>0</v>
      </c>
      <c r="R447" s="170">
        <v>0</v>
      </c>
      <c r="S447" s="170">
        <f t="shared" si="46"/>
        <v>77311.89</v>
      </c>
      <c r="T447" s="170">
        <f t="shared" si="39"/>
        <v>106.40227085053674</v>
      </c>
      <c r="U447" s="170">
        <v>106.40227085053674</v>
      </c>
      <c r="V447" s="202">
        <f t="shared" si="43"/>
        <v>0</v>
      </c>
      <c r="W447" s="202">
        <f t="shared" si="47"/>
        <v>2009.227828241123</v>
      </c>
      <c r="X447" s="202">
        <v>0</v>
      </c>
      <c r="Y447" s="203">
        <v>0</v>
      </c>
      <c r="Z447" s="203">
        <v>0</v>
      </c>
      <c r="AA447" s="203">
        <v>0</v>
      </c>
      <c r="AB447" s="203">
        <v>0</v>
      </c>
      <c r="AC447" s="203">
        <v>0</v>
      </c>
      <c r="AD447" s="203">
        <v>0</v>
      </c>
      <c r="AE447" s="203">
        <v>234</v>
      </c>
      <c r="AF447" s="202">
        <f>6238.91*AE447/I447</f>
        <v>2009.227828241123</v>
      </c>
      <c r="AG447" s="203">
        <v>0</v>
      </c>
      <c r="AH447" s="202">
        <v>0</v>
      </c>
      <c r="AI447" s="203">
        <v>0</v>
      </c>
      <c r="AJ447" s="202">
        <v>0</v>
      </c>
      <c r="AK447" s="203">
        <v>0</v>
      </c>
      <c r="AL447" s="203">
        <v>0</v>
      </c>
      <c r="AM447" s="203">
        <v>0</v>
      </c>
      <c r="AN447" s="203"/>
      <c r="AO447" s="203">
        <v>0</v>
      </c>
    </row>
    <row r="448" spans="1:41" s="176" customFormat="1" ht="36" customHeight="1" x14ac:dyDescent="0.25">
      <c r="A448" s="176">
        <v>1</v>
      </c>
      <c r="B448" s="171">
        <f>SUBTOTAL(103,$A$16:A448)</f>
        <v>393</v>
      </c>
      <c r="C448" s="172" t="s">
        <v>59</v>
      </c>
      <c r="D448" s="173">
        <v>1973</v>
      </c>
      <c r="E448" s="173"/>
      <c r="F448" s="174" t="s">
        <v>267</v>
      </c>
      <c r="G448" s="173">
        <v>2</v>
      </c>
      <c r="H448" s="173" t="s">
        <v>303</v>
      </c>
      <c r="I448" s="170">
        <v>701.7</v>
      </c>
      <c r="J448" s="170">
        <v>482.5</v>
      </c>
      <c r="K448" s="170">
        <v>482.5</v>
      </c>
      <c r="L448" s="206">
        <v>31</v>
      </c>
      <c r="M448" s="173" t="s">
        <v>265</v>
      </c>
      <c r="N448" s="173" t="s">
        <v>266</v>
      </c>
      <c r="O448" s="175" t="s">
        <v>268</v>
      </c>
      <c r="P448" s="170">
        <v>76900.47</v>
      </c>
      <c r="Q448" s="170">
        <v>0</v>
      </c>
      <c r="R448" s="170">
        <v>0</v>
      </c>
      <c r="S448" s="170">
        <f t="shared" si="46"/>
        <v>76900.47</v>
      </c>
      <c r="T448" s="170">
        <f t="shared" si="39"/>
        <v>109.59166310389054</v>
      </c>
      <c r="U448" s="170">
        <v>109.59166310389054</v>
      </c>
      <c r="V448" s="202">
        <f t="shared" si="43"/>
        <v>0</v>
      </c>
      <c r="W448" s="202">
        <f t="shared" si="47"/>
        <v>3089.3140495938433</v>
      </c>
      <c r="X448" s="202">
        <v>0</v>
      </c>
      <c r="Y448" s="203">
        <v>0</v>
      </c>
      <c r="Z448" s="203">
        <v>0</v>
      </c>
      <c r="AA448" s="203">
        <v>0</v>
      </c>
      <c r="AB448" s="203">
        <v>0</v>
      </c>
      <c r="AC448" s="203">
        <v>0</v>
      </c>
      <c r="AD448" s="203">
        <v>0</v>
      </c>
      <c r="AE448" s="203">
        <v>347.46</v>
      </c>
      <c r="AF448" s="202">
        <f>6238.91*AE448/I448</f>
        <v>3089.3140495938433</v>
      </c>
      <c r="AG448" s="203">
        <v>0</v>
      </c>
      <c r="AH448" s="202">
        <v>0</v>
      </c>
      <c r="AI448" s="203">
        <v>0</v>
      </c>
      <c r="AJ448" s="202">
        <v>0</v>
      </c>
      <c r="AK448" s="203">
        <v>0</v>
      </c>
      <c r="AL448" s="203">
        <v>0</v>
      </c>
      <c r="AM448" s="203">
        <v>0</v>
      </c>
      <c r="AN448" s="203"/>
      <c r="AO448" s="203">
        <v>0</v>
      </c>
    </row>
    <row r="449" spans="1:41" s="176" customFormat="1" ht="36" customHeight="1" x14ac:dyDescent="0.25">
      <c r="B449" s="172" t="s">
        <v>875</v>
      </c>
      <c r="C449" s="172"/>
      <c r="D449" s="173" t="s">
        <v>882</v>
      </c>
      <c r="E449" s="173" t="s">
        <v>882</v>
      </c>
      <c r="F449" s="173" t="s">
        <v>882</v>
      </c>
      <c r="G449" s="173" t="s">
        <v>882</v>
      </c>
      <c r="H449" s="173" t="s">
        <v>882</v>
      </c>
      <c r="I449" s="170">
        <f>I450</f>
        <v>878.6</v>
      </c>
      <c r="J449" s="170">
        <f>J450</f>
        <v>878.6</v>
      </c>
      <c r="K449" s="170">
        <f>K450</f>
        <v>878.6</v>
      </c>
      <c r="L449" s="363">
        <f>L450</f>
        <v>55</v>
      </c>
      <c r="M449" s="173" t="s">
        <v>882</v>
      </c>
      <c r="N449" s="173" t="s">
        <v>882</v>
      </c>
      <c r="O449" s="175" t="s">
        <v>882</v>
      </c>
      <c r="P449" s="170">
        <v>3622790.6399999997</v>
      </c>
      <c r="Q449" s="170">
        <f>Q450</f>
        <v>0</v>
      </c>
      <c r="R449" s="170">
        <f>R450</f>
        <v>0</v>
      </c>
      <c r="S449" s="170">
        <f>S450</f>
        <v>3622790.6399999997</v>
      </c>
      <c r="T449" s="170">
        <f t="shared" si="39"/>
        <v>4123.3674482130655</v>
      </c>
      <c r="U449" s="170">
        <f>U450</f>
        <v>6201.7951399954472</v>
      </c>
      <c r="V449" s="202">
        <f t="shared" si="43"/>
        <v>2078.4276917823818</v>
      </c>
      <c r="W449" s="202"/>
      <c r="X449" s="202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</row>
    <row r="450" spans="1:41" s="176" customFormat="1" ht="36" customHeight="1" x14ac:dyDescent="0.25">
      <c r="A450" s="176">
        <v>1</v>
      </c>
      <c r="B450" s="171">
        <f>SUBTOTAL(103,$A$16:A450)</f>
        <v>394</v>
      </c>
      <c r="C450" s="172" t="s">
        <v>1539</v>
      </c>
      <c r="D450" s="173">
        <v>1979</v>
      </c>
      <c r="E450" s="173"/>
      <c r="F450" s="174" t="s">
        <v>267</v>
      </c>
      <c r="G450" s="173">
        <v>2</v>
      </c>
      <c r="H450" s="173" t="s">
        <v>312</v>
      </c>
      <c r="I450" s="170">
        <v>878.6</v>
      </c>
      <c r="J450" s="170">
        <v>878.6</v>
      </c>
      <c r="K450" s="170">
        <v>878.6</v>
      </c>
      <c r="L450" s="206">
        <v>55</v>
      </c>
      <c r="M450" s="173" t="s">
        <v>265</v>
      </c>
      <c r="N450" s="173" t="s">
        <v>266</v>
      </c>
      <c r="O450" s="175" t="s">
        <v>268</v>
      </c>
      <c r="P450" s="170">
        <v>3622790.6399999997</v>
      </c>
      <c r="Q450" s="170">
        <v>0</v>
      </c>
      <c r="R450" s="170">
        <v>0</v>
      </c>
      <c r="S450" s="170">
        <f>P450-R450-Q450</f>
        <v>3622790.6399999997</v>
      </c>
      <c r="T450" s="170">
        <f t="shared" si="39"/>
        <v>4123.3674482130655</v>
      </c>
      <c r="U450" s="170">
        <v>6201.7951399954472</v>
      </c>
      <c r="V450" s="202">
        <f>U450-T450</f>
        <v>2078.4276917823818</v>
      </c>
      <c r="W450" s="202">
        <f>X450+Y450+Z450+AA450+AB450+AD450+AF450+AH450+AJ450+AL450+AN450+AO450</f>
        <v>5945.6400443887997</v>
      </c>
      <c r="X450" s="202">
        <v>0</v>
      </c>
      <c r="Y450" s="203">
        <v>0</v>
      </c>
      <c r="Z450" s="203">
        <v>0</v>
      </c>
      <c r="AA450" s="203">
        <v>0</v>
      </c>
      <c r="AB450" s="203">
        <v>0</v>
      </c>
      <c r="AC450" s="203">
        <v>0</v>
      </c>
      <c r="AD450" s="203">
        <v>0</v>
      </c>
      <c r="AE450" s="203">
        <v>837.3</v>
      </c>
      <c r="AF450" s="202">
        <f>6238.91*AE450/I450</f>
        <v>5945.6400443887997</v>
      </c>
      <c r="AG450" s="203">
        <v>0</v>
      </c>
      <c r="AH450" s="202">
        <v>0</v>
      </c>
      <c r="AI450" s="203">
        <v>0</v>
      </c>
      <c r="AJ450" s="202">
        <v>0</v>
      </c>
      <c r="AK450" s="203">
        <v>0</v>
      </c>
      <c r="AL450" s="203">
        <v>0</v>
      </c>
      <c r="AM450" s="203">
        <v>0</v>
      </c>
      <c r="AN450" s="203"/>
      <c r="AO450" s="203">
        <v>0</v>
      </c>
    </row>
    <row r="451" spans="1:41" s="176" customFormat="1" ht="36" customHeight="1" x14ac:dyDescent="0.25">
      <c r="B451" s="172" t="s">
        <v>839</v>
      </c>
      <c r="C451" s="359"/>
      <c r="D451" s="173" t="s">
        <v>743</v>
      </c>
      <c r="E451" s="173" t="s">
        <v>743</v>
      </c>
      <c r="F451" s="173" t="s">
        <v>743</v>
      </c>
      <c r="G451" s="173" t="s">
        <v>743</v>
      </c>
      <c r="H451" s="173" t="s">
        <v>743</v>
      </c>
      <c r="I451" s="170">
        <f>I452</f>
        <v>940.6</v>
      </c>
      <c r="J451" s="170">
        <f>J452</f>
        <v>853.9</v>
      </c>
      <c r="K451" s="170">
        <f>K452</f>
        <v>853.9</v>
      </c>
      <c r="L451" s="363">
        <f>L452</f>
        <v>33</v>
      </c>
      <c r="M451" s="173" t="s">
        <v>743</v>
      </c>
      <c r="N451" s="173" t="s">
        <v>743</v>
      </c>
      <c r="O451" s="175" t="s">
        <v>743</v>
      </c>
      <c r="P451" s="170">
        <v>3515825.94</v>
      </c>
      <c r="Q451" s="170">
        <f>Q452</f>
        <v>0</v>
      </c>
      <c r="R451" s="170">
        <f>R452</f>
        <v>0</v>
      </c>
      <c r="S451" s="170">
        <f>S452</f>
        <v>3515825.94</v>
      </c>
      <c r="T451" s="170">
        <f t="shared" si="39"/>
        <v>3737.8544971294918</v>
      </c>
      <c r="U451" s="170">
        <f>U452</f>
        <v>5579.3530023389321</v>
      </c>
      <c r="V451" s="202">
        <f t="shared" si="43"/>
        <v>1841.4985052094403</v>
      </c>
      <c r="W451" s="202"/>
      <c r="X451" s="202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</row>
    <row r="452" spans="1:41" s="176" customFormat="1" ht="36" customHeight="1" x14ac:dyDescent="0.25">
      <c r="A452" s="176">
        <v>1</v>
      </c>
      <c r="B452" s="171">
        <f>SUBTOTAL(103,$A$16:A452)</f>
        <v>395</v>
      </c>
      <c r="C452" s="172" t="s">
        <v>227</v>
      </c>
      <c r="D452" s="173">
        <v>1995</v>
      </c>
      <c r="E452" s="173"/>
      <c r="F452" s="174" t="s">
        <v>267</v>
      </c>
      <c r="G452" s="173">
        <v>2</v>
      </c>
      <c r="H452" s="173" t="s">
        <v>312</v>
      </c>
      <c r="I452" s="170">
        <v>940.6</v>
      </c>
      <c r="J452" s="170">
        <v>853.9</v>
      </c>
      <c r="K452" s="170">
        <v>853.9</v>
      </c>
      <c r="L452" s="206">
        <v>33</v>
      </c>
      <c r="M452" s="173" t="s">
        <v>265</v>
      </c>
      <c r="N452" s="173" t="s">
        <v>269</v>
      </c>
      <c r="O452" s="175" t="s">
        <v>694</v>
      </c>
      <c r="P452" s="170">
        <v>3515825.94</v>
      </c>
      <c r="Q452" s="170">
        <v>0</v>
      </c>
      <c r="R452" s="170">
        <v>0</v>
      </c>
      <c r="S452" s="170">
        <f>P452-Q452-R452</f>
        <v>3515825.94</v>
      </c>
      <c r="T452" s="170">
        <f t="shared" si="39"/>
        <v>3737.8544971294918</v>
      </c>
      <c r="U452" s="170">
        <v>5579.3530023389321</v>
      </c>
      <c r="V452" s="202">
        <f>U452-T452</f>
        <v>1841.4985052094403</v>
      </c>
      <c r="W452" s="202">
        <f>X452+Y452+Z452+AA452+AB452+AD452+AF452+AH452+AJ452+AL452+AN452+AO452</f>
        <v>5348.9068702955556</v>
      </c>
      <c r="X452" s="202">
        <v>0</v>
      </c>
      <c r="Y452" s="203">
        <v>0</v>
      </c>
      <c r="Z452" s="203">
        <v>0</v>
      </c>
      <c r="AA452" s="203">
        <v>0</v>
      </c>
      <c r="AB452" s="203">
        <v>0</v>
      </c>
      <c r="AC452" s="203">
        <v>0</v>
      </c>
      <c r="AD452" s="203">
        <v>0</v>
      </c>
      <c r="AE452" s="203">
        <v>806.42</v>
      </c>
      <c r="AF452" s="202">
        <f>6238.91*AE452/I452</f>
        <v>5348.9068702955556</v>
      </c>
      <c r="AG452" s="203">
        <v>0</v>
      </c>
      <c r="AH452" s="202">
        <v>0</v>
      </c>
      <c r="AI452" s="203">
        <v>0</v>
      </c>
      <c r="AJ452" s="202">
        <v>0</v>
      </c>
      <c r="AK452" s="203">
        <v>0</v>
      </c>
      <c r="AL452" s="203">
        <v>0</v>
      </c>
      <c r="AM452" s="203">
        <v>0</v>
      </c>
      <c r="AN452" s="203"/>
      <c r="AO452" s="203">
        <v>0</v>
      </c>
    </row>
    <row r="453" spans="1:41" s="176" customFormat="1" ht="36" customHeight="1" x14ac:dyDescent="0.25">
      <c r="B453" s="172" t="s">
        <v>840</v>
      </c>
      <c r="C453" s="172"/>
      <c r="D453" s="173" t="s">
        <v>743</v>
      </c>
      <c r="E453" s="173" t="s">
        <v>743</v>
      </c>
      <c r="F453" s="173" t="s">
        <v>743</v>
      </c>
      <c r="G453" s="173" t="s">
        <v>743</v>
      </c>
      <c r="H453" s="173" t="s">
        <v>743</v>
      </c>
      <c r="I453" s="170">
        <f>I454</f>
        <v>340.3</v>
      </c>
      <c r="J453" s="170">
        <f>J454</f>
        <v>309.10000000000002</v>
      </c>
      <c r="K453" s="170">
        <f>K454</f>
        <v>309.10000000000002</v>
      </c>
      <c r="L453" s="363">
        <f>L454</f>
        <v>19</v>
      </c>
      <c r="M453" s="173" t="s">
        <v>743</v>
      </c>
      <c r="N453" s="173" t="s">
        <v>743</v>
      </c>
      <c r="O453" s="175" t="s">
        <v>743</v>
      </c>
      <c r="P453" s="170">
        <v>1371104.41</v>
      </c>
      <c r="Q453" s="170">
        <f>Q454</f>
        <v>0</v>
      </c>
      <c r="R453" s="170">
        <f>R454</f>
        <v>0</v>
      </c>
      <c r="S453" s="170">
        <f>S454</f>
        <v>1371104.41</v>
      </c>
      <c r="T453" s="170">
        <f t="shared" si="39"/>
        <v>4029.1049368204522</v>
      </c>
      <c r="U453" s="170">
        <f>U454</f>
        <v>5775.2729944166904</v>
      </c>
      <c r="V453" s="202">
        <f t="shared" si="43"/>
        <v>1746.1680575962382</v>
      </c>
      <c r="W453" s="202"/>
      <c r="X453" s="202"/>
      <c r="Y453" s="203"/>
      <c r="Z453" s="203"/>
      <c r="AA453" s="203"/>
      <c r="AB453" s="203"/>
      <c r="AC453" s="203"/>
      <c r="AD453" s="203"/>
      <c r="AE453" s="203"/>
      <c r="AF453" s="203"/>
      <c r="AG453" s="203"/>
      <c r="AH453" s="203"/>
      <c r="AI453" s="203"/>
      <c r="AJ453" s="203"/>
      <c r="AK453" s="203"/>
      <c r="AL453" s="203"/>
      <c r="AM453" s="203"/>
      <c r="AN453" s="203"/>
      <c r="AO453" s="203"/>
    </row>
    <row r="454" spans="1:41" s="176" customFormat="1" ht="36" customHeight="1" x14ac:dyDescent="0.25">
      <c r="A454" s="176">
        <v>1</v>
      </c>
      <c r="B454" s="171">
        <f>SUBTOTAL(103,$A$16:A454)</f>
        <v>396</v>
      </c>
      <c r="C454" s="172" t="s">
        <v>230</v>
      </c>
      <c r="D454" s="173">
        <v>1981</v>
      </c>
      <c r="E454" s="173"/>
      <c r="F454" s="174" t="s">
        <v>267</v>
      </c>
      <c r="G454" s="173">
        <v>2</v>
      </c>
      <c r="H454" s="173" t="s">
        <v>304</v>
      </c>
      <c r="I454" s="170">
        <v>340.3</v>
      </c>
      <c r="J454" s="170">
        <v>309.10000000000002</v>
      </c>
      <c r="K454" s="170">
        <v>309.10000000000002</v>
      </c>
      <c r="L454" s="206">
        <v>19</v>
      </c>
      <c r="M454" s="173" t="s">
        <v>265</v>
      </c>
      <c r="N454" s="173" t="s">
        <v>269</v>
      </c>
      <c r="O454" s="175" t="s">
        <v>694</v>
      </c>
      <c r="P454" s="170">
        <v>1371104.41</v>
      </c>
      <c r="Q454" s="170">
        <v>0</v>
      </c>
      <c r="R454" s="170">
        <v>0</v>
      </c>
      <c r="S454" s="170">
        <f>P454-Q454-R454</f>
        <v>1371104.41</v>
      </c>
      <c r="T454" s="170">
        <f t="shared" si="39"/>
        <v>4029.1049368204522</v>
      </c>
      <c r="U454" s="170">
        <v>5775.2729944166904</v>
      </c>
      <c r="V454" s="202">
        <f>U454-T454</f>
        <v>1746.1680575962382</v>
      </c>
      <c r="W454" s="202">
        <f>X454+Y454+Z454+AA454+AB454+AD454+AF454+AH454+AJ454+AL454+AN454+AO454</f>
        <v>5536.734704672348</v>
      </c>
      <c r="X454" s="202">
        <v>0</v>
      </c>
      <c r="Y454" s="203">
        <v>0</v>
      </c>
      <c r="Z454" s="203">
        <v>0</v>
      </c>
      <c r="AA454" s="203">
        <v>0</v>
      </c>
      <c r="AB454" s="203">
        <v>0</v>
      </c>
      <c r="AC454" s="203">
        <v>0</v>
      </c>
      <c r="AD454" s="203">
        <v>0</v>
      </c>
      <c r="AE454" s="203">
        <v>302</v>
      </c>
      <c r="AF454" s="202">
        <f>6238.91*AE454/I454</f>
        <v>5536.734704672348</v>
      </c>
      <c r="AG454" s="203">
        <v>0</v>
      </c>
      <c r="AH454" s="202">
        <v>0</v>
      </c>
      <c r="AI454" s="203">
        <v>0</v>
      </c>
      <c r="AJ454" s="202">
        <v>0</v>
      </c>
      <c r="AK454" s="203">
        <v>0</v>
      </c>
      <c r="AL454" s="203">
        <v>0</v>
      </c>
      <c r="AM454" s="203">
        <v>0</v>
      </c>
      <c r="AN454" s="203"/>
      <c r="AO454" s="203">
        <v>0</v>
      </c>
    </row>
    <row r="455" spans="1:41" s="176" customFormat="1" ht="36" customHeight="1" x14ac:dyDescent="0.25">
      <c r="B455" s="172" t="s">
        <v>1279</v>
      </c>
      <c r="C455" s="172"/>
      <c r="D455" s="173" t="s">
        <v>743</v>
      </c>
      <c r="E455" s="173" t="s">
        <v>743</v>
      </c>
      <c r="F455" s="173" t="s">
        <v>743</v>
      </c>
      <c r="G455" s="173" t="s">
        <v>743</v>
      </c>
      <c r="H455" s="173" t="s">
        <v>743</v>
      </c>
      <c r="I455" s="170">
        <f>I456</f>
        <v>953.9</v>
      </c>
      <c r="J455" s="170">
        <f>J456</f>
        <v>865.7</v>
      </c>
      <c r="K455" s="170">
        <f>K456</f>
        <v>865.7</v>
      </c>
      <c r="L455" s="363">
        <f>L456</f>
        <v>28</v>
      </c>
      <c r="M455" s="173" t="s">
        <v>743</v>
      </c>
      <c r="N455" s="173" t="s">
        <v>743</v>
      </c>
      <c r="O455" s="175" t="s">
        <v>743</v>
      </c>
      <c r="P455" s="170">
        <v>40161.910000000003</v>
      </c>
      <c r="Q455" s="170">
        <f>Q456</f>
        <v>0</v>
      </c>
      <c r="R455" s="170">
        <f>R456</f>
        <v>0</v>
      </c>
      <c r="S455" s="170">
        <f>S456</f>
        <v>40161.910000000003</v>
      </c>
      <c r="T455" s="170">
        <f t="shared" si="39"/>
        <v>42.102851451934171</v>
      </c>
      <c r="U455" s="170">
        <f>U456</f>
        <v>42.102851451934171</v>
      </c>
      <c r="V455" s="202">
        <f t="shared" si="43"/>
        <v>0</v>
      </c>
      <c r="W455" s="202"/>
      <c r="X455" s="202"/>
      <c r="Y455" s="203"/>
      <c r="Z455" s="203"/>
      <c r="AA455" s="203"/>
      <c r="AB455" s="203"/>
      <c r="AC455" s="203"/>
      <c r="AD455" s="203"/>
      <c r="AE455" s="203"/>
      <c r="AF455" s="203"/>
      <c r="AG455" s="203"/>
      <c r="AH455" s="203"/>
      <c r="AI455" s="203"/>
      <c r="AJ455" s="203"/>
      <c r="AK455" s="203"/>
      <c r="AL455" s="203"/>
      <c r="AM455" s="203"/>
      <c r="AN455" s="203"/>
      <c r="AO455" s="203"/>
    </row>
    <row r="456" spans="1:41" s="176" customFormat="1" ht="36" customHeight="1" x14ac:dyDescent="0.25">
      <c r="A456" s="176">
        <v>1</v>
      </c>
      <c r="B456" s="171">
        <f>SUBTOTAL(103,$A$16:A456)</f>
        <v>397</v>
      </c>
      <c r="C456" s="172" t="s">
        <v>1280</v>
      </c>
      <c r="D456" s="173">
        <v>1984</v>
      </c>
      <c r="E456" s="173"/>
      <c r="F456" s="174" t="s">
        <v>267</v>
      </c>
      <c r="G456" s="173">
        <v>2</v>
      </c>
      <c r="H456" s="173" t="s">
        <v>312</v>
      </c>
      <c r="I456" s="170">
        <v>953.9</v>
      </c>
      <c r="J456" s="170">
        <v>865.7</v>
      </c>
      <c r="K456" s="170">
        <v>865.7</v>
      </c>
      <c r="L456" s="206">
        <v>28</v>
      </c>
      <c r="M456" s="173" t="s">
        <v>265</v>
      </c>
      <c r="N456" s="173" t="s">
        <v>266</v>
      </c>
      <c r="O456" s="175" t="s">
        <v>268</v>
      </c>
      <c r="P456" s="170">
        <v>40161.910000000003</v>
      </c>
      <c r="Q456" s="170">
        <v>0</v>
      </c>
      <c r="R456" s="170">
        <v>0</v>
      </c>
      <c r="S456" s="170">
        <f>P456-Q456-R456</f>
        <v>40161.910000000003</v>
      </c>
      <c r="T456" s="170">
        <f t="shared" si="39"/>
        <v>42.102851451934171</v>
      </c>
      <c r="U456" s="170">
        <v>42.102851451934171</v>
      </c>
      <c r="V456" s="202">
        <f>U456-T456</f>
        <v>0</v>
      </c>
      <c r="W456" s="202">
        <f>T456</f>
        <v>42.102851451934171</v>
      </c>
      <c r="X456" s="202">
        <v>0</v>
      </c>
      <c r="Y456" s="203">
        <v>0</v>
      </c>
      <c r="Z456" s="203">
        <v>0</v>
      </c>
      <c r="AA456" s="203">
        <v>0</v>
      </c>
      <c r="AB456" s="203">
        <v>0</v>
      </c>
      <c r="AC456" s="203">
        <v>0</v>
      </c>
      <c r="AD456" s="203">
        <v>0</v>
      </c>
      <c r="AE456" s="203">
        <v>735</v>
      </c>
      <c r="AF456" s="202">
        <f>6436.53*AE456/I456</f>
        <v>4959.4816542614526</v>
      </c>
      <c r="AG456" s="203">
        <v>0</v>
      </c>
      <c r="AH456" s="202">
        <v>0</v>
      </c>
      <c r="AI456" s="203">
        <v>0</v>
      </c>
      <c r="AJ456" s="202">
        <v>0</v>
      </c>
      <c r="AK456" s="203">
        <v>0</v>
      </c>
      <c r="AL456" s="203">
        <v>0</v>
      </c>
      <c r="AM456" s="203">
        <v>0</v>
      </c>
      <c r="AN456" s="203"/>
      <c r="AO456" s="203">
        <v>0</v>
      </c>
    </row>
    <row r="457" spans="1:41" s="176" customFormat="1" ht="36" customHeight="1" x14ac:dyDescent="0.25">
      <c r="B457" s="172" t="s">
        <v>841</v>
      </c>
      <c r="C457" s="359"/>
      <c r="D457" s="173" t="s">
        <v>743</v>
      </c>
      <c r="E457" s="173" t="s">
        <v>743</v>
      </c>
      <c r="F457" s="173" t="s">
        <v>743</v>
      </c>
      <c r="G457" s="173" t="s">
        <v>743</v>
      </c>
      <c r="H457" s="173" t="s">
        <v>743</v>
      </c>
      <c r="I457" s="170">
        <f>I458</f>
        <v>1446.38</v>
      </c>
      <c r="J457" s="170">
        <f>J458</f>
        <v>996.18</v>
      </c>
      <c r="K457" s="170">
        <f>K458</f>
        <v>996.18</v>
      </c>
      <c r="L457" s="363">
        <f>L458</f>
        <v>78</v>
      </c>
      <c r="M457" s="173" t="s">
        <v>743</v>
      </c>
      <c r="N457" s="173" t="s">
        <v>743</v>
      </c>
      <c r="O457" s="175" t="s">
        <v>743</v>
      </c>
      <c r="P457" s="170">
        <v>127877.6</v>
      </c>
      <c r="Q457" s="170">
        <f>Q458</f>
        <v>0</v>
      </c>
      <c r="R457" s="170">
        <f>R458</f>
        <v>0</v>
      </c>
      <c r="S457" s="170">
        <f>S458</f>
        <v>127877.6</v>
      </c>
      <c r="T457" s="170">
        <f t="shared" si="39"/>
        <v>88.412173840899342</v>
      </c>
      <c r="U457" s="170">
        <f>MAX(U458)</f>
        <v>88.412173840899342</v>
      </c>
      <c r="V457" s="202">
        <f t="shared" si="43"/>
        <v>0</v>
      </c>
      <c r="W457" s="202"/>
      <c r="X457" s="202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  <c r="AJ457" s="203"/>
      <c r="AK457" s="203"/>
      <c r="AL457" s="203"/>
      <c r="AM457" s="203"/>
      <c r="AN457" s="203"/>
      <c r="AO457" s="203"/>
    </row>
    <row r="458" spans="1:41" s="176" customFormat="1" ht="36" customHeight="1" x14ac:dyDescent="0.25">
      <c r="A458" s="176">
        <v>1</v>
      </c>
      <c r="B458" s="171">
        <f>SUBTOTAL(103,$A$16:A458)</f>
        <v>398</v>
      </c>
      <c r="C458" s="172" t="s">
        <v>139</v>
      </c>
      <c r="D458" s="173">
        <v>1969</v>
      </c>
      <c r="E458" s="173"/>
      <c r="F458" s="174" t="s">
        <v>267</v>
      </c>
      <c r="G458" s="173">
        <v>2</v>
      </c>
      <c r="H458" s="173" t="s">
        <v>304</v>
      </c>
      <c r="I458" s="170">
        <v>1446.38</v>
      </c>
      <c r="J458" s="170">
        <v>996.18</v>
      </c>
      <c r="K458" s="170">
        <v>996.18</v>
      </c>
      <c r="L458" s="206">
        <v>78</v>
      </c>
      <c r="M458" s="173" t="s">
        <v>265</v>
      </c>
      <c r="N458" s="173" t="s">
        <v>269</v>
      </c>
      <c r="O458" s="175" t="s">
        <v>984</v>
      </c>
      <c r="P458" s="170">
        <v>127877.6</v>
      </c>
      <c r="Q458" s="170">
        <v>0</v>
      </c>
      <c r="R458" s="170">
        <v>0</v>
      </c>
      <c r="S458" s="170">
        <f>P458-Q458-R458</f>
        <v>127877.6</v>
      </c>
      <c r="T458" s="170">
        <f t="shared" si="39"/>
        <v>88.412173840899342</v>
      </c>
      <c r="U458" s="170">
        <v>88.412173840899342</v>
      </c>
      <c r="V458" s="202">
        <f>U458-T458</f>
        <v>0</v>
      </c>
      <c r="W458" s="202">
        <f>X458+Y458+Z458+AA458+AB458+AD458+AF458+AH458+AJ458+AL458+AN458+AO458</f>
        <v>4227.1960342371985</v>
      </c>
      <c r="X458" s="202">
        <v>0</v>
      </c>
      <c r="Y458" s="203">
        <v>0</v>
      </c>
      <c r="Z458" s="203">
        <v>0</v>
      </c>
      <c r="AA458" s="203">
        <v>0</v>
      </c>
      <c r="AB458" s="203">
        <v>0</v>
      </c>
      <c r="AC458" s="203">
        <v>0</v>
      </c>
      <c r="AD458" s="203">
        <v>0</v>
      </c>
      <c r="AE458" s="203">
        <v>980</v>
      </c>
      <c r="AF458" s="202">
        <f>6238.91*AE458/I458</f>
        <v>4227.1960342371985</v>
      </c>
      <c r="AG458" s="203">
        <v>0</v>
      </c>
      <c r="AH458" s="202">
        <v>0</v>
      </c>
      <c r="AI458" s="203">
        <v>0</v>
      </c>
      <c r="AJ458" s="202">
        <v>0</v>
      </c>
      <c r="AK458" s="203">
        <v>0</v>
      </c>
      <c r="AL458" s="203">
        <v>0</v>
      </c>
      <c r="AM458" s="203">
        <v>0</v>
      </c>
      <c r="AN458" s="203"/>
      <c r="AO458" s="203">
        <v>0</v>
      </c>
    </row>
    <row r="459" spans="1:41" s="176" customFormat="1" ht="36" customHeight="1" x14ac:dyDescent="0.25">
      <c r="B459" s="172" t="s">
        <v>842</v>
      </c>
      <c r="C459" s="172"/>
      <c r="D459" s="173" t="s">
        <v>743</v>
      </c>
      <c r="E459" s="173" t="s">
        <v>743</v>
      </c>
      <c r="F459" s="173" t="s">
        <v>743</v>
      </c>
      <c r="G459" s="173" t="s">
        <v>743</v>
      </c>
      <c r="H459" s="173" t="s">
        <v>743</v>
      </c>
      <c r="I459" s="170">
        <f>I460</f>
        <v>676.3</v>
      </c>
      <c r="J459" s="170">
        <f>J460</f>
        <v>633.29999999999995</v>
      </c>
      <c r="K459" s="170">
        <f>K460</f>
        <v>633.29999999999995</v>
      </c>
      <c r="L459" s="363">
        <f>L460</f>
        <v>32</v>
      </c>
      <c r="M459" s="173" t="s">
        <v>743</v>
      </c>
      <c r="N459" s="173" t="s">
        <v>743</v>
      </c>
      <c r="O459" s="175" t="s">
        <v>743</v>
      </c>
      <c r="P459" s="170">
        <v>87573.72</v>
      </c>
      <c r="Q459" s="170">
        <f>Q460</f>
        <v>0</v>
      </c>
      <c r="R459" s="170">
        <f>R460</f>
        <v>0</v>
      </c>
      <c r="S459" s="170">
        <f>S460</f>
        <v>87573.72</v>
      </c>
      <c r="T459" s="170">
        <f t="shared" si="39"/>
        <v>129.48945734141654</v>
      </c>
      <c r="U459" s="170">
        <f>MAX(U460)</f>
        <v>129.48945734141654</v>
      </c>
      <c r="V459" s="202">
        <f t="shared" si="43"/>
        <v>0</v>
      </c>
      <c r="W459" s="202"/>
      <c r="X459" s="202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  <c r="AJ459" s="203"/>
      <c r="AK459" s="203"/>
      <c r="AL459" s="203"/>
      <c r="AM459" s="203"/>
      <c r="AN459" s="203"/>
      <c r="AO459" s="203"/>
    </row>
    <row r="460" spans="1:41" s="176" customFormat="1" ht="36" customHeight="1" x14ac:dyDescent="0.25">
      <c r="A460" s="176">
        <v>1</v>
      </c>
      <c r="B460" s="171">
        <f>SUBTOTAL(103,$A$16:A460)</f>
        <v>399</v>
      </c>
      <c r="C460" s="172" t="s">
        <v>144</v>
      </c>
      <c r="D460" s="173">
        <v>1965</v>
      </c>
      <c r="E460" s="173"/>
      <c r="F460" s="174" t="s">
        <v>267</v>
      </c>
      <c r="G460" s="173">
        <v>2</v>
      </c>
      <c r="H460" s="173" t="s">
        <v>303</v>
      </c>
      <c r="I460" s="170">
        <v>676.3</v>
      </c>
      <c r="J460" s="170">
        <v>633.29999999999995</v>
      </c>
      <c r="K460" s="170">
        <v>633.29999999999995</v>
      </c>
      <c r="L460" s="206">
        <v>32</v>
      </c>
      <c r="M460" s="173" t="s">
        <v>265</v>
      </c>
      <c r="N460" s="173" t="s">
        <v>269</v>
      </c>
      <c r="O460" s="175" t="s">
        <v>288</v>
      </c>
      <c r="P460" s="170">
        <v>87573.72</v>
      </c>
      <c r="Q460" s="170">
        <v>0</v>
      </c>
      <c r="R460" s="170">
        <v>0</v>
      </c>
      <c r="S460" s="170">
        <f>P460-Q460-R460</f>
        <v>87573.72</v>
      </c>
      <c r="T460" s="170">
        <f t="shared" si="39"/>
        <v>129.48945734141654</v>
      </c>
      <c r="U460" s="170">
        <v>129.48945734141654</v>
      </c>
      <c r="V460" s="202">
        <f>U460-T460</f>
        <v>0</v>
      </c>
      <c r="W460" s="202">
        <f>X460+Y460+Z460+AA460+AB460+AD460+AF460+AH460+AJ460+AL460+AN460+AO460</f>
        <v>5803.4604739822853</v>
      </c>
      <c r="X460" s="202">
        <v>0</v>
      </c>
      <c r="Y460" s="203">
        <v>0</v>
      </c>
      <c r="Z460" s="203">
        <v>0</v>
      </c>
      <c r="AA460" s="203">
        <v>0</v>
      </c>
      <c r="AB460" s="203">
        <v>0</v>
      </c>
      <c r="AC460" s="203">
        <v>0</v>
      </c>
      <c r="AD460" s="203">
        <v>0</v>
      </c>
      <c r="AE460" s="203">
        <v>629.09712090000005</v>
      </c>
      <c r="AF460" s="202">
        <f>6238.91*AE460/I460</f>
        <v>5803.4604739822853</v>
      </c>
      <c r="AG460" s="203">
        <v>0</v>
      </c>
      <c r="AH460" s="202">
        <v>0</v>
      </c>
      <c r="AI460" s="203">
        <v>0</v>
      </c>
      <c r="AJ460" s="202">
        <v>0</v>
      </c>
      <c r="AK460" s="203">
        <v>0</v>
      </c>
      <c r="AL460" s="203">
        <v>0</v>
      </c>
      <c r="AM460" s="203">
        <v>0</v>
      </c>
      <c r="AN460" s="203"/>
      <c r="AO460" s="203">
        <v>0</v>
      </c>
    </row>
    <row r="461" spans="1:41" s="176" customFormat="1" ht="36" customHeight="1" x14ac:dyDescent="0.25">
      <c r="B461" s="172" t="s">
        <v>843</v>
      </c>
      <c r="C461" s="172"/>
      <c r="D461" s="173" t="s">
        <v>882</v>
      </c>
      <c r="E461" s="173" t="s">
        <v>882</v>
      </c>
      <c r="F461" s="173" t="s">
        <v>882</v>
      </c>
      <c r="G461" s="173" t="s">
        <v>882</v>
      </c>
      <c r="H461" s="173" t="s">
        <v>882</v>
      </c>
      <c r="I461" s="177">
        <f>SUM(I462:I466)</f>
        <v>3130</v>
      </c>
      <c r="J461" s="177">
        <f>SUM(J462:J466)</f>
        <v>2960</v>
      </c>
      <c r="K461" s="177">
        <f>SUM(K462:K466)</f>
        <v>2960</v>
      </c>
      <c r="L461" s="357">
        <f>SUM(L462:L466)</f>
        <v>140</v>
      </c>
      <c r="M461" s="173" t="s">
        <v>882</v>
      </c>
      <c r="N461" s="173" t="s">
        <v>882</v>
      </c>
      <c r="O461" s="175" t="s">
        <v>882</v>
      </c>
      <c r="P461" s="170">
        <v>3911488.5799999996</v>
      </c>
      <c r="Q461" s="170">
        <f>SUM(Q462:Q466)</f>
        <v>0</v>
      </c>
      <c r="R461" s="170">
        <f>SUM(R462:R466)</f>
        <v>0</v>
      </c>
      <c r="S461" s="170">
        <f>SUM(S462:S466)</f>
        <v>3911488.5799999996</v>
      </c>
      <c r="T461" s="170">
        <f t="shared" ref="T461:T524" si="48">P461/I461</f>
        <v>1249.6768626198082</v>
      </c>
      <c r="U461" s="170">
        <f>MAX(U462:U466)</f>
        <v>9525.555317439057</v>
      </c>
      <c r="V461" s="202">
        <f t="shared" si="43"/>
        <v>8275.8784548192489</v>
      </c>
      <c r="W461" s="202"/>
      <c r="X461" s="202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</row>
    <row r="462" spans="1:41" s="176" customFormat="1" ht="36" customHeight="1" x14ac:dyDescent="0.25">
      <c r="A462" s="176">
        <v>1</v>
      </c>
      <c r="B462" s="171">
        <f>SUBTOTAL(103,$A$16:A462)</f>
        <v>400</v>
      </c>
      <c r="C462" s="172" t="s">
        <v>142</v>
      </c>
      <c r="D462" s="173">
        <v>1983</v>
      </c>
      <c r="E462" s="173"/>
      <c r="F462" s="174" t="s">
        <v>267</v>
      </c>
      <c r="G462" s="173">
        <v>3</v>
      </c>
      <c r="H462" s="173" t="s">
        <v>303</v>
      </c>
      <c r="I462" s="170">
        <v>1387.1</v>
      </c>
      <c r="J462" s="170">
        <v>1285.0999999999999</v>
      </c>
      <c r="K462" s="170">
        <v>1285.0999999999999</v>
      </c>
      <c r="L462" s="206">
        <v>58</v>
      </c>
      <c r="M462" s="173" t="s">
        <v>265</v>
      </c>
      <c r="N462" s="173" t="s">
        <v>269</v>
      </c>
      <c r="O462" s="175" t="s">
        <v>289</v>
      </c>
      <c r="P462" s="170">
        <v>141265.9</v>
      </c>
      <c r="Q462" s="170">
        <v>0</v>
      </c>
      <c r="R462" s="170">
        <v>0</v>
      </c>
      <c r="S462" s="170">
        <f>P462-Q462-R462</f>
        <v>141265.9</v>
      </c>
      <c r="T462" s="170">
        <f t="shared" si="48"/>
        <v>101.84262129622955</v>
      </c>
      <c r="U462" s="170">
        <v>101.84262129622955</v>
      </c>
      <c r="V462" s="202">
        <f t="shared" si="43"/>
        <v>0</v>
      </c>
      <c r="W462" s="202">
        <f>T462</f>
        <v>101.84262129622955</v>
      </c>
      <c r="X462" s="202">
        <v>0</v>
      </c>
      <c r="Y462" s="203">
        <v>0</v>
      </c>
      <c r="Z462" s="203">
        <v>0</v>
      </c>
      <c r="AA462" s="203">
        <v>0</v>
      </c>
      <c r="AB462" s="203">
        <v>0</v>
      </c>
      <c r="AC462" s="203">
        <v>0</v>
      </c>
      <c r="AD462" s="203">
        <v>0</v>
      </c>
      <c r="AE462" s="203">
        <v>0</v>
      </c>
      <c r="AF462" s="202">
        <v>0</v>
      </c>
      <c r="AG462" s="203">
        <v>0</v>
      </c>
      <c r="AH462" s="202">
        <v>0</v>
      </c>
      <c r="AI462" s="203">
        <v>0</v>
      </c>
      <c r="AJ462" s="202">
        <v>0</v>
      </c>
      <c r="AK462" s="203">
        <v>0</v>
      </c>
      <c r="AL462" s="203">
        <v>0</v>
      </c>
      <c r="AM462" s="203">
        <v>583.41</v>
      </c>
      <c r="AN462" s="203">
        <f>6984.52*AM462/I462</f>
        <v>2937.6676614519506</v>
      </c>
      <c r="AO462" s="203">
        <v>0</v>
      </c>
    </row>
    <row r="463" spans="1:41" s="176" customFormat="1" ht="36" customHeight="1" x14ac:dyDescent="0.25">
      <c r="A463" s="176">
        <v>1</v>
      </c>
      <c r="B463" s="171">
        <f>SUBTOTAL(103,$A$16:A463)</f>
        <v>401</v>
      </c>
      <c r="C463" s="172" t="s">
        <v>143</v>
      </c>
      <c r="D463" s="173">
        <v>1964</v>
      </c>
      <c r="E463" s="173"/>
      <c r="F463" s="174" t="s">
        <v>267</v>
      </c>
      <c r="G463" s="173">
        <v>2</v>
      </c>
      <c r="H463" s="173" t="s">
        <v>304</v>
      </c>
      <c r="I463" s="170">
        <v>337.2</v>
      </c>
      <c r="J463" s="170">
        <v>337.2</v>
      </c>
      <c r="K463" s="170">
        <v>337.2</v>
      </c>
      <c r="L463" s="206">
        <v>18</v>
      </c>
      <c r="M463" s="173" t="s">
        <v>265</v>
      </c>
      <c r="N463" s="173" t="s">
        <v>269</v>
      </c>
      <c r="O463" s="175" t="s">
        <v>289</v>
      </c>
      <c r="P463" s="170">
        <v>1216558.3500000001</v>
      </c>
      <c r="Q463" s="170">
        <v>0</v>
      </c>
      <c r="R463" s="170">
        <v>0</v>
      </c>
      <c r="S463" s="170">
        <f>P463-Q463-R463</f>
        <v>1216558.3500000001</v>
      </c>
      <c r="T463" s="170">
        <f t="shared" si="48"/>
        <v>3607.8242882562281</v>
      </c>
      <c r="U463" s="170">
        <v>6133.2949584816133</v>
      </c>
      <c r="V463" s="202">
        <f t="shared" si="43"/>
        <v>2525.4706702253852</v>
      </c>
      <c r="W463" s="202">
        <f>X463+Y463+Z463+AA463+AB463+AD463+AF463+AH463+AJ463+AL463+AN463+AO463</f>
        <v>5879.9691518386717</v>
      </c>
      <c r="X463" s="202">
        <v>0</v>
      </c>
      <c r="Y463" s="203">
        <v>0</v>
      </c>
      <c r="Z463" s="203">
        <v>0</v>
      </c>
      <c r="AA463" s="203">
        <v>0</v>
      </c>
      <c r="AB463" s="203">
        <v>0</v>
      </c>
      <c r="AC463" s="203">
        <v>0</v>
      </c>
      <c r="AD463" s="203">
        <v>0</v>
      </c>
      <c r="AE463" s="203">
        <v>317.8</v>
      </c>
      <c r="AF463" s="202">
        <f>6238.91*AE463/I463</f>
        <v>5879.9691518386717</v>
      </c>
      <c r="AG463" s="203">
        <v>0</v>
      </c>
      <c r="AH463" s="202">
        <v>0</v>
      </c>
      <c r="AI463" s="203">
        <v>0</v>
      </c>
      <c r="AJ463" s="202">
        <v>0</v>
      </c>
      <c r="AK463" s="203">
        <v>0</v>
      </c>
      <c r="AL463" s="203">
        <v>0</v>
      </c>
      <c r="AM463" s="203">
        <v>0</v>
      </c>
      <c r="AN463" s="203"/>
      <c r="AO463" s="203">
        <v>0</v>
      </c>
    </row>
    <row r="464" spans="1:41" s="176" customFormat="1" ht="36" customHeight="1" x14ac:dyDescent="0.25">
      <c r="A464" s="176">
        <v>1</v>
      </c>
      <c r="B464" s="171">
        <f>SUBTOTAL(103,$A$16:A464)</f>
        <v>402</v>
      </c>
      <c r="C464" s="172" t="s">
        <v>1250</v>
      </c>
      <c r="D464" s="173">
        <v>1962</v>
      </c>
      <c r="E464" s="173"/>
      <c r="F464" s="174" t="s">
        <v>267</v>
      </c>
      <c r="G464" s="173">
        <v>2</v>
      </c>
      <c r="H464" s="173" t="s">
        <v>304</v>
      </c>
      <c r="I464" s="170">
        <v>373.3</v>
      </c>
      <c r="J464" s="170">
        <v>373.3</v>
      </c>
      <c r="K464" s="170">
        <v>373.3</v>
      </c>
      <c r="L464" s="206">
        <v>21</v>
      </c>
      <c r="M464" s="173" t="s">
        <v>265</v>
      </c>
      <c r="N464" s="173" t="s">
        <v>266</v>
      </c>
      <c r="O464" s="175" t="s">
        <v>268</v>
      </c>
      <c r="P464" s="170">
        <v>1576619.73</v>
      </c>
      <c r="Q464" s="170">
        <v>0</v>
      </c>
      <c r="R464" s="170">
        <v>0</v>
      </c>
      <c r="S464" s="170">
        <f>P464-Q464-R464</f>
        <v>1576619.73</v>
      </c>
      <c r="T464" s="170">
        <f t="shared" si="48"/>
        <v>4223.4656576480038</v>
      </c>
      <c r="U464" s="170">
        <v>9525.555317439057</v>
      </c>
      <c r="V464" s="202">
        <f>U464-T464</f>
        <v>5302.0896597910532</v>
      </c>
      <c r="W464" s="202">
        <f>X464+Y464+Z464+AA464+AB464+AD464+AF464+AH464+AJ464+AL464+AN464+AO464</f>
        <v>6309.1858023037767</v>
      </c>
      <c r="X464" s="202">
        <v>0</v>
      </c>
      <c r="Y464" s="203">
        <v>0</v>
      </c>
      <c r="Z464" s="203">
        <v>0</v>
      </c>
      <c r="AA464" s="203">
        <v>0</v>
      </c>
      <c r="AB464" s="203">
        <v>0</v>
      </c>
      <c r="AC464" s="203">
        <v>0</v>
      </c>
      <c r="AD464" s="203">
        <v>0</v>
      </c>
      <c r="AE464" s="203">
        <v>0</v>
      </c>
      <c r="AF464" s="202">
        <v>0</v>
      </c>
      <c r="AG464" s="203">
        <v>0</v>
      </c>
      <c r="AH464" s="202">
        <v>0</v>
      </c>
      <c r="AI464" s="203">
        <v>316.60000000000002</v>
      </c>
      <c r="AJ464" s="202">
        <f>7439.1*AI464/I464</f>
        <v>6309.1858023037767</v>
      </c>
      <c r="AK464" s="203">
        <v>0</v>
      </c>
      <c r="AL464" s="203">
        <v>0</v>
      </c>
      <c r="AM464" s="203">
        <v>0</v>
      </c>
      <c r="AN464" s="203"/>
      <c r="AO464" s="203">
        <v>0</v>
      </c>
    </row>
    <row r="465" spans="1:41" s="176" customFormat="1" ht="36" customHeight="1" x14ac:dyDescent="0.25">
      <c r="A465" s="176">
        <v>1</v>
      </c>
      <c r="B465" s="171">
        <f>SUBTOTAL(103,$A$16:A465)</f>
        <v>403</v>
      </c>
      <c r="C465" s="172" t="s">
        <v>1251</v>
      </c>
      <c r="D465" s="173">
        <v>1961</v>
      </c>
      <c r="E465" s="173"/>
      <c r="F465" s="174" t="s">
        <v>267</v>
      </c>
      <c r="G465" s="173">
        <v>2</v>
      </c>
      <c r="H465" s="173" t="s">
        <v>304</v>
      </c>
      <c r="I465" s="170">
        <v>230.2</v>
      </c>
      <c r="J465" s="170">
        <v>230.2</v>
      </c>
      <c r="K465" s="170">
        <v>230.2</v>
      </c>
      <c r="L465" s="206">
        <v>7</v>
      </c>
      <c r="M465" s="173" t="s">
        <v>265</v>
      </c>
      <c r="N465" s="173" t="s">
        <v>269</v>
      </c>
      <c r="O465" s="175" t="s">
        <v>289</v>
      </c>
      <c r="P465" s="170">
        <v>890333.29999999993</v>
      </c>
      <c r="Q465" s="170">
        <v>0</v>
      </c>
      <c r="R465" s="170">
        <v>0</v>
      </c>
      <c r="S465" s="170">
        <f>P465-Q465-R465</f>
        <v>890333.29999999993</v>
      </c>
      <c r="T465" s="170">
        <f t="shared" si="48"/>
        <v>3867.6511728931364</v>
      </c>
      <c r="U465" s="170">
        <v>5348.6396177237184</v>
      </c>
      <c r="V465" s="202">
        <f>U465-T465</f>
        <v>1480.988444830582</v>
      </c>
      <c r="W465" s="202">
        <f>T465</f>
        <v>3867.6511728931364</v>
      </c>
      <c r="X465" s="202">
        <v>0</v>
      </c>
      <c r="Y465" s="203">
        <v>0</v>
      </c>
      <c r="Z465" s="203">
        <v>0</v>
      </c>
      <c r="AA465" s="203">
        <v>0</v>
      </c>
      <c r="AB465" s="203">
        <v>0</v>
      </c>
      <c r="AC465" s="203">
        <v>0</v>
      </c>
      <c r="AD465" s="203">
        <v>0</v>
      </c>
      <c r="AE465" s="203">
        <v>189.8</v>
      </c>
      <c r="AF465" s="202">
        <f>6436.53*AE465/I465</f>
        <v>5306.9217810599484</v>
      </c>
      <c r="AG465" s="203">
        <v>0</v>
      </c>
      <c r="AH465" s="202">
        <v>0</v>
      </c>
      <c r="AI465" s="203">
        <v>0</v>
      </c>
      <c r="AJ465" s="202">
        <v>0</v>
      </c>
      <c r="AK465" s="203">
        <v>0</v>
      </c>
      <c r="AL465" s="203">
        <v>0</v>
      </c>
      <c r="AM465" s="203">
        <v>0</v>
      </c>
      <c r="AN465" s="203"/>
      <c r="AO465" s="203">
        <v>0</v>
      </c>
    </row>
    <row r="466" spans="1:41" s="176" customFormat="1" ht="36" customHeight="1" x14ac:dyDescent="0.25">
      <c r="A466" s="176">
        <v>1</v>
      </c>
      <c r="B466" s="171">
        <f>SUBTOTAL(103,$A$16:A466)</f>
        <v>404</v>
      </c>
      <c r="C466" s="172" t="s">
        <v>1286</v>
      </c>
      <c r="D466" s="173">
        <v>1974</v>
      </c>
      <c r="E466" s="173"/>
      <c r="F466" s="174" t="s">
        <v>267</v>
      </c>
      <c r="G466" s="173">
        <v>2</v>
      </c>
      <c r="H466" s="173" t="s">
        <v>303</v>
      </c>
      <c r="I466" s="170">
        <v>802.2</v>
      </c>
      <c r="J466" s="170">
        <v>734.2</v>
      </c>
      <c r="K466" s="170">
        <v>734.2</v>
      </c>
      <c r="L466" s="206">
        <v>36</v>
      </c>
      <c r="M466" s="173" t="s">
        <v>265</v>
      </c>
      <c r="N466" s="173" t="s">
        <v>266</v>
      </c>
      <c r="O466" s="175" t="s">
        <v>268</v>
      </c>
      <c r="P466" s="170">
        <v>86711.3</v>
      </c>
      <c r="Q466" s="170">
        <v>0</v>
      </c>
      <c r="R466" s="170">
        <v>0</v>
      </c>
      <c r="S466" s="170">
        <f>P466-Q466-R466</f>
        <v>86711.3</v>
      </c>
      <c r="T466" s="170">
        <f t="shared" si="48"/>
        <v>108.09187235103465</v>
      </c>
      <c r="U466" s="170">
        <v>108.09187235103465</v>
      </c>
      <c r="V466" s="202">
        <f>U466-T466</f>
        <v>0</v>
      </c>
      <c r="W466" s="202">
        <f>X466+Y466+Z466+AA466+AB466+AD466+AF466+AH466+AJ466+AL466+AN466+AO466</f>
        <v>4641.4628371977051</v>
      </c>
      <c r="X466" s="202">
        <v>0</v>
      </c>
      <c r="Y466" s="203">
        <v>0</v>
      </c>
      <c r="Z466" s="203">
        <v>0</v>
      </c>
      <c r="AA466" s="203">
        <v>0</v>
      </c>
      <c r="AB466" s="203">
        <v>0</v>
      </c>
      <c r="AC466" s="203">
        <v>0</v>
      </c>
      <c r="AD466" s="203">
        <v>0</v>
      </c>
      <c r="AE466" s="203">
        <v>596.79999999999995</v>
      </c>
      <c r="AF466" s="202">
        <f>6238.91*AE466/I466</f>
        <v>4641.4628371977051</v>
      </c>
      <c r="AG466" s="203">
        <v>0</v>
      </c>
      <c r="AH466" s="202">
        <v>0</v>
      </c>
      <c r="AI466" s="203">
        <v>0</v>
      </c>
      <c r="AJ466" s="202">
        <v>0</v>
      </c>
      <c r="AK466" s="203">
        <v>0</v>
      </c>
      <c r="AL466" s="203">
        <v>0</v>
      </c>
      <c r="AM466" s="203">
        <v>0</v>
      </c>
      <c r="AN466" s="203"/>
      <c r="AO466" s="203">
        <v>0</v>
      </c>
    </row>
    <row r="467" spans="1:41" s="176" customFormat="1" ht="36" customHeight="1" x14ac:dyDescent="0.25">
      <c r="B467" s="172" t="s">
        <v>844</v>
      </c>
      <c r="C467" s="172"/>
      <c r="D467" s="173" t="s">
        <v>882</v>
      </c>
      <c r="E467" s="173" t="s">
        <v>882</v>
      </c>
      <c r="F467" s="173" t="s">
        <v>882</v>
      </c>
      <c r="G467" s="173" t="s">
        <v>882</v>
      </c>
      <c r="H467" s="173" t="s">
        <v>882</v>
      </c>
      <c r="I467" s="177">
        <f>SUM(I468:I478)</f>
        <v>36117.07</v>
      </c>
      <c r="J467" s="177">
        <f>SUM(J468:J478)</f>
        <v>29322.149999999998</v>
      </c>
      <c r="K467" s="177">
        <f>SUM(K468:K478)</f>
        <v>29294.05</v>
      </c>
      <c r="L467" s="357">
        <f>SUM(L468:L478)</f>
        <v>1569</v>
      </c>
      <c r="M467" s="173" t="s">
        <v>882</v>
      </c>
      <c r="N467" s="173" t="s">
        <v>882</v>
      </c>
      <c r="O467" s="175" t="s">
        <v>882</v>
      </c>
      <c r="P467" s="177">
        <v>23897111.18</v>
      </c>
      <c r="Q467" s="177">
        <f>SUM(Q468:Q478)</f>
        <v>0</v>
      </c>
      <c r="R467" s="177">
        <f>SUM(R468:R478)</f>
        <v>0</v>
      </c>
      <c r="S467" s="177">
        <f>SUM(S468:S478)</f>
        <v>23897111.18</v>
      </c>
      <c r="T467" s="170">
        <f t="shared" si="48"/>
        <v>661.65697217409934</v>
      </c>
      <c r="U467" s="170">
        <f>MAX(U468:U478)</f>
        <v>4368.1900000000005</v>
      </c>
      <c r="V467" s="202">
        <f t="shared" ref="V467:V530" si="49">U467-T467</f>
        <v>3706.5330278259012</v>
      </c>
      <c r="W467" s="202"/>
      <c r="X467" s="202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</row>
    <row r="468" spans="1:41" s="176" customFormat="1" ht="36" customHeight="1" x14ac:dyDescent="0.25">
      <c r="A468" s="176">
        <v>1</v>
      </c>
      <c r="B468" s="171">
        <f>SUBTOTAL(103,$A$16:A468)</f>
        <v>405</v>
      </c>
      <c r="C468" s="172" t="s">
        <v>145</v>
      </c>
      <c r="D468" s="173">
        <v>1976</v>
      </c>
      <c r="E468" s="173"/>
      <c r="F468" s="174" t="s">
        <v>287</v>
      </c>
      <c r="G468" s="173">
        <v>5</v>
      </c>
      <c r="H468" s="173" t="s">
        <v>2250</v>
      </c>
      <c r="I468" s="170">
        <v>6622.77</v>
      </c>
      <c r="J468" s="170">
        <v>6062.77</v>
      </c>
      <c r="K468" s="170">
        <v>6062.77</v>
      </c>
      <c r="L468" s="206">
        <v>252</v>
      </c>
      <c r="M468" s="173" t="s">
        <v>265</v>
      </c>
      <c r="N468" s="173" t="s">
        <v>269</v>
      </c>
      <c r="O468" s="175" t="s">
        <v>290</v>
      </c>
      <c r="P468" s="170">
        <v>4629120.46</v>
      </c>
      <c r="Q468" s="170">
        <v>0</v>
      </c>
      <c r="R468" s="170">
        <v>0</v>
      </c>
      <c r="S468" s="170">
        <f t="shared" ref="S468:S475" si="50">P468-Q468-R468</f>
        <v>4629120.46</v>
      </c>
      <c r="T468" s="170">
        <f t="shared" si="48"/>
        <v>698.97043986126641</v>
      </c>
      <c r="U468" s="170">
        <v>1512.1028010938021</v>
      </c>
      <c r="V468" s="202">
        <f t="shared" si="49"/>
        <v>813.13236123253569</v>
      </c>
      <c r="W468" s="202">
        <f t="shared" ref="W468:W478" si="51">X468+Y468+Z468+AA468+AB468+AD468+AF468+AH468+AJ468+AL468+AN468+AO468</f>
        <v>1449.6478459013372</v>
      </c>
      <c r="X468" s="202">
        <v>0</v>
      </c>
      <c r="Y468" s="203">
        <v>0</v>
      </c>
      <c r="Z468" s="203">
        <v>0</v>
      </c>
      <c r="AA468" s="203">
        <v>0</v>
      </c>
      <c r="AB468" s="203">
        <v>0</v>
      </c>
      <c r="AC468" s="203">
        <v>0</v>
      </c>
      <c r="AD468" s="203">
        <v>0</v>
      </c>
      <c r="AE468" s="203">
        <v>1538.84</v>
      </c>
      <c r="AF468" s="202">
        <f>6238.91*AE468/I468</f>
        <v>1449.6478459013372</v>
      </c>
      <c r="AG468" s="203">
        <v>0</v>
      </c>
      <c r="AH468" s="202">
        <v>0</v>
      </c>
      <c r="AI468" s="203">
        <v>0</v>
      </c>
      <c r="AJ468" s="202">
        <v>0</v>
      </c>
      <c r="AK468" s="203">
        <v>0</v>
      </c>
      <c r="AL468" s="203">
        <v>0</v>
      </c>
      <c r="AM468" s="203">
        <v>0</v>
      </c>
      <c r="AN468" s="203"/>
      <c r="AO468" s="203">
        <v>0</v>
      </c>
    </row>
    <row r="469" spans="1:41" s="176" customFormat="1" ht="36" customHeight="1" x14ac:dyDescent="0.25">
      <c r="A469" s="176">
        <v>1</v>
      </c>
      <c r="B469" s="171">
        <f>SUBTOTAL(103,$A$16:A469)</f>
        <v>406</v>
      </c>
      <c r="C469" s="172" t="s">
        <v>140</v>
      </c>
      <c r="D469" s="173">
        <v>1969</v>
      </c>
      <c r="E469" s="173"/>
      <c r="F469" s="174" t="s">
        <v>287</v>
      </c>
      <c r="G469" s="173">
        <v>5</v>
      </c>
      <c r="H469" s="173" t="s">
        <v>351</v>
      </c>
      <c r="I469" s="170">
        <v>4894</v>
      </c>
      <c r="J469" s="170">
        <v>4495.3</v>
      </c>
      <c r="K469" s="170">
        <v>4495.3</v>
      </c>
      <c r="L469" s="206">
        <v>218</v>
      </c>
      <c r="M469" s="173" t="s">
        <v>265</v>
      </c>
      <c r="N469" s="173" t="s">
        <v>269</v>
      </c>
      <c r="O469" s="175" t="s">
        <v>290</v>
      </c>
      <c r="P469" s="170">
        <v>3488886.51</v>
      </c>
      <c r="Q469" s="170">
        <v>0</v>
      </c>
      <c r="R469" s="170">
        <v>0</v>
      </c>
      <c r="S469" s="170">
        <f t="shared" si="50"/>
        <v>3488886.51</v>
      </c>
      <c r="T469" s="170">
        <f t="shared" si="48"/>
        <v>712.8905823457294</v>
      </c>
      <c r="U469" s="170">
        <v>1335.8470412750307</v>
      </c>
      <c r="V469" s="202">
        <f t="shared" si="49"/>
        <v>622.95645892930133</v>
      </c>
      <c r="W469" s="202">
        <f t="shared" si="51"/>
        <v>1588.665639967307</v>
      </c>
      <c r="X469" s="202">
        <v>0</v>
      </c>
      <c r="Y469" s="203">
        <v>0</v>
      </c>
      <c r="Z469" s="203">
        <v>0</v>
      </c>
      <c r="AA469" s="203">
        <v>0</v>
      </c>
      <c r="AB469" s="203">
        <v>0</v>
      </c>
      <c r="AC469" s="203">
        <v>0</v>
      </c>
      <c r="AD469" s="203">
        <v>0</v>
      </c>
      <c r="AE469" s="203">
        <v>1246.2</v>
      </c>
      <c r="AF469" s="202">
        <f>6238.91*AE469/I469</f>
        <v>1588.665639967307</v>
      </c>
      <c r="AG469" s="203">
        <v>0</v>
      </c>
      <c r="AH469" s="202">
        <v>0</v>
      </c>
      <c r="AI469" s="203">
        <v>0</v>
      </c>
      <c r="AJ469" s="202">
        <v>0</v>
      </c>
      <c r="AK469" s="203">
        <v>0</v>
      </c>
      <c r="AL469" s="203">
        <v>0</v>
      </c>
      <c r="AM469" s="203">
        <v>0</v>
      </c>
      <c r="AN469" s="203"/>
      <c r="AO469" s="203">
        <v>0</v>
      </c>
    </row>
    <row r="470" spans="1:41" s="176" customFormat="1" ht="36" customHeight="1" x14ac:dyDescent="0.25">
      <c r="A470" s="176">
        <v>1</v>
      </c>
      <c r="B470" s="171">
        <f>SUBTOTAL(103,$A$16:A470)</f>
        <v>407</v>
      </c>
      <c r="C470" s="172" t="s">
        <v>141</v>
      </c>
      <c r="D470" s="173">
        <v>1987</v>
      </c>
      <c r="E470" s="173"/>
      <c r="F470" s="174" t="s">
        <v>287</v>
      </c>
      <c r="G470" s="173">
        <v>5</v>
      </c>
      <c r="H470" s="173" t="s">
        <v>2251</v>
      </c>
      <c r="I470" s="170">
        <v>7649.2</v>
      </c>
      <c r="J470" s="170">
        <v>5430.3</v>
      </c>
      <c r="K470" s="170">
        <v>5430.3</v>
      </c>
      <c r="L470" s="206">
        <v>315</v>
      </c>
      <c r="M470" s="173" t="s">
        <v>265</v>
      </c>
      <c r="N470" s="173" t="s">
        <v>269</v>
      </c>
      <c r="O470" s="175" t="s">
        <v>290</v>
      </c>
      <c r="P470" s="170">
        <v>4309479.43</v>
      </c>
      <c r="Q470" s="170">
        <v>0</v>
      </c>
      <c r="R470" s="170">
        <v>0</v>
      </c>
      <c r="S470" s="170">
        <f t="shared" si="50"/>
        <v>4309479.43</v>
      </c>
      <c r="T470" s="170">
        <f t="shared" si="48"/>
        <v>563.38956099984307</v>
      </c>
      <c r="U470" s="170">
        <v>1136.8822242848926</v>
      </c>
      <c r="V470" s="202">
        <f t="shared" si="49"/>
        <v>573.4926632850495</v>
      </c>
      <c r="W470" s="202">
        <f t="shared" si="51"/>
        <v>1120.3481116979551</v>
      </c>
      <c r="X470" s="202">
        <v>0</v>
      </c>
      <c r="Y470" s="203">
        <v>0</v>
      </c>
      <c r="Z470" s="203">
        <v>0</v>
      </c>
      <c r="AA470" s="203">
        <v>0</v>
      </c>
      <c r="AB470" s="203">
        <v>0</v>
      </c>
      <c r="AC470" s="203">
        <v>0</v>
      </c>
      <c r="AD470" s="203">
        <v>0</v>
      </c>
      <c r="AE470" s="203">
        <v>1373.6</v>
      </c>
      <c r="AF470" s="202">
        <f>6238.91*AE470/I470</f>
        <v>1120.3481116979551</v>
      </c>
      <c r="AG470" s="203">
        <v>0</v>
      </c>
      <c r="AH470" s="202">
        <v>0</v>
      </c>
      <c r="AI470" s="203">
        <v>0</v>
      </c>
      <c r="AJ470" s="202">
        <v>0</v>
      </c>
      <c r="AK470" s="203">
        <v>0</v>
      </c>
      <c r="AL470" s="203">
        <v>0</v>
      </c>
      <c r="AM470" s="203">
        <v>0</v>
      </c>
      <c r="AN470" s="203"/>
      <c r="AO470" s="203">
        <v>0</v>
      </c>
    </row>
    <row r="471" spans="1:41" s="176" customFormat="1" ht="36" customHeight="1" x14ac:dyDescent="0.25">
      <c r="A471" s="176">
        <v>1</v>
      </c>
      <c r="B471" s="171">
        <f>SUBTOTAL(103,$A$16:A471)</f>
        <v>408</v>
      </c>
      <c r="C471" s="172" t="s">
        <v>1242</v>
      </c>
      <c r="D471" s="173">
        <v>1963</v>
      </c>
      <c r="E471" s="173"/>
      <c r="F471" s="174" t="s">
        <v>267</v>
      </c>
      <c r="G471" s="173">
        <v>2</v>
      </c>
      <c r="H471" s="173" t="s">
        <v>303</v>
      </c>
      <c r="I471" s="170">
        <v>683.63</v>
      </c>
      <c r="J471" s="170">
        <v>683.63</v>
      </c>
      <c r="K471" s="170">
        <v>683.63</v>
      </c>
      <c r="L471" s="206">
        <v>42</v>
      </c>
      <c r="M471" s="173" t="s">
        <v>265</v>
      </c>
      <c r="N471" s="173" t="s">
        <v>269</v>
      </c>
      <c r="O471" s="175" t="s">
        <v>290</v>
      </c>
      <c r="P471" s="170">
        <v>1167976.3099999998</v>
      </c>
      <c r="Q471" s="170">
        <v>0</v>
      </c>
      <c r="R471" s="170">
        <v>0</v>
      </c>
      <c r="S471" s="170">
        <f t="shared" si="50"/>
        <v>1167976.3099999998</v>
      </c>
      <c r="T471" s="170">
        <f t="shared" si="48"/>
        <v>1708.4918888872633</v>
      </c>
      <c r="U471" s="170">
        <v>4368.1900000000005</v>
      </c>
      <c r="V471" s="202">
        <f t="shared" si="49"/>
        <v>2659.698111112737</v>
      </c>
      <c r="W471" s="202">
        <f t="shared" si="51"/>
        <v>4341.5</v>
      </c>
      <c r="X471" s="202">
        <v>101.55</v>
      </c>
      <c r="Y471" s="203">
        <v>0</v>
      </c>
      <c r="Z471" s="203">
        <v>3259.66</v>
      </c>
      <c r="AA471" s="203">
        <v>184.98</v>
      </c>
      <c r="AB471" s="203">
        <v>795.31</v>
      </c>
      <c r="AC471" s="203">
        <v>0</v>
      </c>
      <c r="AD471" s="203">
        <v>0</v>
      </c>
      <c r="AE471" s="203">
        <v>0</v>
      </c>
      <c r="AF471" s="202">
        <v>0</v>
      </c>
      <c r="AG471" s="203">
        <v>0</v>
      </c>
      <c r="AH471" s="202">
        <v>0</v>
      </c>
      <c r="AI471" s="203">
        <v>0</v>
      </c>
      <c r="AJ471" s="202">
        <v>0</v>
      </c>
      <c r="AK471" s="203">
        <v>0</v>
      </c>
      <c r="AL471" s="203">
        <v>0</v>
      </c>
      <c r="AM471" s="203">
        <v>0</v>
      </c>
      <c r="AN471" s="203"/>
      <c r="AO471" s="203">
        <v>0</v>
      </c>
    </row>
    <row r="472" spans="1:41" s="176" customFormat="1" ht="36" customHeight="1" x14ac:dyDescent="0.25">
      <c r="A472" s="176">
        <v>1</v>
      </c>
      <c r="B472" s="171">
        <f>SUBTOTAL(103,$A$16:A472)</f>
        <v>409</v>
      </c>
      <c r="C472" s="172" t="s">
        <v>1243</v>
      </c>
      <c r="D472" s="173" t="s">
        <v>306</v>
      </c>
      <c r="E472" s="173"/>
      <c r="F472" s="174" t="s">
        <v>267</v>
      </c>
      <c r="G472" s="173" t="s">
        <v>303</v>
      </c>
      <c r="H472" s="173" t="s">
        <v>303</v>
      </c>
      <c r="I472" s="170">
        <v>1132.77</v>
      </c>
      <c r="J472" s="170">
        <v>1132.77</v>
      </c>
      <c r="K472" s="170">
        <v>1132.77</v>
      </c>
      <c r="L472" s="206">
        <v>25</v>
      </c>
      <c r="M472" s="173" t="s">
        <v>265</v>
      </c>
      <c r="N472" s="173" t="s">
        <v>269</v>
      </c>
      <c r="O472" s="175" t="s">
        <v>290</v>
      </c>
      <c r="P472" s="170">
        <v>1211378.6299999999</v>
      </c>
      <c r="Q472" s="170">
        <v>0</v>
      </c>
      <c r="R472" s="170">
        <v>0</v>
      </c>
      <c r="S472" s="170">
        <f t="shared" si="50"/>
        <v>1211378.6299999999</v>
      </c>
      <c r="T472" s="170">
        <f t="shared" si="48"/>
        <v>1069.3950493039185</v>
      </c>
      <c r="U472" s="170">
        <v>4368.1900000000005</v>
      </c>
      <c r="V472" s="202">
        <f t="shared" si="49"/>
        <v>3298.7949506960822</v>
      </c>
      <c r="W472" s="202">
        <f t="shared" si="51"/>
        <v>4341.5</v>
      </c>
      <c r="X472" s="202">
        <v>101.55</v>
      </c>
      <c r="Y472" s="203">
        <v>0</v>
      </c>
      <c r="Z472" s="203">
        <v>3259.66</v>
      </c>
      <c r="AA472" s="203">
        <v>184.98</v>
      </c>
      <c r="AB472" s="203">
        <v>795.31</v>
      </c>
      <c r="AC472" s="203">
        <v>0</v>
      </c>
      <c r="AD472" s="203">
        <v>0</v>
      </c>
      <c r="AE472" s="203">
        <v>0</v>
      </c>
      <c r="AF472" s="202">
        <v>0</v>
      </c>
      <c r="AG472" s="203">
        <v>0</v>
      </c>
      <c r="AH472" s="202">
        <v>0</v>
      </c>
      <c r="AI472" s="203">
        <v>0</v>
      </c>
      <c r="AJ472" s="202">
        <v>0</v>
      </c>
      <c r="AK472" s="203">
        <v>0</v>
      </c>
      <c r="AL472" s="203">
        <v>0</v>
      </c>
      <c r="AM472" s="203">
        <v>0</v>
      </c>
      <c r="AN472" s="203"/>
      <c r="AO472" s="203">
        <v>0</v>
      </c>
    </row>
    <row r="473" spans="1:41" s="176" customFormat="1" ht="36" customHeight="1" x14ac:dyDescent="0.25">
      <c r="A473" s="176">
        <v>1</v>
      </c>
      <c r="B473" s="171">
        <f>SUBTOTAL(103,$A$16:A473)</f>
        <v>410</v>
      </c>
      <c r="C473" s="172" t="s">
        <v>1244</v>
      </c>
      <c r="D473" s="173">
        <v>1964</v>
      </c>
      <c r="E473" s="173"/>
      <c r="F473" s="174" t="s">
        <v>267</v>
      </c>
      <c r="G473" s="173">
        <v>2</v>
      </c>
      <c r="H473" s="173" t="s">
        <v>308</v>
      </c>
      <c r="I473" s="170">
        <v>768.3</v>
      </c>
      <c r="J473" s="170">
        <v>297</v>
      </c>
      <c r="K473" s="170">
        <v>268.89999999999998</v>
      </c>
      <c r="L473" s="206">
        <v>80</v>
      </c>
      <c r="M473" s="173" t="s">
        <v>265</v>
      </c>
      <c r="N473" s="173" t="s">
        <v>269</v>
      </c>
      <c r="O473" s="175" t="s">
        <v>288</v>
      </c>
      <c r="P473" s="170">
        <v>908111.25</v>
      </c>
      <c r="Q473" s="170">
        <v>0</v>
      </c>
      <c r="R473" s="170">
        <v>0</v>
      </c>
      <c r="S473" s="170">
        <f t="shared" si="50"/>
        <v>908111.25</v>
      </c>
      <c r="T473" s="170">
        <f t="shared" si="48"/>
        <v>1181.974814525576</v>
      </c>
      <c r="U473" s="170">
        <v>3259.66</v>
      </c>
      <c r="V473" s="202">
        <f t="shared" si="49"/>
        <v>2077.6851854744236</v>
      </c>
      <c r="W473" s="202">
        <f t="shared" si="51"/>
        <v>3259.66</v>
      </c>
      <c r="X473" s="202">
        <v>0</v>
      </c>
      <c r="Y473" s="203">
        <v>0</v>
      </c>
      <c r="Z473" s="203">
        <v>3259.66</v>
      </c>
      <c r="AA473" s="203">
        <v>0</v>
      </c>
      <c r="AB473" s="203">
        <v>0</v>
      </c>
      <c r="AC473" s="203">
        <v>0</v>
      </c>
      <c r="AD473" s="203">
        <v>0</v>
      </c>
      <c r="AE473" s="203">
        <v>0</v>
      </c>
      <c r="AF473" s="202">
        <v>0</v>
      </c>
      <c r="AG473" s="203">
        <v>0</v>
      </c>
      <c r="AH473" s="202">
        <v>0</v>
      </c>
      <c r="AI473" s="203">
        <v>0</v>
      </c>
      <c r="AJ473" s="202">
        <v>0</v>
      </c>
      <c r="AK473" s="203">
        <v>0</v>
      </c>
      <c r="AL473" s="203">
        <v>0</v>
      </c>
      <c r="AM473" s="203">
        <v>0</v>
      </c>
      <c r="AN473" s="203"/>
      <c r="AO473" s="203">
        <v>0</v>
      </c>
    </row>
    <row r="474" spans="1:41" s="176" customFormat="1" ht="36" customHeight="1" x14ac:dyDescent="0.25">
      <c r="A474" s="176">
        <v>1</v>
      </c>
      <c r="B474" s="171">
        <f>SUBTOTAL(103,$A$16:A474)</f>
        <v>411</v>
      </c>
      <c r="C474" s="172" t="s">
        <v>1272</v>
      </c>
      <c r="D474" s="173">
        <v>1958</v>
      </c>
      <c r="E474" s="173"/>
      <c r="F474" s="174" t="s">
        <v>267</v>
      </c>
      <c r="G474" s="173">
        <v>2</v>
      </c>
      <c r="H474" s="173" t="s">
        <v>303</v>
      </c>
      <c r="I474" s="170">
        <v>554</v>
      </c>
      <c r="J474" s="170">
        <v>554</v>
      </c>
      <c r="K474" s="170">
        <v>554</v>
      </c>
      <c r="L474" s="206">
        <v>30</v>
      </c>
      <c r="M474" s="173" t="s">
        <v>265</v>
      </c>
      <c r="N474" s="173" t="s">
        <v>269</v>
      </c>
      <c r="O474" s="175" t="s">
        <v>288</v>
      </c>
      <c r="P474" s="170">
        <v>55068.52</v>
      </c>
      <c r="Q474" s="170">
        <v>0</v>
      </c>
      <c r="R474" s="170">
        <v>0</v>
      </c>
      <c r="S474" s="170">
        <f t="shared" si="50"/>
        <v>55068.52</v>
      </c>
      <c r="T474" s="170">
        <f t="shared" si="48"/>
        <v>99.40166064981949</v>
      </c>
      <c r="U474" s="170">
        <v>99.40166064981949</v>
      </c>
      <c r="V474" s="202">
        <f t="shared" si="49"/>
        <v>0</v>
      </c>
      <c r="W474" s="202">
        <f>T474</f>
        <v>99.40166064981949</v>
      </c>
      <c r="X474" s="202">
        <v>0</v>
      </c>
      <c r="Y474" s="203">
        <v>0</v>
      </c>
      <c r="Z474" s="203">
        <v>0</v>
      </c>
      <c r="AA474" s="203">
        <v>0</v>
      </c>
      <c r="AB474" s="203">
        <v>0</v>
      </c>
      <c r="AC474" s="203">
        <v>0</v>
      </c>
      <c r="AD474" s="203">
        <v>0</v>
      </c>
      <c r="AE474" s="203">
        <v>500</v>
      </c>
      <c r="AF474" s="202">
        <f>6436.53*AE474/I474</f>
        <v>5809.1425992779787</v>
      </c>
      <c r="AG474" s="203">
        <v>0</v>
      </c>
      <c r="AH474" s="202">
        <v>0</v>
      </c>
      <c r="AI474" s="203">
        <v>0</v>
      </c>
      <c r="AJ474" s="202">
        <v>0</v>
      </c>
      <c r="AK474" s="203">
        <v>0</v>
      </c>
      <c r="AL474" s="203">
        <v>0</v>
      </c>
      <c r="AM474" s="203">
        <v>0</v>
      </c>
      <c r="AN474" s="203"/>
      <c r="AO474" s="203">
        <v>0</v>
      </c>
    </row>
    <row r="475" spans="1:41" s="176" customFormat="1" ht="36" customHeight="1" x14ac:dyDescent="0.25">
      <c r="A475" s="176">
        <v>1</v>
      </c>
      <c r="B475" s="171">
        <f>SUBTOTAL(103,$A$16:A475)</f>
        <v>412</v>
      </c>
      <c r="C475" s="172" t="s">
        <v>1273</v>
      </c>
      <c r="D475" s="173">
        <v>1973</v>
      </c>
      <c r="E475" s="173"/>
      <c r="F475" s="174" t="s">
        <v>267</v>
      </c>
      <c r="G475" s="173">
        <v>5</v>
      </c>
      <c r="H475" s="173" t="s">
        <v>312</v>
      </c>
      <c r="I475" s="170">
        <v>3131.46</v>
      </c>
      <c r="J475" s="170">
        <v>3131.28</v>
      </c>
      <c r="K475" s="170">
        <v>3131.28</v>
      </c>
      <c r="L475" s="206">
        <v>208</v>
      </c>
      <c r="M475" s="173" t="s">
        <v>265</v>
      </c>
      <c r="N475" s="173" t="s">
        <v>269</v>
      </c>
      <c r="O475" s="175" t="s">
        <v>1345</v>
      </c>
      <c r="P475" s="170">
        <v>98964.25</v>
      </c>
      <c r="Q475" s="170">
        <v>0</v>
      </c>
      <c r="R475" s="170">
        <v>0</v>
      </c>
      <c r="S475" s="170">
        <f t="shared" si="50"/>
        <v>98964.25</v>
      </c>
      <c r="T475" s="170">
        <f t="shared" si="48"/>
        <v>31.603229803350512</v>
      </c>
      <c r="U475" s="170">
        <v>31.603229803350512</v>
      </c>
      <c r="V475" s="202">
        <f t="shared" si="49"/>
        <v>0</v>
      </c>
      <c r="W475" s="202">
        <f t="shared" si="51"/>
        <v>1908.6546786482984</v>
      </c>
      <c r="X475" s="202">
        <v>0</v>
      </c>
      <c r="Y475" s="203">
        <v>0</v>
      </c>
      <c r="Z475" s="203">
        <v>0</v>
      </c>
      <c r="AA475" s="203">
        <v>0</v>
      </c>
      <c r="AB475" s="203">
        <v>0</v>
      </c>
      <c r="AC475" s="203">
        <v>0</v>
      </c>
      <c r="AD475" s="203">
        <v>0</v>
      </c>
      <c r="AE475" s="203">
        <v>958</v>
      </c>
      <c r="AF475" s="202">
        <f>6238.91*AE475/I475</f>
        <v>1908.6546786482984</v>
      </c>
      <c r="AG475" s="203">
        <v>0</v>
      </c>
      <c r="AH475" s="202">
        <v>0</v>
      </c>
      <c r="AI475" s="203">
        <v>0</v>
      </c>
      <c r="AJ475" s="202">
        <v>0</v>
      </c>
      <c r="AK475" s="203">
        <v>0</v>
      </c>
      <c r="AL475" s="203">
        <v>0</v>
      </c>
      <c r="AM475" s="203">
        <v>0</v>
      </c>
      <c r="AN475" s="203"/>
      <c r="AO475" s="203">
        <v>0</v>
      </c>
    </row>
    <row r="476" spans="1:41" s="176" customFormat="1" ht="36" customHeight="1" x14ac:dyDescent="0.25">
      <c r="A476" s="176">
        <v>1</v>
      </c>
      <c r="B476" s="171">
        <f>SUBTOTAL(103,$A$16:A476)</f>
        <v>413</v>
      </c>
      <c r="C476" s="172" t="s">
        <v>1546</v>
      </c>
      <c r="D476" s="173">
        <v>1961</v>
      </c>
      <c r="E476" s="173"/>
      <c r="F476" s="174" t="s">
        <v>1562</v>
      </c>
      <c r="G476" s="173">
        <v>2</v>
      </c>
      <c r="H476" s="173" t="s">
        <v>303</v>
      </c>
      <c r="I476" s="170">
        <v>970.74</v>
      </c>
      <c r="J476" s="170">
        <v>543.79999999999995</v>
      </c>
      <c r="K476" s="170">
        <v>543.79999999999995</v>
      </c>
      <c r="L476" s="206">
        <v>42</v>
      </c>
      <c r="M476" s="173" t="s">
        <v>265</v>
      </c>
      <c r="N476" s="173" t="s">
        <v>266</v>
      </c>
      <c r="O476" s="175" t="s">
        <v>268</v>
      </c>
      <c r="P476" s="170">
        <v>2347663.2300000004</v>
      </c>
      <c r="Q476" s="170">
        <v>0</v>
      </c>
      <c r="R476" s="170">
        <v>0</v>
      </c>
      <c r="S476" s="170">
        <f>P476-R476-Q476</f>
        <v>2347663.2300000004</v>
      </c>
      <c r="T476" s="170">
        <f t="shared" si="48"/>
        <v>2418.426386055999</v>
      </c>
      <c r="U476" s="170">
        <v>3442.4294352761808</v>
      </c>
      <c r="V476" s="202">
        <f t="shared" si="49"/>
        <v>1024.0030492201818</v>
      </c>
      <c r="W476" s="202">
        <f t="shared" si="51"/>
        <v>3370.0422848548528</v>
      </c>
      <c r="X476" s="202">
        <v>0</v>
      </c>
      <c r="Y476" s="203">
        <v>0</v>
      </c>
      <c r="Z476" s="203">
        <v>0</v>
      </c>
      <c r="AA476" s="203">
        <v>0</v>
      </c>
      <c r="AB476" s="203">
        <v>0</v>
      </c>
      <c r="AC476" s="203">
        <v>0</v>
      </c>
      <c r="AD476" s="203">
        <v>0</v>
      </c>
      <c r="AE476" s="203">
        <v>524.36</v>
      </c>
      <c r="AF476" s="202">
        <f>6238.91*AE476/I476</f>
        <v>3370.0422848548528</v>
      </c>
      <c r="AG476" s="203">
        <v>0</v>
      </c>
      <c r="AH476" s="202">
        <v>0</v>
      </c>
      <c r="AI476" s="203">
        <v>0</v>
      </c>
      <c r="AJ476" s="202">
        <v>0</v>
      </c>
      <c r="AK476" s="203">
        <v>0</v>
      </c>
      <c r="AL476" s="203">
        <v>0</v>
      </c>
      <c r="AM476" s="203">
        <v>0</v>
      </c>
      <c r="AN476" s="203"/>
      <c r="AO476" s="203">
        <v>0</v>
      </c>
    </row>
    <row r="477" spans="1:41" s="176" customFormat="1" ht="36" customHeight="1" x14ac:dyDescent="0.25">
      <c r="A477" s="176">
        <v>1</v>
      </c>
      <c r="B477" s="171">
        <f>SUBTOTAL(103,$A$16:A477)</f>
        <v>414</v>
      </c>
      <c r="C477" s="172" t="s">
        <v>151</v>
      </c>
      <c r="D477" s="173">
        <v>1983</v>
      </c>
      <c r="E477" s="173"/>
      <c r="F477" s="174" t="s">
        <v>287</v>
      </c>
      <c r="G477" s="173">
        <v>5</v>
      </c>
      <c r="H477" s="173" t="s">
        <v>308</v>
      </c>
      <c r="I477" s="177">
        <v>4333.8</v>
      </c>
      <c r="J477" s="177">
        <v>3128.2</v>
      </c>
      <c r="K477" s="177">
        <v>3128.2</v>
      </c>
      <c r="L477" s="206">
        <v>151</v>
      </c>
      <c r="M477" s="173" t="s">
        <v>265</v>
      </c>
      <c r="N477" s="173" t="s">
        <v>269</v>
      </c>
      <c r="O477" s="175" t="s">
        <v>293</v>
      </c>
      <c r="P477" s="170">
        <v>2512797.5499999998</v>
      </c>
      <c r="Q477" s="170">
        <v>0</v>
      </c>
      <c r="R477" s="170">
        <v>0</v>
      </c>
      <c r="S477" s="170">
        <f>P477-Q477-R477</f>
        <v>2512797.5499999998</v>
      </c>
      <c r="T477" s="170">
        <f t="shared" si="48"/>
        <v>579.81391619364058</v>
      </c>
      <c r="U477" s="170">
        <v>1187.9578254649498</v>
      </c>
      <c r="V477" s="202">
        <f t="shared" si="49"/>
        <v>608.14390927130921</v>
      </c>
      <c r="W477" s="202">
        <f t="shared" si="51"/>
        <v>1200.4769599427752</v>
      </c>
      <c r="X477" s="202">
        <v>0</v>
      </c>
      <c r="Y477" s="203">
        <v>0</v>
      </c>
      <c r="Z477" s="203">
        <v>0</v>
      </c>
      <c r="AA477" s="203">
        <v>0</v>
      </c>
      <c r="AB477" s="203">
        <v>0</v>
      </c>
      <c r="AC477" s="203">
        <v>0</v>
      </c>
      <c r="AD477" s="203">
        <v>0</v>
      </c>
      <c r="AE477" s="203">
        <v>833.9</v>
      </c>
      <c r="AF477" s="202">
        <f>6238.91*AE477/I477</f>
        <v>1200.4769599427752</v>
      </c>
      <c r="AG477" s="203">
        <v>0</v>
      </c>
      <c r="AH477" s="202">
        <v>0</v>
      </c>
      <c r="AI477" s="203">
        <v>0</v>
      </c>
      <c r="AJ477" s="202">
        <v>0</v>
      </c>
      <c r="AK477" s="203">
        <v>0</v>
      </c>
      <c r="AL477" s="203">
        <v>0</v>
      </c>
      <c r="AM477" s="203">
        <v>0</v>
      </c>
      <c r="AN477" s="203"/>
      <c r="AO477" s="203">
        <v>0</v>
      </c>
    </row>
    <row r="478" spans="1:41" s="176" customFormat="1" ht="36" customHeight="1" x14ac:dyDescent="0.25">
      <c r="A478" s="176">
        <v>1</v>
      </c>
      <c r="B478" s="171">
        <f>SUBTOTAL(103,$A$16:A478)</f>
        <v>415</v>
      </c>
      <c r="C478" s="172" t="s">
        <v>152</v>
      </c>
      <c r="D478" s="173">
        <v>1985</v>
      </c>
      <c r="E478" s="173"/>
      <c r="F478" s="174" t="s">
        <v>287</v>
      </c>
      <c r="G478" s="173">
        <v>5</v>
      </c>
      <c r="H478" s="173" t="s">
        <v>351</v>
      </c>
      <c r="I478" s="177">
        <v>5376.4</v>
      </c>
      <c r="J478" s="177">
        <v>3863.1</v>
      </c>
      <c r="K478" s="177">
        <v>3863.1</v>
      </c>
      <c r="L478" s="206">
        <v>206</v>
      </c>
      <c r="M478" s="173" t="s">
        <v>265</v>
      </c>
      <c r="N478" s="173" t="s">
        <v>269</v>
      </c>
      <c r="O478" s="175" t="s">
        <v>293</v>
      </c>
      <c r="P478" s="170">
        <v>3167665.04</v>
      </c>
      <c r="Q478" s="170">
        <v>0</v>
      </c>
      <c r="R478" s="170">
        <v>0</v>
      </c>
      <c r="S478" s="170">
        <f>P478-Q478-R478</f>
        <v>3167665.04</v>
      </c>
      <c r="T478" s="170">
        <f t="shared" si="48"/>
        <v>589.17956997247234</v>
      </c>
      <c r="U478" s="170">
        <v>1199.9857945837364</v>
      </c>
      <c r="V478" s="202">
        <f t="shared" si="49"/>
        <v>610.80622461126404</v>
      </c>
      <c r="W478" s="202">
        <f t="shared" si="51"/>
        <v>1202.0844559556583</v>
      </c>
      <c r="X478" s="202">
        <v>0</v>
      </c>
      <c r="Y478" s="203">
        <v>0</v>
      </c>
      <c r="Z478" s="203">
        <v>0</v>
      </c>
      <c r="AA478" s="203">
        <v>0</v>
      </c>
      <c r="AB478" s="203">
        <v>0</v>
      </c>
      <c r="AC478" s="203">
        <v>0</v>
      </c>
      <c r="AD478" s="203">
        <v>0</v>
      </c>
      <c r="AE478" s="203">
        <v>1035.9000000000001</v>
      </c>
      <c r="AF478" s="202">
        <f>6238.91*AE478/I478</f>
        <v>1202.0844559556583</v>
      </c>
      <c r="AG478" s="203">
        <v>0</v>
      </c>
      <c r="AH478" s="202">
        <v>0</v>
      </c>
      <c r="AI478" s="203">
        <v>0</v>
      </c>
      <c r="AJ478" s="202">
        <v>0</v>
      </c>
      <c r="AK478" s="203">
        <v>0</v>
      </c>
      <c r="AL478" s="203">
        <v>0</v>
      </c>
      <c r="AM478" s="203">
        <v>0</v>
      </c>
      <c r="AN478" s="203"/>
      <c r="AO478" s="203">
        <v>0</v>
      </c>
    </row>
    <row r="479" spans="1:41" s="176" customFormat="1" ht="36" customHeight="1" x14ac:dyDescent="0.25">
      <c r="B479" s="172" t="s">
        <v>845</v>
      </c>
      <c r="C479" s="172"/>
      <c r="D479" s="173" t="s">
        <v>882</v>
      </c>
      <c r="E479" s="173" t="s">
        <v>882</v>
      </c>
      <c r="F479" s="173" t="s">
        <v>882</v>
      </c>
      <c r="G479" s="173" t="s">
        <v>882</v>
      </c>
      <c r="H479" s="173" t="s">
        <v>882</v>
      </c>
      <c r="I479" s="177">
        <f>SUM(I480:I487)</f>
        <v>32478.429999999997</v>
      </c>
      <c r="J479" s="177">
        <f>SUM(J480:J487)</f>
        <v>21805.200000000001</v>
      </c>
      <c r="K479" s="177">
        <f>SUM(K480:K487)</f>
        <v>20949.2</v>
      </c>
      <c r="L479" s="357">
        <f>SUM(L480:L487)</f>
        <v>1444</v>
      </c>
      <c r="M479" s="173" t="s">
        <v>882</v>
      </c>
      <c r="N479" s="173" t="s">
        <v>882</v>
      </c>
      <c r="O479" s="175" t="s">
        <v>882</v>
      </c>
      <c r="P479" s="170">
        <v>24440368.16</v>
      </c>
      <c r="Q479" s="170">
        <f>SUM(Q480:Q487)</f>
        <v>0</v>
      </c>
      <c r="R479" s="170">
        <f>SUM(R480:R487)</f>
        <v>0</v>
      </c>
      <c r="S479" s="170">
        <f>SUM(S480:S487)</f>
        <v>24440368.16</v>
      </c>
      <c r="T479" s="170">
        <f t="shared" si="48"/>
        <v>752.51076360526054</v>
      </c>
      <c r="U479" s="170">
        <f>MAX(U480:U487)</f>
        <v>3985.0653090389428</v>
      </c>
      <c r="V479" s="202">
        <f t="shared" si="49"/>
        <v>3232.5545454336825</v>
      </c>
      <c r="W479" s="202"/>
      <c r="X479" s="202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</row>
    <row r="480" spans="1:41" s="176" customFormat="1" ht="36" customHeight="1" x14ac:dyDescent="0.25">
      <c r="A480" s="176">
        <v>1</v>
      </c>
      <c r="B480" s="171">
        <f>SUBTOTAL(103,$A$16:A480)</f>
        <v>416</v>
      </c>
      <c r="C480" s="172" t="s">
        <v>137</v>
      </c>
      <c r="D480" s="173">
        <v>1982</v>
      </c>
      <c r="E480" s="173"/>
      <c r="F480" s="174" t="s">
        <v>267</v>
      </c>
      <c r="G480" s="173">
        <v>5</v>
      </c>
      <c r="H480" s="173" t="s">
        <v>370</v>
      </c>
      <c r="I480" s="170">
        <v>3868.3</v>
      </c>
      <c r="J480" s="170">
        <v>2289.6</v>
      </c>
      <c r="K480" s="170">
        <v>2289.6</v>
      </c>
      <c r="L480" s="206">
        <v>192</v>
      </c>
      <c r="M480" s="173" t="s">
        <v>265</v>
      </c>
      <c r="N480" s="173" t="s">
        <v>291</v>
      </c>
      <c r="O480" s="175" t="s">
        <v>301</v>
      </c>
      <c r="P480" s="170">
        <v>2050029.61</v>
      </c>
      <c r="Q480" s="170">
        <v>0</v>
      </c>
      <c r="R480" s="170">
        <v>0</v>
      </c>
      <c r="S480" s="170">
        <f t="shared" ref="S480:S487" si="52">P480-Q480-R480</f>
        <v>2050029.61</v>
      </c>
      <c r="T480" s="170">
        <f t="shared" si="48"/>
        <v>529.95621073856728</v>
      </c>
      <c r="U480" s="170">
        <v>1732.5828079518135</v>
      </c>
      <c r="V480" s="202">
        <f t="shared" si="49"/>
        <v>1202.6265972132462</v>
      </c>
      <c r="W480" s="202">
        <f t="shared" ref="W480:W487" si="53">X480+Y480+Z480+AA480+AB480+AD480+AF480+AH480+AJ480+AL480+AN480+AO480</f>
        <v>1661.0212834578497</v>
      </c>
      <c r="X480" s="202">
        <v>0</v>
      </c>
      <c r="Y480" s="203">
        <v>0</v>
      </c>
      <c r="Z480" s="203">
        <v>0</v>
      </c>
      <c r="AA480" s="203">
        <v>0</v>
      </c>
      <c r="AB480" s="203">
        <v>0</v>
      </c>
      <c r="AC480" s="203">
        <v>0</v>
      </c>
      <c r="AD480" s="203">
        <v>0</v>
      </c>
      <c r="AE480" s="203">
        <v>1029.8800000000001</v>
      </c>
      <c r="AF480" s="202">
        <f t="shared" ref="AF480:AF485" si="54">6238.91*AE480/I480</f>
        <v>1661.0212834578497</v>
      </c>
      <c r="AG480" s="203">
        <v>0</v>
      </c>
      <c r="AH480" s="202">
        <v>0</v>
      </c>
      <c r="AI480" s="203">
        <v>0</v>
      </c>
      <c r="AJ480" s="202">
        <v>0</v>
      </c>
      <c r="AK480" s="203">
        <v>0</v>
      </c>
      <c r="AL480" s="203">
        <v>0</v>
      </c>
      <c r="AM480" s="203">
        <v>0</v>
      </c>
      <c r="AN480" s="203"/>
      <c r="AO480" s="203">
        <v>0</v>
      </c>
    </row>
    <row r="481" spans="1:41" s="176" customFormat="1" ht="36" customHeight="1" x14ac:dyDescent="0.25">
      <c r="A481" s="176">
        <v>1</v>
      </c>
      <c r="B481" s="171">
        <f>SUBTOTAL(103,$A$16:A481)</f>
        <v>417</v>
      </c>
      <c r="C481" s="172" t="s">
        <v>138</v>
      </c>
      <c r="D481" s="173">
        <v>1964</v>
      </c>
      <c r="E481" s="173"/>
      <c r="F481" s="174" t="s">
        <v>267</v>
      </c>
      <c r="G481" s="173">
        <v>4</v>
      </c>
      <c r="H481" s="173" t="s">
        <v>303</v>
      </c>
      <c r="I481" s="170">
        <v>839.7</v>
      </c>
      <c r="J481" s="170">
        <v>839.7</v>
      </c>
      <c r="K481" s="170">
        <v>839.7</v>
      </c>
      <c r="L481" s="206">
        <v>75</v>
      </c>
      <c r="M481" s="173" t="s">
        <v>265</v>
      </c>
      <c r="N481" s="173" t="s">
        <v>291</v>
      </c>
      <c r="O481" s="175" t="s">
        <v>292</v>
      </c>
      <c r="P481" s="170">
        <v>1928448.7800000003</v>
      </c>
      <c r="Q481" s="170">
        <v>0</v>
      </c>
      <c r="R481" s="170">
        <v>0</v>
      </c>
      <c r="S481" s="170">
        <f t="shared" si="52"/>
        <v>1928448.7800000003</v>
      </c>
      <c r="T481" s="170">
        <f t="shared" si="48"/>
        <v>2296.5925687745626</v>
      </c>
      <c r="U481" s="170">
        <v>3985.0653090389428</v>
      </c>
      <c r="V481" s="202">
        <f t="shared" si="49"/>
        <v>1688.4727402643803</v>
      </c>
      <c r="W481" s="202">
        <f t="shared" si="53"/>
        <v>3829.90465368584</v>
      </c>
      <c r="X481" s="202">
        <v>0</v>
      </c>
      <c r="Y481" s="203">
        <v>0</v>
      </c>
      <c r="Z481" s="203">
        <v>0</v>
      </c>
      <c r="AA481" s="203">
        <v>0</v>
      </c>
      <c r="AB481" s="203">
        <v>0</v>
      </c>
      <c r="AC481" s="203">
        <v>0</v>
      </c>
      <c r="AD481" s="203">
        <v>0</v>
      </c>
      <c r="AE481" s="203">
        <v>515.47</v>
      </c>
      <c r="AF481" s="202">
        <f t="shared" si="54"/>
        <v>3829.90465368584</v>
      </c>
      <c r="AG481" s="203">
        <v>0</v>
      </c>
      <c r="AH481" s="202">
        <v>0</v>
      </c>
      <c r="AI481" s="203">
        <v>0</v>
      </c>
      <c r="AJ481" s="202">
        <v>0</v>
      </c>
      <c r="AK481" s="203">
        <v>0</v>
      </c>
      <c r="AL481" s="203">
        <v>0</v>
      </c>
      <c r="AM481" s="203">
        <v>0</v>
      </c>
      <c r="AN481" s="203"/>
      <c r="AO481" s="203">
        <v>0</v>
      </c>
    </row>
    <row r="482" spans="1:41" s="176" customFormat="1" ht="36" customHeight="1" x14ac:dyDescent="0.25">
      <c r="A482" s="176">
        <v>1</v>
      </c>
      <c r="B482" s="171">
        <f>SUBTOTAL(103,$A$16:A482)</f>
        <v>418</v>
      </c>
      <c r="C482" s="172" t="s">
        <v>147</v>
      </c>
      <c r="D482" s="173">
        <v>1972</v>
      </c>
      <c r="E482" s="173"/>
      <c r="F482" s="174" t="s">
        <v>267</v>
      </c>
      <c r="G482" s="173">
        <v>5</v>
      </c>
      <c r="H482" s="173" t="s">
        <v>2250</v>
      </c>
      <c r="I482" s="170">
        <v>8090.9</v>
      </c>
      <c r="J482" s="170">
        <v>6096.3</v>
      </c>
      <c r="K482" s="170">
        <v>6096.3</v>
      </c>
      <c r="L482" s="206">
        <v>307</v>
      </c>
      <c r="M482" s="173" t="s">
        <v>265</v>
      </c>
      <c r="N482" s="173" t="s">
        <v>269</v>
      </c>
      <c r="O482" s="175" t="s">
        <v>294</v>
      </c>
      <c r="P482" s="170">
        <v>9931926.4399999995</v>
      </c>
      <c r="Q482" s="170">
        <v>0</v>
      </c>
      <c r="R482" s="170">
        <v>0</v>
      </c>
      <c r="S482" s="170">
        <f t="shared" si="52"/>
        <v>9931926.4399999995</v>
      </c>
      <c r="T482" s="170">
        <f t="shared" si="48"/>
        <v>1227.542849373988</v>
      </c>
      <c r="U482" s="170">
        <v>1571.9213459565685</v>
      </c>
      <c r="V482" s="202">
        <f t="shared" si="49"/>
        <v>344.37849658258051</v>
      </c>
      <c r="W482" s="202">
        <f t="shared" si="53"/>
        <v>1283.1447424143173</v>
      </c>
      <c r="X482" s="202">
        <v>0</v>
      </c>
      <c r="Y482" s="203">
        <v>0</v>
      </c>
      <c r="Z482" s="203">
        <v>0</v>
      </c>
      <c r="AA482" s="203">
        <v>0</v>
      </c>
      <c r="AB482" s="203">
        <v>0</v>
      </c>
      <c r="AC482" s="203">
        <v>0</v>
      </c>
      <c r="AD482" s="203">
        <v>0</v>
      </c>
      <c r="AE482" s="203">
        <v>1664.04</v>
      </c>
      <c r="AF482" s="202">
        <f t="shared" si="54"/>
        <v>1283.1447424143173</v>
      </c>
      <c r="AG482" s="203">
        <v>0</v>
      </c>
      <c r="AH482" s="202">
        <v>0</v>
      </c>
      <c r="AI482" s="203">
        <v>0</v>
      </c>
      <c r="AJ482" s="202">
        <v>0</v>
      </c>
      <c r="AK482" s="203">
        <v>0</v>
      </c>
      <c r="AL482" s="203">
        <v>0</v>
      </c>
      <c r="AM482" s="203">
        <v>0</v>
      </c>
      <c r="AN482" s="203"/>
      <c r="AO482" s="203">
        <v>0</v>
      </c>
    </row>
    <row r="483" spans="1:41" s="176" customFormat="1" ht="36" customHeight="1" x14ac:dyDescent="0.25">
      <c r="A483" s="176">
        <v>1</v>
      </c>
      <c r="B483" s="171">
        <f>SUBTOTAL(103,$A$16:A483)</f>
        <v>419</v>
      </c>
      <c r="C483" s="172" t="s">
        <v>1247</v>
      </c>
      <c r="D483" s="173">
        <v>1928</v>
      </c>
      <c r="E483" s="173"/>
      <c r="F483" s="174" t="s">
        <v>267</v>
      </c>
      <c r="G483" s="173">
        <v>3</v>
      </c>
      <c r="H483" s="173" t="s">
        <v>312</v>
      </c>
      <c r="I483" s="170">
        <v>1739</v>
      </c>
      <c r="J483" s="170">
        <v>1665.2</v>
      </c>
      <c r="K483" s="170">
        <v>998.7</v>
      </c>
      <c r="L483" s="206">
        <v>235</v>
      </c>
      <c r="M483" s="173" t="s">
        <v>265</v>
      </c>
      <c r="N483" s="173" t="s">
        <v>269</v>
      </c>
      <c r="O483" s="175" t="s">
        <v>288</v>
      </c>
      <c r="P483" s="170">
        <v>29614.32</v>
      </c>
      <c r="Q483" s="170">
        <v>0</v>
      </c>
      <c r="R483" s="170">
        <v>0</v>
      </c>
      <c r="S483" s="170">
        <f t="shared" si="52"/>
        <v>29614.32</v>
      </c>
      <c r="T483" s="170">
        <f t="shared" si="48"/>
        <v>17.029511213340999</v>
      </c>
      <c r="U483" s="170">
        <v>17.029511213340999</v>
      </c>
      <c r="V483" s="202">
        <f t="shared" si="49"/>
        <v>0</v>
      </c>
      <c r="W483" s="202">
        <f t="shared" si="53"/>
        <v>3964.3447671075328</v>
      </c>
      <c r="X483" s="202">
        <v>0</v>
      </c>
      <c r="Y483" s="203">
        <v>0</v>
      </c>
      <c r="Z483" s="203">
        <v>0</v>
      </c>
      <c r="AA483" s="203">
        <v>0</v>
      </c>
      <c r="AB483" s="203">
        <v>0</v>
      </c>
      <c r="AC483" s="203">
        <v>0</v>
      </c>
      <c r="AD483" s="203">
        <v>0</v>
      </c>
      <c r="AE483" s="203">
        <v>1105</v>
      </c>
      <c r="AF483" s="202">
        <f t="shared" si="54"/>
        <v>3964.3447671075328</v>
      </c>
      <c r="AG483" s="203">
        <v>0</v>
      </c>
      <c r="AH483" s="202">
        <v>0</v>
      </c>
      <c r="AI483" s="203">
        <v>0</v>
      </c>
      <c r="AJ483" s="202">
        <v>0</v>
      </c>
      <c r="AK483" s="203">
        <v>0</v>
      </c>
      <c r="AL483" s="203">
        <v>0</v>
      </c>
      <c r="AM483" s="203">
        <v>0</v>
      </c>
      <c r="AN483" s="203"/>
      <c r="AO483" s="203">
        <v>0</v>
      </c>
    </row>
    <row r="484" spans="1:41" s="176" customFormat="1" ht="36" customHeight="1" x14ac:dyDescent="0.25">
      <c r="A484" s="176">
        <v>1</v>
      </c>
      <c r="B484" s="171">
        <f>SUBTOTAL(103,$A$16:A484)</f>
        <v>420</v>
      </c>
      <c r="C484" s="172" t="s">
        <v>1248</v>
      </c>
      <c r="D484" s="173">
        <v>1962</v>
      </c>
      <c r="E484" s="173"/>
      <c r="F484" s="174" t="s">
        <v>267</v>
      </c>
      <c r="G484" s="173">
        <v>3</v>
      </c>
      <c r="H484" s="173" t="s">
        <v>312</v>
      </c>
      <c r="I484" s="170">
        <v>1520.4</v>
      </c>
      <c r="J484" s="170">
        <v>1093.04</v>
      </c>
      <c r="K484" s="170">
        <v>903.54</v>
      </c>
      <c r="L484" s="206">
        <v>135</v>
      </c>
      <c r="M484" s="173" t="s">
        <v>265</v>
      </c>
      <c r="N484" s="173" t="s">
        <v>269</v>
      </c>
      <c r="O484" s="175" t="s">
        <v>1326</v>
      </c>
      <c r="P484" s="170">
        <v>3373126.15</v>
      </c>
      <c r="Q484" s="170">
        <v>0</v>
      </c>
      <c r="R484" s="170">
        <v>0</v>
      </c>
      <c r="S484" s="170">
        <f t="shared" si="52"/>
        <v>3373126.15</v>
      </c>
      <c r="T484" s="170">
        <f t="shared" si="48"/>
        <v>2218.5781044461983</v>
      </c>
      <c r="U484" s="170">
        <v>3575.8535983951588</v>
      </c>
      <c r="V484" s="202">
        <f t="shared" si="49"/>
        <v>1357.2754939489605</v>
      </c>
      <c r="W484" s="202">
        <f t="shared" si="53"/>
        <v>3428.1587617074451</v>
      </c>
      <c r="X484" s="202">
        <v>0</v>
      </c>
      <c r="Y484" s="203">
        <v>0</v>
      </c>
      <c r="Z484" s="203">
        <v>0</v>
      </c>
      <c r="AA484" s="203">
        <v>0</v>
      </c>
      <c r="AB484" s="203">
        <v>0</v>
      </c>
      <c r="AC484" s="203">
        <v>0</v>
      </c>
      <c r="AD484" s="203">
        <v>0</v>
      </c>
      <c r="AE484" s="203">
        <v>835.43</v>
      </c>
      <c r="AF484" s="202">
        <f t="shared" si="54"/>
        <v>3428.1587617074451</v>
      </c>
      <c r="AG484" s="203">
        <v>0</v>
      </c>
      <c r="AH484" s="202">
        <v>0</v>
      </c>
      <c r="AI484" s="203">
        <v>0</v>
      </c>
      <c r="AJ484" s="202">
        <v>0</v>
      </c>
      <c r="AK484" s="203">
        <v>0</v>
      </c>
      <c r="AL484" s="203">
        <v>0</v>
      </c>
      <c r="AM484" s="203">
        <v>0</v>
      </c>
      <c r="AN484" s="203"/>
      <c r="AO484" s="203">
        <v>0</v>
      </c>
    </row>
    <row r="485" spans="1:41" s="176" customFormat="1" ht="36" customHeight="1" x14ac:dyDescent="0.25">
      <c r="A485" s="176">
        <v>1</v>
      </c>
      <c r="B485" s="171">
        <f>SUBTOTAL(103,$A$16:A485)</f>
        <v>421</v>
      </c>
      <c r="C485" s="172" t="s">
        <v>1249</v>
      </c>
      <c r="D485" s="173">
        <v>1970</v>
      </c>
      <c r="E485" s="173"/>
      <c r="F485" s="174" t="s">
        <v>267</v>
      </c>
      <c r="G485" s="173">
        <v>5</v>
      </c>
      <c r="H485" s="173" t="s">
        <v>370</v>
      </c>
      <c r="I485" s="170">
        <v>7885.15</v>
      </c>
      <c r="J485" s="170">
        <v>4459.3599999999997</v>
      </c>
      <c r="K485" s="170">
        <v>4459.3599999999997</v>
      </c>
      <c r="L485" s="206">
        <v>224</v>
      </c>
      <c r="M485" s="173" t="s">
        <v>265</v>
      </c>
      <c r="N485" s="173" t="s">
        <v>269</v>
      </c>
      <c r="O485" s="175" t="s">
        <v>1327</v>
      </c>
      <c r="P485" s="170">
        <v>5805618.4400000004</v>
      </c>
      <c r="Q485" s="170">
        <v>0</v>
      </c>
      <c r="R485" s="170">
        <v>0</v>
      </c>
      <c r="S485" s="170">
        <f t="shared" si="52"/>
        <v>5805618.4400000004</v>
      </c>
      <c r="T485" s="170">
        <f t="shared" si="48"/>
        <v>736.27241587033859</v>
      </c>
      <c r="U485" s="170">
        <v>1166.3293203046235</v>
      </c>
      <c r="V485" s="202">
        <f t="shared" si="49"/>
        <v>430.05690443428489</v>
      </c>
      <c r="W485" s="202">
        <f t="shared" si="53"/>
        <v>1108.8195499134449</v>
      </c>
      <c r="X485" s="202">
        <v>0</v>
      </c>
      <c r="Y485" s="203">
        <v>0</v>
      </c>
      <c r="Z485" s="203">
        <v>0</v>
      </c>
      <c r="AA485" s="203">
        <v>0</v>
      </c>
      <c r="AB485" s="203">
        <v>0</v>
      </c>
      <c r="AC485" s="203">
        <v>0</v>
      </c>
      <c r="AD485" s="203">
        <v>0</v>
      </c>
      <c r="AE485" s="203">
        <v>1401.4</v>
      </c>
      <c r="AF485" s="202">
        <f t="shared" si="54"/>
        <v>1108.8195499134449</v>
      </c>
      <c r="AG485" s="203">
        <v>0</v>
      </c>
      <c r="AH485" s="202">
        <v>0</v>
      </c>
      <c r="AI485" s="203">
        <v>0</v>
      </c>
      <c r="AJ485" s="202">
        <v>0</v>
      </c>
      <c r="AK485" s="203">
        <v>0</v>
      </c>
      <c r="AL485" s="203">
        <v>0</v>
      </c>
      <c r="AM485" s="203">
        <v>0</v>
      </c>
      <c r="AN485" s="203"/>
      <c r="AO485" s="203">
        <v>0</v>
      </c>
    </row>
    <row r="486" spans="1:41" s="176" customFormat="1" ht="36" customHeight="1" x14ac:dyDescent="0.25">
      <c r="A486" s="176">
        <v>1</v>
      </c>
      <c r="B486" s="171">
        <f>SUBTOTAL(103,$A$16:A486)</f>
        <v>422</v>
      </c>
      <c r="C486" s="172" t="s">
        <v>166</v>
      </c>
      <c r="D486" s="173">
        <v>1966</v>
      </c>
      <c r="E486" s="173"/>
      <c r="F486" s="174" t="s">
        <v>267</v>
      </c>
      <c r="G486" s="173">
        <v>4</v>
      </c>
      <c r="H486" s="173" t="s">
        <v>303</v>
      </c>
      <c r="I486" s="170">
        <v>1285.3</v>
      </c>
      <c r="J486" s="170">
        <v>836.8</v>
      </c>
      <c r="K486" s="170">
        <v>836.8</v>
      </c>
      <c r="L486" s="206">
        <v>76</v>
      </c>
      <c r="M486" s="173" t="s">
        <v>265</v>
      </c>
      <c r="N486" s="173" t="s">
        <v>291</v>
      </c>
      <c r="O486" s="175" t="s">
        <v>300</v>
      </c>
      <c r="P486" s="170">
        <v>303399.58999999997</v>
      </c>
      <c r="Q486" s="170">
        <v>0</v>
      </c>
      <c r="R486" s="170">
        <v>0</v>
      </c>
      <c r="S486" s="170">
        <f t="shared" si="52"/>
        <v>303399.58999999997</v>
      </c>
      <c r="T486" s="170">
        <f t="shared" si="48"/>
        <v>236.05352057885318</v>
      </c>
      <c r="U486" s="170">
        <v>3168.0843056095855</v>
      </c>
      <c r="V486" s="202">
        <f t="shared" si="49"/>
        <v>2932.0307850307322</v>
      </c>
      <c r="W486" s="202">
        <f t="shared" si="53"/>
        <v>1325.0673928265776</v>
      </c>
      <c r="X486" s="202">
        <v>0</v>
      </c>
      <c r="Y486" s="203">
        <v>0</v>
      </c>
      <c r="Z486" s="203">
        <v>0</v>
      </c>
      <c r="AA486" s="203">
        <v>0</v>
      </c>
      <c r="AB486" s="203">
        <v>0</v>
      </c>
      <c r="AC486" s="203">
        <v>0</v>
      </c>
      <c r="AD486" s="203">
        <v>0</v>
      </c>
      <c r="AE486" s="203">
        <v>0</v>
      </c>
      <c r="AF486" s="202">
        <v>0</v>
      </c>
      <c r="AG486" s="203">
        <v>192</v>
      </c>
      <c r="AH486" s="202">
        <f>8870.36*AG486/I486</f>
        <v>1325.0673928265776</v>
      </c>
      <c r="AI486" s="203">
        <v>0</v>
      </c>
      <c r="AJ486" s="202">
        <v>0</v>
      </c>
      <c r="AK486" s="203">
        <v>0</v>
      </c>
      <c r="AL486" s="203">
        <v>0</v>
      </c>
      <c r="AM486" s="203">
        <v>0</v>
      </c>
      <c r="AN486" s="203"/>
      <c r="AO486" s="203">
        <v>0</v>
      </c>
    </row>
    <row r="487" spans="1:41" s="176" customFormat="1" ht="36" customHeight="1" x14ac:dyDescent="0.25">
      <c r="A487" s="176">
        <v>1</v>
      </c>
      <c r="B487" s="171">
        <f>SUBTOTAL(103,$A$16:A487)</f>
        <v>423</v>
      </c>
      <c r="C487" s="172" t="s">
        <v>1271</v>
      </c>
      <c r="D487" s="173">
        <v>1983</v>
      </c>
      <c r="E487" s="173"/>
      <c r="F487" s="174" t="s">
        <v>267</v>
      </c>
      <c r="G487" s="173">
        <v>5</v>
      </c>
      <c r="H487" s="173" t="s">
        <v>370</v>
      </c>
      <c r="I487" s="170">
        <v>7249.68</v>
      </c>
      <c r="J487" s="170">
        <v>4525.2</v>
      </c>
      <c r="K487" s="170">
        <v>4525.2</v>
      </c>
      <c r="L487" s="206">
        <v>200</v>
      </c>
      <c r="M487" s="173" t="s">
        <v>265</v>
      </c>
      <c r="N487" s="173" t="s">
        <v>341</v>
      </c>
      <c r="O487" s="175" t="s">
        <v>1346</v>
      </c>
      <c r="P487" s="170">
        <v>1018204.83</v>
      </c>
      <c r="Q487" s="170">
        <v>0</v>
      </c>
      <c r="R487" s="170">
        <v>0</v>
      </c>
      <c r="S487" s="170">
        <f t="shared" si="52"/>
        <v>1018204.83</v>
      </c>
      <c r="T487" s="170">
        <f t="shared" si="48"/>
        <v>140.44824461217598</v>
      </c>
      <c r="U487" s="170">
        <v>3259.66</v>
      </c>
      <c r="V487" s="202">
        <f t="shared" si="49"/>
        <v>3119.2117553878238</v>
      </c>
      <c r="W487" s="202">
        <f t="shared" si="53"/>
        <v>3259.66</v>
      </c>
      <c r="X487" s="202">
        <v>0</v>
      </c>
      <c r="Y487" s="203">
        <v>0</v>
      </c>
      <c r="Z487" s="203">
        <v>3259.66</v>
      </c>
      <c r="AA487" s="203">
        <v>0</v>
      </c>
      <c r="AB487" s="203">
        <v>0</v>
      </c>
      <c r="AC487" s="203">
        <v>0</v>
      </c>
      <c r="AD487" s="203">
        <v>0</v>
      </c>
      <c r="AE487" s="203">
        <v>0</v>
      </c>
      <c r="AF487" s="202">
        <v>0</v>
      </c>
      <c r="AG487" s="203">
        <v>0</v>
      </c>
      <c r="AH487" s="202">
        <v>0</v>
      </c>
      <c r="AI487" s="203">
        <v>0</v>
      </c>
      <c r="AJ487" s="202">
        <v>0</v>
      </c>
      <c r="AK487" s="203">
        <v>0</v>
      </c>
      <c r="AL487" s="203">
        <v>0</v>
      </c>
      <c r="AM487" s="203">
        <v>0</v>
      </c>
      <c r="AN487" s="203"/>
      <c r="AO487" s="203">
        <v>0</v>
      </c>
    </row>
    <row r="488" spans="1:41" s="176" customFormat="1" ht="36" customHeight="1" x14ac:dyDescent="0.25">
      <c r="B488" s="172" t="s">
        <v>1245</v>
      </c>
      <c r="C488" s="172"/>
      <c r="D488" s="173" t="s">
        <v>882</v>
      </c>
      <c r="E488" s="173" t="s">
        <v>882</v>
      </c>
      <c r="F488" s="173" t="s">
        <v>882</v>
      </c>
      <c r="G488" s="173" t="s">
        <v>882</v>
      </c>
      <c r="H488" s="173" t="s">
        <v>882</v>
      </c>
      <c r="I488" s="177">
        <f>SUM(I489:I489)</f>
        <v>546.02</v>
      </c>
      <c r="J488" s="177">
        <f>SUM(J489:J489)</f>
        <v>546.02</v>
      </c>
      <c r="K488" s="177">
        <f>SUM(K489:K489)</f>
        <v>546.02</v>
      </c>
      <c r="L488" s="357">
        <f>SUM(L489:L489)</f>
        <v>20</v>
      </c>
      <c r="M488" s="173" t="s">
        <v>882</v>
      </c>
      <c r="N488" s="173" t="s">
        <v>882</v>
      </c>
      <c r="O488" s="175" t="s">
        <v>882</v>
      </c>
      <c r="P488" s="170">
        <v>1483737.75</v>
      </c>
      <c r="Q488" s="170">
        <f>Q489</f>
        <v>0</v>
      </c>
      <c r="R488" s="170">
        <f>R489</f>
        <v>0</v>
      </c>
      <c r="S488" s="170">
        <f>S489</f>
        <v>1483737.75</v>
      </c>
      <c r="T488" s="170">
        <f t="shared" si="48"/>
        <v>2717.368869272188</v>
      </c>
      <c r="U488" s="170">
        <f>MAX(U489)</f>
        <v>5774.3591315336434</v>
      </c>
      <c r="V488" s="202">
        <f t="shared" si="49"/>
        <v>3056.9902622614554</v>
      </c>
      <c r="W488" s="202"/>
      <c r="X488" s="202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</row>
    <row r="489" spans="1:41" s="176" customFormat="1" ht="36" customHeight="1" x14ac:dyDescent="0.25">
      <c r="A489" s="176">
        <v>1</v>
      </c>
      <c r="B489" s="171">
        <f>SUBTOTAL(103,$A$16:A489)</f>
        <v>424</v>
      </c>
      <c r="C489" s="172" t="s">
        <v>1246</v>
      </c>
      <c r="D489" s="173">
        <v>1976</v>
      </c>
      <c r="E489" s="173"/>
      <c r="F489" s="174" t="s">
        <v>267</v>
      </c>
      <c r="G489" s="173">
        <v>2</v>
      </c>
      <c r="H489" s="173" t="s">
        <v>303</v>
      </c>
      <c r="I489" s="170">
        <v>546.02</v>
      </c>
      <c r="J489" s="170">
        <v>546.02</v>
      </c>
      <c r="K489" s="170">
        <v>546.02</v>
      </c>
      <c r="L489" s="206">
        <v>20</v>
      </c>
      <c r="M489" s="173" t="s">
        <v>265</v>
      </c>
      <c r="N489" s="173" t="s">
        <v>269</v>
      </c>
      <c r="O489" s="175" t="s">
        <v>288</v>
      </c>
      <c r="P489" s="170">
        <v>1483737.75</v>
      </c>
      <c r="Q489" s="170">
        <v>0</v>
      </c>
      <c r="R489" s="170">
        <v>0</v>
      </c>
      <c r="S489" s="170">
        <f>P489-Q489-R489</f>
        <v>1483737.75</v>
      </c>
      <c r="T489" s="170">
        <f t="shared" si="48"/>
        <v>2717.368869272188</v>
      </c>
      <c r="U489" s="170">
        <v>5774.3591315336434</v>
      </c>
      <c r="V489" s="202">
        <f>U489-T489</f>
        <v>3056.9902622614554</v>
      </c>
      <c r="W489" s="202">
        <f>X489+Y489+Z489+AA489+AB489+AD489+AF489+AH489+AJ489+AL489+AN489+AO489</f>
        <v>5535.8585874143801</v>
      </c>
      <c r="X489" s="202">
        <v>0</v>
      </c>
      <c r="Y489" s="203">
        <v>0</v>
      </c>
      <c r="Z489" s="203">
        <v>0</v>
      </c>
      <c r="AA489" s="203">
        <v>0</v>
      </c>
      <c r="AB489" s="203">
        <v>0</v>
      </c>
      <c r="AC489" s="203">
        <v>0</v>
      </c>
      <c r="AD489" s="203">
        <v>0</v>
      </c>
      <c r="AE489" s="203">
        <v>484.49</v>
      </c>
      <c r="AF489" s="202">
        <f>6238.91*AE489/I489</f>
        <v>5535.8585874143801</v>
      </c>
      <c r="AG489" s="203">
        <v>0</v>
      </c>
      <c r="AH489" s="202">
        <v>0</v>
      </c>
      <c r="AI489" s="203">
        <v>0</v>
      </c>
      <c r="AJ489" s="202">
        <v>0</v>
      </c>
      <c r="AK489" s="203">
        <v>0</v>
      </c>
      <c r="AL489" s="203">
        <v>0</v>
      </c>
      <c r="AM489" s="203">
        <v>0</v>
      </c>
      <c r="AN489" s="203"/>
      <c r="AO489" s="203">
        <v>0</v>
      </c>
    </row>
    <row r="490" spans="1:41" s="176" customFormat="1" ht="36" customHeight="1" x14ac:dyDescent="0.25">
      <c r="B490" s="172" t="s">
        <v>1038</v>
      </c>
      <c r="C490" s="172"/>
      <c r="D490" s="173" t="s">
        <v>882</v>
      </c>
      <c r="E490" s="173" t="s">
        <v>882</v>
      </c>
      <c r="F490" s="173" t="s">
        <v>882</v>
      </c>
      <c r="G490" s="173" t="s">
        <v>882</v>
      </c>
      <c r="H490" s="173" t="s">
        <v>882</v>
      </c>
      <c r="I490" s="177">
        <f>I491</f>
        <v>1598.9</v>
      </c>
      <c r="J490" s="177">
        <f>J491</f>
        <v>874</v>
      </c>
      <c r="K490" s="177">
        <f>K491</f>
        <v>874</v>
      </c>
      <c r="L490" s="357">
        <f>L491</f>
        <v>38</v>
      </c>
      <c r="M490" s="173" t="s">
        <v>882</v>
      </c>
      <c r="N490" s="173" t="s">
        <v>882</v>
      </c>
      <c r="O490" s="175" t="s">
        <v>882</v>
      </c>
      <c r="P490" s="170">
        <v>446142.85</v>
      </c>
      <c r="Q490" s="170">
        <f>Q491</f>
        <v>0</v>
      </c>
      <c r="R490" s="170">
        <f>R491</f>
        <v>0</v>
      </c>
      <c r="S490" s="170">
        <f>S491</f>
        <v>446142.85</v>
      </c>
      <c r="T490" s="170">
        <f t="shared" si="48"/>
        <v>279.03111514165988</v>
      </c>
      <c r="U490" s="170">
        <f>MAX(U491)</f>
        <v>279.03111514165988</v>
      </c>
      <c r="V490" s="202">
        <f t="shared" si="49"/>
        <v>0</v>
      </c>
      <c r="W490" s="202"/>
      <c r="X490" s="202"/>
      <c r="Y490" s="203"/>
      <c r="Z490" s="203"/>
      <c r="AA490" s="203"/>
      <c r="AB490" s="203"/>
      <c r="AC490" s="203"/>
      <c r="AD490" s="203"/>
      <c r="AE490" s="203"/>
      <c r="AF490" s="203"/>
      <c r="AG490" s="203"/>
      <c r="AH490" s="203"/>
      <c r="AI490" s="203"/>
      <c r="AJ490" s="203"/>
      <c r="AK490" s="203"/>
      <c r="AL490" s="203"/>
      <c r="AM490" s="203"/>
      <c r="AN490" s="203"/>
      <c r="AO490" s="203"/>
    </row>
    <row r="491" spans="1:41" s="176" customFormat="1" ht="36" customHeight="1" x14ac:dyDescent="0.25">
      <c r="A491" s="176">
        <v>1</v>
      </c>
      <c r="B491" s="171">
        <f>SUBTOTAL(103,$A$16:A491)</f>
        <v>425</v>
      </c>
      <c r="C491" s="172" t="s">
        <v>1026</v>
      </c>
      <c r="D491" s="173">
        <v>1974</v>
      </c>
      <c r="E491" s="173"/>
      <c r="F491" s="174" t="s">
        <v>267</v>
      </c>
      <c r="G491" s="173">
        <v>2</v>
      </c>
      <c r="H491" s="173" t="s">
        <v>312</v>
      </c>
      <c r="I491" s="170">
        <v>1598.9</v>
      </c>
      <c r="J491" s="170">
        <v>874</v>
      </c>
      <c r="K491" s="170">
        <v>874</v>
      </c>
      <c r="L491" s="206">
        <v>38</v>
      </c>
      <c r="M491" s="173" t="s">
        <v>265</v>
      </c>
      <c r="N491" s="173" t="s">
        <v>269</v>
      </c>
      <c r="O491" s="175" t="s">
        <v>294</v>
      </c>
      <c r="P491" s="170">
        <v>446142.85</v>
      </c>
      <c r="Q491" s="170">
        <v>0</v>
      </c>
      <c r="R491" s="170">
        <v>0</v>
      </c>
      <c r="S491" s="170">
        <f>P491-Q491-R491</f>
        <v>446142.85</v>
      </c>
      <c r="T491" s="170">
        <f t="shared" si="48"/>
        <v>279.03111514165988</v>
      </c>
      <c r="U491" s="170">
        <v>279.03111514165988</v>
      </c>
      <c r="V491" s="202">
        <f>U491-T491</f>
        <v>0</v>
      </c>
      <c r="W491" s="202">
        <f>X491+Y491+Z491+AA491+AB491+AD491+AF491+AH491+AJ491+AL491+AN491+AO491</f>
        <v>555.05949715429358</v>
      </c>
      <c r="X491" s="202">
        <v>0</v>
      </c>
      <c r="Y491" s="203">
        <v>0</v>
      </c>
      <c r="Z491" s="203">
        <v>0</v>
      </c>
      <c r="AA491" s="203">
        <v>0</v>
      </c>
      <c r="AB491" s="203">
        <v>0</v>
      </c>
      <c r="AC491" s="203">
        <v>0</v>
      </c>
      <c r="AD491" s="203">
        <v>0</v>
      </c>
      <c r="AE491" s="203">
        <v>0</v>
      </c>
      <c r="AF491" s="202">
        <v>0</v>
      </c>
      <c r="AG491" s="203">
        <v>0</v>
      </c>
      <c r="AH491" s="202">
        <v>0</v>
      </c>
      <c r="AI491" s="203">
        <v>119.3</v>
      </c>
      <c r="AJ491" s="202">
        <f>7439.1*AI491/I491</f>
        <v>555.05949715429358</v>
      </c>
      <c r="AK491" s="203">
        <v>0</v>
      </c>
      <c r="AL491" s="203">
        <v>0</v>
      </c>
      <c r="AM491" s="203">
        <v>0</v>
      </c>
      <c r="AN491" s="203"/>
      <c r="AO491" s="203">
        <v>0</v>
      </c>
    </row>
    <row r="492" spans="1:41" s="176" customFormat="1" ht="36" customHeight="1" x14ac:dyDescent="0.25">
      <c r="B492" s="172" t="s">
        <v>874</v>
      </c>
      <c r="C492" s="359"/>
      <c r="D492" s="173" t="s">
        <v>882</v>
      </c>
      <c r="E492" s="173" t="s">
        <v>882</v>
      </c>
      <c r="F492" s="173" t="s">
        <v>882</v>
      </c>
      <c r="G492" s="173" t="s">
        <v>882</v>
      </c>
      <c r="H492" s="173" t="s">
        <v>882</v>
      </c>
      <c r="I492" s="177">
        <f>SUM(I493:I496)</f>
        <v>9103.2800000000007</v>
      </c>
      <c r="J492" s="177">
        <f>SUM(J493:J496)</f>
        <v>6597.92</v>
      </c>
      <c r="K492" s="177">
        <f>SUM(K493:K496)</f>
        <v>6581.6</v>
      </c>
      <c r="L492" s="357">
        <f>SUM(L493:L496)</f>
        <v>365</v>
      </c>
      <c r="M492" s="173" t="s">
        <v>882</v>
      </c>
      <c r="N492" s="173" t="s">
        <v>882</v>
      </c>
      <c r="O492" s="175" t="s">
        <v>882</v>
      </c>
      <c r="P492" s="170">
        <v>3380450.98</v>
      </c>
      <c r="Q492" s="170">
        <f>SUM(Q493:Q496)</f>
        <v>0</v>
      </c>
      <c r="R492" s="170">
        <f>SUM(R493:R496)</f>
        <v>0</v>
      </c>
      <c r="S492" s="170">
        <f>SUM(S493:S496)</f>
        <v>3380450.98</v>
      </c>
      <c r="T492" s="170">
        <f t="shared" si="48"/>
        <v>371.34428250037348</v>
      </c>
      <c r="U492" s="170">
        <f>MAX(U493:U496)</f>
        <v>879.4065848527348</v>
      </c>
      <c r="V492" s="202">
        <f t="shared" si="49"/>
        <v>508.06230235236131</v>
      </c>
      <c r="W492" s="202"/>
      <c r="X492" s="202"/>
      <c r="Y492" s="203"/>
      <c r="Z492" s="203"/>
      <c r="AA492" s="203"/>
      <c r="AB492" s="203"/>
      <c r="AC492" s="203"/>
      <c r="AD492" s="203"/>
      <c r="AE492" s="203"/>
      <c r="AF492" s="203"/>
      <c r="AG492" s="203"/>
      <c r="AH492" s="203"/>
      <c r="AI492" s="203"/>
      <c r="AJ492" s="203"/>
      <c r="AK492" s="203"/>
      <c r="AL492" s="203"/>
      <c r="AM492" s="203"/>
      <c r="AN492" s="203"/>
      <c r="AO492" s="203"/>
    </row>
    <row r="493" spans="1:41" s="176" customFormat="1" ht="36" customHeight="1" x14ac:dyDescent="0.25">
      <c r="A493" s="176">
        <v>1</v>
      </c>
      <c r="B493" s="171">
        <f>SUBTOTAL(103,$A$16:A493)</f>
        <v>426</v>
      </c>
      <c r="C493" s="172" t="s">
        <v>1667</v>
      </c>
      <c r="D493" s="173">
        <v>1978</v>
      </c>
      <c r="E493" s="173"/>
      <c r="F493" s="174" t="s">
        <v>318</v>
      </c>
      <c r="G493" s="173">
        <v>3</v>
      </c>
      <c r="H493" s="173" t="s">
        <v>2251</v>
      </c>
      <c r="I493" s="177">
        <v>3214.48</v>
      </c>
      <c r="J493" s="177">
        <v>1869.92</v>
      </c>
      <c r="K493" s="177">
        <v>1853.6</v>
      </c>
      <c r="L493" s="206">
        <v>124</v>
      </c>
      <c r="M493" s="173" t="s">
        <v>265</v>
      </c>
      <c r="N493" s="173" t="s">
        <v>266</v>
      </c>
      <c r="O493" s="175" t="s">
        <v>268</v>
      </c>
      <c r="P493" s="170">
        <v>824971.76</v>
      </c>
      <c r="Q493" s="170">
        <v>0</v>
      </c>
      <c r="R493" s="170">
        <v>0</v>
      </c>
      <c r="S493" s="170">
        <f>P493-Q493-R493</f>
        <v>824971.76</v>
      </c>
      <c r="T493" s="170">
        <f t="shared" si="48"/>
        <v>256.6423682835171</v>
      </c>
      <c r="U493" s="170">
        <v>415.02155869689653</v>
      </c>
      <c r="V493" s="202">
        <f t="shared" si="49"/>
        <v>158.37919041337943</v>
      </c>
      <c r="W493" s="202">
        <f>X493+Y493+Z493+AA493+AB493+AD493+AF493+AH493+AJ493+AL493+AN493+AO493</f>
        <v>376.14194457579458</v>
      </c>
      <c r="X493" s="202">
        <v>0</v>
      </c>
      <c r="Y493" s="203">
        <v>0</v>
      </c>
      <c r="Z493" s="203">
        <v>0</v>
      </c>
      <c r="AA493" s="203">
        <v>0</v>
      </c>
      <c r="AB493" s="203">
        <v>0</v>
      </c>
      <c r="AC493" s="203">
        <v>0</v>
      </c>
      <c r="AD493" s="203">
        <v>0</v>
      </c>
      <c r="AE493" s="203">
        <v>193.8</v>
      </c>
      <c r="AF493" s="202">
        <f>6238.91*AE493/I493</f>
        <v>376.14194457579458</v>
      </c>
      <c r="AG493" s="203">
        <v>0</v>
      </c>
      <c r="AH493" s="202">
        <v>0</v>
      </c>
      <c r="AI493" s="203">
        <v>0</v>
      </c>
      <c r="AJ493" s="202">
        <v>0</v>
      </c>
      <c r="AK493" s="203">
        <v>0</v>
      </c>
      <c r="AL493" s="203">
        <v>0</v>
      </c>
      <c r="AM493" s="203">
        <v>0</v>
      </c>
      <c r="AN493" s="203"/>
      <c r="AO493" s="203">
        <v>0</v>
      </c>
    </row>
    <row r="494" spans="1:41" s="176" customFormat="1" ht="36" customHeight="1" x14ac:dyDescent="0.25">
      <c r="A494" s="176">
        <v>1</v>
      </c>
      <c r="B494" s="171">
        <f>SUBTOTAL(103,$A$16:A494)</f>
        <v>427</v>
      </c>
      <c r="C494" s="172" t="s">
        <v>1668</v>
      </c>
      <c r="D494" s="173">
        <v>1980</v>
      </c>
      <c r="E494" s="173"/>
      <c r="F494" s="174" t="s">
        <v>318</v>
      </c>
      <c r="G494" s="173">
        <v>5</v>
      </c>
      <c r="H494" s="173" t="s">
        <v>303</v>
      </c>
      <c r="I494" s="177">
        <v>2143.8000000000002</v>
      </c>
      <c r="J494" s="177">
        <v>2143.8000000000002</v>
      </c>
      <c r="K494" s="177">
        <v>2143.8000000000002</v>
      </c>
      <c r="L494" s="206">
        <v>95</v>
      </c>
      <c r="M494" s="173" t="s">
        <v>265</v>
      </c>
      <c r="N494" s="173" t="s">
        <v>266</v>
      </c>
      <c r="O494" s="175" t="s">
        <v>268</v>
      </c>
      <c r="P494" s="170">
        <v>848636.41</v>
      </c>
      <c r="Q494" s="170">
        <v>0</v>
      </c>
      <c r="R494" s="170">
        <v>0</v>
      </c>
      <c r="S494" s="170">
        <f>P494-Q494-R494</f>
        <v>848636.41</v>
      </c>
      <c r="T494" s="170">
        <f t="shared" si="48"/>
        <v>395.85614796156358</v>
      </c>
      <c r="U494" s="170">
        <v>589.2082143856702</v>
      </c>
      <c r="V494" s="202">
        <f t="shared" si="49"/>
        <v>193.35206642410662</v>
      </c>
      <c r="W494" s="202">
        <f>X494+Y494+Z494+AA494+AB494+AD494+AF494+AH494+AJ494+AL494+AN494+AO494</f>
        <v>631.60305872749325</v>
      </c>
      <c r="X494" s="202">
        <v>0</v>
      </c>
      <c r="Y494" s="203">
        <v>0</v>
      </c>
      <c r="Z494" s="203">
        <v>0</v>
      </c>
      <c r="AA494" s="203">
        <v>0</v>
      </c>
      <c r="AB494" s="203">
        <v>0</v>
      </c>
      <c r="AC494" s="203">
        <v>0</v>
      </c>
      <c r="AD494" s="203">
        <v>0</v>
      </c>
      <c r="AE494" s="203">
        <v>217.03</v>
      </c>
      <c r="AF494" s="202">
        <f>6238.91*AE494/I494</f>
        <v>631.60305872749325</v>
      </c>
      <c r="AG494" s="203">
        <v>0</v>
      </c>
      <c r="AH494" s="202">
        <v>0</v>
      </c>
      <c r="AI494" s="203">
        <v>0</v>
      </c>
      <c r="AJ494" s="202">
        <v>0</v>
      </c>
      <c r="AK494" s="203">
        <v>0</v>
      </c>
      <c r="AL494" s="203">
        <v>0</v>
      </c>
      <c r="AM494" s="203">
        <v>0</v>
      </c>
      <c r="AN494" s="203"/>
      <c r="AO494" s="203">
        <v>0</v>
      </c>
    </row>
    <row r="495" spans="1:41" s="176" customFormat="1" ht="36" customHeight="1" x14ac:dyDescent="0.25">
      <c r="A495" s="176">
        <v>1</v>
      </c>
      <c r="B495" s="171">
        <f>SUBTOTAL(103,$A$16:A495)</f>
        <v>428</v>
      </c>
      <c r="C495" s="172" t="s">
        <v>1669</v>
      </c>
      <c r="D495" s="173">
        <v>1982</v>
      </c>
      <c r="E495" s="173"/>
      <c r="F495" s="174" t="s">
        <v>318</v>
      </c>
      <c r="G495" s="173">
        <v>5</v>
      </c>
      <c r="H495" s="173" t="s">
        <v>312</v>
      </c>
      <c r="I495" s="177">
        <v>2319</v>
      </c>
      <c r="J495" s="177">
        <v>1158.2</v>
      </c>
      <c r="K495" s="177">
        <v>1158.2</v>
      </c>
      <c r="L495" s="206">
        <v>93</v>
      </c>
      <c r="M495" s="173" t="s">
        <v>265</v>
      </c>
      <c r="N495" s="173" t="s">
        <v>266</v>
      </c>
      <c r="O495" s="175" t="s">
        <v>268</v>
      </c>
      <c r="P495" s="170">
        <v>854226.54</v>
      </c>
      <c r="Q495" s="170">
        <v>0</v>
      </c>
      <c r="R495" s="170">
        <v>0</v>
      </c>
      <c r="S495" s="170">
        <f>P495-Q495-R495</f>
        <v>854226.54</v>
      </c>
      <c r="T495" s="170">
        <f t="shared" si="48"/>
        <v>368.35987063389393</v>
      </c>
      <c r="U495" s="170">
        <v>542.16802069857692</v>
      </c>
      <c r="V495" s="202">
        <f t="shared" si="49"/>
        <v>173.80815006468299</v>
      </c>
      <c r="W495" s="202">
        <f>X495+Y495+Z495+AA495+AB495+AD495+AF495+AH495+AJ495+AL495+AN495+AO495</f>
        <v>581.51806662354466</v>
      </c>
      <c r="X495" s="202">
        <v>0</v>
      </c>
      <c r="Y495" s="203">
        <v>0</v>
      </c>
      <c r="Z495" s="203">
        <v>0</v>
      </c>
      <c r="AA495" s="203">
        <v>0</v>
      </c>
      <c r="AB495" s="203">
        <v>0</v>
      </c>
      <c r="AC495" s="203">
        <v>0</v>
      </c>
      <c r="AD495" s="203">
        <v>0</v>
      </c>
      <c r="AE495" s="203">
        <v>216.15</v>
      </c>
      <c r="AF495" s="202">
        <f>6238.91*AE495/I495</f>
        <v>581.51806662354466</v>
      </c>
      <c r="AG495" s="203">
        <v>0</v>
      </c>
      <c r="AH495" s="202">
        <v>0</v>
      </c>
      <c r="AI495" s="203">
        <v>0</v>
      </c>
      <c r="AJ495" s="202">
        <v>0</v>
      </c>
      <c r="AK495" s="203">
        <v>0</v>
      </c>
      <c r="AL495" s="203">
        <v>0</v>
      </c>
      <c r="AM495" s="203">
        <v>0</v>
      </c>
      <c r="AN495" s="203"/>
      <c r="AO495" s="203">
        <v>0</v>
      </c>
    </row>
    <row r="496" spans="1:41" s="176" customFormat="1" ht="36" customHeight="1" x14ac:dyDescent="0.25">
      <c r="A496" s="176">
        <v>1</v>
      </c>
      <c r="B496" s="171">
        <f>SUBTOTAL(103,$A$16:A496)</f>
        <v>429</v>
      </c>
      <c r="C496" s="172" t="s">
        <v>1666</v>
      </c>
      <c r="D496" s="173">
        <v>1983</v>
      </c>
      <c r="E496" s="173"/>
      <c r="F496" s="174" t="s">
        <v>318</v>
      </c>
      <c r="G496" s="173">
        <v>5</v>
      </c>
      <c r="H496" s="173" t="s">
        <v>303</v>
      </c>
      <c r="I496" s="177">
        <v>1426</v>
      </c>
      <c r="J496" s="177">
        <v>1426</v>
      </c>
      <c r="K496" s="177">
        <v>1426</v>
      </c>
      <c r="L496" s="206">
        <v>53</v>
      </c>
      <c r="M496" s="173" t="s">
        <v>265</v>
      </c>
      <c r="N496" s="173" t="s">
        <v>266</v>
      </c>
      <c r="O496" s="175" t="s">
        <v>268</v>
      </c>
      <c r="P496" s="170">
        <v>852616.27</v>
      </c>
      <c r="Q496" s="170">
        <v>0</v>
      </c>
      <c r="R496" s="170">
        <v>0</v>
      </c>
      <c r="S496" s="170">
        <f>P496-Q496-R496</f>
        <v>852616.27</v>
      </c>
      <c r="T496" s="170">
        <f t="shared" si="48"/>
        <v>597.90762272089762</v>
      </c>
      <c r="U496" s="170">
        <v>879.4065848527348</v>
      </c>
      <c r="V496" s="202">
        <f t="shared" si="49"/>
        <v>281.49896213183717</v>
      </c>
      <c r="W496" s="202">
        <f>X496+Y496+Z496+AA496+AB496+AD496+AF496+AH496+AJ496+AL496+AN496+AO496</f>
        <v>942.9679328892006</v>
      </c>
      <c r="X496" s="202">
        <v>0</v>
      </c>
      <c r="Y496" s="203">
        <v>0</v>
      </c>
      <c r="Z496" s="203">
        <v>0</v>
      </c>
      <c r="AA496" s="203">
        <v>0</v>
      </c>
      <c r="AB496" s="203">
        <v>0</v>
      </c>
      <c r="AC496" s="203">
        <v>0</v>
      </c>
      <c r="AD496" s="203">
        <v>0</v>
      </c>
      <c r="AE496" s="203">
        <v>215.53</v>
      </c>
      <c r="AF496" s="202">
        <f>6238.91*AE496/I496</f>
        <v>942.9679328892006</v>
      </c>
      <c r="AG496" s="203">
        <v>0</v>
      </c>
      <c r="AH496" s="202">
        <v>0</v>
      </c>
      <c r="AI496" s="203">
        <v>0</v>
      </c>
      <c r="AJ496" s="202">
        <v>0</v>
      </c>
      <c r="AK496" s="203">
        <v>0</v>
      </c>
      <c r="AL496" s="203">
        <v>0</v>
      </c>
      <c r="AM496" s="203">
        <v>0</v>
      </c>
      <c r="AN496" s="203"/>
      <c r="AO496" s="203">
        <v>0</v>
      </c>
    </row>
    <row r="497" spans="1:41" s="176" customFormat="1" ht="36" customHeight="1" x14ac:dyDescent="0.25">
      <c r="B497" s="172" t="s">
        <v>846</v>
      </c>
      <c r="C497" s="359"/>
      <c r="D497" s="173" t="s">
        <v>882</v>
      </c>
      <c r="E497" s="173" t="s">
        <v>882</v>
      </c>
      <c r="F497" s="173" t="s">
        <v>882</v>
      </c>
      <c r="G497" s="173" t="s">
        <v>882</v>
      </c>
      <c r="H497" s="173" t="s">
        <v>882</v>
      </c>
      <c r="I497" s="177">
        <f>SUM(I498:I502)</f>
        <v>2977.1</v>
      </c>
      <c r="J497" s="177">
        <f>SUM(J498:J502)</f>
        <v>2780.3</v>
      </c>
      <c r="K497" s="177">
        <f>SUM(K498:K502)</f>
        <v>2727.3</v>
      </c>
      <c r="L497" s="357">
        <f>SUM(L498:L502)</f>
        <v>125</v>
      </c>
      <c r="M497" s="173" t="s">
        <v>882</v>
      </c>
      <c r="N497" s="173" t="s">
        <v>882</v>
      </c>
      <c r="O497" s="175" t="s">
        <v>882</v>
      </c>
      <c r="P497" s="170">
        <v>7738017.7799999993</v>
      </c>
      <c r="Q497" s="170">
        <f>SUM(Q498:Q502)</f>
        <v>0</v>
      </c>
      <c r="R497" s="170">
        <f>SUM(R498:R502)</f>
        <v>0</v>
      </c>
      <c r="S497" s="170">
        <f>SUM(S498:S502)</f>
        <v>7738017.7799999993</v>
      </c>
      <c r="T497" s="170">
        <f t="shared" si="48"/>
        <v>2599.179664774445</v>
      </c>
      <c r="U497" s="170">
        <f>MAX(U498:U502)</f>
        <v>9465.485926216641</v>
      </c>
      <c r="V497" s="202">
        <f t="shared" si="49"/>
        <v>6866.306261442196</v>
      </c>
      <c r="W497" s="202"/>
      <c r="X497" s="202"/>
      <c r="Y497" s="203"/>
      <c r="Z497" s="203"/>
      <c r="AA497" s="203"/>
      <c r="AB497" s="203"/>
      <c r="AC497" s="203"/>
      <c r="AD497" s="203"/>
      <c r="AE497" s="203"/>
      <c r="AF497" s="203"/>
      <c r="AG497" s="203"/>
      <c r="AH497" s="203"/>
      <c r="AI497" s="203"/>
      <c r="AJ497" s="203"/>
      <c r="AK497" s="203"/>
      <c r="AL497" s="203"/>
      <c r="AM497" s="203"/>
      <c r="AN497" s="203"/>
      <c r="AO497" s="203"/>
    </row>
    <row r="498" spans="1:41" s="176" customFormat="1" ht="36" customHeight="1" x14ac:dyDescent="0.25">
      <c r="A498" s="176">
        <v>1</v>
      </c>
      <c r="B498" s="171">
        <f>SUBTOTAL(103,$A$16:A498)</f>
        <v>430</v>
      </c>
      <c r="C498" s="172" t="s">
        <v>89</v>
      </c>
      <c r="D498" s="173">
        <v>1969</v>
      </c>
      <c r="E498" s="173"/>
      <c r="F498" s="174" t="s">
        <v>267</v>
      </c>
      <c r="G498" s="173">
        <v>2</v>
      </c>
      <c r="H498" s="173" t="s">
        <v>303</v>
      </c>
      <c r="I498" s="170">
        <v>773.4</v>
      </c>
      <c r="J498" s="170">
        <v>714.5</v>
      </c>
      <c r="K498" s="170">
        <v>714.5</v>
      </c>
      <c r="L498" s="206">
        <v>41</v>
      </c>
      <c r="M498" s="173" t="s">
        <v>265</v>
      </c>
      <c r="N498" s="173" t="s">
        <v>269</v>
      </c>
      <c r="O498" s="175" t="s">
        <v>280</v>
      </c>
      <c r="P498" s="170">
        <v>2421334.88</v>
      </c>
      <c r="Q498" s="170">
        <v>0</v>
      </c>
      <c r="R498" s="170">
        <v>0</v>
      </c>
      <c r="S498" s="170">
        <f>P498-Q498-R498</f>
        <v>2421334.88</v>
      </c>
      <c r="T498" s="170">
        <f t="shared" si="48"/>
        <v>3130.7665890871476</v>
      </c>
      <c r="U498" s="170">
        <v>5292.6600724075506</v>
      </c>
      <c r="V498" s="202">
        <f t="shared" si="49"/>
        <v>2161.893483320403</v>
      </c>
      <c r="W498" s="202">
        <f>X498+Y498+Z498+AA498+AB498+AD498+AF498+AH498+AJ498+AL498+AN498+AO498</f>
        <v>5074.0553271269719</v>
      </c>
      <c r="X498" s="202">
        <v>0</v>
      </c>
      <c r="Y498" s="203">
        <v>0</v>
      </c>
      <c r="Z498" s="203">
        <v>0</v>
      </c>
      <c r="AA498" s="203">
        <v>0</v>
      </c>
      <c r="AB498" s="203">
        <v>0</v>
      </c>
      <c r="AC498" s="203">
        <v>0</v>
      </c>
      <c r="AD498" s="203">
        <v>0</v>
      </c>
      <c r="AE498" s="203">
        <v>629</v>
      </c>
      <c r="AF498" s="202">
        <f>6238.91*AE498/I498</f>
        <v>5074.0553271269719</v>
      </c>
      <c r="AG498" s="203">
        <v>0</v>
      </c>
      <c r="AH498" s="202">
        <v>0</v>
      </c>
      <c r="AI498" s="203">
        <v>0</v>
      </c>
      <c r="AJ498" s="202">
        <v>0</v>
      </c>
      <c r="AK498" s="203">
        <v>0</v>
      </c>
      <c r="AL498" s="203">
        <v>0</v>
      </c>
      <c r="AM498" s="203">
        <v>0</v>
      </c>
      <c r="AN498" s="203"/>
      <c r="AO498" s="203">
        <v>0</v>
      </c>
    </row>
    <row r="499" spans="1:41" s="176" customFormat="1" ht="36" customHeight="1" x14ac:dyDescent="0.25">
      <c r="A499" s="176">
        <v>1</v>
      </c>
      <c r="B499" s="171">
        <f>SUBTOTAL(103,$A$16:A499)</f>
        <v>431</v>
      </c>
      <c r="C499" s="172" t="s">
        <v>90</v>
      </c>
      <c r="D499" s="173">
        <v>1960</v>
      </c>
      <c r="E499" s="173"/>
      <c r="F499" s="174" t="s">
        <v>267</v>
      </c>
      <c r="G499" s="173">
        <v>2</v>
      </c>
      <c r="H499" s="173" t="s">
        <v>304</v>
      </c>
      <c r="I499" s="170">
        <v>382.2</v>
      </c>
      <c r="J499" s="170">
        <v>358.4</v>
      </c>
      <c r="K499" s="170">
        <v>358.4</v>
      </c>
      <c r="L499" s="206">
        <v>21</v>
      </c>
      <c r="M499" s="173" t="s">
        <v>265</v>
      </c>
      <c r="N499" s="173" t="s">
        <v>269</v>
      </c>
      <c r="O499" s="175" t="s">
        <v>280</v>
      </c>
      <c r="P499" s="170">
        <v>1656413.77</v>
      </c>
      <c r="Q499" s="170">
        <v>0</v>
      </c>
      <c r="R499" s="170">
        <v>0</v>
      </c>
      <c r="S499" s="170">
        <f>P499-Q499-R499</f>
        <v>1656413.77</v>
      </c>
      <c r="T499" s="170">
        <f t="shared" si="48"/>
        <v>4333.892647828362</v>
      </c>
      <c r="U499" s="170">
        <v>9465.485926216641</v>
      </c>
      <c r="V499" s="202">
        <f t="shared" si="49"/>
        <v>5131.593278388279</v>
      </c>
      <c r="W499" s="202">
        <f>X499+Y499+Z499+AA499+AB499+AD499+AF499+AH499+AJ499+AL499+AN499+AO499</f>
        <v>9465.485926216641</v>
      </c>
      <c r="X499" s="202">
        <v>0</v>
      </c>
      <c r="Y499" s="203">
        <v>0</v>
      </c>
      <c r="Z499" s="203">
        <v>0</v>
      </c>
      <c r="AA499" s="203">
        <v>0</v>
      </c>
      <c r="AB499" s="203">
        <v>0</v>
      </c>
      <c r="AC499" s="203">
        <v>0</v>
      </c>
      <c r="AD499" s="203">
        <v>0</v>
      </c>
      <c r="AE499" s="203">
        <v>0</v>
      </c>
      <c r="AF499" s="202">
        <v>0</v>
      </c>
      <c r="AG499" s="203">
        <v>0</v>
      </c>
      <c r="AH499" s="202">
        <v>0</v>
      </c>
      <c r="AI499" s="203">
        <v>486.31</v>
      </c>
      <c r="AJ499" s="202">
        <f>7439.1*AI499/I499</f>
        <v>9465.485926216641</v>
      </c>
      <c r="AK499" s="203">
        <v>0</v>
      </c>
      <c r="AL499" s="203">
        <v>0</v>
      </c>
      <c r="AM499" s="203">
        <v>0</v>
      </c>
      <c r="AN499" s="203"/>
      <c r="AO499" s="203">
        <v>0</v>
      </c>
    </row>
    <row r="500" spans="1:41" s="176" customFormat="1" ht="36" customHeight="1" x14ac:dyDescent="0.25">
      <c r="A500" s="176">
        <v>1</v>
      </c>
      <c r="B500" s="171">
        <f>SUBTOTAL(103,$A$16:A500)</f>
        <v>432</v>
      </c>
      <c r="C500" s="172" t="s">
        <v>1252</v>
      </c>
      <c r="D500" s="173">
        <v>1965</v>
      </c>
      <c r="E500" s="173"/>
      <c r="F500" s="174" t="s">
        <v>330</v>
      </c>
      <c r="G500" s="173">
        <v>2</v>
      </c>
      <c r="H500" s="173" t="s">
        <v>304</v>
      </c>
      <c r="I500" s="170">
        <v>377</v>
      </c>
      <c r="J500" s="170">
        <v>377</v>
      </c>
      <c r="K500" s="170">
        <v>377</v>
      </c>
      <c r="L500" s="206">
        <v>23</v>
      </c>
      <c r="M500" s="173" t="s">
        <v>265</v>
      </c>
      <c r="N500" s="173" t="s">
        <v>269</v>
      </c>
      <c r="O500" s="175" t="s">
        <v>280</v>
      </c>
      <c r="P500" s="170">
        <v>507522.62999999995</v>
      </c>
      <c r="Q500" s="170">
        <v>0</v>
      </c>
      <c r="R500" s="170">
        <v>0</v>
      </c>
      <c r="S500" s="170">
        <f>P500-Q500-R500</f>
        <v>507522.62999999995</v>
      </c>
      <c r="T500" s="170">
        <f t="shared" si="48"/>
        <v>1346.2138726790449</v>
      </c>
      <c r="U500" s="170">
        <v>4631.2681034482757</v>
      </c>
      <c r="V500" s="202">
        <f t="shared" si="49"/>
        <v>3285.0542307692308</v>
      </c>
      <c r="W500" s="202">
        <f>X500+Y500+Z500+AA500+AB500+AD500+AF500+AH500+AJ500+AL500+AN500+AO500</f>
        <v>4631.2681034482757</v>
      </c>
      <c r="X500" s="202">
        <v>0</v>
      </c>
      <c r="Y500" s="203">
        <v>0</v>
      </c>
      <c r="Z500" s="203">
        <v>0</v>
      </c>
      <c r="AA500" s="203">
        <v>0</v>
      </c>
      <c r="AB500" s="203">
        <v>0</v>
      </c>
      <c r="AC500" s="203">
        <v>0</v>
      </c>
      <c r="AD500" s="203">
        <v>0</v>
      </c>
      <c r="AE500" s="203">
        <v>0</v>
      </c>
      <c r="AF500" s="202">
        <v>0</v>
      </c>
      <c r="AG500" s="203">
        <v>0</v>
      </c>
      <c r="AH500" s="202">
        <v>0</v>
      </c>
      <c r="AI500" s="203">
        <v>438.75</v>
      </c>
      <c r="AJ500" s="202">
        <f>3979.46*AI500/I500</f>
        <v>4631.2681034482757</v>
      </c>
      <c r="AK500" s="203">
        <v>0</v>
      </c>
      <c r="AL500" s="203">
        <v>0</v>
      </c>
      <c r="AM500" s="203">
        <v>0</v>
      </c>
      <c r="AN500" s="203"/>
      <c r="AO500" s="203">
        <v>0</v>
      </c>
    </row>
    <row r="501" spans="1:41" s="176" customFormat="1" ht="36" customHeight="1" x14ac:dyDescent="0.25">
      <c r="A501" s="176">
        <v>1</v>
      </c>
      <c r="B501" s="171">
        <f>SUBTOTAL(103,$A$16:A501)</f>
        <v>433</v>
      </c>
      <c r="C501" s="172" t="s">
        <v>1253</v>
      </c>
      <c r="D501" s="173">
        <v>1917</v>
      </c>
      <c r="E501" s="173"/>
      <c r="F501" s="174" t="s">
        <v>267</v>
      </c>
      <c r="G501" s="173">
        <v>2</v>
      </c>
      <c r="H501" s="173" t="s">
        <v>304</v>
      </c>
      <c r="I501" s="170">
        <v>319.3</v>
      </c>
      <c r="J501" s="170">
        <v>205.2</v>
      </c>
      <c r="K501" s="170">
        <v>152.19999999999999</v>
      </c>
      <c r="L501" s="206">
        <v>14</v>
      </c>
      <c r="M501" s="173" t="s">
        <v>265</v>
      </c>
      <c r="N501" s="173" t="s">
        <v>266</v>
      </c>
      <c r="O501" s="175" t="s">
        <v>268</v>
      </c>
      <c r="P501" s="170">
        <v>81322.009999999995</v>
      </c>
      <c r="Q501" s="170">
        <v>0</v>
      </c>
      <c r="R501" s="170">
        <v>0</v>
      </c>
      <c r="S501" s="170">
        <f>P501-Q501-R501</f>
        <v>81322.009999999995</v>
      </c>
      <c r="T501" s="170">
        <f t="shared" si="48"/>
        <v>254.68841215158156</v>
      </c>
      <c r="U501" s="170">
        <v>254.68841215158156</v>
      </c>
      <c r="V501" s="202">
        <f t="shared" si="49"/>
        <v>0</v>
      </c>
      <c r="W501" s="202">
        <f>X501+Y501+Z501+AA501+AB501+AD501+AF501+AH501+AJ501+AL501+AN501+AO501</f>
        <v>16986.682774819921</v>
      </c>
      <c r="X501" s="202">
        <v>0</v>
      </c>
      <c r="Y501" s="203">
        <v>0</v>
      </c>
      <c r="Z501" s="203">
        <v>0</v>
      </c>
      <c r="AA501" s="203">
        <v>0</v>
      </c>
      <c r="AB501" s="203">
        <v>0</v>
      </c>
      <c r="AC501" s="203">
        <v>0</v>
      </c>
      <c r="AD501" s="203">
        <v>0</v>
      </c>
      <c r="AE501" s="203">
        <v>0</v>
      </c>
      <c r="AF501" s="202">
        <v>0</v>
      </c>
      <c r="AG501" s="203">
        <v>0</v>
      </c>
      <c r="AH501" s="202">
        <v>0</v>
      </c>
      <c r="AI501" s="203">
        <v>729.1</v>
      </c>
      <c r="AJ501" s="202">
        <f>7439.1*AI501/I501</f>
        <v>16986.682774819921</v>
      </c>
      <c r="AK501" s="203">
        <v>0</v>
      </c>
      <c r="AL501" s="203">
        <v>0</v>
      </c>
      <c r="AM501" s="203">
        <v>0</v>
      </c>
      <c r="AN501" s="203"/>
      <c r="AO501" s="203">
        <v>0</v>
      </c>
    </row>
    <row r="502" spans="1:41" s="176" customFormat="1" ht="36" customHeight="1" x14ac:dyDescent="0.25">
      <c r="A502" s="176">
        <v>1</v>
      </c>
      <c r="B502" s="171">
        <f>SUBTOTAL(103,$A$16:A502)</f>
        <v>434</v>
      </c>
      <c r="C502" s="172" t="s">
        <v>1254</v>
      </c>
      <c r="D502" s="173">
        <v>1978</v>
      </c>
      <c r="E502" s="173"/>
      <c r="F502" s="174" t="s">
        <v>1332</v>
      </c>
      <c r="G502" s="173">
        <v>2</v>
      </c>
      <c r="H502" s="173" t="s">
        <v>308</v>
      </c>
      <c r="I502" s="170">
        <v>1125.2</v>
      </c>
      <c r="J502" s="170">
        <v>1125.2</v>
      </c>
      <c r="K502" s="170">
        <v>1125.2</v>
      </c>
      <c r="L502" s="206">
        <v>26</v>
      </c>
      <c r="M502" s="173" t="s">
        <v>265</v>
      </c>
      <c r="N502" s="173" t="s">
        <v>269</v>
      </c>
      <c r="O502" s="175" t="s">
        <v>1333</v>
      </c>
      <c r="P502" s="170">
        <v>3071424.4899999998</v>
      </c>
      <c r="Q502" s="170">
        <v>0</v>
      </c>
      <c r="R502" s="170">
        <v>0</v>
      </c>
      <c r="S502" s="170">
        <f>P502-Q502-R502</f>
        <v>3071424.4899999998</v>
      </c>
      <c r="T502" s="170">
        <f t="shared" si="48"/>
        <v>2729.6698275862068</v>
      </c>
      <c r="U502" s="170">
        <v>5345.1976004265907</v>
      </c>
      <c r="V502" s="202">
        <f t="shared" si="49"/>
        <v>2615.5277728403839</v>
      </c>
      <c r="W502" s="202">
        <f>X502+Y502+Z502+AA502+AB502+AD502+AF502+AH502+AJ502+AL502+AN502+AO502</f>
        <v>5124.4228777106291</v>
      </c>
      <c r="X502" s="202">
        <v>0</v>
      </c>
      <c r="Y502" s="203">
        <v>0</v>
      </c>
      <c r="Z502" s="203">
        <v>0</v>
      </c>
      <c r="AA502" s="203">
        <v>0</v>
      </c>
      <c r="AB502" s="203">
        <v>0</v>
      </c>
      <c r="AC502" s="203">
        <v>0</v>
      </c>
      <c r="AD502" s="203">
        <v>0</v>
      </c>
      <c r="AE502" s="203">
        <v>924.2</v>
      </c>
      <c r="AF502" s="202">
        <f>6238.91*AE502/I502</f>
        <v>5124.4228777106291</v>
      </c>
      <c r="AG502" s="203">
        <v>0</v>
      </c>
      <c r="AH502" s="202">
        <v>0</v>
      </c>
      <c r="AI502" s="203">
        <v>0</v>
      </c>
      <c r="AJ502" s="202">
        <v>0</v>
      </c>
      <c r="AK502" s="203">
        <v>0</v>
      </c>
      <c r="AL502" s="203">
        <v>0</v>
      </c>
      <c r="AM502" s="203">
        <v>0</v>
      </c>
      <c r="AN502" s="203"/>
      <c r="AO502" s="203">
        <v>0</v>
      </c>
    </row>
    <row r="503" spans="1:41" s="176" customFormat="1" ht="36" customHeight="1" x14ac:dyDescent="0.25">
      <c r="B503" s="172" t="s">
        <v>873</v>
      </c>
      <c r="C503" s="172"/>
      <c r="D503" s="173" t="s">
        <v>882</v>
      </c>
      <c r="E503" s="173" t="s">
        <v>882</v>
      </c>
      <c r="F503" s="173" t="s">
        <v>882</v>
      </c>
      <c r="G503" s="173" t="s">
        <v>882</v>
      </c>
      <c r="H503" s="173" t="s">
        <v>882</v>
      </c>
      <c r="I503" s="177">
        <f>I504</f>
        <v>1191.0999999999999</v>
      </c>
      <c r="J503" s="177">
        <f>J504</f>
        <v>714.7</v>
      </c>
      <c r="K503" s="177">
        <f>K504</f>
        <v>714.7</v>
      </c>
      <c r="L503" s="357">
        <f>L504</f>
        <v>26</v>
      </c>
      <c r="M503" s="173" t="s">
        <v>882</v>
      </c>
      <c r="N503" s="173" t="s">
        <v>882</v>
      </c>
      <c r="O503" s="175" t="s">
        <v>882</v>
      </c>
      <c r="P503" s="170">
        <v>2846268.34</v>
      </c>
      <c r="Q503" s="170">
        <f>Q504</f>
        <v>0</v>
      </c>
      <c r="R503" s="170">
        <f>R504</f>
        <v>0</v>
      </c>
      <c r="S503" s="170">
        <f>S504</f>
        <v>2846268.34</v>
      </c>
      <c r="T503" s="170">
        <f t="shared" si="48"/>
        <v>2389.6132482579128</v>
      </c>
      <c r="U503" s="170">
        <f>MAX(U504)</f>
        <v>3350.2826295021414</v>
      </c>
      <c r="V503" s="202">
        <f t="shared" si="49"/>
        <v>960.66938124422859</v>
      </c>
      <c r="W503" s="202"/>
      <c r="X503" s="202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203"/>
      <c r="AL503" s="203"/>
      <c r="AM503" s="203"/>
      <c r="AN503" s="203"/>
      <c r="AO503" s="203"/>
    </row>
    <row r="504" spans="1:41" s="176" customFormat="1" ht="36" customHeight="1" x14ac:dyDescent="0.25">
      <c r="A504" s="176">
        <v>1</v>
      </c>
      <c r="B504" s="171">
        <f>SUBTOTAL(103,$A$16:A504)</f>
        <v>435</v>
      </c>
      <c r="C504" s="172" t="s">
        <v>91</v>
      </c>
      <c r="D504" s="173">
        <v>1967</v>
      </c>
      <c r="E504" s="173"/>
      <c r="F504" s="174" t="s">
        <v>267</v>
      </c>
      <c r="G504" s="173">
        <v>2</v>
      </c>
      <c r="H504" s="173" t="s">
        <v>303</v>
      </c>
      <c r="I504" s="170">
        <v>1191.0999999999999</v>
      </c>
      <c r="J504" s="170">
        <v>714.7</v>
      </c>
      <c r="K504" s="170">
        <v>714.7</v>
      </c>
      <c r="L504" s="206">
        <v>26</v>
      </c>
      <c r="M504" s="173" t="s">
        <v>265</v>
      </c>
      <c r="N504" s="173" t="s">
        <v>269</v>
      </c>
      <c r="O504" s="175" t="s">
        <v>281</v>
      </c>
      <c r="P504" s="170">
        <v>2846268.34</v>
      </c>
      <c r="Q504" s="170">
        <v>0</v>
      </c>
      <c r="R504" s="170">
        <v>0</v>
      </c>
      <c r="S504" s="170">
        <f>P504-Q504-R504</f>
        <v>2846268.34</v>
      </c>
      <c r="T504" s="170">
        <f t="shared" si="48"/>
        <v>2389.6132482579128</v>
      </c>
      <c r="U504" s="170">
        <v>3350.2826295021414</v>
      </c>
      <c r="V504" s="202">
        <f>U504-T504</f>
        <v>960.66938124422859</v>
      </c>
      <c r="W504" s="202">
        <f>X504+Y504+Z504+AA504+AB504+AD504+AF504+AH504+AJ504+AL504+AN504+AO504</f>
        <v>3211.90463605071</v>
      </c>
      <c r="X504" s="202">
        <v>0</v>
      </c>
      <c r="Y504" s="203">
        <v>0</v>
      </c>
      <c r="Z504" s="203">
        <v>0</v>
      </c>
      <c r="AA504" s="203">
        <v>0</v>
      </c>
      <c r="AB504" s="203">
        <v>0</v>
      </c>
      <c r="AC504" s="203">
        <v>0</v>
      </c>
      <c r="AD504" s="203">
        <v>0</v>
      </c>
      <c r="AE504" s="203">
        <v>613.20000000000005</v>
      </c>
      <c r="AF504" s="202">
        <f>6238.91*AE504/I504</f>
        <v>3211.90463605071</v>
      </c>
      <c r="AG504" s="203">
        <v>0</v>
      </c>
      <c r="AH504" s="202">
        <v>0</v>
      </c>
      <c r="AI504" s="203">
        <v>0</v>
      </c>
      <c r="AJ504" s="202">
        <v>0</v>
      </c>
      <c r="AK504" s="203">
        <v>0</v>
      </c>
      <c r="AL504" s="203">
        <v>0</v>
      </c>
      <c r="AM504" s="203">
        <v>0</v>
      </c>
      <c r="AN504" s="203"/>
      <c r="AO504" s="203">
        <v>0</v>
      </c>
    </row>
    <row r="505" spans="1:41" s="176" customFormat="1" ht="36" customHeight="1" x14ac:dyDescent="0.25">
      <c r="B505" s="172" t="s">
        <v>847</v>
      </c>
      <c r="C505" s="172"/>
      <c r="D505" s="173" t="s">
        <v>882</v>
      </c>
      <c r="E505" s="173" t="s">
        <v>882</v>
      </c>
      <c r="F505" s="173" t="s">
        <v>882</v>
      </c>
      <c r="G505" s="173" t="s">
        <v>882</v>
      </c>
      <c r="H505" s="173" t="s">
        <v>882</v>
      </c>
      <c r="I505" s="177">
        <f>SUM(I506:I507)</f>
        <v>1414.1</v>
      </c>
      <c r="J505" s="177">
        <f>SUM(J506:J507)</f>
        <v>1414.1</v>
      </c>
      <c r="K505" s="177">
        <f>SUM(K506:K507)</f>
        <v>1414.1</v>
      </c>
      <c r="L505" s="357">
        <f>SUM(L506:L507)</f>
        <v>84</v>
      </c>
      <c r="M505" s="173" t="s">
        <v>882</v>
      </c>
      <c r="N505" s="173" t="s">
        <v>882</v>
      </c>
      <c r="O505" s="175" t="s">
        <v>882</v>
      </c>
      <c r="P505" s="170">
        <v>2794020.73</v>
      </c>
      <c r="Q505" s="177">
        <f>SUM(Q506:Q507)</f>
        <v>0</v>
      </c>
      <c r="R505" s="177">
        <f>SUM(R506:R507)</f>
        <v>0</v>
      </c>
      <c r="S505" s="177">
        <f>SUM(S506:S507)</f>
        <v>2794020.73</v>
      </c>
      <c r="T505" s="170">
        <f t="shared" si="48"/>
        <v>1975.829665511633</v>
      </c>
      <c r="U505" s="170">
        <f>MAX(U506:U507)</f>
        <v>5616.1635354107648</v>
      </c>
      <c r="V505" s="202">
        <f t="shared" si="49"/>
        <v>3640.333869899132</v>
      </c>
      <c r="W505" s="202"/>
      <c r="X505" s="202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203"/>
      <c r="AL505" s="203"/>
      <c r="AM505" s="203"/>
      <c r="AN505" s="203"/>
      <c r="AO505" s="203"/>
    </row>
    <row r="506" spans="1:41" s="176" customFormat="1" ht="36" customHeight="1" x14ac:dyDescent="0.25">
      <c r="A506" s="176">
        <v>1</v>
      </c>
      <c r="B506" s="171">
        <f>SUBTOTAL(103,$A$16:A506)</f>
        <v>436</v>
      </c>
      <c r="C506" s="172" t="s">
        <v>92</v>
      </c>
      <c r="D506" s="173">
        <v>1979</v>
      </c>
      <c r="E506" s="173"/>
      <c r="F506" s="174" t="s">
        <v>267</v>
      </c>
      <c r="G506" s="173">
        <v>2</v>
      </c>
      <c r="H506" s="173" t="s">
        <v>303</v>
      </c>
      <c r="I506" s="170">
        <v>706</v>
      </c>
      <c r="J506" s="170">
        <v>706</v>
      </c>
      <c r="K506" s="170">
        <v>706</v>
      </c>
      <c r="L506" s="206">
        <v>42</v>
      </c>
      <c r="M506" s="173" t="s">
        <v>265</v>
      </c>
      <c r="N506" s="173" t="s">
        <v>269</v>
      </c>
      <c r="O506" s="175" t="s">
        <v>985</v>
      </c>
      <c r="P506" s="170">
        <v>2718963.56</v>
      </c>
      <c r="Q506" s="170">
        <v>0</v>
      </c>
      <c r="R506" s="170">
        <v>0</v>
      </c>
      <c r="S506" s="170">
        <f>P506-Q506-R506</f>
        <v>2718963.56</v>
      </c>
      <c r="T506" s="170">
        <f t="shared" si="48"/>
        <v>3851.2231728045326</v>
      </c>
      <c r="U506" s="170">
        <v>5616.1635354107648</v>
      </c>
      <c r="V506" s="202">
        <f>U506-T506</f>
        <v>1764.9403626062322</v>
      </c>
      <c r="W506" s="202">
        <f>X506+Y506+Z506+AA506+AB506+AD506+AF506+AH506+AJ506+AL506+AN506+AO506</f>
        <v>5384.1970039660055</v>
      </c>
      <c r="X506" s="202">
        <v>0</v>
      </c>
      <c r="Y506" s="203">
        <v>0</v>
      </c>
      <c r="Z506" s="203">
        <v>0</v>
      </c>
      <c r="AA506" s="203">
        <v>0</v>
      </c>
      <c r="AB506" s="203">
        <v>0</v>
      </c>
      <c r="AC506" s="203">
        <v>0</v>
      </c>
      <c r="AD506" s="203">
        <v>0</v>
      </c>
      <c r="AE506" s="203">
        <v>609.28</v>
      </c>
      <c r="AF506" s="202">
        <f>6238.91*AE506/I506</f>
        <v>5384.1970039660055</v>
      </c>
      <c r="AG506" s="203">
        <v>0</v>
      </c>
      <c r="AH506" s="202">
        <v>0</v>
      </c>
      <c r="AI506" s="203">
        <v>0</v>
      </c>
      <c r="AJ506" s="202">
        <v>0</v>
      </c>
      <c r="AK506" s="203">
        <v>0</v>
      </c>
      <c r="AL506" s="203">
        <v>0</v>
      </c>
      <c r="AM506" s="203">
        <v>0</v>
      </c>
      <c r="AN506" s="203"/>
      <c r="AO506" s="203">
        <v>0</v>
      </c>
    </row>
    <row r="507" spans="1:41" s="176" customFormat="1" ht="36" customHeight="1" x14ac:dyDescent="0.25">
      <c r="A507" s="176">
        <v>1</v>
      </c>
      <c r="B507" s="171">
        <f>SUBTOTAL(103,$A$16:A507)</f>
        <v>437</v>
      </c>
      <c r="C507" s="172" t="s">
        <v>97</v>
      </c>
      <c r="D507" s="173">
        <v>1969</v>
      </c>
      <c r="E507" s="173"/>
      <c r="F507" s="174" t="s">
        <v>267</v>
      </c>
      <c r="G507" s="173">
        <v>2</v>
      </c>
      <c r="H507" s="173" t="s">
        <v>303</v>
      </c>
      <c r="I507" s="170">
        <v>708.1</v>
      </c>
      <c r="J507" s="170">
        <v>708.1</v>
      </c>
      <c r="K507" s="170">
        <v>708.1</v>
      </c>
      <c r="L507" s="206">
        <v>42</v>
      </c>
      <c r="M507" s="173" t="s">
        <v>265</v>
      </c>
      <c r="N507" s="173" t="s">
        <v>269</v>
      </c>
      <c r="O507" s="175" t="s">
        <v>985</v>
      </c>
      <c r="P507" s="170">
        <v>75057.17</v>
      </c>
      <c r="Q507" s="170">
        <v>0</v>
      </c>
      <c r="R507" s="170">
        <v>0</v>
      </c>
      <c r="S507" s="170">
        <f>P507-Q507-R507</f>
        <v>75057.17</v>
      </c>
      <c r="T507" s="170">
        <f t="shared" si="48"/>
        <v>105.99798051122723</v>
      </c>
      <c r="U507" s="170">
        <v>105.99798051122723</v>
      </c>
      <c r="V507" s="202">
        <f>U507-T507</f>
        <v>0</v>
      </c>
      <c r="W507" s="202">
        <f>X507+Y507+Z507+AA507+AB507+AD507+AF507+AH507+AJ507+AL507+AN507+AO507</f>
        <v>5368.229183448665</v>
      </c>
      <c r="X507" s="202">
        <v>0</v>
      </c>
      <c r="Y507" s="203">
        <v>0</v>
      </c>
      <c r="Z507" s="203">
        <v>0</v>
      </c>
      <c r="AA507" s="203">
        <v>0</v>
      </c>
      <c r="AB507" s="203">
        <v>0</v>
      </c>
      <c r="AC507" s="203">
        <v>0</v>
      </c>
      <c r="AD507" s="203">
        <v>0</v>
      </c>
      <c r="AE507" s="203">
        <v>609.28</v>
      </c>
      <c r="AF507" s="202">
        <f>6238.91*AE507/I507</f>
        <v>5368.229183448665</v>
      </c>
      <c r="AG507" s="203">
        <v>0</v>
      </c>
      <c r="AH507" s="202">
        <v>0</v>
      </c>
      <c r="AI507" s="203">
        <v>0</v>
      </c>
      <c r="AJ507" s="202">
        <v>0</v>
      </c>
      <c r="AK507" s="203">
        <v>0</v>
      </c>
      <c r="AL507" s="203">
        <v>0</v>
      </c>
      <c r="AM507" s="203">
        <v>0</v>
      </c>
      <c r="AN507" s="203"/>
      <c r="AO507" s="203">
        <v>0</v>
      </c>
    </row>
    <row r="508" spans="1:41" s="176" customFormat="1" ht="36" customHeight="1" x14ac:dyDescent="0.25">
      <c r="B508" s="172" t="s">
        <v>848</v>
      </c>
      <c r="C508" s="172"/>
      <c r="D508" s="173" t="s">
        <v>882</v>
      </c>
      <c r="E508" s="173" t="s">
        <v>882</v>
      </c>
      <c r="F508" s="173" t="s">
        <v>882</v>
      </c>
      <c r="G508" s="173" t="s">
        <v>882</v>
      </c>
      <c r="H508" s="173" t="s">
        <v>882</v>
      </c>
      <c r="I508" s="177">
        <f>SUM(I509:I510)</f>
        <v>2762.9</v>
      </c>
      <c r="J508" s="177">
        <f>SUM(J509:J510)</f>
        <v>2645</v>
      </c>
      <c r="K508" s="177">
        <f>SUM(K509:K510)</f>
        <v>2645</v>
      </c>
      <c r="L508" s="357">
        <f>SUM(L509:L510)</f>
        <v>125</v>
      </c>
      <c r="M508" s="173" t="s">
        <v>882</v>
      </c>
      <c r="N508" s="173" t="s">
        <v>882</v>
      </c>
      <c r="O508" s="175" t="s">
        <v>882</v>
      </c>
      <c r="P508" s="177">
        <v>4868704.13</v>
      </c>
      <c r="Q508" s="177">
        <f>SUM(Q509:Q510)</f>
        <v>0</v>
      </c>
      <c r="R508" s="177">
        <f>SUM(R509:R510)</f>
        <v>0</v>
      </c>
      <c r="S508" s="177">
        <f>SUM(S509:S510)</f>
        <v>4868704.13</v>
      </c>
      <c r="T508" s="170">
        <f t="shared" si="48"/>
        <v>1762.171678309023</v>
      </c>
      <c r="U508" s="170">
        <f>MAX(U509:U510)</f>
        <v>3525.2747256036714</v>
      </c>
      <c r="V508" s="202">
        <f t="shared" si="49"/>
        <v>1763.1030472946484</v>
      </c>
      <c r="W508" s="202"/>
      <c r="X508" s="202"/>
      <c r="Y508" s="203"/>
      <c r="Z508" s="203"/>
      <c r="AA508" s="203"/>
      <c r="AB508" s="203"/>
      <c r="AC508" s="203"/>
      <c r="AD508" s="203"/>
      <c r="AE508" s="203"/>
      <c r="AF508" s="203"/>
      <c r="AG508" s="203"/>
      <c r="AH508" s="203"/>
      <c r="AI508" s="203"/>
      <c r="AJ508" s="203"/>
      <c r="AK508" s="203"/>
      <c r="AL508" s="203"/>
      <c r="AM508" s="203"/>
      <c r="AN508" s="203"/>
      <c r="AO508" s="203"/>
    </row>
    <row r="509" spans="1:41" s="176" customFormat="1" ht="36" customHeight="1" x14ac:dyDescent="0.25">
      <c r="A509" s="176">
        <v>1</v>
      </c>
      <c r="B509" s="171">
        <f>SUBTOTAL(103,$A$16:A509)</f>
        <v>438</v>
      </c>
      <c r="C509" s="172" t="s">
        <v>93</v>
      </c>
      <c r="D509" s="173">
        <v>1980</v>
      </c>
      <c r="E509" s="173"/>
      <c r="F509" s="174" t="s">
        <v>267</v>
      </c>
      <c r="G509" s="173" t="s">
        <v>312</v>
      </c>
      <c r="H509" s="173" t="s">
        <v>312</v>
      </c>
      <c r="I509" s="170">
        <v>2004.4</v>
      </c>
      <c r="J509" s="170">
        <v>1886.5</v>
      </c>
      <c r="K509" s="170">
        <v>1886.5</v>
      </c>
      <c r="L509" s="206">
        <v>94</v>
      </c>
      <c r="M509" s="173" t="s">
        <v>265</v>
      </c>
      <c r="N509" s="173" t="s">
        <v>269</v>
      </c>
      <c r="O509" s="175" t="s">
        <v>280</v>
      </c>
      <c r="P509" s="170">
        <v>4831403.93</v>
      </c>
      <c r="Q509" s="170">
        <v>0</v>
      </c>
      <c r="R509" s="170">
        <v>0</v>
      </c>
      <c r="S509" s="170">
        <f>P509-Q509-R509</f>
        <v>4831403.93</v>
      </c>
      <c r="T509" s="170">
        <f t="shared" si="48"/>
        <v>2410.3990870085809</v>
      </c>
      <c r="U509" s="170">
        <v>3525.2747256036714</v>
      </c>
      <c r="V509" s="202">
        <f t="shared" si="49"/>
        <v>1114.8756385950905</v>
      </c>
      <c r="W509" s="202">
        <f>X509+Y509+Z509+AA509+AB509+AD509+AF509+AH509+AJ509+AL509+AN509+AO509</f>
        <v>3557.7101027738972</v>
      </c>
      <c r="X509" s="202">
        <v>0</v>
      </c>
      <c r="Y509" s="203">
        <v>0</v>
      </c>
      <c r="Z509" s="203">
        <v>0</v>
      </c>
      <c r="AA509" s="203">
        <v>0</v>
      </c>
      <c r="AB509" s="203">
        <v>0</v>
      </c>
      <c r="AC509" s="203">
        <v>0</v>
      </c>
      <c r="AD509" s="203">
        <v>0</v>
      </c>
      <c r="AE509" s="203">
        <v>1143</v>
      </c>
      <c r="AF509" s="202">
        <f>6238.91*AE509/I509</f>
        <v>3557.7101027738972</v>
      </c>
      <c r="AG509" s="203">
        <v>0</v>
      </c>
      <c r="AH509" s="202">
        <v>0</v>
      </c>
      <c r="AI509" s="203">
        <v>0</v>
      </c>
      <c r="AJ509" s="202">
        <v>0</v>
      </c>
      <c r="AK509" s="203">
        <v>0</v>
      </c>
      <c r="AL509" s="203">
        <v>0</v>
      </c>
      <c r="AM509" s="203">
        <v>0</v>
      </c>
      <c r="AN509" s="203"/>
      <c r="AO509" s="203">
        <v>0</v>
      </c>
    </row>
    <row r="510" spans="1:41" s="176" customFormat="1" ht="36" customHeight="1" x14ac:dyDescent="0.25">
      <c r="A510" s="176">
        <v>1</v>
      </c>
      <c r="B510" s="171">
        <f>SUBTOTAL(103,$A$16:A510)</f>
        <v>439</v>
      </c>
      <c r="C510" s="172" t="s">
        <v>1597</v>
      </c>
      <c r="D510" s="173">
        <v>1974</v>
      </c>
      <c r="E510" s="173"/>
      <c r="F510" s="174" t="s">
        <v>1332</v>
      </c>
      <c r="G510" s="173">
        <v>2</v>
      </c>
      <c r="H510" s="173" t="s">
        <v>312</v>
      </c>
      <c r="I510" s="177">
        <v>758.5</v>
      </c>
      <c r="J510" s="177">
        <v>758.5</v>
      </c>
      <c r="K510" s="177">
        <v>758.5</v>
      </c>
      <c r="L510" s="206">
        <v>31</v>
      </c>
      <c r="M510" s="173" t="s">
        <v>265</v>
      </c>
      <c r="N510" s="173" t="s">
        <v>266</v>
      </c>
      <c r="O510" s="175" t="s">
        <v>268</v>
      </c>
      <c r="P510" s="170">
        <v>37300.199999999997</v>
      </c>
      <c r="Q510" s="170">
        <v>0</v>
      </c>
      <c r="R510" s="170">
        <v>0</v>
      </c>
      <c r="S510" s="170">
        <f>P510-Q510-R510</f>
        <v>37300.199999999997</v>
      </c>
      <c r="T510" s="170">
        <f t="shared" si="48"/>
        <v>49.176268951878704</v>
      </c>
      <c r="U510" s="170">
        <v>49.176268951878704</v>
      </c>
      <c r="V510" s="202">
        <f t="shared" si="49"/>
        <v>0</v>
      </c>
      <c r="W510" s="202">
        <f>T510</f>
        <v>49.176268951878704</v>
      </c>
      <c r="X510" s="202">
        <v>0</v>
      </c>
      <c r="Y510" s="203">
        <v>0</v>
      </c>
      <c r="Z510" s="203">
        <v>0</v>
      </c>
      <c r="AA510" s="203">
        <v>184.98</v>
      </c>
      <c r="AB510" s="203">
        <v>0</v>
      </c>
      <c r="AC510" s="203">
        <v>0</v>
      </c>
      <c r="AD510" s="203">
        <v>0</v>
      </c>
      <c r="AE510" s="203">
        <v>0</v>
      </c>
      <c r="AF510" s="202">
        <v>0</v>
      </c>
      <c r="AG510" s="203">
        <v>0</v>
      </c>
      <c r="AH510" s="202">
        <v>0</v>
      </c>
      <c r="AI510" s="203">
        <v>0</v>
      </c>
      <c r="AJ510" s="202">
        <v>0</v>
      </c>
      <c r="AK510" s="203">
        <v>0</v>
      </c>
      <c r="AL510" s="203">
        <v>0</v>
      </c>
      <c r="AM510" s="203">
        <v>0</v>
      </c>
      <c r="AN510" s="203"/>
      <c r="AO510" s="203">
        <v>0</v>
      </c>
    </row>
    <row r="511" spans="1:41" s="176" customFormat="1" ht="36" customHeight="1" x14ac:dyDescent="0.25">
      <c r="B511" s="172" t="s">
        <v>849</v>
      </c>
      <c r="C511" s="172"/>
      <c r="D511" s="173" t="s">
        <v>882</v>
      </c>
      <c r="E511" s="173" t="s">
        <v>882</v>
      </c>
      <c r="F511" s="173" t="s">
        <v>882</v>
      </c>
      <c r="G511" s="173" t="s">
        <v>882</v>
      </c>
      <c r="H511" s="173" t="s">
        <v>882</v>
      </c>
      <c r="I511" s="177">
        <f>I512</f>
        <v>702.7</v>
      </c>
      <c r="J511" s="177">
        <f>J512</f>
        <v>702.7</v>
      </c>
      <c r="K511" s="177">
        <f>K512</f>
        <v>702.7</v>
      </c>
      <c r="L511" s="357">
        <f>L512</f>
        <v>16</v>
      </c>
      <c r="M511" s="173" t="s">
        <v>882</v>
      </c>
      <c r="N511" s="173" t="s">
        <v>882</v>
      </c>
      <c r="O511" s="175" t="s">
        <v>882</v>
      </c>
      <c r="P511" s="170">
        <v>2570556.2200000002</v>
      </c>
      <c r="Q511" s="170">
        <f>Q512</f>
        <v>0</v>
      </c>
      <c r="R511" s="170">
        <f>R512</f>
        <v>0</v>
      </c>
      <c r="S511" s="170">
        <f>S512</f>
        <v>2570556.2200000002</v>
      </c>
      <c r="T511" s="170">
        <f t="shared" si="48"/>
        <v>3658.1133058204073</v>
      </c>
      <c r="U511" s="170">
        <f>MAX(U512)</f>
        <v>6433.6120535078981</v>
      </c>
      <c r="V511" s="202">
        <f t="shared" si="49"/>
        <v>2775.4987476874908</v>
      </c>
      <c r="W511" s="202"/>
      <c r="X511" s="202"/>
      <c r="Y511" s="203"/>
      <c r="Z511" s="203"/>
      <c r="AA511" s="203"/>
      <c r="AB511" s="203"/>
      <c r="AC511" s="203"/>
      <c r="AD511" s="203"/>
      <c r="AE511" s="203"/>
      <c r="AF511" s="203"/>
      <c r="AG511" s="203"/>
      <c r="AH511" s="203"/>
      <c r="AI511" s="203"/>
      <c r="AJ511" s="203"/>
      <c r="AK511" s="203"/>
      <c r="AL511" s="203"/>
      <c r="AM511" s="203"/>
      <c r="AN511" s="203"/>
      <c r="AO511" s="203"/>
    </row>
    <row r="512" spans="1:41" s="176" customFormat="1" ht="36" customHeight="1" x14ac:dyDescent="0.25">
      <c r="A512" s="176">
        <v>1</v>
      </c>
      <c r="B512" s="171">
        <f>SUBTOTAL(103,$A$16:A512)</f>
        <v>440</v>
      </c>
      <c r="C512" s="172" t="s">
        <v>94</v>
      </c>
      <c r="D512" s="173">
        <v>1969</v>
      </c>
      <c r="E512" s="173"/>
      <c r="F512" s="174" t="s">
        <v>267</v>
      </c>
      <c r="G512" s="173">
        <v>2</v>
      </c>
      <c r="H512" s="173" t="s">
        <v>303</v>
      </c>
      <c r="I512" s="170">
        <v>702.7</v>
      </c>
      <c r="J512" s="170">
        <v>702.7</v>
      </c>
      <c r="K512" s="170">
        <v>702.7</v>
      </c>
      <c r="L512" s="206">
        <v>16</v>
      </c>
      <c r="M512" s="173" t="s">
        <v>265</v>
      </c>
      <c r="N512" s="173" t="s">
        <v>269</v>
      </c>
      <c r="O512" s="175" t="s">
        <v>282</v>
      </c>
      <c r="P512" s="170">
        <v>2570556.2200000002</v>
      </c>
      <c r="Q512" s="170">
        <v>0</v>
      </c>
      <c r="R512" s="170">
        <v>0</v>
      </c>
      <c r="S512" s="170">
        <f>P512-Q512-R512</f>
        <v>2570556.2200000002</v>
      </c>
      <c r="T512" s="170">
        <f t="shared" si="48"/>
        <v>3658.1133058204073</v>
      </c>
      <c r="U512" s="170">
        <v>6433.6120535078981</v>
      </c>
      <c r="V512" s="202">
        <f>U512-T512</f>
        <v>2775.4987476874908</v>
      </c>
      <c r="W512" s="202">
        <f>X512+Y512+Z512+AA512+AB512+AD512+AF512+AH512+AJ512+AL512+AN512+AO512</f>
        <v>6167.8821360466764</v>
      </c>
      <c r="X512" s="202">
        <v>0</v>
      </c>
      <c r="Y512" s="203">
        <v>0</v>
      </c>
      <c r="Z512" s="203">
        <v>0</v>
      </c>
      <c r="AA512" s="203">
        <v>0</v>
      </c>
      <c r="AB512" s="203">
        <v>0</v>
      </c>
      <c r="AC512" s="203">
        <v>0</v>
      </c>
      <c r="AD512" s="203">
        <v>0</v>
      </c>
      <c r="AE512" s="203">
        <v>694.7</v>
      </c>
      <c r="AF512" s="202">
        <f>6238.91*AE512/I512</f>
        <v>6167.8821360466764</v>
      </c>
      <c r="AG512" s="203">
        <v>0</v>
      </c>
      <c r="AH512" s="202">
        <v>0</v>
      </c>
      <c r="AI512" s="203">
        <v>0</v>
      </c>
      <c r="AJ512" s="202">
        <v>0</v>
      </c>
      <c r="AK512" s="203">
        <v>0</v>
      </c>
      <c r="AL512" s="203">
        <v>0</v>
      </c>
      <c r="AM512" s="203">
        <v>0</v>
      </c>
      <c r="AN512" s="203"/>
      <c r="AO512" s="203">
        <v>0</v>
      </c>
    </row>
    <row r="513" spans="1:41" s="176" customFormat="1" ht="36" customHeight="1" x14ac:dyDescent="0.25">
      <c r="B513" s="172" t="s">
        <v>1255</v>
      </c>
      <c r="C513" s="172"/>
      <c r="D513" s="173" t="s">
        <v>882</v>
      </c>
      <c r="E513" s="173" t="s">
        <v>882</v>
      </c>
      <c r="F513" s="173" t="s">
        <v>882</v>
      </c>
      <c r="G513" s="173" t="s">
        <v>882</v>
      </c>
      <c r="H513" s="173" t="s">
        <v>882</v>
      </c>
      <c r="I513" s="177">
        <f>SUM(I514:I515)</f>
        <v>1625.9</v>
      </c>
      <c r="J513" s="177">
        <f>SUM(J514:J515)</f>
        <v>1564.5</v>
      </c>
      <c r="K513" s="177">
        <f>SUM(K514:K515)</f>
        <v>1564.5</v>
      </c>
      <c r="L513" s="357">
        <f>SUM(L514:L515)</f>
        <v>63</v>
      </c>
      <c r="M513" s="173" t="s">
        <v>882</v>
      </c>
      <c r="N513" s="173" t="s">
        <v>882</v>
      </c>
      <c r="O513" s="175" t="s">
        <v>882</v>
      </c>
      <c r="P513" s="170">
        <v>1181101.6800000002</v>
      </c>
      <c r="Q513" s="177">
        <f>SUM(Q514:Q515)</f>
        <v>0</v>
      </c>
      <c r="R513" s="177">
        <f>SUM(R514:R515)</f>
        <v>0</v>
      </c>
      <c r="S513" s="177">
        <f>SUM(S514:S515)</f>
        <v>1181101.6800000002</v>
      </c>
      <c r="T513" s="170">
        <f t="shared" si="48"/>
        <v>726.42947290731297</v>
      </c>
      <c r="U513" s="170">
        <f>MAX(U514:U515)</f>
        <v>4255.1000000000004</v>
      </c>
      <c r="V513" s="202">
        <f t="shared" si="49"/>
        <v>3528.6705270926873</v>
      </c>
      <c r="W513" s="202"/>
      <c r="X513" s="202"/>
      <c r="Y513" s="203"/>
      <c r="Z513" s="203"/>
      <c r="AA513" s="203"/>
      <c r="AB513" s="203"/>
      <c r="AC513" s="203"/>
      <c r="AD513" s="203"/>
      <c r="AE513" s="203"/>
      <c r="AF513" s="203"/>
      <c r="AG513" s="203"/>
      <c r="AH513" s="203"/>
      <c r="AI513" s="203"/>
      <c r="AJ513" s="203"/>
      <c r="AK513" s="203"/>
      <c r="AL513" s="203"/>
      <c r="AM513" s="203"/>
      <c r="AN513" s="203"/>
      <c r="AO513" s="203"/>
    </row>
    <row r="514" spans="1:41" s="176" customFormat="1" ht="36" customHeight="1" x14ac:dyDescent="0.25">
      <c r="A514" s="176">
        <v>1</v>
      </c>
      <c r="B514" s="171">
        <f>SUBTOTAL(103,$A$16:A514)</f>
        <v>441</v>
      </c>
      <c r="C514" s="172" t="s">
        <v>1256</v>
      </c>
      <c r="D514" s="173">
        <v>1981</v>
      </c>
      <c r="E514" s="173"/>
      <c r="F514" s="174" t="s">
        <v>336</v>
      </c>
      <c r="G514" s="173">
        <v>2</v>
      </c>
      <c r="H514" s="173" t="s">
        <v>312</v>
      </c>
      <c r="I514" s="170">
        <v>837.6</v>
      </c>
      <c r="J514" s="170">
        <v>837.6</v>
      </c>
      <c r="K514" s="170">
        <v>837.6</v>
      </c>
      <c r="L514" s="206">
        <v>47</v>
      </c>
      <c r="M514" s="173" t="s">
        <v>265</v>
      </c>
      <c r="N514" s="173" t="s">
        <v>269</v>
      </c>
      <c r="O514" s="175" t="s">
        <v>1287</v>
      </c>
      <c r="P514" s="170">
        <v>1104118.9700000002</v>
      </c>
      <c r="Q514" s="170">
        <v>0</v>
      </c>
      <c r="R514" s="170">
        <v>0</v>
      </c>
      <c r="S514" s="170">
        <f>P514-Q514-R514</f>
        <v>1104118.9700000002</v>
      </c>
      <c r="T514" s="170">
        <f t="shared" si="48"/>
        <v>1318.193612702961</v>
      </c>
      <c r="U514" s="170">
        <v>4255.1000000000004</v>
      </c>
      <c r="V514" s="202">
        <f>U514-T514</f>
        <v>2936.9063872970391</v>
      </c>
      <c r="W514" s="202">
        <f>X514+Y514+Z514+AA514+AB514+AD514+AF514+AH514+AJ514+AL514+AN514+AO514</f>
        <v>4239.95</v>
      </c>
      <c r="X514" s="202">
        <v>0</v>
      </c>
      <c r="Y514" s="203">
        <v>0</v>
      </c>
      <c r="Z514" s="203">
        <v>3259.66</v>
      </c>
      <c r="AA514" s="203">
        <v>184.98</v>
      </c>
      <c r="AB514" s="203">
        <v>795.31</v>
      </c>
      <c r="AC514" s="203">
        <v>0</v>
      </c>
      <c r="AD514" s="203">
        <v>0</v>
      </c>
      <c r="AE514" s="203">
        <v>0</v>
      </c>
      <c r="AF514" s="202">
        <v>0</v>
      </c>
      <c r="AG514" s="203">
        <v>0</v>
      </c>
      <c r="AH514" s="202">
        <v>0</v>
      </c>
      <c r="AI514" s="203">
        <v>0</v>
      </c>
      <c r="AJ514" s="202">
        <v>0</v>
      </c>
      <c r="AK514" s="203">
        <v>0</v>
      </c>
      <c r="AL514" s="203">
        <v>0</v>
      </c>
      <c r="AM514" s="203">
        <v>0</v>
      </c>
      <c r="AN514" s="203"/>
      <c r="AO514" s="203">
        <v>0</v>
      </c>
    </row>
    <row r="515" spans="1:41" s="176" customFormat="1" ht="36" customHeight="1" x14ac:dyDescent="0.25">
      <c r="A515" s="176">
        <v>1</v>
      </c>
      <c r="B515" s="171">
        <f>SUBTOTAL(103,$A$16:A515)</f>
        <v>442</v>
      </c>
      <c r="C515" s="172" t="s">
        <v>98</v>
      </c>
      <c r="D515" s="173">
        <v>1972</v>
      </c>
      <c r="E515" s="173"/>
      <c r="F515" s="174" t="s">
        <v>267</v>
      </c>
      <c r="G515" s="173">
        <v>2</v>
      </c>
      <c r="H515" s="173" t="s">
        <v>303</v>
      </c>
      <c r="I515" s="170">
        <v>788.3</v>
      </c>
      <c r="J515" s="170">
        <v>726.9</v>
      </c>
      <c r="K515" s="170">
        <v>726.9</v>
      </c>
      <c r="L515" s="206">
        <v>16</v>
      </c>
      <c r="M515" s="173" t="s">
        <v>265</v>
      </c>
      <c r="N515" s="173" t="s">
        <v>283</v>
      </c>
      <c r="O515" s="175" t="s">
        <v>268</v>
      </c>
      <c r="P515" s="170">
        <v>76982.710000000006</v>
      </c>
      <c r="Q515" s="170">
        <v>0</v>
      </c>
      <c r="R515" s="170">
        <v>0</v>
      </c>
      <c r="S515" s="170">
        <f>P515-Q515-R515</f>
        <v>76982.710000000006</v>
      </c>
      <c r="T515" s="170">
        <f t="shared" si="48"/>
        <v>97.656615501712565</v>
      </c>
      <c r="U515" s="170">
        <v>97.656615501712565</v>
      </c>
      <c r="V515" s="202">
        <f>U515-T515</f>
        <v>0</v>
      </c>
      <c r="W515" s="202">
        <f>X515+Y515+Z515+AA515+AB515+AD515+AF515+AH515+AJ515+AL515+AN515+AO515</f>
        <v>4239.95</v>
      </c>
      <c r="X515" s="202">
        <v>0</v>
      </c>
      <c r="Y515" s="203">
        <v>0</v>
      </c>
      <c r="Z515" s="203">
        <v>3259.66</v>
      </c>
      <c r="AA515" s="203">
        <v>184.98</v>
      </c>
      <c r="AB515" s="203">
        <v>795.31</v>
      </c>
      <c r="AC515" s="203">
        <v>0</v>
      </c>
      <c r="AD515" s="203">
        <v>0</v>
      </c>
      <c r="AE515" s="203">
        <v>0</v>
      </c>
      <c r="AF515" s="202">
        <v>0</v>
      </c>
      <c r="AG515" s="203">
        <v>0</v>
      </c>
      <c r="AH515" s="202">
        <v>0</v>
      </c>
      <c r="AI515" s="203">
        <v>0</v>
      </c>
      <c r="AJ515" s="202">
        <v>0</v>
      </c>
      <c r="AK515" s="203">
        <v>0</v>
      </c>
      <c r="AL515" s="203">
        <v>0</v>
      </c>
      <c r="AM515" s="203">
        <v>0</v>
      </c>
      <c r="AN515" s="203"/>
      <c r="AO515" s="203">
        <v>0</v>
      </c>
    </row>
    <row r="516" spans="1:41" s="176" customFormat="1" ht="36" customHeight="1" x14ac:dyDescent="0.25">
      <c r="B516" s="172" t="s">
        <v>850</v>
      </c>
      <c r="C516" s="359"/>
      <c r="D516" s="173" t="s">
        <v>882</v>
      </c>
      <c r="E516" s="173" t="s">
        <v>882</v>
      </c>
      <c r="F516" s="173" t="s">
        <v>882</v>
      </c>
      <c r="G516" s="173" t="s">
        <v>882</v>
      </c>
      <c r="H516" s="173" t="s">
        <v>882</v>
      </c>
      <c r="I516" s="177">
        <f>SUM(I517:I521)</f>
        <v>2462.8000000000002</v>
      </c>
      <c r="J516" s="177">
        <f>SUM(J517:J521)</f>
        <v>2411.3999999999996</v>
      </c>
      <c r="K516" s="177">
        <f>SUM(K517:K521)</f>
        <v>2411.3999999999996</v>
      </c>
      <c r="L516" s="357">
        <f>SUM(L517:L521)</f>
        <v>120</v>
      </c>
      <c r="M516" s="173" t="s">
        <v>882</v>
      </c>
      <c r="N516" s="173" t="s">
        <v>882</v>
      </c>
      <c r="O516" s="175" t="s">
        <v>882</v>
      </c>
      <c r="P516" s="170">
        <v>5058199.54</v>
      </c>
      <c r="Q516" s="170">
        <f>SUM(Q517:Q521)</f>
        <v>0</v>
      </c>
      <c r="R516" s="170">
        <f>SUM(R517:R521)</f>
        <v>0</v>
      </c>
      <c r="S516" s="170">
        <f>SUM(S517:S521)</f>
        <v>5058199.54</v>
      </c>
      <c r="T516" s="170">
        <f t="shared" si="48"/>
        <v>2053.8409696280655</v>
      </c>
      <c r="U516" s="170">
        <f>MAX(U517:U521)</f>
        <v>6563.5952702702707</v>
      </c>
      <c r="V516" s="202">
        <f t="shared" si="49"/>
        <v>4509.7543006422056</v>
      </c>
      <c r="W516" s="202"/>
      <c r="X516" s="202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  <c r="AJ516" s="203"/>
      <c r="AK516" s="203"/>
      <c r="AL516" s="203"/>
      <c r="AM516" s="203"/>
      <c r="AN516" s="203"/>
      <c r="AO516" s="203"/>
    </row>
    <row r="517" spans="1:41" s="176" customFormat="1" ht="36" customHeight="1" x14ac:dyDescent="0.25">
      <c r="A517" s="176">
        <v>1</v>
      </c>
      <c r="B517" s="171">
        <f>SUBTOTAL(103,$A$16:A517)</f>
        <v>443</v>
      </c>
      <c r="C517" s="172" t="s">
        <v>184</v>
      </c>
      <c r="D517" s="173" t="s">
        <v>302</v>
      </c>
      <c r="E517" s="173"/>
      <c r="F517" s="174" t="s">
        <v>267</v>
      </c>
      <c r="G517" s="173" t="s">
        <v>303</v>
      </c>
      <c r="H517" s="173" t="s">
        <v>304</v>
      </c>
      <c r="I517" s="170">
        <v>259.5</v>
      </c>
      <c r="J517" s="170">
        <v>250.8</v>
      </c>
      <c r="K517" s="170">
        <v>250.8</v>
      </c>
      <c r="L517" s="206">
        <v>16</v>
      </c>
      <c r="M517" s="173" t="s">
        <v>265</v>
      </c>
      <c r="N517" s="173" t="s">
        <v>269</v>
      </c>
      <c r="O517" s="175" t="s">
        <v>986</v>
      </c>
      <c r="P517" s="170">
        <v>1255071.44</v>
      </c>
      <c r="Q517" s="170">
        <v>0</v>
      </c>
      <c r="R517" s="170">
        <v>0</v>
      </c>
      <c r="S517" s="170">
        <f>P517-Q517-R517</f>
        <v>1255071.44</v>
      </c>
      <c r="T517" s="170">
        <f t="shared" si="48"/>
        <v>4836.4988053949901</v>
      </c>
      <c r="U517" s="170">
        <v>4836.4988053949901</v>
      </c>
      <c r="V517" s="202">
        <f t="shared" si="49"/>
        <v>0</v>
      </c>
      <c r="W517" s="202">
        <f>X517+Y517+Z517+AA517+AB517+AD517+AF517+AH517+AJ517+AL517+AN517+AO517</f>
        <v>6135.5292177263964</v>
      </c>
      <c r="X517" s="202">
        <v>0</v>
      </c>
      <c r="Y517" s="203">
        <v>0</v>
      </c>
      <c r="Z517" s="203">
        <v>0</v>
      </c>
      <c r="AA517" s="203">
        <v>0</v>
      </c>
      <c r="AB517" s="203">
        <v>0</v>
      </c>
      <c r="AC517" s="203">
        <v>0</v>
      </c>
      <c r="AD517" s="203">
        <v>0</v>
      </c>
      <c r="AE517" s="203">
        <v>255.2</v>
      </c>
      <c r="AF517" s="202">
        <f>6238.91*AE517/I517</f>
        <v>6135.5292177263964</v>
      </c>
      <c r="AG517" s="203">
        <v>0</v>
      </c>
      <c r="AH517" s="202">
        <v>0</v>
      </c>
      <c r="AI517" s="203">
        <v>0</v>
      </c>
      <c r="AJ517" s="202">
        <v>0</v>
      </c>
      <c r="AK517" s="203">
        <v>0</v>
      </c>
      <c r="AL517" s="203">
        <v>0</v>
      </c>
      <c r="AM517" s="203">
        <v>0</v>
      </c>
      <c r="AN517" s="203"/>
      <c r="AO517" s="203">
        <v>0</v>
      </c>
    </row>
    <row r="518" spans="1:41" s="176" customFormat="1" ht="36" customHeight="1" x14ac:dyDescent="0.25">
      <c r="A518" s="176">
        <v>1</v>
      </c>
      <c r="B518" s="171">
        <f>SUBTOTAL(103,$A$16:A518)</f>
        <v>444</v>
      </c>
      <c r="C518" s="172" t="s">
        <v>183</v>
      </c>
      <c r="D518" s="173" t="s">
        <v>302</v>
      </c>
      <c r="E518" s="173"/>
      <c r="F518" s="174" t="s">
        <v>267</v>
      </c>
      <c r="G518" s="173" t="s">
        <v>303</v>
      </c>
      <c r="H518" s="173" t="s">
        <v>304</v>
      </c>
      <c r="I518" s="170">
        <v>365</v>
      </c>
      <c r="J518" s="170">
        <v>328</v>
      </c>
      <c r="K518" s="170">
        <v>328</v>
      </c>
      <c r="L518" s="206">
        <v>21</v>
      </c>
      <c r="M518" s="173" t="s">
        <v>265</v>
      </c>
      <c r="N518" s="173" t="s">
        <v>266</v>
      </c>
      <c r="O518" s="175" t="s">
        <v>268</v>
      </c>
      <c r="P518" s="170">
        <v>68497.22</v>
      </c>
      <c r="Q518" s="170">
        <v>0</v>
      </c>
      <c r="R518" s="170">
        <v>0</v>
      </c>
      <c r="S518" s="170">
        <f>P518-Q518-R518</f>
        <v>68497.22</v>
      </c>
      <c r="T518" s="170">
        <f t="shared" si="48"/>
        <v>187.66361643835617</v>
      </c>
      <c r="U518" s="170">
        <v>187.66361643835617</v>
      </c>
      <c r="V518" s="202">
        <f t="shared" si="49"/>
        <v>0</v>
      </c>
      <c r="W518" s="202">
        <f>T518</f>
        <v>187.66361643835617</v>
      </c>
      <c r="X518" s="202">
        <v>0</v>
      </c>
      <c r="Y518" s="203">
        <v>0</v>
      </c>
      <c r="Z518" s="203">
        <v>0</v>
      </c>
      <c r="AA518" s="203">
        <v>0</v>
      </c>
      <c r="AB518" s="203">
        <v>0</v>
      </c>
      <c r="AC518" s="203">
        <v>0</v>
      </c>
      <c r="AD518" s="203">
        <v>0</v>
      </c>
      <c r="AE518" s="203">
        <v>0</v>
      </c>
      <c r="AF518" s="202">
        <v>0</v>
      </c>
      <c r="AG518" s="203">
        <v>0</v>
      </c>
      <c r="AH518" s="202">
        <v>0</v>
      </c>
      <c r="AI518" s="203">
        <v>0</v>
      </c>
      <c r="AJ518" s="202">
        <v>0</v>
      </c>
      <c r="AK518" s="203">
        <v>0</v>
      </c>
      <c r="AL518" s="203">
        <v>0</v>
      </c>
      <c r="AM518" s="203">
        <v>0</v>
      </c>
      <c r="AN518" s="203"/>
      <c r="AO518" s="203">
        <v>0</v>
      </c>
    </row>
    <row r="519" spans="1:41" s="176" customFormat="1" ht="36" customHeight="1" x14ac:dyDescent="0.25">
      <c r="A519" s="176">
        <v>1</v>
      </c>
      <c r="B519" s="171">
        <f>SUBTOTAL(103,$A$16:A519)</f>
        <v>445</v>
      </c>
      <c r="C519" s="172" t="s">
        <v>1257</v>
      </c>
      <c r="D519" s="173">
        <v>1917</v>
      </c>
      <c r="E519" s="173"/>
      <c r="F519" s="174" t="s">
        <v>267</v>
      </c>
      <c r="G519" s="173">
        <v>2</v>
      </c>
      <c r="H519" s="173" t="s">
        <v>304</v>
      </c>
      <c r="I519" s="170">
        <v>436.6</v>
      </c>
      <c r="J519" s="170">
        <v>436.6</v>
      </c>
      <c r="K519" s="170">
        <v>436.6</v>
      </c>
      <c r="L519" s="206">
        <v>21</v>
      </c>
      <c r="M519" s="173" t="s">
        <v>265</v>
      </c>
      <c r="N519" s="173" t="s">
        <v>269</v>
      </c>
      <c r="O519" s="175" t="s">
        <v>1299</v>
      </c>
      <c r="P519" s="170">
        <v>1767372.2100000002</v>
      </c>
      <c r="Q519" s="170">
        <v>0</v>
      </c>
      <c r="R519" s="170">
        <v>0</v>
      </c>
      <c r="S519" s="170">
        <f>P519-Q519-R519</f>
        <v>1767372.2100000002</v>
      </c>
      <c r="T519" s="170">
        <f t="shared" si="48"/>
        <v>4048.0352954649566</v>
      </c>
      <c r="U519" s="170">
        <v>6563.5952702702707</v>
      </c>
      <c r="V519" s="202">
        <f t="shared" si="49"/>
        <v>2515.5599748053141</v>
      </c>
      <c r="W519" s="202">
        <f>X519+Y519+Z519+AA519+AB519+AD519+AF519+AH519+AJ519+AL519+AN519+AO519</f>
        <v>6250.3418094365543</v>
      </c>
      <c r="X519" s="202">
        <v>0</v>
      </c>
      <c r="Y519" s="203">
        <v>0</v>
      </c>
      <c r="Z519" s="203">
        <v>0</v>
      </c>
      <c r="AA519" s="203">
        <v>0</v>
      </c>
      <c r="AB519" s="203">
        <v>0</v>
      </c>
      <c r="AC519" s="203">
        <v>0</v>
      </c>
      <c r="AD519" s="203">
        <v>0</v>
      </c>
      <c r="AE519" s="203">
        <v>437.4</v>
      </c>
      <c r="AF519" s="202">
        <f>6238.91*AE519/I519</f>
        <v>6250.3418094365543</v>
      </c>
      <c r="AG519" s="203">
        <v>0</v>
      </c>
      <c r="AH519" s="202">
        <v>0</v>
      </c>
      <c r="AI519" s="203">
        <v>0</v>
      </c>
      <c r="AJ519" s="202">
        <v>0</v>
      </c>
      <c r="AK519" s="203">
        <v>0</v>
      </c>
      <c r="AL519" s="203">
        <v>0</v>
      </c>
      <c r="AM519" s="203">
        <v>0</v>
      </c>
      <c r="AN519" s="203"/>
      <c r="AO519" s="203">
        <v>0</v>
      </c>
    </row>
    <row r="520" spans="1:41" s="176" customFormat="1" ht="36" customHeight="1" x14ac:dyDescent="0.25">
      <c r="A520" s="176">
        <v>1</v>
      </c>
      <c r="B520" s="171">
        <f>SUBTOTAL(103,$A$16:A520)</f>
        <v>446</v>
      </c>
      <c r="C520" s="172" t="s">
        <v>1258</v>
      </c>
      <c r="D520" s="173">
        <v>1917</v>
      </c>
      <c r="E520" s="173"/>
      <c r="F520" s="174" t="s">
        <v>267</v>
      </c>
      <c r="G520" s="173">
        <v>2</v>
      </c>
      <c r="H520" s="173" t="s">
        <v>304</v>
      </c>
      <c r="I520" s="170">
        <v>476.7</v>
      </c>
      <c r="J520" s="170">
        <v>476.7</v>
      </c>
      <c r="K520" s="170">
        <v>476.7</v>
      </c>
      <c r="L520" s="206">
        <v>28</v>
      </c>
      <c r="M520" s="173" t="s">
        <v>265</v>
      </c>
      <c r="N520" s="173" t="s">
        <v>269</v>
      </c>
      <c r="O520" s="175" t="s">
        <v>1337</v>
      </c>
      <c r="P520" s="170">
        <v>1327119.4200000002</v>
      </c>
      <c r="Q520" s="170">
        <v>0</v>
      </c>
      <c r="R520" s="170">
        <v>0</v>
      </c>
      <c r="S520" s="170">
        <f>P520-Q520-R520</f>
        <v>1327119.4200000002</v>
      </c>
      <c r="T520" s="170">
        <f t="shared" si="48"/>
        <v>2783.9719320327254</v>
      </c>
      <c r="U520" s="170">
        <v>5569.8376337319069</v>
      </c>
      <c r="V520" s="202">
        <f t="shared" si="49"/>
        <v>2785.8657016991815</v>
      </c>
      <c r="W520" s="202">
        <f>X520+Y520+Z520+AA520+AB520+AD520+AF520+AH520+AJ520+AL520+AN520+AO520</f>
        <v>5339.7845185651349</v>
      </c>
      <c r="X520" s="202">
        <v>0</v>
      </c>
      <c r="Y520" s="203">
        <v>0</v>
      </c>
      <c r="Z520" s="203">
        <v>0</v>
      </c>
      <c r="AA520" s="203">
        <v>0</v>
      </c>
      <c r="AB520" s="203">
        <v>0</v>
      </c>
      <c r="AC520" s="203">
        <v>0</v>
      </c>
      <c r="AD520" s="203">
        <v>0</v>
      </c>
      <c r="AE520" s="203">
        <v>408</v>
      </c>
      <c r="AF520" s="202">
        <f>6238.91*AE520/I520</f>
        <v>5339.7845185651349</v>
      </c>
      <c r="AG520" s="203">
        <v>0</v>
      </c>
      <c r="AH520" s="202">
        <v>0</v>
      </c>
      <c r="AI520" s="203">
        <v>0</v>
      </c>
      <c r="AJ520" s="202">
        <v>0</v>
      </c>
      <c r="AK520" s="203">
        <v>0</v>
      </c>
      <c r="AL520" s="203">
        <v>0</v>
      </c>
      <c r="AM520" s="203">
        <v>0</v>
      </c>
      <c r="AN520" s="203"/>
      <c r="AO520" s="203">
        <v>0</v>
      </c>
    </row>
    <row r="521" spans="1:41" s="176" customFormat="1" ht="36" customHeight="1" x14ac:dyDescent="0.25">
      <c r="A521" s="176">
        <v>1</v>
      </c>
      <c r="B521" s="171">
        <f>SUBTOTAL(103,$A$16:A521)</f>
        <v>447</v>
      </c>
      <c r="C521" s="172" t="s">
        <v>1259</v>
      </c>
      <c r="D521" s="173">
        <v>1967</v>
      </c>
      <c r="E521" s="173">
        <v>2014</v>
      </c>
      <c r="F521" s="174" t="s">
        <v>267</v>
      </c>
      <c r="G521" s="173">
        <v>2</v>
      </c>
      <c r="H521" s="173" t="s">
        <v>308</v>
      </c>
      <c r="I521" s="170">
        <v>925</v>
      </c>
      <c r="J521" s="170">
        <v>919.3</v>
      </c>
      <c r="K521" s="170">
        <v>919.3</v>
      </c>
      <c r="L521" s="206">
        <v>34</v>
      </c>
      <c r="M521" s="173" t="s">
        <v>265</v>
      </c>
      <c r="N521" s="173" t="s">
        <v>269</v>
      </c>
      <c r="O521" s="175" t="s">
        <v>1338</v>
      </c>
      <c r="P521" s="170">
        <v>640139.25</v>
      </c>
      <c r="Q521" s="170">
        <v>0</v>
      </c>
      <c r="R521" s="170">
        <v>0</v>
      </c>
      <c r="S521" s="170">
        <f>P521-Q521-R521</f>
        <v>640139.25</v>
      </c>
      <c r="T521" s="170">
        <f t="shared" si="48"/>
        <v>692.04243243243241</v>
      </c>
      <c r="U521" s="170">
        <v>810.46</v>
      </c>
      <c r="V521" s="202">
        <f t="shared" si="49"/>
        <v>118.41756756756763</v>
      </c>
      <c r="W521" s="202">
        <f>X521+Y521+Z521+AA521+AB521+AD521+AF521+AH521+AJ521+AL521+AN521+AO521</f>
        <v>795.31</v>
      </c>
      <c r="X521" s="202">
        <v>0</v>
      </c>
      <c r="Y521" s="203">
        <v>0</v>
      </c>
      <c r="Z521" s="203">
        <v>0</v>
      </c>
      <c r="AA521" s="203">
        <v>0</v>
      </c>
      <c r="AB521" s="203">
        <v>795.31</v>
      </c>
      <c r="AC521" s="203">
        <v>0</v>
      </c>
      <c r="AD521" s="203">
        <v>0</v>
      </c>
      <c r="AE521" s="203">
        <v>0</v>
      </c>
      <c r="AF521" s="202">
        <v>0</v>
      </c>
      <c r="AG521" s="203">
        <v>0</v>
      </c>
      <c r="AH521" s="202">
        <v>0</v>
      </c>
      <c r="AI521" s="203">
        <v>0</v>
      </c>
      <c r="AJ521" s="202">
        <v>0</v>
      </c>
      <c r="AK521" s="203">
        <v>0</v>
      </c>
      <c r="AL521" s="203">
        <v>0</v>
      </c>
      <c r="AM521" s="203">
        <v>0</v>
      </c>
      <c r="AN521" s="203"/>
      <c r="AO521" s="203">
        <v>0</v>
      </c>
    </row>
    <row r="522" spans="1:41" s="176" customFormat="1" ht="36" customHeight="1" x14ac:dyDescent="0.25">
      <c r="B522" s="172" t="s">
        <v>851</v>
      </c>
      <c r="C522" s="172"/>
      <c r="D522" s="173" t="s">
        <v>882</v>
      </c>
      <c r="E522" s="173" t="s">
        <v>882</v>
      </c>
      <c r="F522" s="173" t="s">
        <v>882</v>
      </c>
      <c r="G522" s="173" t="s">
        <v>882</v>
      </c>
      <c r="H522" s="173" t="s">
        <v>882</v>
      </c>
      <c r="I522" s="177">
        <f>I523</f>
        <v>1755.2</v>
      </c>
      <c r="J522" s="177">
        <f>J523</f>
        <v>1537.2</v>
      </c>
      <c r="K522" s="177">
        <f>K523</f>
        <v>1537.2</v>
      </c>
      <c r="L522" s="357">
        <f>L523</f>
        <v>62</v>
      </c>
      <c r="M522" s="173" t="s">
        <v>882</v>
      </c>
      <c r="N522" s="173" t="s">
        <v>882</v>
      </c>
      <c r="O522" s="175" t="s">
        <v>882</v>
      </c>
      <c r="P522" s="170">
        <v>3982171.62</v>
      </c>
      <c r="Q522" s="170">
        <f>Q523</f>
        <v>0</v>
      </c>
      <c r="R522" s="170">
        <f>R523</f>
        <v>0</v>
      </c>
      <c r="S522" s="170">
        <f>S523</f>
        <v>3982171.62</v>
      </c>
      <c r="T522" s="170">
        <f t="shared" si="48"/>
        <v>2268.7851071103009</v>
      </c>
      <c r="U522" s="170">
        <f>MAX(U523)</f>
        <v>3799.322210574293</v>
      </c>
      <c r="V522" s="202">
        <f t="shared" si="49"/>
        <v>1530.537103463992</v>
      </c>
      <c r="W522" s="202"/>
      <c r="X522" s="202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</row>
    <row r="523" spans="1:41" s="176" customFormat="1" ht="36" customHeight="1" x14ac:dyDescent="0.25">
      <c r="A523" s="176">
        <v>1</v>
      </c>
      <c r="B523" s="171">
        <f>SUBTOTAL(103,$A$16:A523)</f>
        <v>448</v>
      </c>
      <c r="C523" s="172" t="s">
        <v>187</v>
      </c>
      <c r="D523" s="173">
        <v>1959</v>
      </c>
      <c r="E523" s="173"/>
      <c r="F523" s="174" t="s">
        <v>267</v>
      </c>
      <c r="G523" s="173">
        <v>3</v>
      </c>
      <c r="H523" s="173" t="s">
        <v>308</v>
      </c>
      <c r="I523" s="170">
        <v>1755.2</v>
      </c>
      <c r="J523" s="170">
        <v>1537.2</v>
      </c>
      <c r="K523" s="170">
        <v>1537.2</v>
      </c>
      <c r="L523" s="206">
        <v>62</v>
      </c>
      <c r="M523" s="173" t="s">
        <v>265</v>
      </c>
      <c r="N523" s="173" t="s">
        <v>266</v>
      </c>
      <c r="O523" s="175" t="s">
        <v>268</v>
      </c>
      <c r="P523" s="170">
        <v>3982171.62</v>
      </c>
      <c r="Q523" s="170">
        <v>0</v>
      </c>
      <c r="R523" s="170">
        <v>0</v>
      </c>
      <c r="S523" s="170">
        <f>P523-Q523-R523</f>
        <v>3982171.62</v>
      </c>
      <c r="T523" s="170">
        <f t="shared" si="48"/>
        <v>2268.7851071103009</v>
      </c>
      <c r="U523" s="170">
        <v>3799.322210574293</v>
      </c>
      <c r="V523" s="202">
        <f>U523-T523</f>
        <v>1530.537103463992</v>
      </c>
      <c r="W523" s="202">
        <f>X523+Y523+Z523+AA523+AB523+AD523+AF523+AH523+AJ523+AL523+AN523+AO523</f>
        <v>3656.1889391522332</v>
      </c>
      <c r="X523" s="202">
        <v>0</v>
      </c>
      <c r="Y523" s="203">
        <v>0</v>
      </c>
      <c r="Z523" s="203">
        <v>0</v>
      </c>
      <c r="AA523" s="203">
        <v>0</v>
      </c>
      <c r="AB523" s="203">
        <v>0</v>
      </c>
      <c r="AC523" s="203">
        <v>0</v>
      </c>
      <c r="AD523" s="203">
        <v>0</v>
      </c>
      <c r="AE523" s="203">
        <v>1028.5999999999999</v>
      </c>
      <c r="AF523" s="202">
        <f>6238.91*AE523/I523</f>
        <v>3656.1889391522332</v>
      </c>
      <c r="AG523" s="203">
        <v>0</v>
      </c>
      <c r="AH523" s="202">
        <v>0</v>
      </c>
      <c r="AI523" s="203">
        <v>0</v>
      </c>
      <c r="AJ523" s="202">
        <v>0</v>
      </c>
      <c r="AK523" s="203">
        <v>0</v>
      </c>
      <c r="AL523" s="203">
        <v>0</v>
      </c>
      <c r="AM523" s="203">
        <v>0</v>
      </c>
      <c r="AN523" s="203"/>
      <c r="AO523" s="203">
        <v>0</v>
      </c>
    </row>
    <row r="524" spans="1:41" s="176" customFormat="1" ht="36" customHeight="1" x14ac:dyDescent="0.25">
      <c r="B524" s="172" t="s">
        <v>852</v>
      </c>
      <c r="C524" s="172"/>
      <c r="D524" s="173" t="s">
        <v>882</v>
      </c>
      <c r="E524" s="173" t="s">
        <v>882</v>
      </c>
      <c r="F524" s="173" t="s">
        <v>882</v>
      </c>
      <c r="G524" s="173" t="s">
        <v>882</v>
      </c>
      <c r="H524" s="173" t="s">
        <v>882</v>
      </c>
      <c r="I524" s="177">
        <f>SUM(I525:I526)</f>
        <v>4921.7999999999993</v>
      </c>
      <c r="J524" s="177">
        <f>SUM(J525:J526)</f>
        <v>4712.7999999999993</v>
      </c>
      <c r="K524" s="177">
        <f>SUM(K525:K526)</f>
        <v>3049.1</v>
      </c>
      <c r="L524" s="357">
        <f>SUM(L525:L526)</f>
        <v>126</v>
      </c>
      <c r="M524" s="173" t="s">
        <v>882</v>
      </c>
      <c r="N524" s="173" t="s">
        <v>882</v>
      </c>
      <c r="O524" s="175" t="s">
        <v>882</v>
      </c>
      <c r="P524" s="177">
        <v>8046011.1599999992</v>
      </c>
      <c r="Q524" s="177">
        <f>SUM(Q525:Q526)</f>
        <v>0</v>
      </c>
      <c r="R524" s="177">
        <f>SUM(R525:R526)</f>
        <v>0</v>
      </c>
      <c r="S524" s="177">
        <f>SUM(S525:S526)</f>
        <v>8046011.1599999992</v>
      </c>
      <c r="T524" s="170">
        <f t="shared" si="48"/>
        <v>1634.7700353529196</v>
      </c>
      <c r="U524" s="170">
        <f>MAX(U525:U526)</f>
        <v>5499.8490505548707</v>
      </c>
      <c r="V524" s="202">
        <f t="shared" si="49"/>
        <v>3865.0790152019508</v>
      </c>
      <c r="W524" s="202"/>
      <c r="X524" s="202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</row>
    <row r="525" spans="1:41" s="176" customFormat="1" ht="36" customHeight="1" x14ac:dyDescent="0.25">
      <c r="A525" s="176">
        <v>1</v>
      </c>
      <c r="B525" s="171">
        <f>SUBTOTAL(103,$A$16:A525)</f>
        <v>449</v>
      </c>
      <c r="C525" s="172" t="s">
        <v>186</v>
      </c>
      <c r="D525" s="173" t="s">
        <v>305</v>
      </c>
      <c r="E525" s="173"/>
      <c r="F525" s="174" t="s">
        <v>267</v>
      </c>
      <c r="G525" s="173" t="s">
        <v>303</v>
      </c>
      <c r="H525" s="173" t="s">
        <v>303</v>
      </c>
      <c r="I525" s="170">
        <v>729.9</v>
      </c>
      <c r="J525" s="170">
        <v>520.9</v>
      </c>
      <c r="K525" s="170">
        <v>520.9</v>
      </c>
      <c r="L525" s="206">
        <v>35</v>
      </c>
      <c r="M525" s="173" t="s">
        <v>265</v>
      </c>
      <c r="N525" s="173" t="s">
        <v>269</v>
      </c>
      <c r="O525" s="175" t="s">
        <v>987</v>
      </c>
      <c r="P525" s="170">
        <v>2614299.75</v>
      </c>
      <c r="Q525" s="170">
        <v>0</v>
      </c>
      <c r="R525" s="170">
        <v>0</v>
      </c>
      <c r="S525" s="170">
        <f>P525-Q525-R525</f>
        <v>2614299.75</v>
      </c>
      <c r="T525" s="170">
        <f t="shared" ref="T525:T588" si="55">P525/I525</f>
        <v>3581.7231812577065</v>
      </c>
      <c r="U525" s="170">
        <v>5499.8490505548707</v>
      </c>
      <c r="V525" s="202">
        <f t="shared" si="49"/>
        <v>1918.1258692971642</v>
      </c>
      <c r="W525" s="202">
        <f>X525+Y525+Z525+AA525+AB525+AD525+AF525+AH525+AJ525+AL525+AN525+AO525</f>
        <v>4943.945121249486</v>
      </c>
      <c r="X525" s="202">
        <v>0</v>
      </c>
      <c r="Y525" s="203">
        <v>0</v>
      </c>
      <c r="Z525" s="203">
        <v>0</v>
      </c>
      <c r="AA525" s="203">
        <v>0</v>
      </c>
      <c r="AB525" s="203">
        <v>0</v>
      </c>
      <c r="AC525" s="203">
        <v>0</v>
      </c>
      <c r="AD525" s="203">
        <v>0</v>
      </c>
      <c r="AE525" s="203">
        <v>578.4</v>
      </c>
      <c r="AF525" s="202">
        <f>6238.91*AE525/I525</f>
        <v>4943.945121249486</v>
      </c>
      <c r="AG525" s="203">
        <v>0</v>
      </c>
      <c r="AH525" s="202">
        <v>0</v>
      </c>
      <c r="AI525" s="203">
        <v>0</v>
      </c>
      <c r="AJ525" s="202">
        <v>0</v>
      </c>
      <c r="AK525" s="203">
        <v>0</v>
      </c>
      <c r="AL525" s="203">
        <v>0</v>
      </c>
      <c r="AM525" s="203">
        <v>0</v>
      </c>
      <c r="AN525" s="203"/>
      <c r="AO525" s="203">
        <v>0</v>
      </c>
    </row>
    <row r="526" spans="1:41" s="176" customFormat="1" ht="36" customHeight="1" x14ac:dyDescent="0.25">
      <c r="A526" s="176">
        <v>1</v>
      </c>
      <c r="B526" s="171">
        <f>SUBTOTAL(103,$A$16:A526)</f>
        <v>450</v>
      </c>
      <c r="C526" s="172" t="s">
        <v>1533</v>
      </c>
      <c r="D526" s="173">
        <v>1977</v>
      </c>
      <c r="E526" s="173"/>
      <c r="F526" s="174" t="s">
        <v>267</v>
      </c>
      <c r="G526" s="173">
        <v>5</v>
      </c>
      <c r="H526" s="173" t="s">
        <v>304</v>
      </c>
      <c r="I526" s="170">
        <v>4191.8999999999996</v>
      </c>
      <c r="J526" s="170">
        <v>4191.8999999999996</v>
      </c>
      <c r="K526" s="170">
        <v>2528.1999999999998</v>
      </c>
      <c r="L526" s="206">
        <v>91</v>
      </c>
      <c r="M526" s="173" t="s">
        <v>265</v>
      </c>
      <c r="N526" s="173" t="s">
        <v>269</v>
      </c>
      <c r="O526" s="175" t="s">
        <v>1569</v>
      </c>
      <c r="P526" s="170">
        <v>5431711.4099999992</v>
      </c>
      <c r="Q526" s="170">
        <v>0</v>
      </c>
      <c r="R526" s="170">
        <v>0</v>
      </c>
      <c r="S526" s="170">
        <f>P526-R526-Q526</f>
        <v>5431711.4099999992</v>
      </c>
      <c r="T526" s="170">
        <f t="shared" si="55"/>
        <v>1295.7635940742859</v>
      </c>
      <c r="U526" s="170">
        <v>5091.4329778859237</v>
      </c>
      <c r="V526" s="202">
        <f t="shared" si="49"/>
        <v>3795.669383811638</v>
      </c>
      <c r="W526" s="202">
        <f>X526+Y526+Z526+AA526+AB526+AD526+AF526+AH526+AJ526+AL526+AN526+AO526</f>
        <v>5091.4329778859237</v>
      </c>
      <c r="X526" s="202">
        <v>0</v>
      </c>
      <c r="Y526" s="203">
        <v>0</v>
      </c>
      <c r="Z526" s="203">
        <v>0</v>
      </c>
      <c r="AA526" s="203">
        <v>0</v>
      </c>
      <c r="AB526" s="203">
        <v>0</v>
      </c>
      <c r="AC526" s="203">
        <v>0</v>
      </c>
      <c r="AD526" s="203">
        <v>0</v>
      </c>
      <c r="AE526" s="203">
        <v>0</v>
      </c>
      <c r="AF526" s="202">
        <v>0</v>
      </c>
      <c r="AG526" s="203">
        <v>0</v>
      </c>
      <c r="AH526" s="202">
        <v>0</v>
      </c>
      <c r="AI526" s="203">
        <v>2869</v>
      </c>
      <c r="AJ526" s="202">
        <f>7439.1*AI526/I526</f>
        <v>5091.4329778859237</v>
      </c>
      <c r="AK526" s="203">
        <v>0</v>
      </c>
      <c r="AL526" s="203">
        <v>0</v>
      </c>
      <c r="AM526" s="203">
        <v>0</v>
      </c>
      <c r="AN526" s="203"/>
      <c r="AO526" s="203">
        <v>0</v>
      </c>
    </row>
    <row r="527" spans="1:41" s="176" customFormat="1" ht="36" customHeight="1" x14ac:dyDescent="0.25">
      <c r="B527" s="172" t="s">
        <v>853</v>
      </c>
      <c r="C527" s="172"/>
      <c r="D527" s="173" t="s">
        <v>882</v>
      </c>
      <c r="E527" s="173" t="s">
        <v>882</v>
      </c>
      <c r="F527" s="173" t="s">
        <v>882</v>
      </c>
      <c r="G527" s="173" t="s">
        <v>882</v>
      </c>
      <c r="H527" s="173" t="s">
        <v>882</v>
      </c>
      <c r="I527" s="177">
        <f>I528</f>
        <v>428.4</v>
      </c>
      <c r="J527" s="177">
        <f>J528</f>
        <v>385.4</v>
      </c>
      <c r="K527" s="177">
        <f>K528</f>
        <v>385.4</v>
      </c>
      <c r="L527" s="357">
        <f>L528</f>
        <v>20</v>
      </c>
      <c r="M527" s="173" t="s">
        <v>882</v>
      </c>
      <c r="N527" s="173" t="s">
        <v>882</v>
      </c>
      <c r="O527" s="175" t="s">
        <v>882</v>
      </c>
      <c r="P527" s="170">
        <v>1241065.97</v>
      </c>
      <c r="Q527" s="170">
        <f>Q528</f>
        <v>0</v>
      </c>
      <c r="R527" s="170">
        <f>R528</f>
        <v>0</v>
      </c>
      <c r="S527" s="170">
        <f>S528</f>
        <v>1241065.97</v>
      </c>
      <c r="T527" s="170">
        <f t="shared" si="55"/>
        <v>2896.9793884220358</v>
      </c>
      <c r="U527" s="170">
        <f>U528</f>
        <v>5499.0368814192343</v>
      </c>
      <c r="V527" s="202">
        <f t="shared" si="49"/>
        <v>2602.0574929971986</v>
      </c>
      <c r="W527" s="202"/>
      <c r="X527" s="202"/>
      <c r="Y527" s="203"/>
      <c r="Z527" s="203"/>
      <c r="AA527" s="203"/>
      <c r="AB527" s="203"/>
      <c r="AC527" s="203"/>
      <c r="AD527" s="203"/>
      <c r="AE527" s="203"/>
      <c r="AF527" s="203"/>
      <c r="AG527" s="203"/>
      <c r="AH527" s="203"/>
      <c r="AI527" s="203"/>
      <c r="AJ527" s="203"/>
      <c r="AK527" s="203"/>
      <c r="AL527" s="203"/>
      <c r="AM527" s="203"/>
      <c r="AN527" s="203"/>
      <c r="AO527" s="203"/>
    </row>
    <row r="528" spans="1:41" s="176" customFormat="1" ht="36" customHeight="1" x14ac:dyDescent="0.25">
      <c r="A528" s="176">
        <v>1</v>
      </c>
      <c r="B528" s="171">
        <f>SUBTOTAL(103,$A$16:A528)</f>
        <v>451</v>
      </c>
      <c r="C528" s="172" t="s">
        <v>185</v>
      </c>
      <c r="D528" s="173" t="s">
        <v>306</v>
      </c>
      <c r="E528" s="173"/>
      <c r="F528" s="174" t="s">
        <v>267</v>
      </c>
      <c r="G528" s="173" t="s">
        <v>303</v>
      </c>
      <c r="H528" s="173" t="s">
        <v>303</v>
      </c>
      <c r="I528" s="170">
        <v>428.4</v>
      </c>
      <c r="J528" s="170">
        <v>385.4</v>
      </c>
      <c r="K528" s="170">
        <v>385.4</v>
      </c>
      <c r="L528" s="206">
        <v>20</v>
      </c>
      <c r="M528" s="173" t="s">
        <v>265</v>
      </c>
      <c r="N528" s="173" t="s">
        <v>266</v>
      </c>
      <c r="O528" s="175" t="s">
        <v>268</v>
      </c>
      <c r="P528" s="170">
        <v>1241065.97</v>
      </c>
      <c r="Q528" s="170">
        <v>0</v>
      </c>
      <c r="R528" s="170">
        <v>0</v>
      </c>
      <c r="S528" s="170">
        <f>P528-Q528-R528</f>
        <v>1241065.97</v>
      </c>
      <c r="T528" s="170">
        <f t="shared" si="55"/>
        <v>2896.9793884220358</v>
      </c>
      <c r="U528" s="170">
        <v>5499.0368814192343</v>
      </c>
      <c r="V528" s="202">
        <f>U528-T528</f>
        <v>2602.0574929971986</v>
      </c>
      <c r="W528" s="202">
        <f>X528+Y528+Z528+AA528+AB528+AD528+AF528+AH528+AJ528+AL528+AN528+AO528</f>
        <v>5271.9080765639592</v>
      </c>
      <c r="X528" s="202">
        <v>0</v>
      </c>
      <c r="Y528" s="203">
        <v>0</v>
      </c>
      <c r="Z528" s="203">
        <v>0</v>
      </c>
      <c r="AA528" s="203">
        <v>0</v>
      </c>
      <c r="AB528" s="203">
        <v>0</v>
      </c>
      <c r="AC528" s="203">
        <v>0</v>
      </c>
      <c r="AD528" s="203">
        <v>0</v>
      </c>
      <c r="AE528" s="203">
        <v>362</v>
      </c>
      <c r="AF528" s="202">
        <f>6238.91*AE528/I528</f>
        <v>5271.9080765639592</v>
      </c>
      <c r="AG528" s="203">
        <v>0</v>
      </c>
      <c r="AH528" s="202">
        <v>0</v>
      </c>
      <c r="AI528" s="203">
        <v>0</v>
      </c>
      <c r="AJ528" s="202">
        <v>0</v>
      </c>
      <c r="AK528" s="203">
        <v>0</v>
      </c>
      <c r="AL528" s="203">
        <v>0</v>
      </c>
      <c r="AM528" s="203">
        <v>0</v>
      </c>
      <c r="AN528" s="203"/>
      <c r="AO528" s="203">
        <v>0</v>
      </c>
    </row>
    <row r="529" spans="1:41" s="176" customFormat="1" ht="36" customHeight="1" x14ac:dyDescent="0.25">
      <c r="B529" s="172" t="s">
        <v>854</v>
      </c>
      <c r="C529" s="359"/>
      <c r="D529" s="173" t="s">
        <v>882</v>
      </c>
      <c r="E529" s="173" t="s">
        <v>882</v>
      </c>
      <c r="F529" s="173" t="s">
        <v>882</v>
      </c>
      <c r="G529" s="173" t="s">
        <v>882</v>
      </c>
      <c r="H529" s="173" t="s">
        <v>882</v>
      </c>
      <c r="I529" s="177">
        <f>SUM(I530:I538)</f>
        <v>12546.099999999999</v>
      </c>
      <c r="J529" s="177">
        <f>SUM(J530:J538)</f>
        <v>10792.6</v>
      </c>
      <c r="K529" s="177">
        <f>SUM(K530:K538)</f>
        <v>10596.7</v>
      </c>
      <c r="L529" s="357">
        <f>SUM(L530:L538)</f>
        <v>564</v>
      </c>
      <c r="M529" s="173" t="s">
        <v>882</v>
      </c>
      <c r="N529" s="173" t="s">
        <v>882</v>
      </c>
      <c r="O529" s="175" t="s">
        <v>882</v>
      </c>
      <c r="P529" s="177">
        <v>9190793.5899999999</v>
      </c>
      <c r="Q529" s="177">
        <f>SUM(Q530:Q538)</f>
        <v>0</v>
      </c>
      <c r="R529" s="177">
        <f>SUM(R530:R538)</f>
        <v>0</v>
      </c>
      <c r="S529" s="177">
        <f>SUM(S530:S538)</f>
        <v>9190793.5899999999</v>
      </c>
      <c r="T529" s="170">
        <f t="shared" si="55"/>
        <v>732.56179928423978</v>
      </c>
      <c r="U529" s="170">
        <f>MAX(U530:V538)</f>
        <v>3259.66</v>
      </c>
      <c r="V529" s="202">
        <f t="shared" si="49"/>
        <v>2527.09820071576</v>
      </c>
      <c r="W529" s="202"/>
      <c r="X529" s="202"/>
      <c r="Y529" s="203"/>
      <c r="Z529" s="203"/>
      <c r="AA529" s="203"/>
      <c r="AB529" s="203"/>
      <c r="AC529" s="203"/>
      <c r="AD529" s="203"/>
      <c r="AE529" s="203"/>
      <c r="AF529" s="203"/>
      <c r="AG529" s="203"/>
      <c r="AH529" s="203"/>
      <c r="AI529" s="203"/>
      <c r="AJ529" s="203"/>
      <c r="AK529" s="203"/>
      <c r="AL529" s="203"/>
      <c r="AM529" s="203"/>
      <c r="AN529" s="203"/>
      <c r="AO529" s="203"/>
    </row>
    <row r="530" spans="1:41" s="176" customFormat="1" ht="36" customHeight="1" x14ac:dyDescent="0.25">
      <c r="A530" s="176">
        <v>1</v>
      </c>
      <c r="B530" s="171">
        <f>SUBTOTAL(103,$A$16:A530)</f>
        <v>452</v>
      </c>
      <c r="C530" s="172" t="s">
        <v>216</v>
      </c>
      <c r="D530" s="173">
        <v>1974</v>
      </c>
      <c r="E530" s="173"/>
      <c r="F530" s="174" t="s">
        <v>267</v>
      </c>
      <c r="G530" s="173">
        <v>5</v>
      </c>
      <c r="H530" s="173" t="s">
        <v>308</v>
      </c>
      <c r="I530" s="170">
        <v>3601.7</v>
      </c>
      <c r="J530" s="170">
        <v>3307.8</v>
      </c>
      <c r="K530" s="170">
        <v>3307.8</v>
      </c>
      <c r="L530" s="206">
        <v>143</v>
      </c>
      <c r="M530" s="173" t="s">
        <v>265</v>
      </c>
      <c r="N530" s="173" t="s">
        <v>269</v>
      </c>
      <c r="O530" s="175" t="s">
        <v>332</v>
      </c>
      <c r="P530" s="170">
        <v>4272931.8100000005</v>
      </c>
      <c r="Q530" s="170">
        <v>0</v>
      </c>
      <c r="R530" s="170">
        <v>0</v>
      </c>
      <c r="S530" s="170">
        <f t="shared" ref="S530:S535" si="56">P530-Q530-R530</f>
        <v>4272931.8100000005</v>
      </c>
      <c r="T530" s="170">
        <f t="shared" si="55"/>
        <v>1186.365274731377</v>
      </c>
      <c r="U530" s="170">
        <v>1907.0666960046644</v>
      </c>
      <c r="V530" s="202">
        <f t="shared" si="49"/>
        <v>720.70142127328745</v>
      </c>
      <c r="W530" s="202">
        <f>X530+Y530+Z530+AA530+AB530+AD530+AF530+AH530+AJ530+AL530+AN530+AO530</f>
        <v>1831.0699374462058</v>
      </c>
      <c r="X530" s="202">
        <v>0</v>
      </c>
      <c r="Y530" s="203">
        <v>0</v>
      </c>
      <c r="Z530" s="203">
        <v>0</v>
      </c>
      <c r="AA530" s="203">
        <v>0</v>
      </c>
      <c r="AB530" s="203">
        <v>0</v>
      </c>
      <c r="AC530" s="203">
        <v>0</v>
      </c>
      <c r="AD530" s="203">
        <v>0</v>
      </c>
      <c r="AE530" s="203">
        <v>1057.07</v>
      </c>
      <c r="AF530" s="202">
        <f>6238.91*AE530/I530</f>
        <v>1831.0699374462058</v>
      </c>
      <c r="AG530" s="203">
        <v>0</v>
      </c>
      <c r="AH530" s="202">
        <v>0</v>
      </c>
      <c r="AI530" s="203">
        <v>0</v>
      </c>
      <c r="AJ530" s="202">
        <v>0</v>
      </c>
      <c r="AK530" s="203">
        <v>0</v>
      </c>
      <c r="AL530" s="203">
        <v>0</v>
      </c>
      <c r="AM530" s="203">
        <v>0</v>
      </c>
      <c r="AN530" s="203"/>
      <c r="AO530" s="203">
        <v>0</v>
      </c>
    </row>
    <row r="531" spans="1:41" s="176" customFormat="1" ht="36" customHeight="1" x14ac:dyDescent="0.25">
      <c r="A531" s="176">
        <v>1</v>
      </c>
      <c r="B531" s="171">
        <f>SUBTOTAL(103,$A$16:A531)</f>
        <v>453</v>
      </c>
      <c r="C531" s="172" t="s">
        <v>1261</v>
      </c>
      <c r="D531" s="173">
        <v>1967</v>
      </c>
      <c r="E531" s="173"/>
      <c r="F531" s="174" t="s">
        <v>267</v>
      </c>
      <c r="G531" s="173">
        <v>4</v>
      </c>
      <c r="H531" s="173" t="s">
        <v>304</v>
      </c>
      <c r="I531" s="170">
        <v>2162.6999999999998</v>
      </c>
      <c r="J531" s="170">
        <v>1343.3</v>
      </c>
      <c r="K531" s="170">
        <v>1343.3</v>
      </c>
      <c r="L531" s="206">
        <v>138</v>
      </c>
      <c r="M531" s="173" t="s">
        <v>265</v>
      </c>
      <c r="N531" s="173" t="s">
        <v>269</v>
      </c>
      <c r="O531" s="175" t="s">
        <v>1289</v>
      </c>
      <c r="P531" s="170">
        <v>2514865.17</v>
      </c>
      <c r="Q531" s="170">
        <v>0</v>
      </c>
      <c r="R531" s="170">
        <v>0</v>
      </c>
      <c r="S531" s="170">
        <f t="shared" si="56"/>
        <v>2514865.17</v>
      </c>
      <c r="T531" s="170">
        <f t="shared" si="55"/>
        <v>1162.8358856984325</v>
      </c>
      <c r="U531" s="170">
        <v>3259.66</v>
      </c>
      <c r="V531" s="202">
        <f t="shared" ref="V531:V593" si="57">U531-T531</f>
        <v>2096.8241143015675</v>
      </c>
      <c r="W531" s="202">
        <f>X531+Y531+Z531+AA531+AB531+AD531+AF531+AH531+AJ531+AL531+AN531+AO531</f>
        <v>3259.66</v>
      </c>
      <c r="X531" s="202">
        <v>0</v>
      </c>
      <c r="Y531" s="203">
        <v>0</v>
      </c>
      <c r="Z531" s="203">
        <v>3259.66</v>
      </c>
      <c r="AA531" s="203">
        <v>0</v>
      </c>
      <c r="AB531" s="203">
        <v>0</v>
      </c>
      <c r="AC531" s="203">
        <v>0</v>
      </c>
      <c r="AD531" s="203">
        <v>0</v>
      </c>
      <c r="AE531" s="203">
        <v>0</v>
      </c>
      <c r="AF531" s="202">
        <v>0</v>
      </c>
      <c r="AG531" s="203">
        <v>0</v>
      </c>
      <c r="AH531" s="202">
        <v>0</v>
      </c>
      <c r="AI531" s="203">
        <v>0</v>
      </c>
      <c r="AJ531" s="202">
        <v>0</v>
      </c>
      <c r="AK531" s="203">
        <v>0</v>
      </c>
      <c r="AL531" s="203">
        <v>0</v>
      </c>
      <c r="AM531" s="203">
        <v>0</v>
      </c>
      <c r="AN531" s="203"/>
      <c r="AO531" s="203">
        <v>0</v>
      </c>
    </row>
    <row r="532" spans="1:41" s="176" customFormat="1" ht="36" customHeight="1" x14ac:dyDescent="0.25">
      <c r="A532" s="176">
        <v>1</v>
      </c>
      <c r="B532" s="171">
        <f>SUBTOTAL(103,$A$16:A532)</f>
        <v>454</v>
      </c>
      <c r="C532" s="172" t="s">
        <v>1262</v>
      </c>
      <c r="D532" s="173">
        <v>1980</v>
      </c>
      <c r="E532" s="173"/>
      <c r="F532" s="174" t="s">
        <v>267</v>
      </c>
      <c r="G532" s="173">
        <v>2</v>
      </c>
      <c r="H532" s="173" t="s">
        <v>312</v>
      </c>
      <c r="I532" s="170">
        <v>955</v>
      </c>
      <c r="J532" s="170">
        <v>869.8</v>
      </c>
      <c r="K532" s="170">
        <v>869.8</v>
      </c>
      <c r="L532" s="206">
        <v>47</v>
      </c>
      <c r="M532" s="173" t="s">
        <v>265</v>
      </c>
      <c r="N532" s="173" t="s">
        <v>269</v>
      </c>
      <c r="O532" s="175" t="s">
        <v>1289</v>
      </c>
      <c r="P532" s="170">
        <v>229212.26</v>
      </c>
      <c r="Q532" s="170">
        <v>0</v>
      </c>
      <c r="R532" s="170">
        <v>0</v>
      </c>
      <c r="S532" s="170">
        <f t="shared" si="56"/>
        <v>229212.26</v>
      </c>
      <c r="T532" s="170">
        <f t="shared" si="55"/>
        <v>240.01283769633508</v>
      </c>
      <c r="U532" s="170">
        <v>3259.66</v>
      </c>
      <c r="V532" s="202">
        <f t="shared" si="57"/>
        <v>3019.6471623036646</v>
      </c>
      <c r="W532" s="202">
        <f>X532+Y532+Z532+AA532+AB532+AD532+AF532+AH532+AJ532+AL532+AN532+AO532</f>
        <v>3259.66</v>
      </c>
      <c r="X532" s="202">
        <v>0</v>
      </c>
      <c r="Y532" s="203">
        <v>0</v>
      </c>
      <c r="Z532" s="203">
        <v>3259.66</v>
      </c>
      <c r="AA532" s="203">
        <v>0</v>
      </c>
      <c r="AB532" s="203">
        <v>0</v>
      </c>
      <c r="AC532" s="203">
        <v>0</v>
      </c>
      <c r="AD532" s="203">
        <v>0</v>
      </c>
      <c r="AE532" s="203">
        <v>0</v>
      </c>
      <c r="AF532" s="202">
        <v>0</v>
      </c>
      <c r="AG532" s="203">
        <v>0</v>
      </c>
      <c r="AH532" s="202">
        <v>0</v>
      </c>
      <c r="AI532" s="203">
        <v>0</v>
      </c>
      <c r="AJ532" s="202">
        <v>0</v>
      </c>
      <c r="AK532" s="203">
        <v>0</v>
      </c>
      <c r="AL532" s="203">
        <v>0</v>
      </c>
      <c r="AM532" s="203">
        <v>0</v>
      </c>
      <c r="AN532" s="203"/>
      <c r="AO532" s="203">
        <v>0</v>
      </c>
    </row>
    <row r="533" spans="1:41" s="176" customFormat="1" ht="36" customHeight="1" x14ac:dyDescent="0.25">
      <c r="A533" s="176">
        <v>1</v>
      </c>
      <c r="B533" s="171">
        <f>SUBTOTAL(103,$A$16:A533)</f>
        <v>455</v>
      </c>
      <c r="C533" s="172" t="s">
        <v>1263</v>
      </c>
      <c r="D533" s="173">
        <v>1967</v>
      </c>
      <c r="E533" s="173"/>
      <c r="F533" s="174" t="s">
        <v>267</v>
      </c>
      <c r="G533" s="173">
        <v>2</v>
      </c>
      <c r="H533" s="173" t="s">
        <v>303</v>
      </c>
      <c r="I533" s="170">
        <v>783.4</v>
      </c>
      <c r="J533" s="170">
        <v>725.6</v>
      </c>
      <c r="K533" s="170">
        <v>725.6</v>
      </c>
      <c r="L533" s="206">
        <v>35</v>
      </c>
      <c r="M533" s="173" t="s">
        <v>265</v>
      </c>
      <c r="N533" s="173" t="s">
        <v>269</v>
      </c>
      <c r="O533" s="175" t="s">
        <v>1289</v>
      </c>
      <c r="P533" s="170">
        <v>1879611.64</v>
      </c>
      <c r="Q533" s="170">
        <v>0</v>
      </c>
      <c r="R533" s="170">
        <v>0</v>
      </c>
      <c r="S533" s="170">
        <f t="shared" si="56"/>
        <v>1879611.64</v>
      </c>
      <c r="T533" s="170">
        <f t="shared" si="55"/>
        <v>2399.300025529742</v>
      </c>
      <c r="U533" s="170">
        <v>3259.66</v>
      </c>
      <c r="V533" s="202">
        <f t="shared" si="57"/>
        <v>860.35997447025784</v>
      </c>
      <c r="W533" s="202">
        <f>T533</f>
        <v>2399.300025529742</v>
      </c>
      <c r="X533" s="202">
        <v>0</v>
      </c>
      <c r="Y533" s="203">
        <v>0</v>
      </c>
      <c r="Z533" s="203">
        <v>3626.97</v>
      </c>
      <c r="AA533" s="203">
        <v>0</v>
      </c>
      <c r="AB533" s="203">
        <v>0</v>
      </c>
      <c r="AC533" s="203">
        <v>0</v>
      </c>
      <c r="AD533" s="203">
        <v>0</v>
      </c>
      <c r="AE533" s="203">
        <v>0</v>
      </c>
      <c r="AF533" s="202">
        <v>0</v>
      </c>
      <c r="AG533" s="203">
        <v>0</v>
      </c>
      <c r="AH533" s="202">
        <v>0</v>
      </c>
      <c r="AI533" s="203">
        <v>0</v>
      </c>
      <c r="AJ533" s="202">
        <v>0</v>
      </c>
      <c r="AK533" s="203">
        <v>0</v>
      </c>
      <c r="AL533" s="203">
        <v>0</v>
      </c>
      <c r="AM533" s="203">
        <v>0</v>
      </c>
      <c r="AN533" s="203"/>
      <c r="AO533" s="203">
        <v>0</v>
      </c>
    </row>
    <row r="534" spans="1:41" s="176" customFormat="1" ht="36" customHeight="1" x14ac:dyDescent="0.25">
      <c r="A534" s="176">
        <v>1</v>
      </c>
      <c r="B534" s="171">
        <f>SUBTOTAL(103,$A$16:A534)</f>
        <v>456</v>
      </c>
      <c r="C534" s="172" t="s">
        <v>217</v>
      </c>
      <c r="D534" s="173">
        <v>1992</v>
      </c>
      <c r="E534" s="173"/>
      <c r="F534" s="174" t="s">
        <v>311</v>
      </c>
      <c r="G534" s="173">
        <v>2</v>
      </c>
      <c r="H534" s="173" t="s">
        <v>303</v>
      </c>
      <c r="I534" s="170">
        <v>690.3</v>
      </c>
      <c r="J534" s="170">
        <v>630.29999999999995</v>
      </c>
      <c r="K534" s="170">
        <v>564.4</v>
      </c>
      <c r="L534" s="206">
        <v>29</v>
      </c>
      <c r="M534" s="173" t="s">
        <v>265</v>
      </c>
      <c r="N534" s="173" t="s">
        <v>269</v>
      </c>
      <c r="O534" s="175" t="s">
        <v>332</v>
      </c>
      <c r="P534" s="170">
        <v>57236.97</v>
      </c>
      <c r="Q534" s="170">
        <v>0</v>
      </c>
      <c r="R534" s="170">
        <v>0</v>
      </c>
      <c r="S534" s="170">
        <f t="shared" si="56"/>
        <v>57236.97</v>
      </c>
      <c r="T534" s="170">
        <f t="shared" si="55"/>
        <v>82.916079965232512</v>
      </c>
      <c r="U534" s="170">
        <v>82.916079965232512</v>
      </c>
      <c r="V534" s="202">
        <f t="shared" si="57"/>
        <v>0</v>
      </c>
      <c r="W534" s="202">
        <f>X534+Y534+Z534+AA534+AB534+AD534+AF534+AH534+AJ534+AL534+AN534+AO534</f>
        <v>3259.66</v>
      </c>
      <c r="X534" s="202">
        <v>0</v>
      </c>
      <c r="Y534" s="203">
        <v>0</v>
      </c>
      <c r="Z534" s="203">
        <v>3259.66</v>
      </c>
      <c r="AA534" s="203">
        <v>0</v>
      </c>
      <c r="AB534" s="203">
        <v>0</v>
      </c>
      <c r="AC534" s="203">
        <v>0</v>
      </c>
      <c r="AD534" s="203">
        <v>0</v>
      </c>
      <c r="AE534" s="203">
        <v>0</v>
      </c>
      <c r="AF534" s="202">
        <v>0</v>
      </c>
      <c r="AG534" s="203">
        <v>0</v>
      </c>
      <c r="AH534" s="202">
        <v>0</v>
      </c>
      <c r="AI534" s="203">
        <v>0</v>
      </c>
      <c r="AJ534" s="202">
        <v>0</v>
      </c>
      <c r="AK534" s="203">
        <v>0</v>
      </c>
      <c r="AL534" s="203">
        <v>0</v>
      </c>
      <c r="AM534" s="203">
        <v>0</v>
      </c>
      <c r="AN534" s="203"/>
      <c r="AO534" s="203">
        <v>0</v>
      </c>
    </row>
    <row r="535" spans="1:41" s="176" customFormat="1" ht="36" customHeight="1" x14ac:dyDescent="0.25">
      <c r="A535" s="176">
        <v>1</v>
      </c>
      <c r="B535" s="171">
        <f>SUBTOTAL(103,$A$16:A535)</f>
        <v>457</v>
      </c>
      <c r="C535" s="172" t="s">
        <v>1547</v>
      </c>
      <c r="D535" s="173">
        <v>1981</v>
      </c>
      <c r="E535" s="173"/>
      <c r="F535" s="174" t="s">
        <v>1562</v>
      </c>
      <c r="G535" s="173">
        <v>2</v>
      </c>
      <c r="H535" s="173" t="s">
        <v>312</v>
      </c>
      <c r="I535" s="170">
        <v>922.9</v>
      </c>
      <c r="J535" s="170">
        <v>838.7</v>
      </c>
      <c r="K535" s="170">
        <v>838.7</v>
      </c>
      <c r="L535" s="206">
        <v>43</v>
      </c>
      <c r="M535" s="173" t="s">
        <v>265</v>
      </c>
      <c r="N535" s="173" t="s">
        <v>266</v>
      </c>
      <c r="O535" s="175" t="s">
        <v>268</v>
      </c>
      <c r="P535" s="170">
        <v>60862.57</v>
      </c>
      <c r="Q535" s="170">
        <v>0</v>
      </c>
      <c r="R535" s="170">
        <v>0</v>
      </c>
      <c r="S535" s="170">
        <f t="shared" si="56"/>
        <v>60862.57</v>
      </c>
      <c r="T535" s="170">
        <f t="shared" si="55"/>
        <v>65.947090692382702</v>
      </c>
      <c r="U535" s="170">
        <v>65.947090692382702</v>
      </c>
      <c r="V535" s="202">
        <f t="shared" si="57"/>
        <v>0</v>
      </c>
      <c r="W535" s="202">
        <f>T535</f>
        <v>65.947090692382702</v>
      </c>
      <c r="X535" s="202">
        <v>0</v>
      </c>
      <c r="Y535" s="203">
        <v>0</v>
      </c>
      <c r="Z535" s="203">
        <v>0</v>
      </c>
      <c r="AA535" s="203">
        <v>0</v>
      </c>
      <c r="AB535" s="203">
        <v>0</v>
      </c>
      <c r="AC535" s="203">
        <v>0</v>
      </c>
      <c r="AD535" s="203">
        <v>0</v>
      </c>
      <c r="AE535" s="203">
        <v>0</v>
      </c>
      <c r="AF535" s="202">
        <v>0</v>
      </c>
      <c r="AG535" s="203">
        <v>0</v>
      </c>
      <c r="AH535" s="202">
        <v>0</v>
      </c>
      <c r="AI535" s="203">
        <v>0</v>
      </c>
      <c r="AJ535" s="202">
        <v>0</v>
      </c>
      <c r="AK535" s="203">
        <v>0</v>
      </c>
      <c r="AL535" s="203">
        <v>0</v>
      </c>
      <c r="AM535" s="203">
        <v>0</v>
      </c>
      <c r="AN535" s="203"/>
      <c r="AO535" s="203">
        <v>0</v>
      </c>
    </row>
    <row r="536" spans="1:41" s="176" customFormat="1" ht="36" customHeight="1" x14ac:dyDescent="0.25">
      <c r="A536" s="176">
        <v>1</v>
      </c>
      <c r="B536" s="171">
        <f>SUBTOTAL(103,$A$16:A536)</f>
        <v>458</v>
      </c>
      <c r="C536" s="172" t="s">
        <v>1548</v>
      </c>
      <c r="D536" s="173">
        <v>1980</v>
      </c>
      <c r="E536" s="173"/>
      <c r="F536" s="174" t="s">
        <v>1562</v>
      </c>
      <c r="G536" s="173">
        <v>2</v>
      </c>
      <c r="H536" s="173" t="s">
        <v>312</v>
      </c>
      <c r="I536" s="170">
        <v>1035.4000000000001</v>
      </c>
      <c r="J536" s="170">
        <v>947.5</v>
      </c>
      <c r="K536" s="170">
        <v>947.5</v>
      </c>
      <c r="L536" s="206">
        <v>35</v>
      </c>
      <c r="M536" s="173" t="s">
        <v>265</v>
      </c>
      <c r="N536" s="173" t="s">
        <v>266</v>
      </c>
      <c r="O536" s="175" t="s">
        <v>268</v>
      </c>
      <c r="P536" s="170">
        <v>64885.78</v>
      </c>
      <c r="Q536" s="170">
        <v>0</v>
      </c>
      <c r="R536" s="170">
        <v>0</v>
      </c>
      <c r="S536" s="170">
        <f>P536-R536-Q536</f>
        <v>64885.78</v>
      </c>
      <c r="T536" s="170">
        <f t="shared" si="55"/>
        <v>62.66735561135792</v>
      </c>
      <c r="U536" s="170">
        <v>62.66735561135792</v>
      </c>
      <c r="V536" s="202">
        <f>U536-T536</f>
        <v>0</v>
      </c>
      <c r="W536" s="202">
        <f>T536</f>
        <v>62.66735561135792</v>
      </c>
      <c r="X536" s="202">
        <v>0</v>
      </c>
      <c r="Y536" s="203">
        <v>0</v>
      </c>
      <c r="Z536" s="203">
        <v>0</v>
      </c>
      <c r="AA536" s="203">
        <v>0</v>
      </c>
      <c r="AB536" s="203">
        <v>0</v>
      </c>
      <c r="AC536" s="203">
        <v>0</v>
      </c>
      <c r="AD536" s="203">
        <v>0</v>
      </c>
      <c r="AE536" s="203">
        <v>0</v>
      </c>
      <c r="AF536" s="202">
        <v>0</v>
      </c>
      <c r="AG536" s="203">
        <v>0</v>
      </c>
      <c r="AH536" s="202">
        <v>0</v>
      </c>
      <c r="AI536" s="203">
        <v>0</v>
      </c>
      <c r="AJ536" s="202">
        <v>0</v>
      </c>
      <c r="AK536" s="203">
        <v>0</v>
      </c>
      <c r="AL536" s="203">
        <v>0</v>
      </c>
      <c r="AM536" s="203">
        <v>0</v>
      </c>
      <c r="AN536" s="203"/>
      <c r="AO536" s="203">
        <v>0</v>
      </c>
    </row>
    <row r="537" spans="1:41" s="176" customFormat="1" ht="36" customHeight="1" x14ac:dyDescent="0.25">
      <c r="A537" s="176">
        <v>1</v>
      </c>
      <c r="B537" s="171">
        <f>SUBTOTAL(103,$A$16:A537)</f>
        <v>459</v>
      </c>
      <c r="C537" s="172" t="s">
        <v>211</v>
      </c>
      <c r="D537" s="173">
        <v>1938</v>
      </c>
      <c r="E537" s="173"/>
      <c r="F537" s="174" t="s">
        <v>267</v>
      </c>
      <c r="G537" s="173">
        <v>3</v>
      </c>
      <c r="H537" s="173" t="s">
        <v>308</v>
      </c>
      <c r="I537" s="170">
        <v>1645.1</v>
      </c>
      <c r="J537" s="170">
        <v>1444.2</v>
      </c>
      <c r="K537" s="170">
        <v>1314.2</v>
      </c>
      <c r="L537" s="206">
        <v>58</v>
      </c>
      <c r="M537" s="173" t="s">
        <v>265</v>
      </c>
      <c r="N537" s="173" t="s">
        <v>266</v>
      </c>
      <c r="O537" s="175" t="s">
        <v>268</v>
      </c>
      <c r="P537" s="170">
        <v>77010.039999999994</v>
      </c>
      <c r="Q537" s="170">
        <v>0</v>
      </c>
      <c r="R537" s="170">
        <v>0</v>
      </c>
      <c r="S537" s="170">
        <f>P537-R537-Q537</f>
        <v>77010.039999999994</v>
      </c>
      <c r="T537" s="170">
        <f t="shared" si="55"/>
        <v>46.811768281563431</v>
      </c>
      <c r="U537" s="170">
        <v>46.811768281563431</v>
      </c>
      <c r="V537" s="202">
        <f t="shared" si="57"/>
        <v>0</v>
      </c>
      <c r="W537" s="202">
        <f>T537</f>
        <v>46.811768281563431</v>
      </c>
      <c r="X537" s="202">
        <v>0</v>
      </c>
      <c r="Y537" s="203">
        <v>0</v>
      </c>
      <c r="Z537" s="203">
        <v>0</v>
      </c>
      <c r="AA537" s="203">
        <v>0</v>
      </c>
      <c r="AB537" s="203">
        <v>0</v>
      </c>
      <c r="AC537" s="203">
        <v>0</v>
      </c>
      <c r="AD537" s="203">
        <v>0</v>
      </c>
      <c r="AE537" s="203">
        <v>0</v>
      </c>
      <c r="AF537" s="202">
        <v>0</v>
      </c>
      <c r="AG537" s="203">
        <v>0</v>
      </c>
      <c r="AH537" s="202">
        <v>0</v>
      </c>
      <c r="AI537" s="203">
        <v>0</v>
      </c>
      <c r="AJ537" s="202">
        <v>0</v>
      </c>
      <c r="AK537" s="203">
        <v>0</v>
      </c>
      <c r="AL537" s="203">
        <v>0</v>
      </c>
      <c r="AM537" s="203">
        <v>0</v>
      </c>
      <c r="AN537" s="203"/>
      <c r="AO537" s="203">
        <v>0</v>
      </c>
    </row>
    <row r="538" spans="1:41" s="176" customFormat="1" ht="36" customHeight="1" x14ac:dyDescent="0.25">
      <c r="A538" s="176">
        <v>1</v>
      </c>
      <c r="B538" s="171">
        <f>SUBTOTAL(103,$A$16:A538)</f>
        <v>460</v>
      </c>
      <c r="C538" s="172" t="s">
        <v>212</v>
      </c>
      <c r="D538" s="173">
        <v>1974</v>
      </c>
      <c r="E538" s="173"/>
      <c r="F538" s="174" t="s">
        <v>267</v>
      </c>
      <c r="G538" s="173">
        <v>2</v>
      </c>
      <c r="H538" s="173" t="s">
        <v>303</v>
      </c>
      <c r="I538" s="170">
        <v>749.6</v>
      </c>
      <c r="J538" s="170">
        <v>685.4</v>
      </c>
      <c r="K538" s="170">
        <v>685.4</v>
      </c>
      <c r="L538" s="206">
        <v>36</v>
      </c>
      <c r="M538" s="173" t="s">
        <v>265</v>
      </c>
      <c r="N538" s="173" t="s">
        <v>269</v>
      </c>
      <c r="O538" s="175" t="s">
        <v>332</v>
      </c>
      <c r="P538" s="170">
        <v>34177.35</v>
      </c>
      <c r="Q538" s="170">
        <v>0</v>
      </c>
      <c r="R538" s="170">
        <v>0</v>
      </c>
      <c r="S538" s="170">
        <f>P538-R538-Q538</f>
        <v>34177.35</v>
      </c>
      <c r="T538" s="170">
        <f t="shared" si="55"/>
        <v>45.594116862326572</v>
      </c>
      <c r="U538" s="170">
        <v>45.594116862326572</v>
      </c>
      <c r="V538" s="202">
        <f t="shared" si="57"/>
        <v>0</v>
      </c>
      <c r="W538" s="202">
        <f>T538</f>
        <v>45.594116862326572</v>
      </c>
      <c r="X538" s="202">
        <v>0</v>
      </c>
      <c r="Y538" s="203">
        <v>0</v>
      </c>
      <c r="Z538" s="203">
        <v>0</v>
      </c>
      <c r="AA538" s="203">
        <v>0</v>
      </c>
      <c r="AB538" s="203">
        <v>0</v>
      </c>
      <c r="AC538" s="203">
        <v>0</v>
      </c>
      <c r="AD538" s="203">
        <v>0</v>
      </c>
      <c r="AE538" s="203">
        <v>0</v>
      </c>
      <c r="AF538" s="202">
        <v>0</v>
      </c>
      <c r="AG538" s="203">
        <v>0</v>
      </c>
      <c r="AH538" s="202">
        <v>0</v>
      </c>
      <c r="AI538" s="203">
        <v>0</v>
      </c>
      <c r="AJ538" s="202">
        <v>0</v>
      </c>
      <c r="AK538" s="203">
        <v>0</v>
      </c>
      <c r="AL538" s="203">
        <v>0</v>
      </c>
      <c r="AM538" s="203">
        <v>0</v>
      </c>
      <c r="AN538" s="203"/>
      <c r="AO538" s="203">
        <v>0</v>
      </c>
    </row>
    <row r="539" spans="1:41" s="176" customFormat="1" ht="36" customHeight="1" x14ac:dyDescent="0.25">
      <c r="B539" s="172" t="s">
        <v>855</v>
      </c>
      <c r="C539" s="172"/>
      <c r="D539" s="173" t="s">
        <v>882</v>
      </c>
      <c r="E539" s="173" t="s">
        <v>882</v>
      </c>
      <c r="F539" s="173" t="s">
        <v>882</v>
      </c>
      <c r="G539" s="173" t="s">
        <v>882</v>
      </c>
      <c r="H539" s="173" t="s">
        <v>882</v>
      </c>
      <c r="I539" s="177">
        <f>SUM(I540:I543)</f>
        <v>2975.2</v>
      </c>
      <c r="J539" s="177">
        <f>SUM(J540:J543)</f>
        <v>2622.3</v>
      </c>
      <c r="K539" s="177">
        <f>SUM(K540:K543)</f>
        <v>2622.3</v>
      </c>
      <c r="L539" s="357">
        <f>SUM(L540:L543)</f>
        <v>130</v>
      </c>
      <c r="M539" s="173" t="s">
        <v>882</v>
      </c>
      <c r="N539" s="173" t="s">
        <v>882</v>
      </c>
      <c r="O539" s="175" t="s">
        <v>882</v>
      </c>
      <c r="P539" s="170">
        <v>3506290.42</v>
      </c>
      <c r="Q539" s="170">
        <f>SUM(Q540:Q543)</f>
        <v>0</v>
      </c>
      <c r="R539" s="170">
        <f>SUM(R540:R543)</f>
        <v>0</v>
      </c>
      <c r="S539" s="170">
        <f>SUM(S540:S543)</f>
        <v>3506290.42</v>
      </c>
      <c r="T539" s="170">
        <f t="shared" si="55"/>
        <v>1178.5057878461953</v>
      </c>
      <c r="U539" s="170">
        <f>MAX(U540:U543)</f>
        <v>5181.0369785098437</v>
      </c>
      <c r="V539" s="202">
        <f t="shared" si="57"/>
        <v>4002.5311906636484</v>
      </c>
      <c r="W539" s="202"/>
      <c r="X539" s="202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</row>
    <row r="540" spans="1:41" s="176" customFormat="1" ht="36" customHeight="1" x14ac:dyDescent="0.25">
      <c r="A540" s="176">
        <v>1</v>
      </c>
      <c r="B540" s="171">
        <f>SUBTOTAL(103,$A$16:A540)</f>
        <v>461</v>
      </c>
      <c r="C540" s="172" t="s">
        <v>220</v>
      </c>
      <c r="D540" s="173">
        <v>1971</v>
      </c>
      <c r="E540" s="173"/>
      <c r="F540" s="174" t="s">
        <v>267</v>
      </c>
      <c r="G540" s="173">
        <v>2</v>
      </c>
      <c r="H540" s="173" t="s">
        <v>303</v>
      </c>
      <c r="I540" s="170">
        <v>777.1</v>
      </c>
      <c r="J540" s="170">
        <v>718.2</v>
      </c>
      <c r="K540" s="170">
        <v>718.2</v>
      </c>
      <c r="L540" s="206">
        <v>38</v>
      </c>
      <c r="M540" s="173" t="s">
        <v>265</v>
      </c>
      <c r="N540" s="173" t="s">
        <v>269</v>
      </c>
      <c r="O540" s="175" t="s">
        <v>332</v>
      </c>
      <c r="P540" s="170">
        <v>2426341.25</v>
      </c>
      <c r="Q540" s="170">
        <v>0</v>
      </c>
      <c r="R540" s="170">
        <v>0</v>
      </c>
      <c r="S540" s="170">
        <f>P540-Q540-R540</f>
        <v>2426341.25</v>
      </c>
      <c r="T540" s="170">
        <f t="shared" si="55"/>
        <v>3122.3024707244886</v>
      </c>
      <c r="U540" s="170">
        <v>5181.0369785098437</v>
      </c>
      <c r="V540" s="202">
        <f t="shared" si="57"/>
        <v>2058.7345077853552</v>
      </c>
      <c r="W540" s="202">
        <f>T540</f>
        <v>3122.3024707244886</v>
      </c>
      <c r="X540" s="202">
        <v>0</v>
      </c>
      <c r="Y540" s="203">
        <v>0</v>
      </c>
      <c r="Z540" s="203">
        <v>0</v>
      </c>
      <c r="AA540" s="203">
        <v>184.98</v>
      </c>
      <c r="AB540" s="203">
        <v>0</v>
      </c>
      <c r="AC540" s="203">
        <v>0</v>
      </c>
      <c r="AD540" s="203">
        <v>0</v>
      </c>
      <c r="AE540" s="203">
        <v>0</v>
      </c>
      <c r="AF540" s="202">
        <v>0</v>
      </c>
      <c r="AG540" s="203">
        <v>0</v>
      </c>
      <c r="AH540" s="202">
        <v>0</v>
      </c>
      <c r="AI540" s="203">
        <v>0</v>
      </c>
      <c r="AJ540" s="202">
        <v>0</v>
      </c>
      <c r="AK540" s="203">
        <v>0</v>
      </c>
      <c r="AL540" s="203">
        <v>0</v>
      </c>
      <c r="AM540" s="203">
        <v>0</v>
      </c>
      <c r="AN540" s="203"/>
      <c r="AO540" s="203">
        <v>0</v>
      </c>
    </row>
    <row r="541" spans="1:41" s="176" customFormat="1" ht="36" customHeight="1" x14ac:dyDescent="0.25">
      <c r="A541" s="176">
        <v>1</v>
      </c>
      <c r="B541" s="171">
        <f>SUBTOTAL(103,$A$16:A541)</f>
        <v>462</v>
      </c>
      <c r="C541" s="172" t="s">
        <v>225</v>
      </c>
      <c r="D541" s="173">
        <v>1978</v>
      </c>
      <c r="E541" s="173"/>
      <c r="F541" s="174" t="s">
        <v>311</v>
      </c>
      <c r="G541" s="173">
        <v>3</v>
      </c>
      <c r="H541" s="173" t="s">
        <v>303</v>
      </c>
      <c r="I541" s="170">
        <v>1015.3</v>
      </c>
      <c r="J541" s="170">
        <v>929.3</v>
      </c>
      <c r="K541" s="170">
        <v>929.3</v>
      </c>
      <c r="L541" s="206">
        <v>37</v>
      </c>
      <c r="M541" s="173" t="s">
        <v>265</v>
      </c>
      <c r="N541" s="173" t="s">
        <v>269</v>
      </c>
      <c r="O541" s="175" t="s">
        <v>332</v>
      </c>
      <c r="P541" s="170">
        <v>112884.08</v>
      </c>
      <c r="Q541" s="170">
        <v>0</v>
      </c>
      <c r="R541" s="170">
        <v>0</v>
      </c>
      <c r="S541" s="170">
        <f>P541-Q541-R541</f>
        <v>112884.08</v>
      </c>
      <c r="T541" s="170">
        <f t="shared" si="55"/>
        <v>111.18298039988181</v>
      </c>
      <c r="U541" s="170">
        <v>111.18298039988181</v>
      </c>
      <c r="V541" s="202">
        <f t="shared" si="57"/>
        <v>0</v>
      </c>
      <c r="W541" s="202">
        <f>X541+Y541+Z541+AA541+AB541+AD541+AF541+AH541+AJ541+AL541+AN541+AO541</f>
        <v>3801.7224847828224</v>
      </c>
      <c r="X541" s="202">
        <v>0</v>
      </c>
      <c r="Y541" s="203">
        <v>0</v>
      </c>
      <c r="Z541" s="203">
        <v>0</v>
      </c>
      <c r="AA541" s="203">
        <v>0</v>
      </c>
      <c r="AB541" s="203">
        <v>0</v>
      </c>
      <c r="AC541" s="203">
        <v>0</v>
      </c>
      <c r="AD541" s="203">
        <v>0</v>
      </c>
      <c r="AE541" s="203">
        <v>618.67999999999995</v>
      </c>
      <c r="AF541" s="202">
        <f>6238.91*AE541/I541</f>
        <v>3801.7224847828224</v>
      </c>
      <c r="AG541" s="203">
        <v>0</v>
      </c>
      <c r="AH541" s="202">
        <v>0</v>
      </c>
      <c r="AI541" s="203">
        <v>0</v>
      </c>
      <c r="AJ541" s="202">
        <v>0</v>
      </c>
      <c r="AK541" s="203">
        <v>0</v>
      </c>
      <c r="AL541" s="203">
        <v>0</v>
      </c>
      <c r="AM541" s="203">
        <v>0</v>
      </c>
      <c r="AN541" s="203"/>
      <c r="AO541" s="203">
        <v>0</v>
      </c>
    </row>
    <row r="542" spans="1:41" s="176" customFormat="1" ht="36" customHeight="1" x14ac:dyDescent="0.25">
      <c r="A542" s="176">
        <v>1</v>
      </c>
      <c r="B542" s="171">
        <f>SUBTOTAL(103,$A$16:A542)</f>
        <v>463</v>
      </c>
      <c r="C542" s="172" t="s">
        <v>1079</v>
      </c>
      <c r="D542" s="173">
        <v>1938</v>
      </c>
      <c r="E542" s="173"/>
      <c r="F542" s="174" t="s">
        <v>330</v>
      </c>
      <c r="G542" s="173">
        <v>2</v>
      </c>
      <c r="H542" s="173" t="s">
        <v>304</v>
      </c>
      <c r="I542" s="170">
        <v>369.2</v>
      </c>
      <c r="J542" s="170">
        <v>222.5</v>
      </c>
      <c r="K542" s="170">
        <v>222.5</v>
      </c>
      <c r="L542" s="206">
        <v>16</v>
      </c>
      <c r="M542" s="173" t="s">
        <v>265</v>
      </c>
      <c r="N542" s="173" t="s">
        <v>266</v>
      </c>
      <c r="O542" s="175" t="s">
        <v>268</v>
      </c>
      <c r="P542" s="170">
        <v>930608.30999999994</v>
      </c>
      <c r="Q542" s="170">
        <v>0</v>
      </c>
      <c r="R542" s="170">
        <v>0</v>
      </c>
      <c r="S542" s="170">
        <f>P542-Q542-R542</f>
        <v>930608.30999999994</v>
      </c>
      <c r="T542" s="170">
        <f t="shared" si="55"/>
        <v>2520.6075568797401</v>
      </c>
      <c r="U542" s="170">
        <v>3373.7101300108343</v>
      </c>
      <c r="V542" s="202">
        <f t="shared" si="57"/>
        <v>853.10257313109423</v>
      </c>
      <c r="W542" s="202">
        <f>T542</f>
        <v>2520.6075568797401</v>
      </c>
      <c r="X542" s="202">
        <v>0</v>
      </c>
      <c r="Y542" s="203">
        <v>0</v>
      </c>
      <c r="Z542" s="203">
        <v>0</v>
      </c>
      <c r="AA542" s="203">
        <v>0</v>
      </c>
      <c r="AB542" s="203">
        <v>0</v>
      </c>
      <c r="AC542" s="203">
        <v>0</v>
      </c>
      <c r="AD542" s="203">
        <v>0</v>
      </c>
      <c r="AE542" s="203">
        <v>0</v>
      </c>
      <c r="AF542" s="202">
        <v>0</v>
      </c>
      <c r="AG542" s="203">
        <v>0</v>
      </c>
      <c r="AH542" s="202">
        <v>0</v>
      </c>
      <c r="AI542" s="203">
        <v>0</v>
      </c>
      <c r="AJ542" s="202">
        <v>0</v>
      </c>
      <c r="AK542" s="203">
        <v>0</v>
      </c>
      <c r="AL542" s="203">
        <v>0</v>
      </c>
      <c r="AM542" s="203">
        <v>384</v>
      </c>
      <c r="AN542" s="203">
        <f>6984.52*AM542/I542</f>
        <v>7264.5061755146271</v>
      </c>
      <c r="AO542" s="203">
        <v>0</v>
      </c>
    </row>
    <row r="543" spans="1:41" s="176" customFormat="1" ht="36" customHeight="1" x14ac:dyDescent="0.25">
      <c r="A543" s="176">
        <v>1</v>
      </c>
      <c r="B543" s="171">
        <f>SUBTOTAL(103,$A$16:A543)</f>
        <v>464</v>
      </c>
      <c r="C543" s="172" t="s">
        <v>224</v>
      </c>
      <c r="D543" s="173">
        <v>1973</v>
      </c>
      <c r="E543" s="173"/>
      <c r="F543" s="174" t="s">
        <v>267</v>
      </c>
      <c r="G543" s="173">
        <v>2</v>
      </c>
      <c r="H543" s="173" t="s">
        <v>303</v>
      </c>
      <c r="I543" s="170">
        <v>813.6</v>
      </c>
      <c r="J543" s="170">
        <v>752.3</v>
      </c>
      <c r="K543" s="170">
        <v>752.3</v>
      </c>
      <c r="L543" s="206">
        <v>39</v>
      </c>
      <c r="M543" s="173" t="s">
        <v>265</v>
      </c>
      <c r="N543" s="173" t="s">
        <v>266</v>
      </c>
      <c r="O543" s="175" t="s">
        <v>268</v>
      </c>
      <c r="P543" s="170">
        <v>36456.78</v>
      </c>
      <c r="Q543" s="170">
        <v>0</v>
      </c>
      <c r="R543" s="170">
        <v>0</v>
      </c>
      <c r="S543" s="170">
        <f>P543-Q543-R543</f>
        <v>36456.78</v>
      </c>
      <c r="T543" s="170">
        <f t="shared" si="55"/>
        <v>44.809218289085543</v>
      </c>
      <c r="U543" s="170">
        <v>44.809218289085543</v>
      </c>
      <c r="V543" s="202">
        <f t="shared" si="57"/>
        <v>0</v>
      </c>
      <c r="W543" s="202">
        <f>X543+Y543+Z543+AA543+AB543+AD543+AF543+AH543+AJ543+AL543+AN543+AO543</f>
        <v>1467.7081784660768</v>
      </c>
      <c r="X543" s="202">
        <v>0</v>
      </c>
      <c r="Y543" s="203">
        <v>0</v>
      </c>
      <c r="Z543" s="203">
        <v>0</v>
      </c>
      <c r="AA543" s="203">
        <v>0</v>
      </c>
      <c r="AB543" s="203">
        <v>0</v>
      </c>
      <c r="AC543" s="203">
        <v>0</v>
      </c>
      <c r="AD543" s="203">
        <v>0</v>
      </c>
      <c r="AE543" s="203">
        <v>191.4</v>
      </c>
      <c r="AF543" s="202">
        <f>6238.91*AE543/I543</f>
        <v>1467.7081784660768</v>
      </c>
      <c r="AG543" s="203">
        <v>0</v>
      </c>
      <c r="AH543" s="202">
        <v>0</v>
      </c>
      <c r="AI543" s="203">
        <v>0</v>
      </c>
      <c r="AJ543" s="202">
        <v>0</v>
      </c>
      <c r="AK543" s="203">
        <v>0</v>
      </c>
      <c r="AL543" s="203">
        <v>0</v>
      </c>
      <c r="AM543" s="203">
        <v>0</v>
      </c>
      <c r="AN543" s="203"/>
      <c r="AO543" s="203">
        <v>0</v>
      </c>
    </row>
    <row r="544" spans="1:41" s="176" customFormat="1" ht="36" customHeight="1" x14ac:dyDescent="0.25">
      <c r="B544" s="172" t="s">
        <v>856</v>
      </c>
      <c r="C544" s="172"/>
      <c r="D544" s="173" t="s">
        <v>882</v>
      </c>
      <c r="E544" s="173" t="s">
        <v>882</v>
      </c>
      <c r="F544" s="173" t="s">
        <v>882</v>
      </c>
      <c r="G544" s="173" t="s">
        <v>882</v>
      </c>
      <c r="H544" s="173" t="s">
        <v>882</v>
      </c>
      <c r="I544" s="177">
        <f>SUM(I545:I546)</f>
        <v>1422.8</v>
      </c>
      <c r="J544" s="177">
        <f>SUM(J545:J546)</f>
        <v>1303.8000000000002</v>
      </c>
      <c r="K544" s="177">
        <f>SUM(K545:K546)</f>
        <v>1303.8000000000002</v>
      </c>
      <c r="L544" s="357">
        <f>SUM(L545:L546)</f>
        <v>64</v>
      </c>
      <c r="M544" s="173" t="s">
        <v>882</v>
      </c>
      <c r="N544" s="173" t="s">
        <v>882</v>
      </c>
      <c r="O544" s="175" t="s">
        <v>882</v>
      </c>
      <c r="P544" s="170">
        <v>735510.79</v>
      </c>
      <c r="Q544" s="170">
        <f>SUM(Q545:Q546)</f>
        <v>0</v>
      </c>
      <c r="R544" s="170">
        <f>SUM(R545:R546)</f>
        <v>0</v>
      </c>
      <c r="S544" s="170">
        <f>SUM(S545:S546)</f>
        <v>735510.79</v>
      </c>
      <c r="T544" s="170">
        <f t="shared" si="55"/>
        <v>516.94601490019681</v>
      </c>
      <c r="U544" s="170">
        <f>MAX(U545:U546)</f>
        <v>5427.1975948891395</v>
      </c>
      <c r="V544" s="202">
        <f>U544-T544</f>
        <v>4910.2515799889425</v>
      </c>
      <c r="W544" s="202"/>
      <c r="X544" s="202"/>
      <c r="Y544" s="203"/>
      <c r="Z544" s="203"/>
      <c r="AA544" s="203"/>
      <c r="AB544" s="203"/>
      <c r="AC544" s="203"/>
      <c r="AD544" s="203"/>
      <c r="AE544" s="203"/>
      <c r="AF544" s="203"/>
      <c r="AG544" s="203"/>
      <c r="AH544" s="203"/>
      <c r="AI544" s="203"/>
      <c r="AJ544" s="203"/>
      <c r="AK544" s="203"/>
      <c r="AL544" s="203"/>
      <c r="AM544" s="203"/>
      <c r="AN544" s="203"/>
      <c r="AO544" s="203"/>
    </row>
    <row r="545" spans="1:41" s="176" customFormat="1" ht="36" customHeight="1" x14ac:dyDescent="0.25">
      <c r="A545" s="176">
        <v>1</v>
      </c>
      <c r="B545" s="171">
        <f>SUBTOTAL(103,$A$16:A545)</f>
        <v>465</v>
      </c>
      <c r="C545" s="172" t="s">
        <v>1277</v>
      </c>
      <c r="D545" s="173">
        <v>1976</v>
      </c>
      <c r="E545" s="173"/>
      <c r="F545" s="174" t="s">
        <v>267</v>
      </c>
      <c r="G545" s="173">
        <v>2</v>
      </c>
      <c r="H545" s="173" t="s">
        <v>303</v>
      </c>
      <c r="I545" s="170">
        <v>798.3</v>
      </c>
      <c r="J545" s="170">
        <v>736.7</v>
      </c>
      <c r="K545" s="170">
        <v>736.7</v>
      </c>
      <c r="L545" s="206">
        <v>32</v>
      </c>
      <c r="M545" s="173" t="s">
        <v>265</v>
      </c>
      <c r="N545" s="173" t="s">
        <v>266</v>
      </c>
      <c r="O545" s="175" t="s">
        <v>268</v>
      </c>
      <c r="P545" s="170">
        <v>306059.67</v>
      </c>
      <c r="Q545" s="170">
        <v>0</v>
      </c>
      <c r="R545" s="170">
        <v>0</v>
      </c>
      <c r="S545" s="170">
        <f>P545-Q545-R545</f>
        <v>306059.67</v>
      </c>
      <c r="T545" s="170">
        <f t="shared" si="55"/>
        <v>383.38928974069898</v>
      </c>
      <c r="U545" s="170">
        <v>5427.1975948891395</v>
      </c>
      <c r="V545" s="202">
        <f>U545-T545</f>
        <v>5043.8083051484409</v>
      </c>
      <c r="W545" s="202">
        <f>T545</f>
        <v>383.38928974069898</v>
      </c>
      <c r="X545" s="202">
        <v>0</v>
      </c>
      <c r="Y545" s="203">
        <v>0</v>
      </c>
      <c r="Z545" s="203">
        <v>0</v>
      </c>
      <c r="AA545" s="203">
        <v>184.98</v>
      </c>
      <c r="AB545" s="203">
        <v>0</v>
      </c>
      <c r="AC545" s="203">
        <v>0</v>
      </c>
      <c r="AD545" s="203">
        <v>0</v>
      </c>
      <c r="AE545" s="203">
        <v>0</v>
      </c>
      <c r="AF545" s="202">
        <v>0</v>
      </c>
      <c r="AG545" s="203">
        <v>0</v>
      </c>
      <c r="AH545" s="202">
        <v>0</v>
      </c>
      <c r="AI545" s="203">
        <v>0</v>
      </c>
      <c r="AJ545" s="202">
        <v>0</v>
      </c>
      <c r="AK545" s="203">
        <v>0</v>
      </c>
      <c r="AL545" s="203">
        <v>0</v>
      </c>
      <c r="AM545" s="203">
        <v>0</v>
      </c>
      <c r="AN545" s="203"/>
      <c r="AO545" s="203">
        <v>0</v>
      </c>
    </row>
    <row r="546" spans="1:41" s="176" customFormat="1" ht="36" customHeight="1" x14ac:dyDescent="0.25">
      <c r="A546" s="176">
        <v>1</v>
      </c>
      <c r="B546" s="171">
        <f>SUBTOTAL(103,$A$16:A546)</f>
        <v>466</v>
      </c>
      <c r="C546" s="172" t="s">
        <v>1278</v>
      </c>
      <c r="D546" s="173">
        <v>1986</v>
      </c>
      <c r="E546" s="173"/>
      <c r="F546" s="174" t="s">
        <v>318</v>
      </c>
      <c r="G546" s="173">
        <v>2</v>
      </c>
      <c r="H546" s="173" t="s">
        <v>303</v>
      </c>
      <c r="I546" s="170">
        <v>624.5</v>
      </c>
      <c r="J546" s="170">
        <v>567.1</v>
      </c>
      <c r="K546" s="170">
        <v>567.1</v>
      </c>
      <c r="L546" s="206">
        <v>32</v>
      </c>
      <c r="M546" s="173" t="s">
        <v>265</v>
      </c>
      <c r="N546" s="173" t="s">
        <v>266</v>
      </c>
      <c r="O546" s="175" t="s">
        <v>268</v>
      </c>
      <c r="P546" s="170">
        <v>429451.12</v>
      </c>
      <c r="Q546" s="170">
        <v>0</v>
      </c>
      <c r="R546" s="170">
        <v>0</v>
      </c>
      <c r="S546" s="170">
        <f>P546-Q546-R546</f>
        <v>429451.12</v>
      </c>
      <c r="T546" s="170">
        <f t="shared" si="55"/>
        <v>687.67192954363486</v>
      </c>
      <c r="U546" s="170">
        <v>3738.4767846277018</v>
      </c>
      <c r="V546" s="202">
        <f>U546-T546</f>
        <v>3050.8048550840667</v>
      </c>
      <c r="W546" s="202">
        <f>X546+Y546+Z546+AA546+AB546+AD546+AF546+AH546+AJ546+AL546+AN546+AO546</f>
        <v>6937.6010248198554</v>
      </c>
      <c r="X546" s="202">
        <v>0</v>
      </c>
      <c r="Y546" s="203">
        <v>0</v>
      </c>
      <c r="Z546" s="203">
        <v>0</v>
      </c>
      <c r="AA546" s="203">
        <v>0</v>
      </c>
      <c r="AB546" s="203">
        <v>0</v>
      </c>
      <c r="AC546" s="203">
        <v>0</v>
      </c>
      <c r="AD546" s="203">
        <v>0</v>
      </c>
      <c r="AE546" s="203">
        <v>0</v>
      </c>
      <c r="AF546" s="202">
        <v>0</v>
      </c>
      <c r="AG546" s="203">
        <v>0</v>
      </c>
      <c r="AH546" s="202">
        <v>0</v>
      </c>
      <c r="AI546" s="203">
        <v>582.4</v>
      </c>
      <c r="AJ546" s="202">
        <f>7439.1*AI546/I546</f>
        <v>6937.6010248198554</v>
      </c>
      <c r="AK546" s="203">
        <v>0</v>
      </c>
      <c r="AL546" s="203">
        <v>0</v>
      </c>
      <c r="AM546" s="203">
        <v>0</v>
      </c>
      <c r="AN546" s="203"/>
      <c r="AO546" s="203">
        <v>0</v>
      </c>
    </row>
    <row r="547" spans="1:41" s="176" customFormat="1" ht="36" customHeight="1" x14ac:dyDescent="0.25">
      <c r="B547" s="172" t="s">
        <v>857</v>
      </c>
      <c r="C547" s="172"/>
      <c r="D547" s="173" t="s">
        <v>882</v>
      </c>
      <c r="E547" s="173" t="s">
        <v>882</v>
      </c>
      <c r="F547" s="173" t="s">
        <v>882</v>
      </c>
      <c r="G547" s="173" t="s">
        <v>882</v>
      </c>
      <c r="H547" s="173" t="s">
        <v>882</v>
      </c>
      <c r="I547" s="177">
        <f>SUM(I548:I549)</f>
        <v>1109.3</v>
      </c>
      <c r="J547" s="177">
        <f>SUM(J548:J549)</f>
        <v>1034.5999999999999</v>
      </c>
      <c r="K547" s="177">
        <f>SUM(K548:K549)</f>
        <v>1034.5999999999999</v>
      </c>
      <c r="L547" s="357">
        <f>SUM(L548:L549)</f>
        <v>49</v>
      </c>
      <c r="M547" s="173" t="s">
        <v>882</v>
      </c>
      <c r="N547" s="173" t="s">
        <v>882</v>
      </c>
      <c r="O547" s="175" t="s">
        <v>882</v>
      </c>
      <c r="P547" s="170">
        <v>1268994.68</v>
      </c>
      <c r="Q547" s="170">
        <f>SUM(Q548:Q549)</f>
        <v>0</v>
      </c>
      <c r="R547" s="170">
        <f>SUM(R548:R549)</f>
        <v>0</v>
      </c>
      <c r="S547" s="170">
        <f>SUM(S548:S549)</f>
        <v>1268994.68</v>
      </c>
      <c r="T547" s="170">
        <f t="shared" si="55"/>
        <v>1143.9598665825295</v>
      </c>
      <c r="U547" s="170">
        <f>MAX(U548:U549)</f>
        <v>6089.43572778828</v>
      </c>
      <c r="V547" s="202">
        <f t="shared" si="57"/>
        <v>4945.4758612057503</v>
      </c>
      <c r="W547" s="202"/>
      <c r="X547" s="202"/>
      <c r="Y547" s="203"/>
      <c r="Z547" s="203"/>
      <c r="AA547" s="203"/>
      <c r="AB547" s="203"/>
      <c r="AC547" s="203"/>
      <c r="AD547" s="203"/>
      <c r="AE547" s="203"/>
      <c r="AF547" s="203"/>
      <c r="AG547" s="203"/>
      <c r="AH547" s="203"/>
      <c r="AI547" s="203"/>
      <c r="AJ547" s="203"/>
      <c r="AK547" s="203"/>
      <c r="AL547" s="203"/>
      <c r="AM547" s="203"/>
      <c r="AN547" s="203"/>
      <c r="AO547" s="203"/>
    </row>
    <row r="548" spans="1:41" s="176" customFormat="1" ht="36" customHeight="1" x14ac:dyDescent="0.25">
      <c r="A548" s="176">
        <v>1</v>
      </c>
      <c r="B548" s="171">
        <f>SUBTOTAL(103,$A$16:A548)</f>
        <v>467</v>
      </c>
      <c r="C548" s="172" t="s">
        <v>222</v>
      </c>
      <c r="D548" s="173">
        <v>1966</v>
      </c>
      <c r="E548" s="173"/>
      <c r="F548" s="174" t="s">
        <v>267</v>
      </c>
      <c r="G548" s="173">
        <v>2</v>
      </c>
      <c r="H548" s="173" t="s">
        <v>304</v>
      </c>
      <c r="I548" s="170">
        <v>317.39999999999998</v>
      </c>
      <c r="J548" s="170">
        <v>297.7</v>
      </c>
      <c r="K548" s="170">
        <v>297.7</v>
      </c>
      <c r="L548" s="206">
        <v>22</v>
      </c>
      <c r="M548" s="173" t="s">
        <v>265</v>
      </c>
      <c r="N548" s="173" t="s">
        <v>266</v>
      </c>
      <c r="O548" s="175" t="s">
        <v>268</v>
      </c>
      <c r="P548" s="170">
        <v>1233277.05</v>
      </c>
      <c r="Q548" s="170">
        <v>0</v>
      </c>
      <c r="R548" s="170">
        <v>0</v>
      </c>
      <c r="S548" s="170">
        <f>P548-Q548-R548</f>
        <v>1233277.05</v>
      </c>
      <c r="T548" s="170">
        <f t="shared" si="55"/>
        <v>3885.5609640831763</v>
      </c>
      <c r="U548" s="170">
        <v>6089.43572778828</v>
      </c>
      <c r="V548" s="202">
        <f>U548-T548</f>
        <v>2203.8747637051038</v>
      </c>
      <c r="W548" s="202">
        <f>X548+Y548+Z548+AA548+AB548+AD548+AF548+AH548+AJ548+AL548+AN548+AO548</f>
        <v>5837.9214555765602</v>
      </c>
      <c r="X548" s="202">
        <v>0</v>
      </c>
      <c r="Y548" s="203">
        <v>0</v>
      </c>
      <c r="Z548" s="203">
        <v>0</v>
      </c>
      <c r="AA548" s="203">
        <v>0</v>
      </c>
      <c r="AB548" s="203">
        <v>0</v>
      </c>
      <c r="AC548" s="203">
        <v>0</v>
      </c>
      <c r="AD548" s="203">
        <v>0</v>
      </c>
      <c r="AE548" s="203">
        <v>297</v>
      </c>
      <c r="AF548" s="202">
        <f>6238.91*AE548/I548</f>
        <v>5837.9214555765602</v>
      </c>
      <c r="AG548" s="203">
        <v>0</v>
      </c>
      <c r="AH548" s="202">
        <v>0</v>
      </c>
      <c r="AI548" s="203">
        <v>0</v>
      </c>
      <c r="AJ548" s="202">
        <v>0</v>
      </c>
      <c r="AK548" s="203">
        <v>0</v>
      </c>
      <c r="AL548" s="203">
        <v>0</v>
      </c>
      <c r="AM548" s="203">
        <v>0</v>
      </c>
      <c r="AN548" s="203"/>
      <c r="AO548" s="203">
        <v>0</v>
      </c>
    </row>
    <row r="549" spans="1:41" s="176" customFormat="1" ht="36" customHeight="1" x14ac:dyDescent="0.25">
      <c r="A549" s="176">
        <v>1</v>
      </c>
      <c r="B549" s="171">
        <f>SUBTOTAL(103,$A$16:A549)</f>
        <v>468</v>
      </c>
      <c r="C549" s="172" t="s">
        <v>218</v>
      </c>
      <c r="D549" s="173">
        <v>1979</v>
      </c>
      <c r="E549" s="173"/>
      <c r="F549" s="174" t="s">
        <v>267</v>
      </c>
      <c r="G549" s="173">
        <v>2</v>
      </c>
      <c r="H549" s="173" t="s">
        <v>303</v>
      </c>
      <c r="I549" s="170">
        <v>791.9</v>
      </c>
      <c r="J549" s="170">
        <v>736.9</v>
      </c>
      <c r="K549" s="170">
        <v>736.9</v>
      </c>
      <c r="L549" s="206">
        <v>27</v>
      </c>
      <c r="M549" s="173" t="s">
        <v>265</v>
      </c>
      <c r="N549" s="173" t="s">
        <v>266</v>
      </c>
      <c r="O549" s="175" t="s">
        <v>268</v>
      </c>
      <c r="P549" s="170">
        <v>35717.629999999997</v>
      </c>
      <c r="Q549" s="170">
        <v>0</v>
      </c>
      <c r="R549" s="170">
        <v>0</v>
      </c>
      <c r="S549" s="170">
        <f>P549-Q549-R549</f>
        <v>35717.629999999997</v>
      </c>
      <c r="T549" s="170">
        <f t="shared" si="55"/>
        <v>45.103712589973476</v>
      </c>
      <c r="U549" s="170">
        <v>45.103712589973476</v>
      </c>
      <c r="V549" s="202">
        <f>U549-T549</f>
        <v>0</v>
      </c>
      <c r="W549" s="202">
        <f>X549+Y549+Z549+AA549+AB549+AD549+AF549+AH549+AJ549+AL549+AN549+AO549</f>
        <v>2339.8866902386667</v>
      </c>
      <c r="X549" s="202">
        <v>0</v>
      </c>
      <c r="Y549" s="203">
        <v>0</v>
      </c>
      <c r="Z549" s="203">
        <v>0</v>
      </c>
      <c r="AA549" s="203">
        <v>0</v>
      </c>
      <c r="AB549" s="203">
        <v>0</v>
      </c>
      <c r="AC549" s="203">
        <v>0</v>
      </c>
      <c r="AD549" s="203">
        <v>0</v>
      </c>
      <c r="AE549" s="203">
        <v>297</v>
      </c>
      <c r="AF549" s="202">
        <f>6238.91*AE549/I549</f>
        <v>2339.8866902386667</v>
      </c>
      <c r="AG549" s="203">
        <v>0</v>
      </c>
      <c r="AH549" s="202">
        <v>0</v>
      </c>
      <c r="AI549" s="203">
        <v>0</v>
      </c>
      <c r="AJ549" s="202">
        <v>0</v>
      </c>
      <c r="AK549" s="203">
        <v>0</v>
      </c>
      <c r="AL549" s="203">
        <v>0</v>
      </c>
      <c r="AM549" s="203">
        <v>0</v>
      </c>
      <c r="AN549" s="203"/>
      <c r="AO549" s="203">
        <v>0</v>
      </c>
    </row>
    <row r="550" spans="1:41" s="176" customFormat="1" ht="36" customHeight="1" x14ac:dyDescent="0.25">
      <c r="B550" s="172" t="s">
        <v>746</v>
      </c>
      <c r="C550" s="172"/>
      <c r="D550" s="173" t="s">
        <v>882</v>
      </c>
      <c r="E550" s="173" t="s">
        <v>882</v>
      </c>
      <c r="F550" s="173" t="s">
        <v>882</v>
      </c>
      <c r="G550" s="173" t="s">
        <v>882</v>
      </c>
      <c r="H550" s="173" t="s">
        <v>882</v>
      </c>
      <c r="I550" s="177">
        <f>I551+I643+I675+I735+I797+I815+I842+I850+I857+I862+I864+I867+I869+I871+I888+I899+I905+I909+I911+I915+I917+I919+I926+I942+I946+I949+I952+I955+I964+I968+I970+I977+I979+I981+I983+I991+I1001+I997+I1003+I1012+I1018+I1021+I1023+I1027+I1031+I1037+I1044+I1048+I1050+I1054+I1056+I1064+I1068+I1076+I1083+I988+I1066+I902+I924+I939+I1016+I1025+I1052+I1081+I1062+I975+I907+I913</f>
        <v>1423745.1500000004</v>
      </c>
      <c r="J550" s="177">
        <f>J551+J643+J675+J735+J797+J815+J842+J850+J857+J862+J864+J867+J869+J871+J888+J899+J905+J909+J911+J915+J917+J919+J926+J942+J946+J949+J952+J955+J964+J968+J970+J977+J979+J981+J983+J991+J1001+J997+J1003+J1012+J1018+J1021+J1023+J1027+J1031+J1037+J1044+J1048+J1050+J1054+J1056+J1064+J1068+J1076+J1083+J988+J1066+J902+J924+J939+J1016+J1025+J1052+J1081+J1062+J975+J907+J913</f>
        <v>1228964.5499999996</v>
      </c>
      <c r="K550" s="177">
        <f>K551+K643+K675+K735+K797+K815+K842+K850+K857+K862+K864+K867+K869+K871+K888+K899+K905+K909+K911+K915+K917+K919+K926+K942+K946+K949+K952+K955+K964+K968+K970+K977+K979+K981+K983+K991+K1001+K997+K1003+K1012+K1018+K1021+K1023+K1027+K1031+K1037+K1044+K1048+K1050+K1054+K1056+K1064+K1068+K1076+K1083+K988+K1066+K902+K924+K939+K1016+K1025+K1052+K1081+K1062+K975+K907+K913</f>
        <v>1095951.6900000002</v>
      </c>
      <c r="L550" s="357">
        <f>L551+L643+L675+L735+L797+L815+L842+L850+L857+L862+L864+L867+L869+L871+L888+L899+L905+L909+L911+L915+L917+L919+L926+L942+L946+L949+L952+L955+L964+L968+L970+L977+L979+L981+L983+L991+L1001+L997+L1003+L1012+L1018+L1021+L1023+L1027+L1031+L1037+L1044+L1048+L1050+L1054+L1056+L1064+L1068+L1076+L1083+L988+L1066+L902+L924+L939+L1016+L1025+L1052+L1081+L1062+L975+L907+L913</f>
        <v>41485</v>
      </c>
      <c r="M550" s="173" t="s">
        <v>882</v>
      </c>
      <c r="N550" s="173" t="s">
        <v>882</v>
      </c>
      <c r="O550" s="175" t="s">
        <v>882</v>
      </c>
      <c r="P550" s="177">
        <v>1904590429.3200002</v>
      </c>
      <c r="Q550" s="177">
        <f>Q551+Q643+Q675+Q735+Q797+Q815+Q842+Q850+Q857+Q862+Q864+Q867+Q869+Q871+Q888+Q899+Q905+Q909+Q911+Q915+Q917+Q919+Q926+Q942+Q946+Q949+Q952+Q955+Q964+Q968+Q970+Q977+Q979+Q981+Q983+Q991+Q1001+Q997+Q1003+Q1012+Q1018+Q1021+Q1023+Q1027+Q1031+Q1037+Q1044+Q1048+Q1050+Q1054+Q1056+Q1064+Q1068+Q1076+Q1083+Q988+Q1066+Q902+Q924+Q939+Q1016+Q1025+Q1052+Q1081+Q1062+Q975+Q907+Q913</f>
        <v>22294400</v>
      </c>
      <c r="R550" s="177">
        <f>R551+R643+R675+R735+R797+R815+R842+R850+R857+R862+R864+R867+R869+R871+R888+R899+R905+R909+R911+R915+R917+R919+R926+R942+R946+R949+R952+R955+R964+R968+R970+R977+R979+R981+R983+R991+R1001+R997+R1003+R1012+R1018+R1021+R1023+R1027+R1031+R1037+R1044+R1048+R1050+R1054+R1056+R1064+R1068+R1076+R1083+R988+R1066+R902+R924+R939+R1016+R1025+R1052+R1081+R1062+R975+R907+R913</f>
        <v>3015567.51</v>
      </c>
      <c r="S550" s="177">
        <f>S551+S643+S675+S735+S797+S815+S842+S850+S857+S862+S864+S867+S869+S871+S888+S899+S905+S909+S911+S915+S917+S919+S926+S942+S946+S949+S952+S955+S964+S968+S970+S977+S979+S981+S983+S991+S1001+S997+S1003+S1012+S1018+S1021+S1023+S1027+S1031+S1037+S1044+S1048+S1050+S1054+S1056+S1064+S1068+S1076+S1083+S988+S1066+S902+S924+S939+S1016+S1025+S1052+S1081+S1062+S975+S907+S913</f>
        <v>1878666429.3400002</v>
      </c>
      <c r="T550" s="170">
        <f t="shared" si="55"/>
        <v>1337.7326899550806</v>
      </c>
      <c r="U550" s="170">
        <f>MAX(U551:BV1084)</f>
        <v>102555.69736389685</v>
      </c>
      <c r="V550" s="202">
        <f t="shared" si="57"/>
        <v>101217.96467394177</v>
      </c>
      <c r="W550" s="202"/>
      <c r="X550" s="202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</row>
    <row r="551" spans="1:41" s="176" customFormat="1" ht="36" customHeight="1" x14ac:dyDescent="0.25">
      <c r="B551" s="172" t="s">
        <v>1078</v>
      </c>
      <c r="C551" s="359"/>
      <c r="D551" s="173" t="s">
        <v>882</v>
      </c>
      <c r="E551" s="173" t="s">
        <v>882</v>
      </c>
      <c r="F551" s="173" t="s">
        <v>882</v>
      </c>
      <c r="G551" s="173" t="s">
        <v>882</v>
      </c>
      <c r="H551" s="173" t="s">
        <v>882</v>
      </c>
      <c r="I551" s="177">
        <f>SUM(I552:I642)</f>
        <v>296070.87999999989</v>
      </c>
      <c r="J551" s="177">
        <f>SUM(J552:J642)</f>
        <v>237812.9</v>
      </c>
      <c r="K551" s="177">
        <f>SUM(K552:K642)</f>
        <v>221581.15000000005</v>
      </c>
      <c r="L551" s="357">
        <f>SUM(L552:L642)</f>
        <v>11011</v>
      </c>
      <c r="M551" s="173" t="s">
        <v>882</v>
      </c>
      <c r="N551" s="173" t="s">
        <v>882</v>
      </c>
      <c r="O551" s="175" t="s">
        <v>882</v>
      </c>
      <c r="P551" s="177">
        <v>307984169.41999978</v>
      </c>
      <c r="Q551" s="177">
        <f>SUM(Q552:Q642)</f>
        <v>6580992</v>
      </c>
      <c r="R551" s="177">
        <f>SUM(R552:R642)</f>
        <v>0</v>
      </c>
      <c r="S551" s="177">
        <f>SUM(S552:S642)</f>
        <v>301403177.41999984</v>
      </c>
      <c r="T551" s="170">
        <f t="shared" si="55"/>
        <v>1040.2379640307749</v>
      </c>
      <c r="U551" s="170">
        <f>MAX(U552:U642)</f>
        <v>9722.3030380039272</v>
      </c>
      <c r="V551" s="202">
        <f t="shared" si="57"/>
        <v>8682.0650739731518</v>
      </c>
      <c r="W551" s="202"/>
      <c r="X551" s="202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</row>
    <row r="552" spans="1:41" s="176" customFormat="1" ht="36" customHeight="1" x14ac:dyDescent="0.25">
      <c r="A552" s="176">
        <v>1</v>
      </c>
      <c r="B552" s="171">
        <f>SUBTOTAL(103,$A$552:A552)</f>
        <v>1</v>
      </c>
      <c r="C552" s="172" t="s">
        <v>527</v>
      </c>
      <c r="D552" s="173" t="s">
        <v>352</v>
      </c>
      <c r="E552" s="173"/>
      <c r="F552" s="174" t="s">
        <v>311</v>
      </c>
      <c r="G552" s="173" t="s">
        <v>351</v>
      </c>
      <c r="H552" s="173" t="s">
        <v>308</v>
      </c>
      <c r="I552" s="177">
        <v>3788.4</v>
      </c>
      <c r="J552" s="177">
        <v>3520.9</v>
      </c>
      <c r="K552" s="177">
        <v>3520.9</v>
      </c>
      <c r="L552" s="206">
        <v>100</v>
      </c>
      <c r="M552" s="173" t="s">
        <v>265</v>
      </c>
      <c r="N552" s="173" t="s">
        <v>269</v>
      </c>
      <c r="O552" s="175" t="s">
        <v>1062</v>
      </c>
      <c r="P552" s="170">
        <v>4549307.4399999995</v>
      </c>
      <c r="Q552" s="170">
        <v>0</v>
      </c>
      <c r="R552" s="170">
        <v>0</v>
      </c>
      <c r="S552" s="170">
        <f t="shared" ref="S552:S612" si="58">P552-Q552-R552</f>
        <v>4549307.4399999995</v>
      </c>
      <c r="T552" s="170">
        <f t="shared" si="55"/>
        <v>1200.8519269348535</v>
      </c>
      <c r="U552" s="170">
        <v>1631.0497307570477</v>
      </c>
      <c r="V552" s="202">
        <f t="shared" si="57"/>
        <v>430.19780382219415</v>
      </c>
      <c r="W552" s="202">
        <f t="shared" ref="W552:W612" si="59">X552+Y552+Z552+AA552+AB552+AD552+AF552+AH552+AJ552+AL552+AN552+AO552</f>
        <v>1580.9718086791256</v>
      </c>
      <c r="X552" s="202">
        <v>0</v>
      </c>
      <c r="Y552" s="203">
        <v>0</v>
      </c>
      <c r="Z552" s="203">
        <v>0</v>
      </c>
      <c r="AA552" s="203">
        <v>0</v>
      </c>
      <c r="AB552" s="203">
        <v>0</v>
      </c>
      <c r="AC552" s="203">
        <v>0</v>
      </c>
      <c r="AD552" s="203">
        <v>0</v>
      </c>
      <c r="AE552" s="203">
        <v>960</v>
      </c>
      <c r="AF552" s="202">
        <f t="shared" ref="AF552:AF568" si="60">6238.91*AE552/I552</f>
        <v>1580.9718086791256</v>
      </c>
      <c r="AG552" s="203">
        <v>0</v>
      </c>
      <c r="AH552" s="202">
        <v>0</v>
      </c>
      <c r="AI552" s="203">
        <v>0</v>
      </c>
      <c r="AJ552" s="202">
        <v>0</v>
      </c>
      <c r="AK552" s="203">
        <v>0</v>
      </c>
      <c r="AL552" s="203">
        <v>0</v>
      </c>
      <c r="AM552" s="203">
        <v>0</v>
      </c>
      <c r="AN552" s="203"/>
      <c r="AO552" s="203">
        <v>0</v>
      </c>
    </row>
    <row r="553" spans="1:41" s="176" customFormat="1" ht="36" customHeight="1" x14ac:dyDescent="0.25">
      <c r="A553" s="176">
        <v>1</v>
      </c>
      <c r="B553" s="171">
        <f>SUBTOTAL(103,$A$552:A553)</f>
        <v>2</v>
      </c>
      <c r="C553" s="172" t="s">
        <v>528</v>
      </c>
      <c r="D553" s="173" t="s">
        <v>314</v>
      </c>
      <c r="E553" s="173"/>
      <c r="F553" s="174" t="s">
        <v>311</v>
      </c>
      <c r="G553" s="173" t="s">
        <v>351</v>
      </c>
      <c r="H553" s="173" t="s">
        <v>308</v>
      </c>
      <c r="I553" s="177">
        <v>3837.6</v>
      </c>
      <c r="J553" s="177">
        <v>3516.3</v>
      </c>
      <c r="K553" s="177">
        <v>3516.3</v>
      </c>
      <c r="L553" s="206">
        <v>162</v>
      </c>
      <c r="M553" s="173" t="s">
        <v>265</v>
      </c>
      <c r="N553" s="173" t="s">
        <v>269</v>
      </c>
      <c r="O553" s="175" t="s">
        <v>1062</v>
      </c>
      <c r="P553" s="170">
        <v>4549313.9099999992</v>
      </c>
      <c r="Q553" s="170">
        <v>0</v>
      </c>
      <c r="R553" s="170">
        <v>0</v>
      </c>
      <c r="S553" s="170">
        <f t="shared" si="58"/>
        <v>4549313.9099999992</v>
      </c>
      <c r="T553" s="170">
        <f t="shared" si="55"/>
        <v>1185.4580753595997</v>
      </c>
      <c r="U553" s="170">
        <v>1610.138836772983</v>
      </c>
      <c r="V553" s="202">
        <f t="shared" si="57"/>
        <v>424.68076141338338</v>
      </c>
      <c r="W553" s="202">
        <f t="shared" si="59"/>
        <v>1560.7029393370856</v>
      </c>
      <c r="X553" s="202">
        <v>0</v>
      </c>
      <c r="Y553" s="203">
        <v>0</v>
      </c>
      <c r="Z553" s="203">
        <v>0</v>
      </c>
      <c r="AA553" s="203">
        <v>0</v>
      </c>
      <c r="AB553" s="203">
        <v>0</v>
      </c>
      <c r="AC553" s="203">
        <v>0</v>
      </c>
      <c r="AD553" s="203">
        <v>0</v>
      </c>
      <c r="AE553" s="203">
        <v>960</v>
      </c>
      <c r="AF553" s="202">
        <f t="shared" si="60"/>
        <v>1560.7029393370856</v>
      </c>
      <c r="AG553" s="203">
        <v>0</v>
      </c>
      <c r="AH553" s="202">
        <v>0</v>
      </c>
      <c r="AI553" s="203">
        <v>0</v>
      </c>
      <c r="AJ553" s="202">
        <v>0</v>
      </c>
      <c r="AK553" s="203">
        <v>0</v>
      </c>
      <c r="AL553" s="203">
        <v>0</v>
      </c>
      <c r="AM553" s="203">
        <v>0</v>
      </c>
      <c r="AN553" s="203"/>
      <c r="AO553" s="203">
        <v>0</v>
      </c>
    </row>
    <row r="554" spans="1:41" s="176" customFormat="1" ht="36" customHeight="1" x14ac:dyDescent="0.25">
      <c r="A554" s="176">
        <v>1</v>
      </c>
      <c r="B554" s="171">
        <f>SUBTOTAL(103,$A$552:A554)</f>
        <v>3</v>
      </c>
      <c r="C554" s="172" t="s">
        <v>529</v>
      </c>
      <c r="D554" s="173" t="s">
        <v>310</v>
      </c>
      <c r="E554" s="173"/>
      <c r="F554" s="174" t="s">
        <v>311</v>
      </c>
      <c r="G554" s="173" t="s">
        <v>351</v>
      </c>
      <c r="H554" s="173" t="s">
        <v>312</v>
      </c>
      <c r="I554" s="177">
        <v>2494.5</v>
      </c>
      <c r="J554" s="177">
        <v>2290.6</v>
      </c>
      <c r="K554" s="177">
        <v>2290.6</v>
      </c>
      <c r="L554" s="206">
        <v>117</v>
      </c>
      <c r="M554" s="173" t="s">
        <v>265</v>
      </c>
      <c r="N554" s="173" t="s">
        <v>269</v>
      </c>
      <c r="O554" s="175" t="s">
        <v>1063</v>
      </c>
      <c r="P554" s="170">
        <v>1761025</v>
      </c>
      <c r="Q554" s="170">
        <v>0</v>
      </c>
      <c r="R554" s="170">
        <v>0</v>
      </c>
      <c r="S554" s="170">
        <f t="shared" si="58"/>
        <v>1761025</v>
      </c>
      <c r="T554" s="170">
        <f t="shared" si="55"/>
        <v>705.96311886149533</v>
      </c>
      <c r="U554" s="170">
        <v>1695.5076620565244</v>
      </c>
      <c r="V554" s="202">
        <f t="shared" si="57"/>
        <v>989.54454319502906</v>
      </c>
      <c r="W554" s="202">
        <f t="shared" si="59"/>
        <v>1643.4506959310484</v>
      </c>
      <c r="X554" s="202">
        <v>0</v>
      </c>
      <c r="Y554" s="203">
        <v>0</v>
      </c>
      <c r="Z554" s="203">
        <v>0</v>
      </c>
      <c r="AA554" s="203">
        <v>0</v>
      </c>
      <c r="AB554" s="203">
        <v>0</v>
      </c>
      <c r="AC554" s="203">
        <v>0</v>
      </c>
      <c r="AD554" s="203">
        <v>0</v>
      </c>
      <c r="AE554" s="203">
        <v>657.1</v>
      </c>
      <c r="AF554" s="202">
        <f t="shared" si="60"/>
        <v>1643.4506959310484</v>
      </c>
      <c r="AG554" s="203">
        <v>0</v>
      </c>
      <c r="AH554" s="202">
        <v>0</v>
      </c>
      <c r="AI554" s="203">
        <v>0</v>
      </c>
      <c r="AJ554" s="202">
        <v>0</v>
      </c>
      <c r="AK554" s="203">
        <v>0</v>
      </c>
      <c r="AL554" s="203">
        <v>0</v>
      </c>
      <c r="AM554" s="203">
        <v>0</v>
      </c>
      <c r="AN554" s="203"/>
      <c r="AO554" s="203">
        <v>0</v>
      </c>
    </row>
    <row r="555" spans="1:41" s="176" customFormat="1" ht="36" customHeight="1" x14ac:dyDescent="0.25">
      <c r="A555" s="176">
        <v>1</v>
      </c>
      <c r="B555" s="171">
        <f>SUBTOTAL(103,$A$552:A555)</f>
        <v>4</v>
      </c>
      <c r="C555" s="172" t="s">
        <v>533</v>
      </c>
      <c r="D555" s="173" t="s">
        <v>353</v>
      </c>
      <c r="E555" s="173"/>
      <c r="F555" s="174" t="s">
        <v>267</v>
      </c>
      <c r="G555" s="173" t="s">
        <v>351</v>
      </c>
      <c r="H555" s="173" t="s">
        <v>303</v>
      </c>
      <c r="I555" s="177">
        <v>1965.7</v>
      </c>
      <c r="J555" s="177">
        <v>1789.7</v>
      </c>
      <c r="K555" s="177">
        <v>1702</v>
      </c>
      <c r="L555" s="206">
        <v>80</v>
      </c>
      <c r="M555" s="173" t="s">
        <v>265</v>
      </c>
      <c r="N555" s="173" t="s">
        <v>269</v>
      </c>
      <c r="O555" s="175" t="s">
        <v>1077</v>
      </c>
      <c r="P555" s="170">
        <v>4060000</v>
      </c>
      <c r="Q555" s="170">
        <v>0</v>
      </c>
      <c r="R555" s="170">
        <v>0</v>
      </c>
      <c r="S555" s="170">
        <f t="shared" si="58"/>
        <v>4060000</v>
      </c>
      <c r="T555" s="170">
        <f t="shared" si="55"/>
        <v>2065.4219870783945</v>
      </c>
      <c r="U555" s="170">
        <v>2324.8391412728288</v>
      </c>
      <c r="V555" s="202">
        <f t="shared" si="57"/>
        <v>259.41715419443426</v>
      </c>
      <c r="W555" s="202">
        <f t="shared" si="59"/>
        <v>2253.4598870631326</v>
      </c>
      <c r="X555" s="202">
        <v>0</v>
      </c>
      <c r="Y555" s="203">
        <v>0</v>
      </c>
      <c r="Z555" s="203">
        <v>0</v>
      </c>
      <c r="AA555" s="203">
        <v>0</v>
      </c>
      <c r="AB555" s="203">
        <v>0</v>
      </c>
      <c r="AC555" s="203">
        <v>0</v>
      </c>
      <c r="AD555" s="203">
        <v>0</v>
      </c>
      <c r="AE555" s="203">
        <v>710</v>
      </c>
      <c r="AF555" s="202">
        <f t="shared" si="60"/>
        <v>2253.4598870631326</v>
      </c>
      <c r="AG555" s="203">
        <v>0</v>
      </c>
      <c r="AH555" s="202">
        <v>0</v>
      </c>
      <c r="AI555" s="203">
        <v>0</v>
      </c>
      <c r="AJ555" s="202">
        <v>0</v>
      </c>
      <c r="AK555" s="203">
        <v>0</v>
      </c>
      <c r="AL555" s="203">
        <v>0</v>
      </c>
      <c r="AM555" s="203">
        <v>0</v>
      </c>
      <c r="AN555" s="203"/>
      <c r="AO555" s="203">
        <v>0</v>
      </c>
    </row>
    <row r="556" spans="1:41" s="176" customFormat="1" ht="36" customHeight="1" x14ac:dyDescent="0.25">
      <c r="A556" s="176">
        <v>1</v>
      </c>
      <c r="B556" s="171">
        <f>SUBTOTAL(103,$A$552:A556)</f>
        <v>5</v>
      </c>
      <c r="C556" s="172" t="s">
        <v>534</v>
      </c>
      <c r="D556" s="173" t="s">
        <v>354</v>
      </c>
      <c r="E556" s="173"/>
      <c r="F556" s="174" t="s">
        <v>267</v>
      </c>
      <c r="G556" s="173" t="s">
        <v>312</v>
      </c>
      <c r="H556" s="173" t="s">
        <v>303</v>
      </c>
      <c r="I556" s="177">
        <v>944.2</v>
      </c>
      <c r="J556" s="177">
        <v>863.6</v>
      </c>
      <c r="K556" s="177">
        <v>863.6</v>
      </c>
      <c r="L556" s="206">
        <v>47</v>
      </c>
      <c r="M556" s="173" t="s">
        <v>265</v>
      </c>
      <c r="N556" s="173" t="s">
        <v>269</v>
      </c>
      <c r="O556" s="175" t="s">
        <v>1385</v>
      </c>
      <c r="P556" s="170">
        <v>2570383.31</v>
      </c>
      <c r="Q556" s="170">
        <v>0</v>
      </c>
      <c r="R556" s="170">
        <v>0</v>
      </c>
      <c r="S556" s="170">
        <f t="shared" si="58"/>
        <v>2570383.31</v>
      </c>
      <c r="T556" s="170">
        <f t="shared" si="55"/>
        <v>2722.2869201440371</v>
      </c>
      <c r="U556" s="170">
        <v>3544.7951705147216</v>
      </c>
      <c r="V556" s="202">
        <f t="shared" si="57"/>
        <v>822.50825037068444</v>
      </c>
      <c r="W556" s="202">
        <f t="shared" si="59"/>
        <v>3435.9597542893448</v>
      </c>
      <c r="X556" s="202">
        <v>0</v>
      </c>
      <c r="Y556" s="203">
        <v>0</v>
      </c>
      <c r="Z556" s="203">
        <v>0</v>
      </c>
      <c r="AA556" s="203">
        <v>0</v>
      </c>
      <c r="AB556" s="203">
        <v>0</v>
      </c>
      <c r="AC556" s="203">
        <v>0</v>
      </c>
      <c r="AD556" s="203">
        <v>0</v>
      </c>
      <c r="AE556" s="203">
        <v>520</v>
      </c>
      <c r="AF556" s="202">
        <f t="shared" si="60"/>
        <v>3435.9597542893448</v>
      </c>
      <c r="AG556" s="203">
        <v>0</v>
      </c>
      <c r="AH556" s="202">
        <v>0</v>
      </c>
      <c r="AI556" s="203">
        <v>0</v>
      </c>
      <c r="AJ556" s="202">
        <v>0</v>
      </c>
      <c r="AK556" s="203">
        <v>0</v>
      </c>
      <c r="AL556" s="203">
        <v>0</v>
      </c>
      <c r="AM556" s="203">
        <v>0</v>
      </c>
      <c r="AN556" s="203"/>
      <c r="AO556" s="203">
        <v>0</v>
      </c>
    </row>
    <row r="557" spans="1:41" s="176" customFormat="1" ht="36" customHeight="1" x14ac:dyDescent="0.25">
      <c r="A557" s="176">
        <v>1</v>
      </c>
      <c r="B557" s="171">
        <f>SUBTOTAL(103,$A$552:A557)</f>
        <v>6</v>
      </c>
      <c r="C557" s="172" t="s">
        <v>535</v>
      </c>
      <c r="D557" s="173" t="s">
        <v>355</v>
      </c>
      <c r="E557" s="173"/>
      <c r="F557" s="174" t="s">
        <v>267</v>
      </c>
      <c r="G557" s="173" t="s">
        <v>351</v>
      </c>
      <c r="H557" s="173" t="s">
        <v>304</v>
      </c>
      <c r="I557" s="177">
        <v>5616.2</v>
      </c>
      <c r="J557" s="177">
        <v>2949.2</v>
      </c>
      <c r="K557" s="177">
        <v>2949.2</v>
      </c>
      <c r="L557" s="206">
        <v>186</v>
      </c>
      <c r="M557" s="173" t="s">
        <v>265</v>
      </c>
      <c r="N557" s="173" t="s">
        <v>269</v>
      </c>
      <c r="O557" s="175" t="s">
        <v>1371</v>
      </c>
      <c r="P557" s="170">
        <v>4542295.17</v>
      </c>
      <c r="Q557" s="170">
        <v>0</v>
      </c>
      <c r="R557" s="170">
        <v>0</v>
      </c>
      <c r="S557" s="170">
        <f t="shared" si="58"/>
        <v>4542295.17</v>
      </c>
      <c r="T557" s="170">
        <f t="shared" si="55"/>
        <v>808.78443965670738</v>
      </c>
      <c r="U557" s="170">
        <v>1060.2590717745095</v>
      </c>
      <c r="V557" s="202">
        <f t="shared" si="57"/>
        <v>251.47463211780212</v>
      </c>
      <c r="W557" s="202">
        <f t="shared" si="59"/>
        <v>1027.7060660767067</v>
      </c>
      <c r="X557" s="202">
        <v>0</v>
      </c>
      <c r="Y557" s="203">
        <v>0</v>
      </c>
      <c r="Z557" s="203">
        <v>0</v>
      </c>
      <c r="AA557" s="203">
        <v>0</v>
      </c>
      <c r="AB557" s="203">
        <v>0</v>
      </c>
      <c r="AC557" s="203">
        <v>0</v>
      </c>
      <c r="AD557" s="203">
        <v>0</v>
      </c>
      <c r="AE557" s="203">
        <v>925.13</v>
      </c>
      <c r="AF557" s="202">
        <f t="shared" si="60"/>
        <v>1027.7060660767067</v>
      </c>
      <c r="AG557" s="203">
        <v>0</v>
      </c>
      <c r="AH557" s="202">
        <v>0</v>
      </c>
      <c r="AI557" s="203">
        <v>0</v>
      </c>
      <c r="AJ557" s="202">
        <v>0</v>
      </c>
      <c r="AK557" s="203">
        <v>0</v>
      </c>
      <c r="AL557" s="203">
        <v>0</v>
      </c>
      <c r="AM557" s="203">
        <v>0</v>
      </c>
      <c r="AN557" s="203"/>
      <c r="AO557" s="203">
        <v>0</v>
      </c>
    </row>
    <row r="558" spans="1:41" s="176" customFormat="1" ht="36" customHeight="1" x14ac:dyDescent="0.25">
      <c r="A558" s="176">
        <v>1</v>
      </c>
      <c r="B558" s="171">
        <f>SUBTOTAL(103,$A$552:A558)</f>
        <v>7</v>
      </c>
      <c r="C558" s="172" t="s">
        <v>536</v>
      </c>
      <c r="D558" s="173">
        <v>1985</v>
      </c>
      <c r="E558" s="173"/>
      <c r="F558" s="174" t="s">
        <v>267</v>
      </c>
      <c r="G558" s="173" t="s">
        <v>351</v>
      </c>
      <c r="H558" s="173" t="s">
        <v>370</v>
      </c>
      <c r="I558" s="177">
        <v>5781</v>
      </c>
      <c r="J558" s="177">
        <v>5781</v>
      </c>
      <c r="K558" s="177">
        <v>5781</v>
      </c>
      <c r="L558" s="206">
        <v>208</v>
      </c>
      <c r="M558" s="173" t="s">
        <v>265</v>
      </c>
      <c r="N558" s="173" t="s">
        <v>269</v>
      </c>
      <c r="O558" s="175" t="s">
        <v>1062</v>
      </c>
      <c r="P558" s="170">
        <v>3400250</v>
      </c>
      <c r="Q558" s="170">
        <v>0</v>
      </c>
      <c r="R558" s="170">
        <v>0</v>
      </c>
      <c r="S558" s="170">
        <f t="shared" si="58"/>
        <v>3400250</v>
      </c>
      <c r="T558" s="170">
        <f t="shared" si="55"/>
        <v>588.17678602317937</v>
      </c>
      <c r="U558" s="170">
        <v>846.17934613388684</v>
      </c>
      <c r="V558" s="202">
        <f t="shared" si="57"/>
        <v>258.00256011070746</v>
      </c>
      <c r="W558" s="202">
        <f t="shared" si="59"/>
        <v>820.1992042899152</v>
      </c>
      <c r="X558" s="202">
        <v>0</v>
      </c>
      <c r="Y558" s="203">
        <v>0</v>
      </c>
      <c r="Z558" s="203">
        <v>0</v>
      </c>
      <c r="AA558" s="203">
        <v>0</v>
      </c>
      <c r="AB558" s="203">
        <v>0</v>
      </c>
      <c r="AC558" s="203">
        <v>0</v>
      </c>
      <c r="AD558" s="203">
        <v>0</v>
      </c>
      <c r="AE558" s="203">
        <v>760</v>
      </c>
      <c r="AF558" s="202">
        <f t="shared" si="60"/>
        <v>820.1992042899152</v>
      </c>
      <c r="AG558" s="203">
        <v>0</v>
      </c>
      <c r="AH558" s="202">
        <v>0</v>
      </c>
      <c r="AI558" s="203">
        <v>0</v>
      </c>
      <c r="AJ558" s="202">
        <v>0</v>
      </c>
      <c r="AK558" s="203">
        <v>0</v>
      </c>
      <c r="AL558" s="203">
        <v>0</v>
      </c>
      <c r="AM558" s="203">
        <v>0</v>
      </c>
      <c r="AN558" s="203"/>
      <c r="AO558" s="203">
        <v>0</v>
      </c>
    </row>
    <row r="559" spans="1:41" s="176" customFormat="1" ht="36" customHeight="1" x14ac:dyDescent="0.25">
      <c r="A559" s="176">
        <v>1</v>
      </c>
      <c r="B559" s="171">
        <f>SUBTOTAL(103,$A$552:A559)</f>
        <v>8</v>
      </c>
      <c r="C559" s="172" t="s">
        <v>537</v>
      </c>
      <c r="D559" s="173" t="s">
        <v>307</v>
      </c>
      <c r="E559" s="173"/>
      <c r="F559" s="174" t="s">
        <v>267</v>
      </c>
      <c r="G559" s="173" t="s">
        <v>312</v>
      </c>
      <c r="H559" s="173" t="s">
        <v>304</v>
      </c>
      <c r="I559" s="177">
        <v>761.1</v>
      </c>
      <c r="J559" s="177">
        <v>761.1</v>
      </c>
      <c r="K559" s="177">
        <v>625.20000000000005</v>
      </c>
      <c r="L559" s="206">
        <v>54</v>
      </c>
      <c r="M559" s="173" t="s">
        <v>265</v>
      </c>
      <c r="N559" s="173" t="s">
        <v>269</v>
      </c>
      <c r="O559" s="175" t="s">
        <v>1371</v>
      </c>
      <c r="P559" s="170">
        <v>3310801.92</v>
      </c>
      <c r="Q559" s="170">
        <v>0</v>
      </c>
      <c r="R559" s="170">
        <v>0</v>
      </c>
      <c r="S559" s="170">
        <f t="shared" si="58"/>
        <v>3310801.92</v>
      </c>
      <c r="T559" s="170">
        <f t="shared" si="55"/>
        <v>4350.0222309814735</v>
      </c>
      <c r="U559" s="170">
        <v>4431.404178163184</v>
      </c>
      <c r="V559" s="202">
        <f t="shared" si="57"/>
        <v>81.38194718171053</v>
      </c>
      <c r="W559" s="202">
        <f t="shared" si="59"/>
        <v>4295.3473130994607</v>
      </c>
      <c r="X559" s="202">
        <v>0</v>
      </c>
      <c r="Y559" s="203">
        <v>0</v>
      </c>
      <c r="Z559" s="203">
        <v>0</v>
      </c>
      <c r="AA559" s="203">
        <v>0</v>
      </c>
      <c r="AB559" s="203">
        <v>0</v>
      </c>
      <c r="AC559" s="203">
        <v>0</v>
      </c>
      <c r="AD559" s="203">
        <v>0</v>
      </c>
      <c r="AE559" s="203">
        <v>524</v>
      </c>
      <c r="AF559" s="202">
        <f t="shared" si="60"/>
        <v>4295.3473130994607</v>
      </c>
      <c r="AG559" s="203">
        <v>0</v>
      </c>
      <c r="AH559" s="202">
        <v>0</v>
      </c>
      <c r="AI559" s="203">
        <v>0</v>
      </c>
      <c r="AJ559" s="202">
        <v>0</v>
      </c>
      <c r="AK559" s="203">
        <v>0</v>
      </c>
      <c r="AL559" s="203">
        <v>0</v>
      </c>
      <c r="AM559" s="203">
        <v>0</v>
      </c>
      <c r="AN559" s="203"/>
      <c r="AO559" s="203">
        <v>0</v>
      </c>
    </row>
    <row r="560" spans="1:41" s="176" customFormat="1" ht="36" customHeight="1" x14ac:dyDescent="0.25">
      <c r="A560" s="176">
        <v>1</v>
      </c>
      <c r="B560" s="171">
        <f>SUBTOTAL(103,$A$552:A560)</f>
        <v>9</v>
      </c>
      <c r="C560" s="172" t="s">
        <v>538</v>
      </c>
      <c r="D560" s="173" t="s">
        <v>356</v>
      </c>
      <c r="E560" s="173"/>
      <c r="F560" s="174" t="s">
        <v>267</v>
      </c>
      <c r="G560" s="173" t="s">
        <v>357</v>
      </c>
      <c r="H560" s="173" t="s">
        <v>304</v>
      </c>
      <c r="I560" s="177">
        <v>7585.7</v>
      </c>
      <c r="J560" s="177">
        <v>5261.8</v>
      </c>
      <c r="K560" s="177">
        <v>4715.1000000000004</v>
      </c>
      <c r="L560" s="206">
        <v>348</v>
      </c>
      <c r="M560" s="173" t="s">
        <v>265</v>
      </c>
      <c r="N560" s="173" t="s">
        <v>269</v>
      </c>
      <c r="O560" s="175" t="s">
        <v>1371</v>
      </c>
      <c r="P560" s="170">
        <v>5080899.59</v>
      </c>
      <c r="Q560" s="170">
        <v>0</v>
      </c>
      <c r="R560" s="170">
        <v>0</v>
      </c>
      <c r="S560" s="170">
        <f t="shared" si="58"/>
        <v>5080899.59</v>
      </c>
      <c r="T560" s="170">
        <f t="shared" si="55"/>
        <v>669.79970075273206</v>
      </c>
      <c r="U560" s="170">
        <v>879.90318757662442</v>
      </c>
      <c r="V560" s="202">
        <f t="shared" si="57"/>
        <v>210.10348682389235</v>
      </c>
      <c r="W560" s="202">
        <f t="shared" si="59"/>
        <v>852.88762671869438</v>
      </c>
      <c r="X560" s="202">
        <v>0</v>
      </c>
      <c r="Y560" s="203">
        <v>0</v>
      </c>
      <c r="Z560" s="203">
        <v>0</v>
      </c>
      <c r="AA560" s="203">
        <v>0</v>
      </c>
      <c r="AB560" s="203">
        <v>0</v>
      </c>
      <c r="AC560" s="203">
        <v>0</v>
      </c>
      <c r="AD560" s="203">
        <v>0</v>
      </c>
      <c r="AE560" s="203">
        <v>1037</v>
      </c>
      <c r="AF560" s="202">
        <f t="shared" si="60"/>
        <v>852.88762671869438</v>
      </c>
      <c r="AG560" s="203">
        <v>0</v>
      </c>
      <c r="AH560" s="202">
        <v>0</v>
      </c>
      <c r="AI560" s="203">
        <v>0</v>
      </c>
      <c r="AJ560" s="202">
        <v>0</v>
      </c>
      <c r="AK560" s="203">
        <v>0</v>
      </c>
      <c r="AL560" s="203">
        <v>0</v>
      </c>
      <c r="AM560" s="203">
        <v>0</v>
      </c>
      <c r="AN560" s="203"/>
      <c r="AO560" s="203">
        <v>0</v>
      </c>
    </row>
    <row r="561" spans="1:41" s="176" customFormat="1" ht="36" customHeight="1" x14ac:dyDescent="0.25">
      <c r="A561" s="176">
        <v>1</v>
      </c>
      <c r="B561" s="171">
        <f>SUBTOTAL(103,$A$552:A561)</f>
        <v>10</v>
      </c>
      <c r="C561" s="172" t="s">
        <v>541</v>
      </c>
      <c r="D561" s="173">
        <v>1968</v>
      </c>
      <c r="E561" s="173"/>
      <c r="F561" s="174" t="s">
        <v>267</v>
      </c>
      <c r="G561" s="173" t="s">
        <v>351</v>
      </c>
      <c r="H561" s="173" t="s">
        <v>308</v>
      </c>
      <c r="I561" s="177">
        <v>3511.62</v>
      </c>
      <c r="J561" s="177">
        <v>3241.9</v>
      </c>
      <c r="K561" s="177">
        <v>2726.1</v>
      </c>
      <c r="L561" s="206">
        <v>238</v>
      </c>
      <c r="M561" s="173" t="s">
        <v>265</v>
      </c>
      <c r="N561" s="173" t="s">
        <v>269</v>
      </c>
      <c r="O561" s="175" t="s">
        <v>1373</v>
      </c>
      <c r="P561" s="170">
        <v>5133204.34</v>
      </c>
      <c r="Q561" s="170">
        <v>0</v>
      </c>
      <c r="R561" s="170">
        <v>0</v>
      </c>
      <c r="S561" s="170">
        <f t="shared" si="58"/>
        <v>5133204.34</v>
      </c>
      <c r="T561" s="170">
        <f t="shared" si="55"/>
        <v>1461.7767127422671</v>
      </c>
      <c r="U561" s="170">
        <v>1946.5645086882976</v>
      </c>
      <c r="V561" s="202">
        <f t="shared" si="57"/>
        <v>484.78779594603043</v>
      </c>
      <c r="W561" s="202">
        <f t="shared" si="59"/>
        <v>1886.7993746475986</v>
      </c>
      <c r="X561" s="202">
        <v>0</v>
      </c>
      <c r="Y561" s="203">
        <v>0</v>
      </c>
      <c r="Z561" s="203">
        <v>0</v>
      </c>
      <c r="AA561" s="203">
        <v>0</v>
      </c>
      <c r="AB561" s="203">
        <v>0</v>
      </c>
      <c r="AC561" s="203">
        <v>0</v>
      </c>
      <c r="AD561" s="203">
        <v>0</v>
      </c>
      <c r="AE561" s="203">
        <v>1062</v>
      </c>
      <c r="AF561" s="202">
        <f t="shared" si="60"/>
        <v>1886.7993746475986</v>
      </c>
      <c r="AG561" s="203">
        <v>0</v>
      </c>
      <c r="AH561" s="202">
        <v>0</v>
      </c>
      <c r="AI561" s="203">
        <v>0</v>
      </c>
      <c r="AJ561" s="202">
        <v>0</v>
      </c>
      <c r="AK561" s="203">
        <v>0</v>
      </c>
      <c r="AL561" s="203">
        <v>0</v>
      </c>
      <c r="AM561" s="203">
        <v>0</v>
      </c>
      <c r="AN561" s="203"/>
      <c r="AO561" s="203">
        <v>0</v>
      </c>
    </row>
    <row r="562" spans="1:41" s="176" customFormat="1" ht="36" customHeight="1" x14ac:dyDescent="0.25">
      <c r="A562" s="176">
        <v>1</v>
      </c>
      <c r="B562" s="171">
        <f>SUBTOTAL(103,$A$552:A562)</f>
        <v>11</v>
      </c>
      <c r="C562" s="172" t="s">
        <v>540</v>
      </c>
      <c r="D562" s="173">
        <v>1970</v>
      </c>
      <c r="E562" s="173"/>
      <c r="F562" s="174" t="s">
        <v>267</v>
      </c>
      <c r="G562" s="173">
        <v>5</v>
      </c>
      <c r="H562" s="173" t="s">
        <v>308</v>
      </c>
      <c r="I562" s="177">
        <v>4104.5</v>
      </c>
      <c r="J562" s="177">
        <v>3361</v>
      </c>
      <c r="K562" s="177">
        <v>2986.4</v>
      </c>
      <c r="L562" s="206">
        <v>141</v>
      </c>
      <c r="M562" s="173" t="s">
        <v>265</v>
      </c>
      <c r="N562" s="173" t="s">
        <v>269</v>
      </c>
      <c r="O562" s="175" t="s">
        <v>1629</v>
      </c>
      <c r="P562" s="170">
        <v>6090000</v>
      </c>
      <c r="Q562" s="170">
        <v>0</v>
      </c>
      <c r="R562" s="170">
        <v>0</v>
      </c>
      <c r="S562" s="170">
        <f t="shared" si="58"/>
        <v>6090000</v>
      </c>
      <c r="T562" s="170">
        <f t="shared" si="55"/>
        <v>1483.7373614325741</v>
      </c>
      <c r="U562" s="170">
        <v>1674.7993762943111</v>
      </c>
      <c r="V562" s="202">
        <f t="shared" si="57"/>
        <v>191.062014861737</v>
      </c>
      <c r="W562" s="202">
        <f t="shared" si="59"/>
        <v>1623.3782141551956</v>
      </c>
      <c r="X562" s="202">
        <v>0</v>
      </c>
      <c r="Y562" s="203">
        <v>0</v>
      </c>
      <c r="Z562" s="203">
        <v>0</v>
      </c>
      <c r="AA562" s="203">
        <v>0</v>
      </c>
      <c r="AB562" s="203">
        <v>0</v>
      </c>
      <c r="AC562" s="203">
        <v>0</v>
      </c>
      <c r="AD562" s="203">
        <v>0</v>
      </c>
      <c r="AE562" s="203">
        <v>1068</v>
      </c>
      <c r="AF562" s="202">
        <f t="shared" si="60"/>
        <v>1623.3782141551956</v>
      </c>
      <c r="AG562" s="203">
        <v>0</v>
      </c>
      <c r="AH562" s="202">
        <v>0</v>
      </c>
      <c r="AI562" s="203">
        <v>0</v>
      </c>
      <c r="AJ562" s="202">
        <v>0</v>
      </c>
      <c r="AK562" s="203">
        <v>0</v>
      </c>
      <c r="AL562" s="203">
        <v>0</v>
      </c>
      <c r="AM562" s="203">
        <v>0</v>
      </c>
      <c r="AN562" s="203"/>
      <c r="AO562" s="203">
        <v>0</v>
      </c>
    </row>
    <row r="563" spans="1:41" s="176" customFormat="1" ht="36" customHeight="1" x14ac:dyDescent="0.25">
      <c r="A563" s="176">
        <v>1</v>
      </c>
      <c r="B563" s="171">
        <f>SUBTOTAL(103,$A$552:A563)</f>
        <v>12</v>
      </c>
      <c r="C563" s="172" t="s">
        <v>789</v>
      </c>
      <c r="D563" s="173">
        <v>1961</v>
      </c>
      <c r="E563" s="173"/>
      <c r="F563" s="174" t="s">
        <v>267</v>
      </c>
      <c r="G563" s="173">
        <v>4</v>
      </c>
      <c r="H563" s="173" t="s">
        <v>303</v>
      </c>
      <c r="I563" s="177">
        <v>1116.9000000000001</v>
      </c>
      <c r="J563" s="177">
        <v>860.4</v>
      </c>
      <c r="K563" s="177">
        <v>748.8</v>
      </c>
      <c r="L563" s="206">
        <v>36</v>
      </c>
      <c r="M563" s="173" t="s">
        <v>265</v>
      </c>
      <c r="N563" s="173" t="s">
        <v>269</v>
      </c>
      <c r="O563" s="175" t="s">
        <v>1578</v>
      </c>
      <c r="P563" s="170">
        <v>2799900</v>
      </c>
      <c r="Q563" s="170">
        <v>0</v>
      </c>
      <c r="R563" s="170">
        <v>0</v>
      </c>
      <c r="S563" s="170">
        <f t="shared" si="58"/>
        <v>2799900</v>
      </c>
      <c r="T563" s="170">
        <f t="shared" si="55"/>
        <v>2506.8493150684931</v>
      </c>
      <c r="U563" s="170">
        <v>3659.4113618049955</v>
      </c>
      <c r="V563" s="202">
        <f t="shared" si="57"/>
        <v>1152.5620467365025</v>
      </c>
      <c r="W563" s="202">
        <f t="shared" si="59"/>
        <v>3547.0568985585101</v>
      </c>
      <c r="X563" s="202">
        <v>0</v>
      </c>
      <c r="Y563" s="203">
        <v>0</v>
      </c>
      <c r="Z563" s="203">
        <v>0</v>
      </c>
      <c r="AA563" s="203">
        <v>0</v>
      </c>
      <c r="AB563" s="203">
        <v>0</v>
      </c>
      <c r="AC563" s="203">
        <v>0</v>
      </c>
      <c r="AD563" s="203">
        <v>0</v>
      </c>
      <c r="AE563" s="203">
        <v>635</v>
      </c>
      <c r="AF563" s="202">
        <f t="shared" si="60"/>
        <v>3547.0568985585101</v>
      </c>
      <c r="AG563" s="203">
        <v>0</v>
      </c>
      <c r="AH563" s="202">
        <v>0</v>
      </c>
      <c r="AI563" s="203">
        <v>0</v>
      </c>
      <c r="AJ563" s="202">
        <v>0</v>
      </c>
      <c r="AK563" s="203">
        <v>0</v>
      </c>
      <c r="AL563" s="203">
        <v>0</v>
      </c>
      <c r="AM563" s="203">
        <v>0</v>
      </c>
      <c r="AN563" s="203"/>
      <c r="AO563" s="203">
        <v>0</v>
      </c>
    </row>
    <row r="564" spans="1:41" s="176" customFormat="1" ht="36" customHeight="1" x14ac:dyDescent="0.25">
      <c r="A564" s="176">
        <v>1</v>
      </c>
      <c r="B564" s="171">
        <f>SUBTOTAL(103,$A$552:A564)</f>
        <v>13</v>
      </c>
      <c r="C564" s="172" t="s">
        <v>543</v>
      </c>
      <c r="D564" s="173" t="s">
        <v>307</v>
      </c>
      <c r="E564" s="173"/>
      <c r="F564" s="174" t="s">
        <v>311</v>
      </c>
      <c r="G564" s="173" t="s">
        <v>351</v>
      </c>
      <c r="H564" s="173" t="s">
        <v>308</v>
      </c>
      <c r="I564" s="177">
        <v>3904.9</v>
      </c>
      <c r="J564" s="177">
        <v>3572.7</v>
      </c>
      <c r="K564" s="177">
        <v>3572.7</v>
      </c>
      <c r="L564" s="206">
        <v>170</v>
      </c>
      <c r="M564" s="173" t="s">
        <v>265</v>
      </c>
      <c r="N564" s="173" t="s">
        <v>269</v>
      </c>
      <c r="O564" s="175" t="s">
        <v>1062</v>
      </c>
      <c r="P564" s="170">
        <v>4475118.7699999996</v>
      </c>
      <c r="Q564" s="170">
        <v>0</v>
      </c>
      <c r="R564" s="170">
        <v>0</v>
      </c>
      <c r="S564" s="170">
        <f t="shared" si="58"/>
        <v>4475118.7699999996</v>
      </c>
      <c r="T564" s="170">
        <f t="shared" si="55"/>
        <v>1146.0264718686776</v>
      </c>
      <c r="U564" s="170">
        <v>1582.3884862608518</v>
      </c>
      <c r="V564" s="202">
        <f t="shared" si="57"/>
        <v>436.36201439217416</v>
      </c>
      <c r="W564" s="202">
        <f t="shared" si="59"/>
        <v>1533.8046044713051</v>
      </c>
      <c r="X564" s="202">
        <v>0</v>
      </c>
      <c r="Y564" s="203">
        <v>0</v>
      </c>
      <c r="Z564" s="203">
        <v>0</v>
      </c>
      <c r="AA564" s="203">
        <v>0</v>
      </c>
      <c r="AB564" s="203">
        <v>0</v>
      </c>
      <c r="AC564" s="203">
        <v>0</v>
      </c>
      <c r="AD564" s="203">
        <v>0</v>
      </c>
      <c r="AE564" s="203">
        <v>960</v>
      </c>
      <c r="AF564" s="202">
        <f t="shared" si="60"/>
        <v>1533.8046044713051</v>
      </c>
      <c r="AG564" s="203">
        <v>0</v>
      </c>
      <c r="AH564" s="202">
        <v>0</v>
      </c>
      <c r="AI564" s="203">
        <v>0</v>
      </c>
      <c r="AJ564" s="202">
        <v>0</v>
      </c>
      <c r="AK564" s="203">
        <v>0</v>
      </c>
      <c r="AL564" s="203">
        <v>0</v>
      </c>
      <c r="AM564" s="203">
        <v>0</v>
      </c>
      <c r="AN564" s="203"/>
      <c r="AO564" s="203">
        <v>0</v>
      </c>
    </row>
    <row r="565" spans="1:41" s="176" customFormat="1" ht="36" customHeight="1" x14ac:dyDescent="0.25">
      <c r="A565" s="176">
        <v>1</v>
      </c>
      <c r="B565" s="171">
        <f>SUBTOTAL(103,$A$552:A565)</f>
        <v>14</v>
      </c>
      <c r="C565" s="172" t="s">
        <v>544</v>
      </c>
      <c r="D565" s="173" t="s">
        <v>307</v>
      </c>
      <c r="E565" s="173"/>
      <c r="F565" s="174" t="s">
        <v>311</v>
      </c>
      <c r="G565" s="173" t="s">
        <v>351</v>
      </c>
      <c r="H565" s="173" t="s">
        <v>312</v>
      </c>
      <c r="I565" s="177">
        <v>3361</v>
      </c>
      <c r="J565" s="177">
        <v>2572.6</v>
      </c>
      <c r="K565" s="177">
        <v>2572.6</v>
      </c>
      <c r="L565" s="206">
        <v>133</v>
      </c>
      <c r="M565" s="173" t="s">
        <v>265</v>
      </c>
      <c r="N565" s="173" t="s">
        <v>269</v>
      </c>
      <c r="O565" s="175" t="s">
        <v>1062</v>
      </c>
      <c r="P565" s="170">
        <v>3635296.26</v>
      </c>
      <c r="Q565" s="170">
        <v>0</v>
      </c>
      <c r="R565" s="170">
        <v>0</v>
      </c>
      <c r="S565" s="170">
        <f t="shared" si="58"/>
        <v>3635296.26</v>
      </c>
      <c r="T565" s="170">
        <f t="shared" si="55"/>
        <v>1081.6115025290092</v>
      </c>
      <c r="U565" s="170">
        <v>1403.5503829217494</v>
      </c>
      <c r="V565" s="202">
        <f t="shared" si="57"/>
        <v>321.9388803927402</v>
      </c>
      <c r="W565" s="202">
        <f t="shared" si="59"/>
        <v>1438.6061440047604</v>
      </c>
      <c r="X565" s="202">
        <v>0</v>
      </c>
      <c r="Y565" s="203">
        <v>0</v>
      </c>
      <c r="Z565" s="203">
        <v>0</v>
      </c>
      <c r="AA565" s="203">
        <v>0</v>
      </c>
      <c r="AB565" s="203">
        <v>0</v>
      </c>
      <c r="AC565" s="203">
        <v>0</v>
      </c>
      <c r="AD565" s="203">
        <v>0</v>
      </c>
      <c r="AE565" s="203">
        <v>775</v>
      </c>
      <c r="AF565" s="202">
        <f t="shared" si="60"/>
        <v>1438.6061440047604</v>
      </c>
      <c r="AG565" s="203">
        <v>0</v>
      </c>
      <c r="AH565" s="202">
        <v>0</v>
      </c>
      <c r="AI565" s="203">
        <v>0</v>
      </c>
      <c r="AJ565" s="202">
        <v>0</v>
      </c>
      <c r="AK565" s="203">
        <v>0</v>
      </c>
      <c r="AL565" s="203">
        <v>0</v>
      </c>
      <c r="AM565" s="203">
        <v>0</v>
      </c>
      <c r="AN565" s="203"/>
      <c r="AO565" s="203">
        <v>0</v>
      </c>
    </row>
    <row r="566" spans="1:41" s="176" customFormat="1" ht="36" customHeight="1" x14ac:dyDescent="0.25">
      <c r="A566" s="176">
        <v>1</v>
      </c>
      <c r="B566" s="171">
        <f>SUBTOTAL(103,$A$552:A566)</f>
        <v>15</v>
      </c>
      <c r="C566" s="172" t="s">
        <v>1389</v>
      </c>
      <c r="D566" s="173">
        <v>1965</v>
      </c>
      <c r="E566" s="173"/>
      <c r="F566" s="174" t="s">
        <v>267</v>
      </c>
      <c r="G566" s="173">
        <v>5</v>
      </c>
      <c r="H566" s="173" t="s">
        <v>308</v>
      </c>
      <c r="I566" s="177">
        <v>4215.8</v>
      </c>
      <c r="J566" s="177">
        <v>4102.3</v>
      </c>
      <c r="K566" s="177">
        <v>2512.3000000000002</v>
      </c>
      <c r="L566" s="206">
        <v>122</v>
      </c>
      <c r="M566" s="173" t="s">
        <v>265</v>
      </c>
      <c r="N566" s="173" t="s">
        <v>269</v>
      </c>
      <c r="O566" s="175" t="s">
        <v>1062</v>
      </c>
      <c r="P566" s="170">
        <v>5684659.8300000001</v>
      </c>
      <c r="Q566" s="170">
        <v>0</v>
      </c>
      <c r="R566" s="170">
        <v>0</v>
      </c>
      <c r="S566" s="170">
        <f t="shared" si="58"/>
        <v>5684659.8300000001</v>
      </c>
      <c r="T566" s="170">
        <f t="shared" si="55"/>
        <v>1348.4178163100717</v>
      </c>
      <c r="U566" s="170">
        <v>1842.9563458892733</v>
      </c>
      <c r="V566" s="202">
        <f t="shared" si="57"/>
        <v>494.53852957920162</v>
      </c>
      <c r="W566" s="202">
        <f t="shared" si="59"/>
        <v>1786.3722807059155</v>
      </c>
      <c r="X566" s="202">
        <v>0</v>
      </c>
      <c r="Y566" s="203">
        <v>0</v>
      </c>
      <c r="Z566" s="203">
        <v>0</v>
      </c>
      <c r="AA566" s="203">
        <v>0</v>
      </c>
      <c r="AB566" s="203">
        <v>0</v>
      </c>
      <c r="AC566" s="203">
        <v>0</v>
      </c>
      <c r="AD566" s="203">
        <v>0</v>
      </c>
      <c r="AE566" s="203">
        <v>1207.0999999999999</v>
      </c>
      <c r="AF566" s="202">
        <f t="shared" si="60"/>
        <v>1786.3722807059155</v>
      </c>
      <c r="AG566" s="203">
        <v>0</v>
      </c>
      <c r="AH566" s="202">
        <v>0</v>
      </c>
      <c r="AI566" s="203">
        <v>0</v>
      </c>
      <c r="AJ566" s="202">
        <v>0</v>
      </c>
      <c r="AK566" s="203">
        <v>0</v>
      </c>
      <c r="AL566" s="203">
        <v>0</v>
      </c>
      <c r="AM566" s="203">
        <v>0</v>
      </c>
      <c r="AN566" s="203"/>
      <c r="AO566" s="203">
        <v>0</v>
      </c>
    </row>
    <row r="567" spans="1:41" s="176" customFormat="1" ht="36" customHeight="1" x14ac:dyDescent="0.25">
      <c r="A567" s="176">
        <v>1</v>
      </c>
      <c r="B567" s="171">
        <f>SUBTOTAL(103,$A$552:A567)</f>
        <v>16</v>
      </c>
      <c r="C567" s="172" t="s">
        <v>790</v>
      </c>
      <c r="D567" s="173">
        <v>1963</v>
      </c>
      <c r="E567" s="173"/>
      <c r="F567" s="174" t="s">
        <v>267</v>
      </c>
      <c r="G567" s="173">
        <v>4</v>
      </c>
      <c r="H567" s="173" t="s">
        <v>303</v>
      </c>
      <c r="I567" s="177">
        <v>1438.7</v>
      </c>
      <c r="J567" s="177">
        <v>1260.7</v>
      </c>
      <c r="K567" s="177">
        <v>1260.7</v>
      </c>
      <c r="L567" s="206">
        <v>54</v>
      </c>
      <c r="M567" s="173" t="s">
        <v>265</v>
      </c>
      <c r="N567" s="173" t="s">
        <v>298</v>
      </c>
      <c r="O567" s="175" t="s">
        <v>803</v>
      </c>
      <c r="P567" s="170">
        <v>3010127.71</v>
      </c>
      <c r="Q567" s="170">
        <v>0</v>
      </c>
      <c r="R567" s="170">
        <v>0</v>
      </c>
      <c r="S567" s="170">
        <f t="shared" si="58"/>
        <v>3010127.71</v>
      </c>
      <c r="T567" s="170">
        <f t="shared" si="55"/>
        <v>2092.2553068742614</v>
      </c>
      <c r="U567" s="170">
        <v>3131.6959755334674</v>
      </c>
      <c r="V567" s="202">
        <f t="shared" si="57"/>
        <v>1039.440668659206</v>
      </c>
      <c r="W567" s="202">
        <f t="shared" si="59"/>
        <v>3035.5438937930076</v>
      </c>
      <c r="X567" s="202">
        <v>0</v>
      </c>
      <c r="Y567" s="203">
        <v>0</v>
      </c>
      <c r="Z567" s="203">
        <v>0</v>
      </c>
      <c r="AA567" s="203">
        <v>0</v>
      </c>
      <c r="AB567" s="203">
        <v>0</v>
      </c>
      <c r="AC567" s="203">
        <v>0</v>
      </c>
      <c r="AD567" s="203">
        <v>0</v>
      </c>
      <c r="AE567" s="203">
        <v>700</v>
      </c>
      <c r="AF567" s="202">
        <f t="shared" si="60"/>
        <v>3035.5438937930076</v>
      </c>
      <c r="AG567" s="203">
        <v>0</v>
      </c>
      <c r="AH567" s="202">
        <v>0</v>
      </c>
      <c r="AI567" s="203">
        <v>0</v>
      </c>
      <c r="AJ567" s="202">
        <v>0</v>
      </c>
      <c r="AK567" s="203">
        <v>0</v>
      </c>
      <c r="AL567" s="203">
        <v>0</v>
      </c>
      <c r="AM567" s="203">
        <v>0</v>
      </c>
      <c r="AN567" s="203"/>
      <c r="AO567" s="203">
        <v>0</v>
      </c>
    </row>
    <row r="568" spans="1:41" s="176" customFormat="1" ht="36" customHeight="1" x14ac:dyDescent="0.25">
      <c r="A568" s="176">
        <v>1</v>
      </c>
      <c r="B568" s="171">
        <f>SUBTOTAL(103,$A$552:A568)</f>
        <v>17</v>
      </c>
      <c r="C568" s="172" t="s">
        <v>546</v>
      </c>
      <c r="D568" s="173" t="s">
        <v>310</v>
      </c>
      <c r="E568" s="173"/>
      <c r="F568" s="174" t="s">
        <v>267</v>
      </c>
      <c r="G568" s="173" t="s">
        <v>351</v>
      </c>
      <c r="H568" s="173" t="s">
        <v>304</v>
      </c>
      <c r="I568" s="177">
        <v>667.4</v>
      </c>
      <c r="J568" s="177">
        <v>629.79999999999995</v>
      </c>
      <c r="K568" s="177">
        <v>629.79999999999995</v>
      </c>
      <c r="L568" s="206">
        <v>29</v>
      </c>
      <c r="M568" s="173" t="s">
        <v>265</v>
      </c>
      <c r="N568" s="173" t="s">
        <v>269</v>
      </c>
      <c r="O568" s="175" t="s">
        <v>1371</v>
      </c>
      <c r="P568" s="170">
        <v>1045450</v>
      </c>
      <c r="Q568" s="170">
        <v>0</v>
      </c>
      <c r="R568" s="170">
        <v>0</v>
      </c>
      <c r="S568" s="170">
        <f t="shared" si="58"/>
        <v>1045450</v>
      </c>
      <c r="T568" s="170">
        <f t="shared" si="55"/>
        <v>1566.4519029068026</v>
      </c>
      <c r="U568" s="170">
        <v>2025.2791429427632</v>
      </c>
      <c r="V568" s="202">
        <f t="shared" si="57"/>
        <v>458.82724003596059</v>
      </c>
      <c r="W568" s="202">
        <f t="shared" si="59"/>
        <v>1963.097243032664</v>
      </c>
      <c r="X568" s="202">
        <v>0</v>
      </c>
      <c r="Y568" s="203">
        <v>0</v>
      </c>
      <c r="Z568" s="203">
        <v>0</v>
      </c>
      <c r="AA568" s="203">
        <v>0</v>
      </c>
      <c r="AB568" s="203">
        <v>0</v>
      </c>
      <c r="AC568" s="203">
        <v>0</v>
      </c>
      <c r="AD568" s="203">
        <v>0</v>
      </c>
      <c r="AE568" s="203">
        <v>210</v>
      </c>
      <c r="AF568" s="202">
        <f t="shared" si="60"/>
        <v>1963.097243032664</v>
      </c>
      <c r="AG568" s="203">
        <v>0</v>
      </c>
      <c r="AH568" s="202">
        <v>0</v>
      </c>
      <c r="AI568" s="203">
        <v>0</v>
      </c>
      <c r="AJ568" s="202">
        <v>0</v>
      </c>
      <c r="AK568" s="203">
        <v>0</v>
      </c>
      <c r="AL568" s="203">
        <v>0</v>
      </c>
      <c r="AM568" s="203">
        <v>0</v>
      </c>
      <c r="AN568" s="203"/>
      <c r="AO568" s="203">
        <v>0</v>
      </c>
    </row>
    <row r="569" spans="1:41" s="176" customFormat="1" ht="36" customHeight="1" x14ac:dyDescent="0.25">
      <c r="A569" s="176">
        <v>1</v>
      </c>
      <c r="B569" s="171">
        <f>SUBTOTAL(103,$A$552:A569)</f>
        <v>18</v>
      </c>
      <c r="C569" s="172" t="s">
        <v>792</v>
      </c>
      <c r="D569" s="173">
        <v>1987</v>
      </c>
      <c r="E569" s="173"/>
      <c r="F569" s="174" t="s">
        <v>311</v>
      </c>
      <c r="G569" s="173">
        <v>9</v>
      </c>
      <c r="H569" s="173" t="s">
        <v>351</v>
      </c>
      <c r="I569" s="177">
        <v>10923.8</v>
      </c>
      <c r="J569" s="177">
        <v>9687.5</v>
      </c>
      <c r="K569" s="177">
        <v>9446.6</v>
      </c>
      <c r="L569" s="206">
        <v>489</v>
      </c>
      <c r="M569" s="173" t="s">
        <v>265</v>
      </c>
      <c r="N569" s="173" t="s">
        <v>269</v>
      </c>
      <c r="O569" s="175" t="s">
        <v>1371</v>
      </c>
      <c r="P569" s="170">
        <v>5592536.2299999995</v>
      </c>
      <c r="Q569" s="170">
        <v>0</v>
      </c>
      <c r="R569" s="170">
        <v>0</v>
      </c>
      <c r="S569" s="170">
        <f t="shared" si="58"/>
        <v>5592536.2299999995</v>
      </c>
      <c r="T569" s="170">
        <f t="shared" si="55"/>
        <v>511.95886321609697</v>
      </c>
      <c r="U569" s="170">
        <v>819.60611051099443</v>
      </c>
      <c r="V569" s="202">
        <f t="shared" si="57"/>
        <v>307.64724729489745</v>
      </c>
      <c r="W569" s="202">
        <f t="shared" si="59"/>
        <v>640.80670810523827</v>
      </c>
      <c r="X569" s="202">
        <v>0</v>
      </c>
      <c r="Y569" s="203">
        <v>0</v>
      </c>
      <c r="Z569" s="203">
        <v>0</v>
      </c>
      <c r="AA569" s="203">
        <v>0</v>
      </c>
      <c r="AB569" s="203">
        <v>0</v>
      </c>
      <c r="AC569" s="203">
        <v>0</v>
      </c>
      <c r="AD569" s="203">
        <v>0</v>
      </c>
      <c r="AE569" s="203">
        <v>0</v>
      </c>
      <c r="AF569" s="202">
        <v>0</v>
      </c>
      <c r="AG569" s="203">
        <v>0</v>
      </c>
      <c r="AH569" s="202">
        <v>0</v>
      </c>
      <c r="AI569" s="203">
        <v>940.98</v>
      </c>
      <c r="AJ569" s="202">
        <f>7439.1*AI569/I569</f>
        <v>640.80670810523827</v>
      </c>
      <c r="AK569" s="203">
        <v>0</v>
      </c>
      <c r="AL569" s="203">
        <v>0</v>
      </c>
      <c r="AM569" s="203">
        <v>0</v>
      </c>
      <c r="AN569" s="203"/>
      <c r="AO569" s="203">
        <v>0</v>
      </c>
    </row>
    <row r="570" spans="1:41" s="176" customFormat="1" ht="36" customHeight="1" x14ac:dyDescent="0.25">
      <c r="A570" s="176">
        <v>1</v>
      </c>
      <c r="B570" s="171">
        <f>SUBTOTAL(103,$A$552:A570)</f>
        <v>19</v>
      </c>
      <c r="C570" s="172" t="s">
        <v>549</v>
      </c>
      <c r="D570" s="173" t="s">
        <v>306</v>
      </c>
      <c r="E570" s="173"/>
      <c r="F570" s="174" t="s">
        <v>267</v>
      </c>
      <c r="G570" s="173" t="s">
        <v>351</v>
      </c>
      <c r="H570" s="173" t="s">
        <v>308</v>
      </c>
      <c r="I570" s="177">
        <v>3951</v>
      </c>
      <c r="J570" s="177">
        <v>3662.3</v>
      </c>
      <c r="K570" s="177">
        <v>2494.3000000000002</v>
      </c>
      <c r="L570" s="206">
        <v>140</v>
      </c>
      <c r="M570" s="173" t="s">
        <v>265</v>
      </c>
      <c r="N570" s="173" t="s">
        <v>269</v>
      </c>
      <c r="O570" s="175" t="s">
        <v>1063</v>
      </c>
      <c r="P570" s="170">
        <v>4005099.29</v>
      </c>
      <c r="Q570" s="170">
        <v>0</v>
      </c>
      <c r="R570" s="170">
        <v>0</v>
      </c>
      <c r="S570" s="170">
        <f t="shared" si="58"/>
        <v>4005099.29</v>
      </c>
      <c r="T570" s="170">
        <f t="shared" si="55"/>
        <v>1013.692556314857</v>
      </c>
      <c r="U570" s="170">
        <v>1339.1110250569477</v>
      </c>
      <c r="V570" s="202">
        <f t="shared" si="57"/>
        <v>325.41846874209068</v>
      </c>
      <c r="W570" s="202">
        <f t="shared" si="59"/>
        <v>884.27982789167299</v>
      </c>
      <c r="X570" s="202">
        <v>0</v>
      </c>
      <c r="Y570" s="203">
        <v>0</v>
      </c>
      <c r="Z570" s="203">
        <v>0</v>
      </c>
      <c r="AA570" s="203">
        <v>0</v>
      </c>
      <c r="AB570" s="203">
        <v>0</v>
      </c>
      <c r="AC570" s="203">
        <v>0</v>
      </c>
      <c r="AD570" s="203">
        <v>0</v>
      </c>
      <c r="AE570" s="203">
        <v>560</v>
      </c>
      <c r="AF570" s="202">
        <f>6238.91*AE570/I570</f>
        <v>884.27982789167299</v>
      </c>
      <c r="AG570" s="203">
        <v>0</v>
      </c>
      <c r="AH570" s="202">
        <v>0</v>
      </c>
      <c r="AI570" s="203">
        <v>0</v>
      </c>
      <c r="AJ570" s="202">
        <v>0</v>
      </c>
      <c r="AK570" s="203">
        <v>0</v>
      </c>
      <c r="AL570" s="203">
        <v>0</v>
      </c>
      <c r="AM570" s="203">
        <v>0</v>
      </c>
      <c r="AN570" s="203"/>
      <c r="AO570" s="203">
        <v>0</v>
      </c>
    </row>
    <row r="571" spans="1:41" s="176" customFormat="1" ht="36" customHeight="1" x14ac:dyDescent="0.25">
      <c r="A571" s="176">
        <v>1</v>
      </c>
      <c r="B571" s="171">
        <f>SUBTOTAL(103,$A$552:A571)</f>
        <v>20</v>
      </c>
      <c r="C571" s="172" t="s">
        <v>1616</v>
      </c>
      <c r="D571" s="173" t="s">
        <v>362</v>
      </c>
      <c r="E571" s="173"/>
      <c r="F571" s="174" t="s">
        <v>267</v>
      </c>
      <c r="G571" s="173" t="s">
        <v>303</v>
      </c>
      <c r="H571" s="173" t="s">
        <v>312</v>
      </c>
      <c r="I571" s="177">
        <v>574.1</v>
      </c>
      <c r="J571" s="177">
        <v>444.8</v>
      </c>
      <c r="K571" s="177">
        <v>444.8</v>
      </c>
      <c r="L571" s="206">
        <v>19</v>
      </c>
      <c r="M571" s="173" t="s">
        <v>265</v>
      </c>
      <c r="N571" s="173" t="s">
        <v>269</v>
      </c>
      <c r="O571" s="175" t="s">
        <v>1631</v>
      </c>
      <c r="P571" s="170">
        <v>2379578.94</v>
      </c>
      <c r="Q571" s="170">
        <v>0</v>
      </c>
      <c r="R571" s="170">
        <v>0</v>
      </c>
      <c r="S571" s="170">
        <f t="shared" si="58"/>
        <v>2379578.94</v>
      </c>
      <c r="T571" s="170">
        <f t="shared" si="55"/>
        <v>4144.8858038669223</v>
      </c>
      <c r="U571" s="170">
        <v>5437.5841316843753</v>
      </c>
      <c r="V571" s="202">
        <f t="shared" si="57"/>
        <v>1292.698327817453</v>
      </c>
      <c r="W571" s="202">
        <f t="shared" si="59"/>
        <v>15116.397509144748</v>
      </c>
      <c r="X571" s="202">
        <v>0</v>
      </c>
      <c r="Y571" s="203">
        <v>0</v>
      </c>
      <c r="Z571" s="203">
        <v>0</v>
      </c>
      <c r="AA571" s="203">
        <v>0</v>
      </c>
      <c r="AB571" s="203">
        <v>0</v>
      </c>
      <c r="AC571" s="203">
        <v>0</v>
      </c>
      <c r="AD571" s="203">
        <v>0</v>
      </c>
      <c r="AE571" s="203">
        <v>1391</v>
      </c>
      <c r="AF571" s="202">
        <f>6238.91*AE571/I571</f>
        <v>15116.397509144748</v>
      </c>
      <c r="AG571" s="203">
        <v>0</v>
      </c>
      <c r="AH571" s="202">
        <v>0</v>
      </c>
      <c r="AI571" s="203">
        <v>0</v>
      </c>
      <c r="AJ571" s="202">
        <v>0</v>
      </c>
      <c r="AK571" s="203">
        <v>0</v>
      </c>
      <c r="AL571" s="203">
        <v>0</v>
      </c>
      <c r="AM571" s="203">
        <v>0</v>
      </c>
      <c r="AN571" s="203"/>
      <c r="AO571" s="203">
        <v>0</v>
      </c>
    </row>
    <row r="572" spans="1:41" s="176" customFormat="1" ht="36" customHeight="1" x14ac:dyDescent="0.25">
      <c r="A572" s="176">
        <v>1</v>
      </c>
      <c r="B572" s="171">
        <f>SUBTOTAL(103,$A$552:A572)</f>
        <v>21</v>
      </c>
      <c r="C572" s="172" t="s">
        <v>552</v>
      </c>
      <c r="D572" s="173" t="s">
        <v>363</v>
      </c>
      <c r="E572" s="173"/>
      <c r="F572" s="174" t="s">
        <v>364</v>
      </c>
      <c r="G572" s="173" t="s">
        <v>303</v>
      </c>
      <c r="H572" s="173" t="s">
        <v>303</v>
      </c>
      <c r="I572" s="177">
        <v>583.5</v>
      </c>
      <c r="J572" s="177">
        <v>558.1</v>
      </c>
      <c r="K572" s="177">
        <v>558.1</v>
      </c>
      <c r="L572" s="206">
        <v>39</v>
      </c>
      <c r="M572" s="173" t="s">
        <v>265</v>
      </c>
      <c r="N572" s="173" t="s">
        <v>269</v>
      </c>
      <c r="O572" s="175" t="s">
        <v>1632</v>
      </c>
      <c r="P572" s="170">
        <v>2564514.5199999996</v>
      </c>
      <c r="Q572" s="170">
        <v>0</v>
      </c>
      <c r="R572" s="170">
        <v>0</v>
      </c>
      <c r="S572" s="170">
        <f t="shared" si="58"/>
        <v>2564514.5199999996</v>
      </c>
      <c r="T572" s="170">
        <f t="shared" si="55"/>
        <v>4395.0548757497854</v>
      </c>
      <c r="U572" s="170">
        <v>6684.7252442159379</v>
      </c>
      <c r="V572" s="202">
        <f t="shared" si="57"/>
        <v>2289.6703684661525</v>
      </c>
      <c r="W572" s="202">
        <f t="shared" si="59"/>
        <v>8789.0043187660667</v>
      </c>
      <c r="X572" s="202">
        <v>0</v>
      </c>
      <c r="Y572" s="203">
        <v>0</v>
      </c>
      <c r="Z572" s="203">
        <v>0</v>
      </c>
      <c r="AA572" s="203">
        <v>0</v>
      </c>
      <c r="AB572" s="203">
        <v>0</v>
      </c>
      <c r="AC572" s="203">
        <v>0</v>
      </c>
      <c r="AD572" s="203">
        <v>0</v>
      </c>
      <c r="AE572" s="203">
        <v>822</v>
      </c>
      <c r="AF572" s="202">
        <f>6238.91*AE572/I572</f>
        <v>8789.0043187660667</v>
      </c>
      <c r="AG572" s="203">
        <v>0</v>
      </c>
      <c r="AH572" s="202">
        <v>0</v>
      </c>
      <c r="AI572" s="203">
        <v>0</v>
      </c>
      <c r="AJ572" s="202">
        <v>0</v>
      </c>
      <c r="AK572" s="203">
        <v>0</v>
      </c>
      <c r="AL572" s="203">
        <v>0</v>
      </c>
      <c r="AM572" s="203">
        <v>0</v>
      </c>
      <c r="AN572" s="203"/>
      <c r="AO572" s="203">
        <v>0</v>
      </c>
    </row>
    <row r="573" spans="1:41" s="176" customFormat="1" ht="36" customHeight="1" x14ac:dyDescent="0.25">
      <c r="A573" s="176">
        <v>1</v>
      </c>
      <c r="B573" s="171">
        <f>SUBTOTAL(103,$A$552:A573)</f>
        <v>22</v>
      </c>
      <c r="C573" s="172" t="s">
        <v>555</v>
      </c>
      <c r="D573" s="173">
        <v>1985</v>
      </c>
      <c r="E573" s="173"/>
      <c r="F573" s="174" t="s">
        <v>311</v>
      </c>
      <c r="G573" s="173">
        <v>2</v>
      </c>
      <c r="H573" s="173" t="s">
        <v>303</v>
      </c>
      <c r="I573" s="177">
        <v>626.1</v>
      </c>
      <c r="J573" s="177">
        <v>568.4</v>
      </c>
      <c r="K573" s="177">
        <v>568.4</v>
      </c>
      <c r="L573" s="206">
        <v>44</v>
      </c>
      <c r="M573" s="173" t="s">
        <v>265</v>
      </c>
      <c r="N573" s="173" t="s">
        <v>269</v>
      </c>
      <c r="O573" s="175" t="s">
        <v>1371</v>
      </c>
      <c r="P573" s="170">
        <v>2185133.9699999997</v>
      </c>
      <c r="Q573" s="170">
        <v>0</v>
      </c>
      <c r="R573" s="170">
        <v>0</v>
      </c>
      <c r="S573" s="170">
        <f t="shared" si="58"/>
        <v>2185133.9699999997</v>
      </c>
      <c r="T573" s="170">
        <f t="shared" si="55"/>
        <v>3490.0718255869665</v>
      </c>
      <c r="U573" s="170">
        <v>4447.2813895543841</v>
      </c>
      <c r="V573" s="202">
        <f t="shared" si="57"/>
        <v>957.20956396741758</v>
      </c>
      <c r="W573" s="202">
        <f t="shared" si="59"/>
        <v>12443.056181121226</v>
      </c>
      <c r="X573" s="202">
        <v>0</v>
      </c>
      <c r="Y573" s="203">
        <v>0</v>
      </c>
      <c r="Z573" s="203">
        <v>0</v>
      </c>
      <c r="AA573" s="203">
        <v>0</v>
      </c>
      <c r="AB573" s="203">
        <v>0</v>
      </c>
      <c r="AC573" s="203">
        <v>0</v>
      </c>
      <c r="AD573" s="203">
        <v>0</v>
      </c>
      <c r="AE573" s="203">
        <v>0</v>
      </c>
      <c r="AF573" s="202">
        <v>0</v>
      </c>
      <c r="AG573" s="203">
        <v>0</v>
      </c>
      <c r="AH573" s="202">
        <v>0</v>
      </c>
      <c r="AI573" s="203">
        <v>1047.25</v>
      </c>
      <c r="AJ573" s="202">
        <f>7439.1*AI573/I573</f>
        <v>12443.056181121226</v>
      </c>
      <c r="AK573" s="203">
        <v>0</v>
      </c>
      <c r="AL573" s="203">
        <v>0</v>
      </c>
      <c r="AM573" s="203">
        <v>0</v>
      </c>
      <c r="AN573" s="203"/>
      <c r="AO573" s="203">
        <v>0</v>
      </c>
    </row>
    <row r="574" spans="1:41" s="176" customFormat="1" ht="36" customHeight="1" x14ac:dyDescent="0.25">
      <c r="A574" s="176">
        <v>1</v>
      </c>
      <c r="B574" s="171">
        <f>SUBTOTAL(103,$A$552:A574)</f>
        <v>23</v>
      </c>
      <c r="C574" s="172" t="s">
        <v>556</v>
      </c>
      <c r="D574" s="173">
        <v>1977</v>
      </c>
      <c r="E574" s="173"/>
      <c r="F574" s="174" t="s">
        <v>267</v>
      </c>
      <c r="G574" s="173">
        <v>2</v>
      </c>
      <c r="H574" s="173" t="s">
        <v>303</v>
      </c>
      <c r="I574" s="177">
        <v>814.4</v>
      </c>
      <c r="J574" s="177">
        <v>814.4</v>
      </c>
      <c r="K574" s="177">
        <v>814.4</v>
      </c>
      <c r="L574" s="206">
        <v>45</v>
      </c>
      <c r="M574" s="173" t="s">
        <v>265</v>
      </c>
      <c r="N574" s="173" t="s">
        <v>269</v>
      </c>
      <c r="O574" s="175" t="s">
        <v>1622</v>
      </c>
      <c r="P574" s="170">
        <v>2794940.58</v>
      </c>
      <c r="Q574" s="170">
        <v>0</v>
      </c>
      <c r="R574" s="170">
        <v>0</v>
      </c>
      <c r="S574" s="170">
        <f t="shared" si="58"/>
        <v>2794940.58</v>
      </c>
      <c r="T574" s="170">
        <f t="shared" si="55"/>
        <v>3431.9014980353636</v>
      </c>
      <c r="U574" s="170">
        <v>5073.9836198428293</v>
      </c>
      <c r="V574" s="202">
        <f t="shared" si="57"/>
        <v>1642.0821218074657</v>
      </c>
      <c r="W574" s="202">
        <f t="shared" si="59"/>
        <v>4642.4109282907666</v>
      </c>
      <c r="X574" s="202">
        <v>0</v>
      </c>
      <c r="Y574" s="203">
        <v>0</v>
      </c>
      <c r="Z574" s="203">
        <v>0</v>
      </c>
      <c r="AA574" s="203">
        <v>0</v>
      </c>
      <c r="AB574" s="203">
        <v>0</v>
      </c>
      <c r="AC574" s="203">
        <v>0</v>
      </c>
      <c r="AD574" s="203">
        <v>0</v>
      </c>
      <c r="AE574" s="203">
        <v>606</v>
      </c>
      <c r="AF574" s="202">
        <f>6238.91*AE574/I574</f>
        <v>4642.4109282907666</v>
      </c>
      <c r="AG574" s="203">
        <v>0</v>
      </c>
      <c r="AH574" s="202">
        <v>0</v>
      </c>
      <c r="AI574" s="203">
        <v>0</v>
      </c>
      <c r="AJ574" s="202">
        <v>0</v>
      </c>
      <c r="AK574" s="203">
        <v>0</v>
      </c>
      <c r="AL574" s="203">
        <v>0</v>
      </c>
      <c r="AM574" s="203">
        <v>0</v>
      </c>
      <c r="AN574" s="203"/>
      <c r="AO574" s="203">
        <v>0</v>
      </c>
    </row>
    <row r="575" spans="1:41" s="176" customFormat="1" ht="36" customHeight="1" x14ac:dyDescent="0.25">
      <c r="A575" s="176">
        <v>1</v>
      </c>
      <c r="B575" s="171">
        <f>SUBTOTAL(103,$A$552:A575)</f>
        <v>24</v>
      </c>
      <c r="C575" s="172" t="s">
        <v>1601</v>
      </c>
      <c r="D575" s="173">
        <v>1985</v>
      </c>
      <c r="E575" s="173"/>
      <c r="F575" s="174" t="s">
        <v>267</v>
      </c>
      <c r="G575" s="173">
        <v>7</v>
      </c>
      <c r="H575" s="173" t="s">
        <v>370</v>
      </c>
      <c r="I575" s="177">
        <v>11373.5</v>
      </c>
      <c r="J575" s="177">
        <v>10283</v>
      </c>
      <c r="K575" s="177">
        <v>9429.1</v>
      </c>
      <c r="L575" s="206">
        <v>450</v>
      </c>
      <c r="M575" s="173" t="s">
        <v>265</v>
      </c>
      <c r="N575" s="173" t="s">
        <v>269</v>
      </c>
      <c r="O575" s="175" t="s">
        <v>1372</v>
      </c>
      <c r="P575" s="170">
        <v>7135450</v>
      </c>
      <c r="Q575" s="170">
        <v>0</v>
      </c>
      <c r="R575" s="170">
        <v>0</v>
      </c>
      <c r="S575" s="170">
        <f t="shared" si="58"/>
        <v>7135450</v>
      </c>
      <c r="T575" s="170">
        <f t="shared" si="55"/>
        <v>627.37503846661093</v>
      </c>
      <c r="U575" s="170">
        <v>1301.6238624873611</v>
      </c>
      <c r="V575" s="202">
        <f t="shared" si="57"/>
        <v>674.24882402075013</v>
      </c>
      <c r="W575" s="202">
        <f t="shared" si="59"/>
        <v>758.72475491273576</v>
      </c>
      <c r="X575" s="202">
        <v>0</v>
      </c>
      <c r="Y575" s="203">
        <v>0</v>
      </c>
      <c r="Z575" s="203">
        <v>0</v>
      </c>
      <c r="AA575" s="203">
        <v>0</v>
      </c>
      <c r="AB575" s="203">
        <v>0</v>
      </c>
      <c r="AC575" s="203">
        <v>0</v>
      </c>
      <c r="AD575" s="203">
        <v>0</v>
      </c>
      <c r="AE575" s="203">
        <v>0</v>
      </c>
      <c r="AF575" s="202">
        <v>0</v>
      </c>
      <c r="AG575" s="203">
        <v>0</v>
      </c>
      <c r="AH575" s="202">
        <v>0</v>
      </c>
      <c r="AI575" s="203">
        <v>1160</v>
      </c>
      <c r="AJ575" s="202">
        <f>7439.1*AI575/I575</f>
        <v>758.72475491273576</v>
      </c>
      <c r="AK575" s="203">
        <v>0</v>
      </c>
      <c r="AL575" s="203">
        <v>0</v>
      </c>
      <c r="AM575" s="203">
        <v>0</v>
      </c>
      <c r="AN575" s="203"/>
      <c r="AO575" s="203">
        <v>0</v>
      </c>
    </row>
    <row r="576" spans="1:41" s="176" customFormat="1" ht="36" customHeight="1" x14ac:dyDescent="0.25">
      <c r="A576" s="176">
        <v>1</v>
      </c>
      <c r="B576" s="171">
        <f>SUBTOTAL(103,$A$552:A576)</f>
        <v>25</v>
      </c>
      <c r="C576" s="172" t="s">
        <v>557</v>
      </c>
      <c r="D576" s="173" t="s">
        <v>365</v>
      </c>
      <c r="E576" s="173"/>
      <c r="F576" s="174" t="s">
        <v>267</v>
      </c>
      <c r="G576" s="173" t="s">
        <v>357</v>
      </c>
      <c r="H576" s="173" t="s">
        <v>312</v>
      </c>
      <c r="I576" s="177">
        <v>6810.7</v>
      </c>
      <c r="J576" s="177">
        <v>6388.4</v>
      </c>
      <c r="K576" s="177">
        <v>6388.4</v>
      </c>
      <c r="L576" s="206">
        <v>302</v>
      </c>
      <c r="M576" s="173" t="s">
        <v>265</v>
      </c>
      <c r="N576" s="173" t="s">
        <v>269</v>
      </c>
      <c r="O576" s="175" t="s">
        <v>1630</v>
      </c>
      <c r="P576" s="170">
        <v>2349725</v>
      </c>
      <c r="Q576" s="170">
        <v>0</v>
      </c>
      <c r="R576" s="170">
        <v>0</v>
      </c>
      <c r="S576" s="170">
        <f t="shared" si="58"/>
        <v>2349725</v>
      </c>
      <c r="T576" s="170">
        <f t="shared" si="55"/>
        <v>345.00491873082063</v>
      </c>
      <c r="U576" s="170">
        <v>1134.0737369139736</v>
      </c>
      <c r="V576" s="202">
        <f t="shared" si="57"/>
        <v>789.06881818315287</v>
      </c>
      <c r="W576" s="202">
        <f t="shared" si="59"/>
        <v>396.2812142657877</v>
      </c>
      <c r="X576" s="202">
        <v>0</v>
      </c>
      <c r="Y576" s="203">
        <v>0</v>
      </c>
      <c r="Z576" s="203">
        <v>0</v>
      </c>
      <c r="AA576" s="203">
        <v>0</v>
      </c>
      <c r="AB576" s="203">
        <v>0</v>
      </c>
      <c r="AC576" s="203">
        <v>0</v>
      </c>
      <c r="AD576" s="203">
        <v>0</v>
      </c>
      <c r="AE576" s="203">
        <v>432.6</v>
      </c>
      <c r="AF576" s="202">
        <f t="shared" ref="AF576:AF593" si="61">6238.91*AE576/I576</f>
        <v>396.2812142657877</v>
      </c>
      <c r="AG576" s="203">
        <v>0</v>
      </c>
      <c r="AH576" s="202">
        <v>0</v>
      </c>
      <c r="AI576" s="203">
        <v>0</v>
      </c>
      <c r="AJ576" s="202">
        <v>0</v>
      </c>
      <c r="AK576" s="203">
        <v>0</v>
      </c>
      <c r="AL576" s="203">
        <v>0</v>
      </c>
      <c r="AM576" s="203">
        <v>0</v>
      </c>
      <c r="AN576" s="203"/>
      <c r="AO576" s="203">
        <v>0</v>
      </c>
    </row>
    <row r="577" spans="1:41" s="176" customFormat="1" ht="36" customHeight="1" x14ac:dyDescent="0.25">
      <c r="A577" s="176">
        <v>1</v>
      </c>
      <c r="B577" s="171">
        <f>SUBTOTAL(103,$A$552:A577)</f>
        <v>26</v>
      </c>
      <c r="C577" s="172" t="s">
        <v>558</v>
      </c>
      <c r="D577" s="173">
        <v>1960</v>
      </c>
      <c r="E577" s="173"/>
      <c r="F577" s="174" t="s">
        <v>267</v>
      </c>
      <c r="G577" s="173">
        <v>2</v>
      </c>
      <c r="H577" s="173" t="s">
        <v>303</v>
      </c>
      <c r="I577" s="177">
        <v>614.9</v>
      </c>
      <c r="J577" s="177">
        <v>438</v>
      </c>
      <c r="K577" s="177">
        <v>438</v>
      </c>
      <c r="L577" s="206">
        <v>34</v>
      </c>
      <c r="M577" s="173" t="s">
        <v>265</v>
      </c>
      <c r="N577" s="173" t="s">
        <v>1634</v>
      </c>
      <c r="O577" s="175" t="s">
        <v>1311</v>
      </c>
      <c r="P577" s="170">
        <v>2102735.67</v>
      </c>
      <c r="Q577" s="170">
        <v>0</v>
      </c>
      <c r="R577" s="170">
        <v>0</v>
      </c>
      <c r="S577" s="170">
        <f t="shared" si="58"/>
        <v>2102735.67</v>
      </c>
      <c r="T577" s="170">
        <f t="shared" si="55"/>
        <v>3419.6384290128476</v>
      </c>
      <c r="U577" s="170">
        <v>5055.8529679622698</v>
      </c>
      <c r="V577" s="202">
        <f t="shared" si="57"/>
        <v>1636.2145389494221</v>
      </c>
      <c r="W577" s="202">
        <f t="shared" si="59"/>
        <v>1885.1674711335179</v>
      </c>
      <c r="X577" s="202">
        <v>0</v>
      </c>
      <c r="Y577" s="203">
        <v>0</v>
      </c>
      <c r="Z577" s="203">
        <v>0</v>
      </c>
      <c r="AA577" s="203">
        <v>0</v>
      </c>
      <c r="AB577" s="203">
        <v>0</v>
      </c>
      <c r="AC577" s="203">
        <v>0</v>
      </c>
      <c r="AD577" s="203">
        <v>0</v>
      </c>
      <c r="AE577" s="203">
        <v>185.8</v>
      </c>
      <c r="AF577" s="202">
        <f t="shared" si="61"/>
        <v>1885.1674711335179</v>
      </c>
      <c r="AG577" s="203">
        <v>0</v>
      </c>
      <c r="AH577" s="202">
        <v>0</v>
      </c>
      <c r="AI577" s="203">
        <v>0</v>
      </c>
      <c r="AJ577" s="202">
        <v>0</v>
      </c>
      <c r="AK577" s="203">
        <v>0</v>
      </c>
      <c r="AL577" s="203">
        <v>0</v>
      </c>
      <c r="AM577" s="203">
        <v>0</v>
      </c>
      <c r="AN577" s="203"/>
      <c r="AO577" s="203">
        <v>0</v>
      </c>
    </row>
    <row r="578" spans="1:41" s="176" customFormat="1" ht="36" customHeight="1" x14ac:dyDescent="0.25">
      <c r="A578" s="176">
        <v>1</v>
      </c>
      <c r="B578" s="171">
        <f>SUBTOTAL(103,$A$552:A578)</f>
        <v>27</v>
      </c>
      <c r="C578" s="172" t="s">
        <v>559</v>
      </c>
      <c r="D578" s="173" t="s">
        <v>366</v>
      </c>
      <c r="E578" s="173"/>
      <c r="F578" s="174" t="s">
        <v>364</v>
      </c>
      <c r="G578" s="173" t="s">
        <v>303</v>
      </c>
      <c r="H578" s="173" t="s">
        <v>303</v>
      </c>
      <c r="I578" s="177">
        <v>485.3</v>
      </c>
      <c r="J578" s="177">
        <v>337.2</v>
      </c>
      <c r="K578" s="177">
        <v>337.2</v>
      </c>
      <c r="L578" s="206">
        <v>32</v>
      </c>
      <c r="M578" s="173" t="s">
        <v>265</v>
      </c>
      <c r="N578" s="173" t="s">
        <v>269</v>
      </c>
      <c r="O578" s="175" t="s">
        <v>1633</v>
      </c>
      <c r="P578" s="170">
        <v>1977750</v>
      </c>
      <c r="Q578" s="170">
        <v>0</v>
      </c>
      <c r="R578" s="170">
        <v>0</v>
      </c>
      <c r="S578" s="170">
        <f t="shared" si="58"/>
        <v>1977750</v>
      </c>
      <c r="T578" s="170">
        <f t="shared" si="55"/>
        <v>4075.3142386152895</v>
      </c>
      <c r="U578" s="170">
        <v>6713.7265320420347</v>
      </c>
      <c r="V578" s="202">
        <f t="shared" si="57"/>
        <v>2638.4122934267452</v>
      </c>
      <c r="W578" s="202">
        <f t="shared" si="59"/>
        <v>8253.410715021635</v>
      </c>
      <c r="X578" s="202">
        <v>0</v>
      </c>
      <c r="Y578" s="203">
        <v>0</v>
      </c>
      <c r="Z578" s="203">
        <v>0</v>
      </c>
      <c r="AA578" s="203">
        <v>0</v>
      </c>
      <c r="AB578" s="203">
        <v>0</v>
      </c>
      <c r="AC578" s="203">
        <v>0</v>
      </c>
      <c r="AD578" s="203">
        <v>0</v>
      </c>
      <c r="AE578" s="203">
        <v>642</v>
      </c>
      <c r="AF578" s="202">
        <f t="shared" si="61"/>
        <v>8253.410715021635</v>
      </c>
      <c r="AG578" s="203">
        <v>0</v>
      </c>
      <c r="AH578" s="202">
        <v>0</v>
      </c>
      <c r="AI578" s="203">
        <v>0</v>
      </c>
      <c r="AJ578" s="202">
        <v>0</v>
      </c>
      <c r="AK578" s="203">
        <v>0</v>
      </c>
      <c r="AL578" s="203">
        <v>0</v>
      </c>
      <c r="AM578" s="203">
        <v>0</v>
      </c>
      <c r="AN578" s="203"/>
      <c r="AO578" s="203">
        <v>0</v>
      </c>
    </row>
    <row r="579" spans="1:41" s="176" customFormat="1" ht="36" customHeight="1" x14ac:dyDescent="0.25">
      <c r="A579" s="176">
        <v>1</v>
      </c>
      <c r="B579" s="171">
        <f>SUBTOTAL(103,$A$552:A579)</f>
        <v>28</v>
      </c>
      <c r="C579" s="172" t="s">
        <v>560</v>
      </c>
      <c r="D579" s="173" t="s">
        <v>367</v>
      </c>
      <c r="E579" s="173"/>
      <c r="F579" s="174" t="s">
        <v>311</v>
      </c>
      <c r="G579" s="173" t="s">
        <v>351</v>
      </c>
      <c r="H579" s="173" t="s">
        <v>308</v>
      </c>
      <c r="I579" s="177">
        <v>3872.2</v>
      </c>
      <c r="J579" s="177">
        <v>3548.7</v>
      </c>
      <c r="K579" s="177">
        <v>3548.7</v>
      </c>
      <c r="L579" s="206">
        <v>172</v>
      </c>
      <c r="M579" s="173" t="s">
        <v>265</v>
      </c>
      <c r="N579" s="173" t="s">
        <v>269</v>
      </c>
      <c r="O579" s="175" t="s">
        <v>1062</v>
      </c>
      <c r="P579" s="170">
        <v>3319050</v>
      </c>
      <c r="Q579" s="170">
        <v>0</v>
      </c>
      <c r="R579" s="170">
        <v>0</v>
      </c>
      <c r="S579" s="170">
        <f t="shared" si="58"/>
        <v>3319050</v>
      </c>
      <c r="T579" s="170">
        <f t="shared" si="55"/>
        <v>857.14839109550132</v>
      </c>
      <c r="U579" s="170">
        <v>1595.7514591188472</v>
      </c>
      <c r="V579" s="202">
        <f t="shared" si="57"/>
        <v>738.60306802334583</v>
      </c>
      <c r="W579" s="202">
        <f t="shared" si="59"/>
        <v>3705.77268736119</v>
      </c>
      <c r="X579" s="202">
        <v>0</v>
      </c>
      <c r="Y579" s="203">
        <v>0</v>
      </c>
      <c r="Z579" s="203">
        <v>0</v>
      </c>
      <c r="AA579" s="203">
        <v>0</v>
      </c>
      <c r="AB579" s="203">
        <v>0</v>
      </c>
      <c r="AC579" s="203">
        <v>0</v>
      </c>
      <c r="AD579" s="203">
        <v>0</v>
      </c>
      <c r="AE579" s="203">
        <v>2300</v>
      </c>
      <c r="AF579" s="202">
        <f t="shared" si="61"/>
        <v>3705.77268736119</v>
      </c>
      <c r="AG579" s="203">
        <v>0</v>
      </c>
      <c r="AH579" s="202">
        <v>0</v>
      </c>
      <c r="AI579" s="203">
        <v>0</v>
      </c>
      <c r="AJ579" s="202">
        <v>0</v>
      </c>
      <c r="AK579" s="203">
        <v>0</v>
      </c>
      <c r="AL579" s="203">
        <v>0</v>
      </c>
      <c r="AM579" s="203">
        <v>0</v>
      </c>
      <c r="AN579" s="203"/>
      <c r="AO579" s="203">
        <v>0</v>
      </c>
    </row>
    <row r="580" spans="1:41" s="176" customFormat="1" ht="36" customHeight="1" x14ac:dyDescent="0.25">
      <c r="A580" s="176">
        <v>1</v>
      </c>
      <c r="B580" s="171">
        <f>SUBTOTAL(103,$A$552:A580)</f>
        <v>29</v>
      </c>
      <c r="C580" s="172" t="s">
        <v>561</v>
      </c>
      <c r="D580" s="173" t="s">
        <v>361</v>
      </c>
      <c r="E580" s="173"/>
      <c r="F580" s="174" t="s">
        <v>267</v>
      </c>
      <c r="G580" s="173" t="s">
        <v>308</v>
      </c>
      <c r="H580" s="173" t="s">
        <v>312</v>
      </c>
      <c r="I580" s="177">
        <v>2170</v>
      </c>
      <c r="J580" s="177">
        <v>2000.7</v>
      </c>
      <c r="K580" s="177">
        <v>2000.7</v>
      </c>
      <c r="L580" s="206">
        <v>125</v>
      </c>
      <c r="M580" s="173" t="s">
        <v>265</v>
      </c>
      <c r="N580" s="173" t="s">
        <v>269</v>
      </c>
      <c r="O580" s="175" t="s">
        <v>1063</v>
      </c>
      <c r="P580" s="170">
        <v>3977523.46</v>
      </c>
      <c r="Q580" s="170">
        <v>0</v>
      </c>
      <c r="R580" s="170">
        <v>0</v>
      </c>
      <c r="S580" s="170">
        <f t="shared" si="58"/>
        <v>3977523.46</v>
      </c>
      <c r="T580" s="170">
        <f t="shared" si="55"/>
        <v>1832.9601198156681</v>
      </c>
      <c r="U580" s="170">
        <v>1930.9589999999998</v>
      </c>
      <c r="V580" s="202">
        <f t="shared" si="57"/>
        <v>97.998880184331711</v>
      </c>
      <c r="W580" s="202">
        <f t="shared" si="59"/>
        <v>3450.088479262673</v>
      </c>
      <c r="X580" s="202">
        <v>0</v>
      </c>
      <c r="Y580" s="203">
        <v>0</v>
      </c>
      <c r="Z580" s="203">
        <v>0</v>
      </c>
      <c r="AA580" s="203">
        <v>0</v>
      </c>
      <c r="AB580" s="203">
        <v>0</v>
      </c>
      <c r="AC580" s="203">
        <v>0</v>
      </c>
      <c r="AD580" s="203">
        <v>0</v>
      </c>
      <c r="AE580" s="203">
        <v>1200</v>
      </c>
      <c r="AF580" s="202">
        <f t="shared" si="61"/>
        <v>3450.088479262673</v>
      </c>
      <c r="AG580" s="203">
        <v>0</v>
      </c>
      <c r="AH580" s="202">
        <v>0</v>
      </c>
      <c r="AI580" s="203">
        <v>0</v>
      </c>
      <c r="AJ580" s="202">
        <v>0</v>
      </c>
      <c r="AK580" s="203">
        <v>0</v>
      </c>
      <c r="AL580" s="203">
        <v>0</v>
      </c>
      <c r="AM580" s="203">
        <v>0</v>
      </c>
      <c r="AN580" s="203"/>
      <c r="AO580" s="203">
        <v>0</v>
      </c>
    </row>
    <row r="581" spans="1:41" s="176" customFormat="1" ht="36" customHeight="1" x14ac:dyDescent="0.25">
      <c r="A581" s="176">
        <v>1</v>
      </c>
      <c r="B581" s="171">
        <f>SUBTOTAL(103,$A$552:A581)</f>
        <v>30</v>
      </c>
      <c r="C581" s="172" t="s">
        <v>562</v>
      </c>
      <c r="D581" s="173">
        <v>1981</v>
      </c>
      <c r="E581" s="173"/>
      <c r="F581" s="174" t="s">
        <v>267</v>
      </c>
      <c r="G581" s="173" t="s">
        <v>370</v>
      </c>
      <c r="H581" s="173" t="s">
        <v>304</v>
      </c>
      <c r="I581" s="177">
        <v>1247.5999999999999</v>
      </c>
      <c r="J581" s="177">
        <v>982.4</v>
      </c>
      <c r="K581" s="177">
        <v>982.4</v>
      </c>
      <c r="L581" s="206">
        <v>40</v>
      </c>
      <c r="M581" s="173" t="s">
        <v>265</v>
      </c>
      <c r="N581" s="173" t="s">
        <v>269</v>
      </c>
      <c r="O581" s="175" t="s">
        <v>1387</v>
      </c>
      <c r="P581" s="170">
        <v>1141875</v>
      </c>
      <c r="Q581" s="170">
        <v>0</v>
      </c>
      <c r="R581" s="170">
        <v>0</v>
      </c>
      <c r="S581" s="170">
        <f t="shared" si="58"/>
        <v>1141875</v>
      </c>
      <c r="T581" s="170">
        <f t="shared" si="55"/>
        <v>915.2572940044887</v>
      </c>
      <c r="U581" s="170">
        <v>1480.6701747354921</v>
      </c>
      <c r="V581" s="202">
        <f t="shared" si="57"/>
        <v>565.41288073100338</v>
      </c>
      <c r="W581" s="202">
        <f t="shared" si="59"/>
        <v>2415.3523004168001</v>
      </c>
      <c r="X581" s="202">
        <v>0</v>
      </c>
      <c r="Y581" s="203">
        <v>0</v>
      </c>
      <c r="Z581" s="203">
        <v>0</v>
      </c>
      <c r="AA581" s="203">
        <v>0</v>
      </c>
      <c r="AB581" s="203">
        <v>0</v>
      </c>
      <c r="AC581" s="203">
        <v>0</v>
      </c>
      <c r="AD581" s="203">
        <v>0</v>
      </c>
      <c r="AE581" s="203">
        <v>483</v>
      </c>
      <c r="AF581" s="202">
        <f t="shared" si="61"/>
        <v>2415.3523004168001</v>
      </c>
      <c r="AG581" s="203">
        <v>0</v>
      </c>
      <c r="AH581" s="202">
        <v>0</v>
      </c>
      <c r="AI581" s="203">
        <v>0</v>
      </c>
      <c r="AJ581" s="202">
        <v>0</v>
      </c>
      <c r="AK581" s="203">
        <v>0</v>
      </c>
      <c r="AL581" s="203">
        <v>0</v>
      </c>
      <c r="AM581" s="203">
        <v>0</v>
      </c>
      <c r="AN581" s="203"/>
      <c r="AO581" s="203">
        <v>0</v>
      </c>
    </row>
    <row r="582" spans="1:41" s="176" customFormat="1" ht="36" customHeight="1" x14ac:dyDescent="0.25">
      <c r="A582" s="176">
        <v>1</v>
      </c>
      <c r="B582" s="171">
        <f>SUBTOTAL(103,$A$552:A582)</f>
        <v>31</v>
      </c>
      <c r="C582" s="172" t="s">
        <v>563</v>
      </c>
      <c r="D582" s="173" t="s">
        <v>317</v>
      </c>
      <c r="E582" s="173"/>
      <c r="F582" s="174" t="s">
        <v>267</v>
      </c>
      <c r="G582" s="173" t="s">
        <v>351</v>
      </c>
      <c r="H582" s="173" t="s">
        <v>304</v>
      </c>
      <c r="I582" s="177">
        <v>2919</v>
      </c>
      <c r="J582" s="177">
        <v>1836.4</v>
      </c>
      <c r="K582" s="177">
        <v>1239.3</v>
      </c>
      <c r="L582" s="206">
        <v>128</v>
      </c>
      <c r="M582" s="173" t="s">
        <v>265</v>
      </c>
      <c r="N582" s="173" t="s">
        <v>269</v>
      </c>
      <c r="O582" s="175" t="s">
        <v>1371</v>
      </c>
      <c r="P582" s="170">
        <v>2314200</v>
      </c>
      <c r="Q582" s="170">
        <v>0</v>
      </c>
      <c r="R582" s="170">
        <v>0</v>
      </c>
      <c r="S582" s="170">
        <f t="shared" si="58"/>
        <v>2314200</v>
      </c>
      <c r="T582" s="170">
        <f t="shared" si="55"/>
        <v>792.80575539568349</v>
      </c>
      <c r="U582" s="170">
        <v>1592.0433915724564</v>
      </c>
      <c r="V582" s="202">
        <f t="shared" si="57"/>
        <v>799.23763617677287</v>
      </c>
      <c r="W582" s="202">
        <f t="shared" si="59"/>
        <v>1081.9240294621445</v>
      </c>
      <c r="X582" s="202">
        <v>0</v>
      </c>
      <c r="Y582" s="203">
        <v>0</v>
      </c>
      <c r="Z582" s="203">
        <v>0</v>
      </c>
      <c r="AA582" s="203">
        <v>0</v>
      </c>
      <c r="AB582" s="203">
        <v>0</v>
      </c>
      <c r="AC582" s="203">
        <v>0</v>
      </c>
      <c r="AD582" s="203">
        <v>0</v>
      </c>
      <c r="AE582" s="203">
        <v>506.2</v>
      </c>
      <c r="AF582" s="202">
        <f t="shared" si="61"/>
        <v>1081.9240294621445</v>
      </c>
      <c r="AG582" s="203">
        <v>0</v>
      </c>
      <c r="AH582" s="202">
        <v>0</v>
      </c>
      <c r="AI582" s="203">
        <v>0</v>
      </c>
      <c r="AJ582" s="202">
        <v>0</v>
      </c>
      <c r="AK582" s="203">
        <v>0</v>
      </c>
      <c r="AL582" s="203">
        <v>0</v>
      </c>
      <c r="AM582" s="203">
        <v>0</v>
      </c>
      <c r="AN582" s="203"/>
      <c r="AO582" s="203">
        <v>0</v>
      </c>
    </row>
    <row r="583" spans="1:41" s="176" customFormat="1" ht="36" customHeight="1" x14ac:dyDescent="0.25">
      <c r="A583" s="176">
        <v>1</v>
      </c>
      <c r="B583" s="171">
        <f>SUBTOTAL(103,$A$552:A583)</f>
        <v>32</v>
      </c>
      <c r="C583" s="172" t="s">
        <v>564</v>
      </c>
      <c r="D583" s="173" t="s">
        <v>307</v>
      </c>
      <c r="E583" s="173"/>
      <c r="F583" s="174" t="s">
        <v>311</v>
      </c>
      <c r="G583" s="173" t="s">
        <v>351</v>
      </c>
      <c r="H583" s="173" t="s">
        <v>2251</v>
      </c>
      <c r="I583" s="177">
        <v>8158.5</v>
      </c>
      <c r="J583" s="177">
        <v>6419.1</v>
      </c>
      <c r="K583" s="177">
        <v>6419.1</v>
      </c>
      <c r="L583" s="206">
        <v>324</v>
      </c>
      <c r="M583" s="173" t="s">
        <v>265</v>
      </c>
      <c r="N583" s="173" t="s">
        <v>269</v>
      </c>
      <c r="O583" s="175" t="s">
        <v>1371</v>
      </c>
      <c r="P583" s="170">
        <v>5440002.8600000003</v>
      </c>
      <c r="Q583" s="170">
        <v>0</v>
      </c>
      <c r="R583" s="170">
        <v>0</v>
      </c>
      <c r="S583" s="170">
        <f t="shared" si="58"/>
        <v>5440002.8600000003</v>
      </c>
      <c r="T583" s="170">
        <f t="shared" si="55"/>
        <v>666.789588772446</v>
      </c>
      <c r="U583" s="170">
        <v>1331.7230667402093</v>
      </c>
      <c r="V583" s="202">
        <f t="shared" si="57"/>
        <v>664.93347796776334</v>
      </c>
      <c r="W583" s="202">
        <f t="shared" si="59"/>
        <v>734.1243610957896</v>
      </c>
      <c r="X583" s="202">
        <v>0</v>
      </c>
      <c r="Y583" s="203">
        <v>0</v>
      </c>
      <c r="Z583" s="203">
        <v>0</v>
      </c>
      <c r="AA583" s="203">
        <v>0</v>
      </c>
      <c r="AB583" s="203">
        <v>0</v>
      </c>
      <c r="AC583" s="203">
        <v>0</v>
      </c>
      <c r="AD583" s="203">
        <v>0</v>
      </c>
      <c r="AE583" s="203">
        <v>960</v>
      </c>
      <c r="AF583" s="202">
        <f t="shared" si="61"/>
        <v>734.1243610957896</v>
      </c>
      <c r="AG583" s="203">
        <v>0</v>
      </c>
      <c r="AH583" s="202">
        <v>0</v>
      </c>
      <c r="AI583" s="203">
        <v>0</v>
      </c>
      <c r="AJ583" s="202">
        <v>0</v>
      </c>
      <c r="AK583" s="203">
        <v>0</v>
      </c>
      <c r="AL583" s="203">
        <v>0</v>
      </c>
      <c r="AM583" s="203">
        <v>0</v>
      </c>
      <c r="AN583" s="203"/>
      <c r="AO583" s="203">
        <v>0</v>
      </c>
    </row>
    <row r="584" spans="1:41" s="176" customFormat="1" ht="36" customHeight="1" x14ac:dyDescent="0.25">
      <c r="A584" s="176">
        <v>1</v>
      </c>
      <c r="B584" s="171">
        <f>SUBTOTAL(103,$A$552:A584)</f>
        <v>33</v>
      </c>
      <c r="C584" s="172" t="s">
        <v>565</v>
      </c>
      <c r="D584" s="173" t="s">
        <v>306</v>
      </c>
      <c r="E584" s="173"/>
      <c r="F584" s="174" t="s">
        <v>267</v>
      </c>
      <c r="G584" s="173" t="s">
        <v>308</v>
      </c>
      <c r="H584" s="173" t="s">
        <v>312</v>
      </c>
      <c r="I584" s="177">
        <v>2920</v>
      </c>
      <c r="J584" s="177">
        <v>1821.8</v>
      </c>
      <c r="K584" s="177">
        <v>1606.7</v>
      </c>
      <c r="L584" s="206">
        <v>121</v>
      </c>
      <c r="M584" s="173" t="s">
        <v>265</v>
      </c>
      <c r="N584" s="173" t="s">
        <v>269</v>
      </c>
      <c r="O584" s="175" t="s">
        <v>1371</v>
      </c>
      <c r="P584" s="170">
        <v>5734750</v>
      </c>
      <c r="Q584" s="170">
        <v>0</v>
      </c>
      <c r="R584" s="170">
        <v>0</v>
      </c>
      <c r="S584" s="170">
        <f t="shared" si="58"/>
        <v>5734750</v>
      </c>
      <c r="T584" s="170">
        <f t="shared" si="55"/>
        <v>1963.9554794520548</v>
      </c>
      <c r="U584" s="170">
        <v>2490.8489383561641</v>
      </c>
      <c r="V584" s="202">
        <f t="shared" si="57"/>
        <v>526.89345890410937</v>
      </c>
      <c r="W584" s="202">
        <f t="shared" si="59"/>
        <v>1390.935071917808</v>
      </c>
      <c r="X584" s="202">
        <v>0</v>
      </c>
      <c r="Y584" s="203">
        <v>0</v>
      </c>
      <c r="Z584" s="203">
        <v>0</v>
      </c>
      <c r="AA584" s="203">
        <v>0</v>
      </c>
      <c r="AB584" s="203">
        <v>0</v>
      </c>
      <c r="AC584" s="203">
        <v>0</v>
      </c>
      <c r="AD584" s="203">
        <v>0</v>
      </c>
      <c r="AE584" s="203">
        <v>651</v>
      </c>
      <c r="AF584" s="202">
        <f t="shared" si="61"/>
        <v>1390.935071917808</v>
      </c>
      <c r="AG584" s="203">
        <v>0</v>
      </c>
      <c r="AH584" s="202">
        <v>0</v>
      </c>
      <c r="AI584" s="203">
        <v>0</v>
      </c>
      <c r="AJ584" s="202">
        <v>0</v>
      </c>
      <c r="AK584" s="203">
        <v>0</v>
      </c>
      <c r="AL584" s="203">
        <v>0</v>
      </c>
      <c r="AM584" s="203">
        <v>0</v>
      </c>
      <c r="AN584" s="203"/>
      <c r="AO584" s="203">
        <v>0</v>
      </c>
    </row>
    <row r="585" spans="1:41" s="176" customFormat="1" ht="36" customHeight="1" x14ac:dyDescent="0.25">
      <c r="A585" s="176">
        <v>1</v>
      </c>
      <c r="B585" s="171">
        <f>SUBTOTAL(103,$A$552:A585)</f>
        <v>34</v>
      </c>
      <c r="C585" s="172" t="s">
        <v>1365</v>
      </c>
      <c r="D585" s="173">
        <v>1961</v>
      </c>
      <c r="E585" s="173"/>
      <c r="F585" s="174" t="s">
        <v>267</v>
      </c>
      <c r="G585" s="173" t="s">
        <v>351</v>
      </c>
      <c r="H585" s="173" t="s">
        <v>312</v>
      </c>
      <c r="I585" s="177">
        <v>2946.9</v>
      </c>
      <c r="J585" s="177">
        <v>2565.1</v>
      </c>
      <c r="K585" s="177">
        <v>2131.1999999999998</v>
      </c>
      <c r="L585" s="206">
        <v>129</v>
      </c>
      <c r="M585" s="173" t="s">
        <v>265</v>
      </c>
      <c r="N585" s="173" t="s">
        <v>269</v>
      </c>
      <c r="O585" s="175" t="s">
        <v>1372</v>
      </c>
      <c r="P585" s="170">
        <v>4022972.66</v>
      </c>
      <c r="Q585" s="170">
        <v>0</v>
      </c>
      <c r="R585" s="170">
        <v>0</v>
      </c>
      <c r="S585" s="170">
        <f t="shared" si="58"/>
        <v>4022972.66</v>
      </c>
      <c r="T585" s="170">
        <f t="shared" si="55"/>
        <v>1365.1541144931962</v>
      </c>
      <c r="U585" s="170">
        <v>1651.2323730021376</v>
      </c>
      <c r="V585" s="202">
        <f t="shared" si="57"/>
        <v>286.07825850894142</v>
      </c>
      <c r="W585" s="202">
        <f t="shared" si="59"/>
        <v>607.61042790729232</v>
      </c>
      <c r="X585" s="202">
        <v>0</v>
      </c>
      <c r="Y585" s="203">
        <v>0</v>
      </c>
      <c r="Z585" s="203">
        <v>0</v>
      </c>
      <c r="AA585" s="203">
        <v>0</v>
      </c>
      <c r="AB585" s="203">
        <v>0</v>
      </c>
      <c r="AC585" s="203">
        <v>0</v>
      </c>
      <c r="AD585" s="203">
        <v>0</v>
      </c>
      <c r="AE585" s="203">
        <v>287</v>
      </c>
      <c r="AF585" s="202">
        <f t="shared" si="61"/>
        <v>607.61042790729232</v>
      </c>
      <c r="AG585" s="203">
        <v>0</v>
      </c>
      <c r="AH585" s="202">
        <v>0</v>
      </c>
      <c r="AI585" s="203">
        <v>0</v>
      </c>
      <c r="AJ585" s="202">
        <v>0</v>
      </c>
      <c r="AK585" s="203">
        <v>0</v>
      </c>
      <c r="AL585" s="203">
        <v>0</v>
      </c>
      <c r="AM585" s="203">
        <v>0</v>
      </c>
      <c r="AN585" s="203"/>
      <c r="AO585" s="203">
        <v>0</v>
      </c>
    </row>
    <row r="586" spans="1:41" s="176" customFormat="1" ht="36" customHeight="1" x14ac:dyDescent="0.25">
      <c r="A586" s="176">
        <v>1</v>
      </c>
      <c r="B586" s="171">
        <f>SUBTOTAL(103,$A$552:A586)</f>
        <v>35</v>
      </c>
      <c r="C586" s="172" t="s">
        <v>1366</v>
      </c>
      <c r="D586" s="173">
        <v>1994</v>
      </c>
      <c r="E586" s="173"/>
      <c r="F586" s="174" t="s">
        <v>267</v>
      </c>
      <c r="G586" s="173">
        <v>4</v>
      </c>
      <c r="H586" s="173" t="s">
        <v>312</v>
      </c>
      <c r="I586" s="177">
        <v>1861.8</v>
      </c>
      <c r="J586" s="177">
        <v>1644.3</v>
      </c>
      <c r="K586" s="177">
        <v>1644.3</v>
      </c>
      <c r="L586" s="206">
        <v>71</v>
      </c>
      <c r="M586" s="173" t="s">
        <v>265</v>
      </c>
      <c r="N586" s="173" t="s">
        <v>269</v>
      </c>
      <c r="O586" s="175" t="s">
        <v>1384</v>
      </c>
      <c r="P586" s="170">
        <v>3214935.44</v>
      </c>
      <c r="Q586" s="170">
        <v>0</v>
      </c>
      <c r="R586" s="170">
        <v>0</v>
      </c>
      <c r="S586" s="170">
        <f t="shared" si="58"/>
        <v>3214935.44</v>
      </c>
      <c r="T586" s="170">
        <f t="shared" si="55"/>
        <v>1726.7888280158986</v>
      </c>
      <c r="U586" s="170">
        <v>2316.2934257170477</v>
      </c>
      <c r="V586" s="202">
        <f t="shared" si="57"/>
        <v>589.50459770114912</v>
      </c>
      <c r="W586" s="202">
        <f t="shared" si="59"/>
        <v>2419.4290579009557</v>
      </c>
      <c r="X586" s="202">
        <v>0</v>
      </c>
      <c r="Y586" s="203">
        <v>0</v>
      </c>
      <c r="Z586" s="203">
        <v>0</v>
      </c>
      <c r="AA586" s="203">
        <v>0</v>
      </c>
      <c r="AB586" s="203">
        <v>0</v>
      </c>
      <c r="AC586" s="203">
        <v>0</v>
      </c>
      <c r="AD586" s="203">
        <v>0</v>
      </c>
      <c r="AE586" s="203">
        <v>722</v>
      </c>
      <c r="AF586" s="202">
        <f t="shared" si="61"/>
        <v>2419.4290579009557</v>
      </c>
      <c r="AG586" s="203">
        <v>0</v>
      </c>
      <c r="AH586" s="202">
        <v>0</v>
      </c>
      <c r="AI586" s="203">
        <v>0</v>
      </c>
      <c r="AJ586" s="202">
        <v>0</v>
      </c>
      <c r="AK586" s="203">
        <v>0</v>
      </c>
      <c r="AL586" s="203">
        <v>0</v>
      </c>
      <c r="AM586" s="203">
        <v>0</v>
      </c>
      <c r="AN586" s="203"/>
      <c r="AO586" s="203">
        <v>0</v>
      </c>
    </row>
    <row r="587" spans="1:41" s="176" customFormat="1" ht="36" customHeight="1" x14ac:dyDescent="0.25">
      <c r="A587" s="176">
        <v>1</v>
      </c>
      <c r="B587" s="171">
        <f>SUBTOTAL(103,$A$552:A587)</f>
        <v>36</v>
      </c>
      <c r="C587" s="172" t="s">
        <v>1367</v>
      </c>
      <c r="D587" s="173">
        <v>1917</v>
      </c>
      <c r="E587" s="173"/>
      <c r="F587" s="174" t="s">
        <v>267</v>
      </c>
      <c r="G587" s="173">
        <v>2</v>
      </c>
      <c r="H587" s="173" t="s">
        <v>304</v>
      </c>
      <c r="I587" s="177">
        <v>397.2</v>
      </c>
      <c r="J587" s="177">
        <v>370.5</v>
      </c>
      <c r="K587" s="177">
        <v>370.5</v>
      </c>
      <c r="L587" s="206">
        <v>19</v>
      </c>
      <c r="M587" s="173" t="s">
        <v>265</v>
      </c>
      <c r="N587" s="173" t="s">
        <v>269</v>
      </c>
      <c r="O587" s="175" t="s">
        <v>1385</v>
      </c>
      <c r="P587" s="170">
        <v>1335035.1000000001</v>
      </c>
      <c r="Q587" s="170">
        <v>0</v>
      </c>
      <c r="R587" s="170">
        <v>0</v>
      </c>
      <c r="S587" s="170">
        <f t="shared" si="58"/>
        <v>1335035.1000000001</v>
      </c>
      <c r="T587" s="170">
        <f t="shared" si="55"/>
        <v>3361.1155589123869</v>
      </c>
      <c r="U587" s="170">
        <v>4408.5044977341395</v>
      </c>
      <c r="V587" s="202">
        <f t="shared" si="57"/>
        <v>1047.3889388217526</v>
      </c>
      <c r="W587" s="202">
        <f t="shared" si="59"/>
        <v>26513.796777442094</v>
      </c>
      <c r="X587" s="202">
        <v>0</v>
      </c>
      <c r="Y587" s="203">
        <v>0</v>
      </c>
      <c r="Z587" s="203">
        <v>0</v>
      </c>
      <c r="AA587" s="203">
        <v>0</v>
      </c>
      <c r="AB587" s="203">
        <v>0</v>
      </c>
      <c r="AC587" s="203">
        <v>0</v>
      </c>
      <c r="AD587" s="203">
        <v>0</v>
      </c>
      <c r="AE587" s="203">
        <v>1688</v>
      </c>
      <c r="AF587" s="202">
        <f t="shared" si="61"/>
        <v>26513.796777442094</v>
      </c>
      <c r="AG587" s="203">
        <v>0</v>
      </c>
      <c r="AH587" s="202">
        <v>0</v>
      </c>
      <c r="AI587" s="203">
        <v>0</v>
      </c>
      <c r="AJ587" s="202">
        <v>0</v>
      </c>
      <c r="AK587" s="203">
        <v>0</v>
      </c>
      <c r="AL587" s="203">
        <v>0</v>
      </c>
      <c r="AM587" s="203">
        <v>0</v>
      </c>
      <c r="AN587" s="203"/>
      <c r="AO587" s="203">
        <v>0</v>
      </c>
    </row>
    <row r="588" spans="1:41" s="176" customFormat="1" ht="36" customHeight="1" x14ac:dyDescent="0.25">
      <c r="A588" s="176">
        <v>1</v>
      </c>
      <c r="B588" s="171">
        <f>SUBTOTAL(103,$A$552:A588)</f>
        <v>37</v>
      </c>
      <c r="C588" s="172" t="s">
        <v>1368</v>
      </c>
      <c r="D588" s="173">
        <v>1917</v>
      </c>
      <c r="E588" s="173"/>
      <c r="F588" s="174" t="s">
        <v>267</v>
      </c>
      <c r="G588" s="173">
        <v>3</v>
      </c>
      <c r="H588" s="173" t="s">
        <v>303</v>
      </c>
      <c r="I588" s="177">
        <v>1376.9</v>
      </c>
      <c r="J588" s="177">
        <v>1164.9000000000001</v>
      </c>
      <c r="K588" s="177">
        <v>779.2</v>
      </c>
      <c r="L588" s="206">
        <v>40</v>
      </c>
      <c r="M588" s="173" t="s">
        <v>265</v>
      </c>
      <c r="N588" s="173" t="s">
        <v>269</v>
      </c>
      <c r="O588" s="175" t="s">
        <v>1371</v>
      </c>
      <c r="P588" s="170">
        <v>4364500</v>
      </c>
      <c r="Q588" s="170">
        <v>0</v>
      </c>
      <c r="R588" s="170">
        <v>0</v>
      </c>
      <c r="S588" s="170">
        <f t="shared" si="58"/>
        <v>4364500</v>
      </c>
      <c r="T588" s="170">
        <f t="shared" si="55"/>
        <v>3169.8017285205897</v>
      </c>
      <c r="U588" s="170">
        <v>4141.7427409397924</v>
      </c>
      <c r="V588" s="202">
        <f t="shared" si="57"/>
        <v>971.94101241920271</v>
      </c>
      <c r="W588" s="202">
        <f t="shared" si="59"/>
        <v>5120.1745224780298</v>
      </c>
      <c r="X588" s="202">
        <v>0</v>
      </c>
      <c r="Y588" s="203">
        <v>0</v>
      </c>
      <c r="Z588" s="203">
        <v>0</v>
      </c>
      <c r="AA588" s="203">
        <v>0</v>
      </c>
      <c r="AB588" s="203">
        <v>0</v>
      </c>
      <c r="AC588" s="203">
        <v>0</v>
      </c>
      <c r="AD588" s="203">
        <v>0</v>
      </c>
      <c r="AE588" s="203">
        <v>1130</v>
      </c>
      <c r="AF588" s="202">
        <f t="shared" si="61"/>
        <v>5120.1745224780298</v>
      </c>
      <c r="AG588" s="203">
        <v>0</v>
      </c>
      <c r="AH588" s="202">
        <v>0</v>
      </c>
      <c r="AI588" s="203">
        <v>0</v>
      </c>
      <c r="AJ588" s="202">
        <v>0</v>
      </c>
      <c r="AK588" s="203">
        <v>0</v>
      </c>
      <c r="AL588" s="203">
        <v>0</v>
      </c>
      <c r="AM588" s="203">
        <v>0</v>
      </c>
      <c r="AN588" s="203"/>
      <c r="AO588" s="203">
        <v>0</v>
      </c>
    </row>
    <row r="589" spans="1:41" s="176" customFormat="1" ht="36" customHeight="1" x14ac:dyDescent="0.25">
      <c r="A589" s="176">
        <v>1</v>
      </c>
      <c r="B589" s="171">
        <f>SUBTOTAL(103,$A$552:A589)</f>
        <v>38</v>
      </c>
      <c r="C589" s="172" t="s">
        <v>1369</v>
      </c>
      <c r="D589" s="173">
        <v>1961</v>
      </c>
      <c r="E589" s="173"/>
      <c r="F589" s="174" t="s">
        <v>267</v>
      </c>
      <c r="G589" s="173" t="s">
        <v>308</v>
      </c>
      <c r="H589" s="173" t="s">
        <v>303</v>
      </c>
      <c r="I589" s="177">
        <v>1478.4</v>
      </c>
      <c r="J589" s="177">
        <v>1363.8</v>
      </c>
      <c r="K589" s="177">
        <v>1044.5999999999999</v>
      </c>
      <c r="L589" s="206">
        <v>50</v>
      </c>
      <c r="M589" s="173" t="s">
        <v>265</v>
      </c>
      <c r="N589" s="173" t="s">
        <v>269</v>
      </c>
      <c r="O589" s="175" t="s">
        <v>1386</v>
      </c>
      <c r="P589" s="170">
        <v>3434732.13</v>
      </c>
      <c r="Q589" s="170">
        <v>0</v>
      </c>
      <c r="R589" s="170">
        <v>0</v>
      </c>
      <c r="S589" s="170">
        <f t="shared" si="58"/>
        <v>3434732.13</v>
      </c>
      <c r="T589" s="170">
        <f t="shared" ref="T589:T654" si="62">P589/I589</f>
        <v>2323.2766030844155</v>
      </c>
      <c r="U589" s="170">
        <v>2742.8394886363635</v>
      </c>
      <c r="V589" s="202">
        <f t="shared" si="57"/>
        <v>419.56288555194806</v>
      </c>
      <c r="W589" s="202">
        <f t="shared" si="59"/>
        <v>3190.3517045454541</v>
      </c>
      <c r="X589" s="202">
        <v>0</v>
      </c>
      <c r="Y589" s="203">
        <v>0</v>
      </c>
      <c r="Z589" s="203">
        <v>0</v>
      </c>
      <c r="AA589" s="203">
        <v>0</v>
      </c>
      <c r="AB589" s="203">
        <v>0</v>
      </c>
      <c r="AC589" s="203">
        <v>0</v>
      </c>
      <c r="AD589" s="203">
        <v>0</v>
      </c>
      <c r="AE589" s="203">
        <v>756</v>
      </c>
      <c r="AF589" s="202">
        <f t="shared" si="61"/>
        <v>3190.3517045454541</v>
      </c>
      <c r="AG589" s="203">
        <v>0</v>
      </c>
      <c r="AH589" s="202">
        <v>0</v>
      </c>
      <c r="AI589" s="203">
        <v>0</v>
      </c>
      <c r="AJ589" s="202">
        <v>0</v>
      </c>
      <c r="AK589" s="203">
        <v>0</v>
      </c>
      <c r="AL589" s="203">
        <v>0</v>
      </c>
      <c r="AM589" s="203">
        <v>0</v>
      </c>
      <c r="AN589" s="203"/>
      <c r="AO589" s="203">
        <v>0</v>
      </c>
    </row>
    <row r="590" spans="1:41" s="176" customFormat="1" ht="36" customHeight="1" x14ac:dyDescent="0.25">
      <c r="A590" s="176">
        <v>1</v>
      </c>
      <c r="B590" s="171">
        <f>SUBTOTAL(103,$A$552:A590)</f>
        <v>39</v>
      </c>
      <c r="C590" s="172" t="s">
        <v>497</v>
      </c>
      <c r="D590" s="173">
        <v>1960</v>
      </c>
      <c r="E590" s="173"/>
      <c r="F590" s="174" t="s">
        <v>267</v>
      </c>
      <c r="G590" s="173">
        <v>5</v>
      </c>
      <c r="H590" s="173" t="s">
        <v>312</v>
      </c>
      <c r="I590" s="177">
        <v>3202.4</v>
      </c>
      <c r="J590" s="177">
        <v>2438.9</v>
      </c>
      <c r="K590" s="177">
        <v>2438.9</v>
      </c>
      <c r="L590" s="206">
        <v>120</v>
      </c>
      <c r="M590" s="173" t="s">
        <v>265</v>
      </c>
      <c r="N590" s="173" t="s">
        <v>269</v>
      </c>
      <c r="O590" s="175" t="s">
        <v>1077</v>
      </c>
      <c r="P590" s="170">
        <v>5709375</v>
      </c>
      <c r="Q590" s="170">
        <v>0</v>
      </c>
      <c r="R590" s="170">
        <v>0</v>
      </c>
      <c r="S590" s="170">
        <f t="shared" si="58"/>
        <v>5709375</v>
      </c>
      <c r="T590" s="170">
        <f t="shared" si="62"/>
        <v>1782.8425555833126</v>
      </c>
      <c r="U590" s="170">
        <v>4650.5989882588065</v>
      </c>
      <c r="V590" s="202">
        <f t="shared" si="57"/>
        <v>2867.7564326754937</v>
      </c>
      <c r="W590" s="202">
        <f t="shared" si="59"/>
        <v>1305.2928116412688</v>
      </c>
      <c r="X590" s="202">
        <v>0</v>
      </c>
      <c r="Y590" s="203">
        <v>0</v>
      </c>
      <c r="Z590" s="203">
        <v>0</v>
      </c>
      <c r="AA590" s="203">
        <v>0</v>
      </c>
      <c r="AB590" s="203">
        <v>0</v>
      </c>
      <c r="AC590" s="203">
        <v>0</v>
      </c>
      <c r="AD590" s="203">
        <v>0</v>
      </c>
      <c r="AE590" s="203">
        <v>670</v>
      </c>
      <c r="AF590" s="202">
        <f t="shared" si="61"/>
        <v>1305.2928116412688</v>
      </c>
      <c r="AG590" s="203">
        <v>0</v>
      </c>
      <c r="AH590" s="202">
        <v>0</v>
      </c>
      <c r="AI590" s="203">
        <v>0</v>
      </c>
      <c r="AJ590" s="202">
        <v>0</v>
      </c>
      <c r="AK590" s="203">
        <v>0</v>
      </c>
      <c r="AL590" s="203">
        <v>0</v>
      </c>
      <c r="AM590" s="203">
        <v>0</v>
      </c>
      <c r="AN590" s="203"/>
      <c r="AO590" s="203">
        <v>0</v>
      </c>
    </row>
    <row r="591" spans="1:41" s="176" customFormat="1" ht="36" customHeight="1" x14ac:dyDescent="0.25">
      <c r="A591" s="176">
        <v>1</v>
      </c>
      <c r="B591" s="171">
        <f>SUBTOTAL(103,$A$552:A591)</f>
        <v>40</v>
      </c>
      <c r="C591" s="172" t="s">
        <v>1055</v>
      </c>
      <c r="D591" s="173">
        <v>1941</v>
      </c>
      <c r="E591" s="173"/>
      <c r="F591" s="174" t="s">
        <v>267</v>
      </c>
      <c r="G591" s="173">
        <v>3</v>
      </c>
      <c r="H591" s="173" t="s">
        <v>303</v>
      </c>
      <c r="I591" s="177">
        <v>1265</v>
      </c>
      <c r="J591" s="177">
        <v>1152.5999999999999</v>
      </c>
      <c r="K591" s="177">
        <v>1105.5</v>
      </c>
      <c r="L591" s="206">
        <v>60</v>
      </c>
      <c r="M591" s="173" t="s">
        <v>265</v>
      </c>
      <c r="N591" s="173" t="s">
        <v>269</v>
      </c>
      <c r="O591" s="175" t="s">
        <v>1063</v>
      </c>
      <c r="P591" s="170">
        <v>2783418.81</v>
      </c>
      <c r="Q591" s="170">
        <v>0</v>
      </c>
      <c r="R591" s="170">
        <v>0</v>
      </c>
      <c r="S591" s="170">
        <f t="shared" si="58"/>
        <v>2783418.81</v>
      </c>
      <c r="T591" s="170">
        <f t="shared" si="62"/>
        <v>2200.3310750988144</v>
      </c>
      <c r="U591" s="170">
        <v>5057.4118577075096</v>
      </c>
      <c r="V591" s="202">
        <f t="shared" si="57"/>
        <v>2857.0807826086952</v>
      </c>
      <c r="W591" s="202">
        <f t="shared" si="59"/>
        <v>1341.7355458498023</v>
      </c>
      <c r="X591" s="202">
        <v>0</v>
      </c>
      <c r="Y591" s="203">
        <v>0</v>
      </c>
      <c r="Z591" s="203">
        <v>0</v>
      </c>
      <c r="AA591" s="203">
        <v>0</v>
      </c>
      <c r="AB591" s="203">
        <v>0</v>
      </c>
      <c r="AC591" s="203">
        <v>0</v>
      </c>
      <c r="AD591" s="203">
        <v>0</v>
      </c>
      <c r="AE591" s="203">
        <v>272.05</v>
      </c>
      <c r="AF591" s="202">
        <f t="shared" si="61"/>
        <v>1341.7355458498023</v>
      </c>
      <c r="AG591" s="203">
        <v>0</v>
      </c>
      <c r="AH591" s="202">
        <v>0</v>
      </c>
      <c r="AI591" s="203">
        <v>0</v>
      </c>
      <c r="AJ591" s="202">
        <v>0</v>
      </c>
      <c r="AK591" s="203">
        <v>0</v>
      </c>
      <c r="AL591" s="203">
        <v>0</v>
      </c>
      <c r="AM591" s="203">
        <v>0</v>
      </c>
      <c r="AN591" s="203"/>
      <c r="AO591" s="203">
        <v>0</v>
      </c>
    </row>
    <row r="592" spans="1:41" s="176" customFormat="1" ht="36" customHeight="1" x14ac:dyDescent="0.25">
      <c r="A592" s="176">
        <v>1</v>
      </c>
      <c r="B592" s="171">
        <f>SUBTOTAL(103,$A$552:A592)</f>
        <v>41</v>
      </c>
      <c r="C592" s="172" t="s">
        <v>1388</v>
      </c>
      <c r="D592" s="173">
        <v>1961</v>
      </c>
      <c r="E592" s="173"/>
      <c r="F592" s="174" t="s">
        <v>267</v>
      </c>
      <c r="G592" s="173" t="s">
        <v>370</v>
      </c>
      <c r="H592" s="173" t="s">
        <v>312</v>
      </c>
      <c r="I592" s="177">
        <v>2941.6</v>
      </c>
      <c r="J592" s="177">
        <v>2564.1</v>
      </c>
      <c r="K592" s="177">
        <v>2365.9</v>
      </c>
      <c r="L592" s="206">
        <v>130</v>
      </c>
      <c r="M592" s="173" t="s">
        <v>265</v>
      </c>
      <c r="N592" s="173" t="s">
        <v>269</v>
      </c>
      <c r="O592" s="175" t="s">
        <v>1372</v>
      </c>
      <c r="P592" s="170">
        <v>3863646.31</v>
      </c>
      <c r="Q592" s="170">
        <v>0</v>
      </c>
      <c r="R592" s="170">
        <v>0</v>
      </c>
      <c r="S592" s="170">
        <f t="shared" si="58"/>
        <v>3863646.31</v>
      </c>
      <c r="T592" s="170">
        <f t="shared" si="62"/>
        <v>1313.4506085123742</v>
      </c>
      <c r="U592" s="170">
        <v>2037.4321947919498</v>
      </c>
      <c r="V592" s="202">
        <f t="shared" si="57"/>
        <v>723.98158627957559</v>
      </c>
      <c r="W592" s="202">
        <f t="shared" si="59"/>
        <v>1879.1386524340494</v>
      </c>
      <c r="X592" s="202">
        <v>0</v>
      </c>
      <c r="Y592" s="203">
        <v>0</v>
      </c>
      <c r="Z592" s="203">
        <v>0</v>
      </c>
      <c r="AA592" s="203">
        <v>0</v>
      </c>
      <c r="AB592" s="203">
        <v>0</v>
      </c>
      <c r="AC592" s="203">
        <v>0</v>
      </c>
      <c r="AD592" s="203">
        <v>0</v>
      </c>
      <c r="AE592" s="203">
        <v>886</v>
      </c>
      <c r="AF592" s="202">
        <f t="shared" si="61"/>
        <v>1879.1386524340494</v>
      </c>
      <c r="AG592" s="203">
        <v>0</v>
      </c>
      <c r="AH592" s="202">
        <v>0</v>
      </c>
      <c r="AI592" s="203">
        <v>0</v>
      </c>
      <c r="AJ592" s="202">
        <v>0</v>
      </c>
      <c r="AK592" s="203">
        <v>0</v>
      </c>
      <c r="AL592" s="203">
        <v>0</v>
      </c>
      <c r="AM592" s="203">
        <v>0</v>
      </c>
      <c r="AN592" s="203"/>
      <c r="AO592" s="203">
        <v>0</v>
      </c>
    </row>
    <row r="593" spans="1:41" s="176" customFormat="1" ht="36" customHeight="1" x14ac:dyDescent="0.25">
      <c r="A593" s="176">
        <v>1</v>
      </c>
      <c r="B593" s="171">
        <f>SUBTOTAL(103,$A$552:A593)</f>
        <v>42</v>
      </c>
      <c r="C593" s="172" t="s">
        <v>1361</v>
      </c>
      <c r="D593" s="173">
        <v>1973</v>
      </c>
      <c r="E593" s="173"/>
      <c r="F593" s="174" t="s">
        <v>267</v>
      </c>
      <c r="G593" s="173">
        <v>9</v>
      </c>
      <c r="H593" s="173" t="s">
        <v>304</v>
      </c>
      <c r="I593" s="177">
        <v>1958.4</v>
      </c>
      <c r="J593" s="177">
        <v>1958.4</v>
      </c>
      <c r="K593" s="177">
        <v>1941.8</v>
      </c>
      <c r="L593" s="206">
        <v>92</v>
      </c>
      <c r="M593" s="173" t="s">
        <v>265</v>
      </c>
      <c r="N593" s="173" t="s">
        <v>269</v>
      </c>
      <c r="O593" s="175" t="s">
        <v>1373</v>
      </c>
      <c r="P593" s="170">
        <v>1040953.78</v>
      </c>
      <c r="Q593" s="170">
        <v>0</v>
      </c>
      <c r="R593" s="170">
        <v>0</v>
      </c>
      <c r="S593" s="170">
        <f t="shared" si="58"/>
        <v>1040953.78</v>
      </c>
      <c r="T593" s="170">
        <f t="shared" si="62"/>
        <v>531.53277165032682</v>
      </c>
      <c r="U593" s="170">
        <v>2104.4022671568628</v>
      </c>
      <c r="V593" s="202">
        <f t="shared" si="57"/>
        <v>1572.8694955065359</v>
      </c>
      <c r="W593" s="202">
        <f t="shared" si="59"/>
        <v>2007.0022977941176</v>
      </c>
      <c r="X593" s="202">
        <v>0</v>
      </c>
      <c r="Y593" s="203">
        <v>0</v>
      </c>
      <c r="Z593" s="203">
        <v>0</v>
      </c>
      <c r="AA593" s="203">
        <v>0</v>
      </c>
      <c r="AB593" s="203">
        <v>0</v>
      </c>
      <c r="AC593" s="203">
        <v>0</v>
      </c>
      <c r="AD593" s="203">
        <v>0</v>
      </c>
      <c r="AE593" s="203">
        <v>630</v>
      </c>
      <c r="AF593" s="202">
        <f t="shared" si="61"/>
        <v>2007.0022977941176</v>
      </c>
      <c r="AG593" s="203">
        <v>0</v>
      </c>
      <c r="AH593" s="202">
        <v>0</v>
      </c>
      <c r="AI593" s="203">
        <v>0</v>
      </c>
      <c r="AJ593" s="202">
        <v>0</v>
      </c>
      <c r="AK593" s="203">
        <v>0</v>
      </c>
      <c r="AL593" s="203">
        <v>0</v>
      </c>
      <c r="AM593" s="203">
        <v>0</v>
      </c>
      <c r="AN593" s="203"/>
      <c r="AO593" s="203">
        <v>0</v>
      </c>
    </row>
    <row r="594" spans="1:41" s="176" customFormat="1" ht="36" customHeight="1" x14ac:dyDescent="0.25">
      <c r="A594" s="176">
        <v>1</v>
      </c>
      <c r="B594" s="171">
        <f>SUBTOTAL(103,$A$552:A594)</f>
        <v>43</v>
      </c>
      <c r="C594" s="172" t="s">
        <v>1106</v>
      </c>
      <c r="D594" s="173" t="s">
        <v>367</v>
      </c>
      <c r="E594" s="173"/>
      <c r="F594" s="174" t="s">
        <v>267</v>
      </c>
      <c r="G594" s="173" t="s">
        <v>308</v>
      </c>
      <c r="H594" s="173" t="s">
        <v>303</v>
      </c>
      <c r="I594" s="177">
        <v>1341.9</v>
      </c>
      <c r="J594" s="177">
        <v>1245.7</v>
      </c>
      <c r="K594" s="177">
        <v>1245.7</v>
      </c>
      <c r="L594" s="206">
        <v>62</v>
      </c>
      <c r="M594" s="173" t="s">
        <v>265</v>
      </c>
      <c r="N594" s="173" t="s">
        <v>269</v>
      </c>
      <c r="O594" s="175" t="s">
        <v>1628</v>
      </c>
      <c r="P594" s="170">
        <v>2839946.57</v>
      </c>
      <c r="Q594" s="170">
        <v>0</v>
      </c>
      <c r="R594" s="170">
        <v>0</v>
      </c>
      <c r="S594" s="170">
        <f t="shared" si="58"/>
        <v>2839946.57</v>
      </c>
      <c r="T594" s="170">
        <f t="shared" si="62"/>
        <v>2116.3622997242715</v>
      </c>
      <c r="U594" s="170">
        <v>2174.7691348088529</v>
      </c>
      <c r="V594" s="202">
        <f t="shared" ref="V594:V635" si="63">U594-T594</f>
        <v>58.406835084581417</v>
      </c>
      <c r="W594" s="202">
        <f t="shared" si="59"/>
        <v>4767.587748714509</v>
      </c>
      <c r="X594" s="202">
        <v>0</v>
      </c>
      <c r="Y594" s="203">
        <v>0</v>
      </c>
      <c r="Z594" s="203">
        <v>0</v>
      </c>
      <c r="AA594" s="203">
        <v>0</v>
      </c>
      <c r="AB594" s="203">
        <v>0</v>
      </c>
      <c r="AC594" s="203">
        <v>0</v>
      </c>
      <c r="AD594" s="203">
        <v>0</v>
      </c>
      <c r="AE594" s="203">
        <v>0</v>
      </c>
      <c r="AF594" s="202">
        <v>0</v>
      </c>
      <c r="AG594" s="203">
        <v>0</v>
      </c>
      <c r="AH594" s="202">
        <v>0</v>
      </c>
      <c r="AI594" s="203">
        <v>860</v>
      </c>
      <c r="AJ594" s="202">
        <f>7439.1*AI594/I594</f>
        <v>4767.587748714509</v>
      </c>
      <c r="AK594" s="203">
        <v>0</v>
      </c>
      <c r="AL594" s="203">
        <v>0</v>
      </c>
      <c r="AM594" s="203">
        <v>0</v>
      </c>
      <c r="AN594" s="203"/>
      <c r="AO594" s="203">
        <v>0</v>
      </c>
    </row>
    <row r="595" spans="1:41" s="176" customFormat="1" ht="36" customHeight="1" x14ac:dyDescent="0.25">
      <c r="A595" s="176">
        <v>1</v>
      </c>
      <c r="B595" s="171">
        <f>SUBTOTAL(103,$A$552:A595)</f>
        <v>44</v>
      </c>
      <c r="C595" s="172" t="s">
        <v>1109</v>
      </c>
      <c r="D595" s="173">
        <v>1962</v>
      </c>
      <c r="E595" s="173"/>
      <c r="F595" s="174" t="s">
        <v>267</v>
      </c>
      <c r="G595" s="173">
        <v>5</v>
      </c>
      <c r="H595" s="173" t="s">
        <v>308</v>
      </c>
      <c r="I595" s="177">
        <v>3393.1</v>
      </c>
      <c r="J595" s="177">
        <v>3313.4</v>
      </c>
      <c r="K595" s="177">
        <v>2812</v>
      </c>
      <c r="L595" s="206">
        <v>148</v>
      </c>
      <c r="M595" s="173" t="s">
        <v>265</v>
      </c>
      <c r="N595" s="173" t="s">
        <v>269</v>
      </c>
      <c r="O595" s="175" t="s">
        <v>1312</v>
      </c>
      <c r="P595" s="170">
        <v>3246745.9499999997</v>
      </c>
      <c r="Q595" s="170">
        <v>0</v>
      </c>
      <c r="R595" s="170">
        <v>0</v>
      </c>
      <c r="S595" s="170">
        <f t="shared" si="58"/>
        <v>3246745.9499999997</v>
      </c>
      <c r="T595" s="170">
        <f t="shared" si="62"/>
        <v>956.86715687719186</v>
      </c>
      <c r="U595" s="170">
        <v>2073.3627921369839</v>
      </c>
      <c r="V595" s="202">
        <f t="shared" si="63"/>
        <v>1116.4956352597919</v>
      </c>
      <c r="W595" s="202">
        <f t="shared" si="59"/>
        <v>1528.1477412985175</v>
      </c>
      <c r="X595" s="202">
        <v>0</v>
      </c>
      <c r="Y595" s="203">
        <v>0</v>
      </c>
      <c r="Z595" s="203">
        <v>0</v>
      </c>
      <c r="AA595" s="203">
        <v>0</v>
      </c>
      <c r="AB595" s="203">
        <v>0</v>
      </c>
      <c r="AC595" s="203">
        <v>0</v>
      </c>
      <c r="AD595" s="203">
        <v>0</v>
      </c>
      <c r="AE595" s="203">
        <v>831.1</v>
      </c>
      <c r="AF595" s="202">
        <f>6238.91*AE595/I595</f>
        <v>1528.1477412985175</v>
      </c>
      <c r="AG595" s="203">
        <v>0</v>
      </c>
      <c r="AH595" s="202">
        <v>0</v>
      </c>
      <c r="AI595" s="203">
        <v>0</v>
      </c>
      <c r="AJ595" s="202">
        <v>0</v>
      </c>
      <c r="AK595" s="203">
        <v>0</v>
      </c>
      <c r="AL595" s="203">
        <v>0</v>
      </c>
      <c r="AM595" s="203">
        <v>0</v>
      </c>
      <c r="AN595" s="203"/>
      <c r="AO595" s="203">
        <v>0</v>
      </c>
    </row>
    <row r="596" spans="1:41" s="176" customFormat="1" ht="36" customHeight="1" x14ac:dyDescent="0.25">
      <c r="A596" s="176">
        <v>1</v>
      </c>
      <c r="B596" s="171">
        <f>SUBTOTAL(103,$A$552:A596)</f>
        <v>45</v>
      </c>
      <c r="C596" s="172" t="s">
        <v>1120</v>
      </c>
      <c r="D596" s="173">
        <v>1962</v>
      </c>
      <c r="E596" s="173"/>
      <c r="F596" s="174" t="s">
        <v>267</v>
      </c>
      <c r="G596" s="173">
        <v>2</v>
      </c>
      <c r="H596" s="173" t="s">
        <v>303</v>
      </c>
      <c r="I596" s="177">
        <v>628.29999999999995</v>
      </c>
      <c r="J596" s="177">
        <v>628.29999999999995</v>
      </c>
      <c r="K596" s="177">
        <v>628.29999999999995</v>
      </c>
      <c r="L596" s="206">
        <v>38</v>
      </c>
      <c r="M596" s="173" t="s">
        <v>265</v>
      </c>
      <c r="N596" s="173" t="s">
        <v>266</v>
      </c>
      <c r="O596" s="175" t="s">
        <v>1311</v>
      </c>
      <c r="P596" s="170">
        <v>2329425</v>
      </c>
      <c r="Q596" s="170">
        <v>0</v>
      </c>
      <c r="R596" s="170">
        <v>0</v>
      </c>
      <c r="S596" s="170">
        <f t="shared" si="58"/>
        <v>2329425</v>
      </c>
      <c r="T596" s="170">
        <f t="shared" si="62"/>
        <v>3707.5043768900209</v>
      </c>
      <c r="U596" s="170">
        <v>5566.7840235556259</v>
      </c>
      <c r="V596" s="202">
        <f t="shared" si="63"/>
        <v>1859.279646665605</v>
      </c>
      <c r="W596" s="202">
        <f t="shared" si="59"/>
        <v>6559.3846888429107</v>
      </c>
      <c r="X596" s="202">
        <v>0</v>
      </c>
      <c r="Y596" s="203">
        <v>0</v>
      </c>
      <c r="Z596" s="203">
        <v>0</v>
      </c>
      <c r="AA596" s="203">
        <v>0</v>
      </c>
      <c r="AB596" s="203">
        <v>0</v>
      </c>
      <c r="AC596" s="203">
        <v>0</v>
      </c>
      <c r="AD596" s="203">
        <v>0</v>
      </c>
      <c r="AE596" s="203">
        <v>0</v>
      </c>
      <c r="AF596" s="202">
        <v>0</v>
      </c>
      <c r="AG596" s="203">
        <v>0</v>
      </c>
      <c r="AH596" s="202">
        <v>0</v>
      </c>
      <c r="AI596" s="203">
        <v>554</v>
      </c>
      <c r="AJ596" s="202">
        <f>7439.1*AI596/I596</f>
        <v>6559.3846888429107</v>
      </c>
      <c r="AK596" s="203">
        <v>0</v>
      </c>
      <c r="AL596" s="203">
        <v>0</v>
      </c>
      <c r="AM596" s="203">
        <v>0</v>
      </c>
      <c r="AN596" s="203"/>
      <c r="AO596" s="203">
        <v>0</v>
      </c>
    </row>
    <row r="597" spans="1:41" s="176" customFormat="1" ht="36" customHeight="1" x14ac:dyDescent="0.25">
      <c r="A597" s="176">
        <v>1</v>
      </c>
      <c r="B597" s="171">
        <f>SUBTOTAL(103,$A$552:A597)</f>
        <v>46</v>
      </c>
      <c r="C597" s="172" t="s">
        <v>1121</v>
      </c>
      <c r="D597" s="173">
        <v>1964</v>
      </c>
      <c r="E597" s="173"/>
      <c r="F597" s="174" t="s">
        <v>267</v>
      </c>
      <c r="G597" s="173">
        <v>2</v>
      </c>
      <c r="H597" s="173" t="s">
        <v>303</v>
      </c>
      <c r="I597" s="177">
        <v>669.2</v>
      </c>
      <c r="J597" s="177">
        <v>667</v>
      </c>
      <c r="K597" s="177">
        <v>667</v>
      </c>
      <c r="L597" s="206">
        <v>30</v>
      </c>
      <c r="M597" s="173" t="s">
        <v>265</v>
      </c>
      <c r="N597" s="173" t="s">
        <v>269</v>
      </c>
      <c r="O597" s="175" t="s">
        <v>1311</v>
      </c>
      <c r="P597" s="170">
        <v>2694825</v>
      </c>
      <c r="Q597" s="170">
        <v>0</v>
      </c>
      <c r="R597" s="170">
        <v>0</v>
      </c>
      <c r="S597" s="170">
        <f t="shared" si="58"/>
        <v>2694825</v>
      </c>
      <c r="T597" s="170">
        <f t="shared" si="62"/>
        <v>4026.9351464435144</v>
      </c>
      <c r="U597" s="170">
        <v>6396.1333682008362</v>
      </c>
      <c r="V597" s="202">
        <f t="shared" si="63"/>
        <v>2369.1982217573218</v>
      </c>
      <c r="W597" s="202">
        <f t="shared" si="59"/>
        <v>16944.962510460249</v>
      </c>
      <c r="X597" s="202">
        <v>0</v>
      </c>
      <c r="Y597" s="203">
        <v>0</v>
      </c>
      <c r="Z597" s="203">
        <v>0</v>
      </c>
      <c r="AA597" s="203">
        <v>0</v>
      </c>
      <c r="AB597" s="203">
        <v>0</v>
      </c>
      <c r="AC597" s="203">
        <v>0</v>
      </c>
      <c r="AD597" s="203">
        <v>0</v>
      </c>
      <c r="AE597" s="203">
        <v>0</v>
      </c>
      <c r="AF597" s="202">
        <v>0</v>
      </c>
      <c r="AG597" s="203">
        <v>0</v>
      </c>
      <c r="AH597" s="202">
        <v>0</v>
      </c>
      <c r="AI597" s="203">
        <v>1524.32</v>
      </c>
      <c r="AJ597" s="202">
        <f>7439.1*AI597/I597</f>
        <v>16944.962510460249</v>
      </c>
      <c r="AK597" s="203">
        <v>0</v>
      </c>
      <c r="AL597" s="203">
        <v>0</v>
      </c>
      <c r="AM597" s="203">
        <v>0</v>
      </c>
      <c r="AN597" s="203"/>
      <c r="AO597" s="203">
        <v>0</v>
      </c>
    </row>
    <row r="598" spans="1:41" s="176" customFormat="1" ht="36" customHeight="1" x14ac:dyDescent="0.25">
      <c r="A598" s="176">
        <v>1</v>
      </c>
      <c r="B598" s="171">
        <f>SUBTOTAL(103,$A$552:A598)</f>
        <v>47</v>
      </c>
      <c r="C598" s="172" t="s">
        <v>1602</v>
      </c>
      <c r="D598" s="173">
        <v>1966</v>
      </c>
      <c r="E598" s="173"/>
      <c r="F598" s="174" t="s">
        <v>311</v>
      </c>
      <c r="G598" s="173">
        <v>5</v>
      </c>
      <c r="H598" s="173" t="s">
        <v>308</v>
      </c>
      <c r="I598" s="177">
        <v>3858.2</v>
      </c>
      <c r="J598" s="177">
        <v>3557.3</v>
      </c>
      <c r="K598" s="177">
        <v>3557.3</v>
      </c>
      <c r="L598" s="206">
        <v>184</v>
      </c>
      <c r="M598" s="173" t="s">
        <v>265</v>
      </c>
      <c r="N598" s="173" t="s">
        <v>269</v>
      </c>
      <c r="O598" s="175" t="s">
        <v>1062</v>
      </c>
      <c r="P598" s="170">
        <v>3060225</v>
      </c>
      <c r="Q598" s="170">
        <v>0</v>
      </c>
      <c r="R598" s="170">
        <v>0</v>
      </c>
      <c r="S598" s="170">
        <f t="shared" si="58"/>
        <v>3060225</v>
      </c>
      <c r="T598" s="170">
        <f t="shared" si="62"/>
        <v>793.17427816080044</v>
      </c>
      <c r="U598" s="170">
        <v>1501.445492716811</v>
      </c>
      <c r="V598" s="202">
        <f t="shared" si="63"/>
        <v>708.27121455601059</v>
      </c>
      <c r="W598" s="202">
        <f t="shared" si="59"/>
        <v>639.14780985952007</v>
      </c>
      <c r="X598" s="202">
        <v>0</v>
      </c>
      <c r="Y598" s="203">
        <v>0</v>
      </c>
      <c r="Z598" s="203">
        <v>0</v>
      </c>
      <c r="AA598" s="203">
        <v>0</v>
      </c>
      <c r="AB598" s="203">
        <v>0</v>
      </c>
      <c r="AC598" s="203">
        <v>0</v>
      </c>
      <c r="AD598" s="203">
        <v>0</v>
      </c>
      <c r="AE598" s="203">
        <v>0</v>
      </c>
      <c r="AF598" s="202">
        <v>0</v>
      </c>
      <c r="AG598" s="203">
        <v>278</v>
      </c>
      <c r="AH598" s="202">
        <f>8870.36*AG598/I598</f>
        <v>639.14780985952007</v>
      </c>
      <c r="AI598" s="203">
        <v>0</v>
      </c>
      <c r="AJ598" s="202">
        <v>0</v>
      </c>
      <c r="AK598" s="203">
        <v>0</v>
      </c>
      <c r="AL598" s="203">
        <v>0</v>
      </c>
      <c r="AM598" s="203">
        <v>0</v>
      </c>
      <c r="AN598" s="203"/>
      <c r="AO598" s="203">
        <v>0</v>
      </c>
    </row>
    <row r="599" spans="1:41" s="176" customFormat="1" ht="36" customHeight="1" x14ac:dyDescent="0.25">
      <c r="A599" s="176">
        <v>1</v>
      </c>
      <c r="B599" s="171">
        <f>SUBTOTAL(103,$A$552:A599)</f>
        <v>48</v>
      </c>
      <c r="C599" s="172" t="s">
        <v>1604</v>
      </c>
      <c r="D599" s="173">
        <v>1959</v>
      </c>
      <c r="E599" s="173"/>
      <c r="F599" s="174" t="s">
        <v>267</v>
      </c>
      <c r="G599" s="173">
        <v>3</v>
      </c>
      <c r="H599" s="173" t="s">
        <v>312</v>
      </c>
      <c r="I599" s="177">
        <v>1365.9</v>
      </c>
      <c r="J599" s="177">
        <v>1149.9000000000001</v>
      </c>
      <c r="K599" s="177">
        <v>1149.9000000000001</v>
      </c>
      <c r="L599" s="206">
        <v>40</v>
      </c>
      <c r="M599" s="173" t="s">
        <v>265</v>
      </c>
      <c r="N599" s="173" t="s">
        <v>269</v>
      </c>
      <c r="O599" s="175" t="s">
        <v>1385</v>
      </c>
      <c r="P599" s="170">
        <v>3158279.48</v>
      </c>
      <c r="Q599" s="170">
        <v>0</v>
      </c>
      <c r="R599" s="170">
        <v>0</v>
      </c>
      <c r="S599" s="170">
        <f t="shared" si="58"/>
        <v>3158279.48</v>
      </c>
      <c r="T599" s="170">
        <f t="shared" si="62"/>
        <v>2312.2333113697928</v>
      </c>
      <c r="U599" s="170">
        <v>7315.4690094443231</v>
      </c>
      <c r="V599" s="202">
        <f t="shared" si="63"/>
        <v>5003.2356980745299</v>
      </c>
      <c r="W599" s="202">
        <f>T599</f>
        <v>2312.2333113697928</v>
      </c>
      <c r="X599" s="202">
        <v>113.09</v>
      </c>
      <c r="Y599" s="203">
        <v>0</v>
      </c>
      <c r="Z599" s="203">
        <v>0</v>
      </c>
      <c r="AA599" s="203">
        <v>184.98</v>
      </c>
      <c r="AB599" s="203">
        <v>0</v>
      </c>
      <c r="AC599" s="203">
        <v>0</v>
      </c>
      <c r="AD599" s="203">
        <v>0</v>
      </c>
      <c r="AE599" s="203">
        <v>0</v>
      </c>
      <c r="AF599" s="202">
        <v>0</v>
      </c>
      <c r="AG599" s="203">
        <v>0</v>
      </c>
      <c r="AH599" s="202">
        <v>0</v>
      </c>
      <c r="AI599" s="203">
        <v>0</v>
      </c>
      <c r="AJ599" s="202">
        <v>0</v>
      </c>
      <c r="AK599" s="203">
        <v>0</v>
      </c>
      <c r="AL599" s="203">
        <v>0</v>
      </c>
      <c r="AM599" s="203">
        <v>0</v>
      </c>
      <c r="AN599" s="203"/>
      <c r="AO599" s="203">
        <v>0</v>
      </c>
    </row>
    <row r="600" spans="1:41" s="176" customFormat="1" ht="36" customHeight="1" x14ac:dyDescent="0.25">
      <c r="A600" s="176">
        <v>1</v>
      </c>
      <c r="B600" s="171">
        <f>SUBTOTAL(103,$A$552:A600)</f>
        <v>49</v>
      </c>
      <c r="C600" s="172" t="s">
        <v>1673</v>
      </c>
      <c r="D600" s="173">
        <v>1989</v>
      </c>
      <c r="E600" s="173"/>
      <c r="F600" s="174" t="s">
        <v>318</v>
      </c>
      <c r="G600" s="173">
        <v>7</v>
      </c>
      <c r="H600" s="173" t="s">
        <v>303</v>
      </c>
      <c r="I600" s="177">
        <v>4121.3999999999996</v>
      </c>
      <c r="J600" s="177">
        <v>3057</v>
      </c>
      <c r="K600" s="177">
        <v>3057</v>
      </c>
      <c r="L600" s="206">
        <v>163</v>
      </c>
      <c r="M600" s="173" t="s">
        <v>265</v>
      </c>
      <c r="N600" s="173" t="s">
        <v>269</v>
      </c>
      <c r="O600" s="175" t="s">
        <v>1676</v>
      </c>
      <c r="P600" s="170">
        <v>2873967.7</v>
      </c>
      <c r="Q600" s="170">
        <v>1982592</v>
      </c>
      <c r="R600" s="170">
        <v>0</v>
      </c>
      <c r="S600" s="170">
        <f t="shared" si="58"/>
        <v>891375.70000000019</v>
      </c>
      <c r="T600" s="170">
        <f t="shared" si="62"/>
        <v>697.32801960498875</v>
      </c>
      <c r="U600" s="170">
        <v>1120.7123792885914</v>
      </c>
      <c r="V600" s="202">
        <f t="shared" si="63"/>
        <v>423.38435968360261</v>
      </c>
      <c r="W600" s="202">
        <f t="shared" si="59"/>
        <v>686.34973407094674</v>
      </c>
      <c r="X600" s="202">
        <v>0</v>
      </c>
      <c r="Y600" s="203">
        <v>0</v>
      </c>
      <c r="Z600" s="203">
        <v>0</v>
      </c>
      <c r="AA600" s="203">
        <v>0</v>
      </c>
      <c r="AB600" s="203">
        <v>0</v>
      </c>
      <c r="AC600" s="203">
        <v>0</v>
      </c>
      <c r="AD600" s="203">
        <v>0</v>
      </c>
      <c r="AE600" s="203">
        <v>453.4</v>
      </c>
      <c r="AF600" s="202">
        <f>6238.91*AE600/I600</f>
        <v>686.34973407094674</v>
      </c>
      <c r="AG600" s="203">
        <v>0</v>
      </c>
      <c r="AH600" s="202">
        <v>0</v>
      </c>
      <c r="AI600" s="203">
        <v>0</v>
      </c>
      <c r="AJ600" s="202">
        <v>0</v>
      </c>
      <c r="AK600" s="203">
        <v>0</v>
      </c>
      <c r="AL600" s="203">
        <v>0</v>
      </c>
      <c r="AM600" s="203">
        <v>0</v>
      </c>
      <c r="AN600" s="203"/>
      <c r="AO600" s="203">
        <v>0</v>
      </c>
    </row>
    <row r="601" spans="1:41" s="176" customFormat="1" ht="36" customHeight="1" x14ac:dyDescent="0.25">
      <c r="A601" s="176">
        <v>1</v>
      </c>
      <c r="B601" s="171">
        <f>SUBTOTAL(103,$A$552:A601)</f>
        <v>50</v>
      </c>
      <c r="C601" s="172" t="s">
        <v>479</v>
      </c>
      <c r="D601" s="173">
        <v>1984</v>
      </c>
      <c r="E601" s="173"/>
      <c r="F601" s="174" t="s">
        <v>267</v>
      </c>
      <c r="G601" s="173">
        <v>12</v>
      </c>
      <c r="H601" s="173" t="s">
        <v>304</v>
      </c>
      <c r="I601" s="177">
        <v>6206.9</v>
      </c>
      <c r="J601" s="177">
        <v>5104.59</v>
      </c>
      <c r="K601" s="177">
        <v>5104.59</v>
      </c>
      <c r="L601" s="206">
        <v>242</v>
      </c>
      <c r="M601" s="173" t="s">
        <v>265</v>
      </c>
      <c r="N601" s="173" t="s">
        <v>269</v>
      </c>
      <c r="O601" s="175" t="s">
        <v>1062</v>
      </c>
      <c r="P601" s="170">
        <v>4050838.2899999996</v>
      </c>
      <c r="Q601" s="170">
        <v>0</v>
      </c>
      <c r="R601" s="170">
        <v>0</v>
      </c>
      <c r="S601" s="170">
        <f t="shared" si="58"/>
        <v>4050838.2899999996</v>
      </c>
      <c r="T601" s="170">
        <f t="shared" si="62"/>
        <v>652.63469525850257</v>
      </c>
      <c r="U601" s="170">
        <v>675.16989157228261</v>
      </c>
      <c r="V601" s="202">
        <f t="shared" si="63"/>
        <v>22.535196313780034</v>
      </c>
      <c r="W601" s="202">
        <f t="shared" si="59"/>
        <v>1746.0931044482752</v>
      </c>
      <c r="X601" s="202">
        <v>0</v>
      </c>
      <c r="Y601" s="203">
        <v>0</v>
      </c>
      <c r="Z601" s="203">
        <v>0</v>
      </c>
      <c r="AA601" s="203">
        <v>0</v>
      </c>
      <c r="AB601" s="203">
        <v>0</v>
      </c>
      <c r="AC601" s="203">
        <v>0</v>
      </c>
      <c r="AD601" s="203">
        <v>0</v>
      </c>
      <c r="AE601" s="203">
        <v>0</v>
      </c>
      <c r="AF601" s="202">
        <v>0</v>
      </c>
      <c r="AG601" s="203">
        <v>0</v>
      </c>
      <c r="AH601" s="202">
        <v>0</v>
      </c>
      <c r="AI601" s="203">
        <v>1389</v>
      </c>
      <c r="AJ601" s="202">
        <f>7802.61*AI601/I601</f>
        <v>1746.0931044482752</v>
      </c>
      <c r="AK601" s="203">
        <v>0</v>
      </c>
      <c r="AL601" s="203">
        <v>0</v>
      </c>
      <c r="AM601" s="203">
        <v>0</v>
      </c>
      <c r="AN601" s="203"/>
      <c r="AO601" s="203">
        <v>0</v>
      </c>
    </row>
    <row r="602" spans="1:41" s="176" customFormat="1" ht="36" customHeight="1" x14ac:dyDescent="0.25">
      <c r="A602" s="176">
        <v>1</v>
      </c>
      <c r="B602" s="171">
        <f>SUBTOTAL(103,$A$552:A602)</f>
        <v>51</v>
      </c>
      <c r="C602" s="172" t="s">
        <v>489</v>
      </c>
      <c r="D602" s="173">
        <v>1957</v>
      </c>
      <c r="E602" s="173"/>
      <c r="F602" s="174" t="s">
        <v>267</v>
      </c>
      <c r="G602" s="173">
        <v>2</v>
      </c>
      <c r="H602" s="173" t="s">
        <v>304</v>
      </c>
      <c r="I602" s="177">
        <v>718.26</v>
      </c>
      <c r="J602" s="177">
        <v>408.26</v>
      </c>
      <c r="K602" s="177">
        <v>408.26</v>
      </c>
      <c r="L602" s="206">
        <v>22</v>
      </c>
      <c r="M602" s="173" t="s">
        <v>265</v>
      </c>
      <c r="N602" s="173" t="s">
        <v>269</v>
      </c>
      <c r="O602" s="175" t="s">
        <v>1310</v>
      </c>
      <c r="P602" s="170">
        <v>1987488.72</v>
      </c>
      <c r="Q602" s="170">
        <v>0</v>
      </c>
      <c r="R602" s="170">
        <v>0</v>
      </c>
      <c r="S602" s="170">
        <f t="shared" si="58"/>
        <v>1987488.72</v>
      </c>
      <c r="T602" s="170">
        <f t="shared" si="62"/>
        <v>2767.0881296466459</v>
      </c>
      <c r="U602" s="170">
        <v>5612.1052627182362</v>
      </c>
      <c r="V602" s="202">
        <f t="shared" si="63"/>
        <v>2845.0171330715903</v>
      </c>
      <c r="W602" s="202">
        <f t="shared" si="59"/>
        <v>9493.9557124161165</v>
      </c>
      <c r="X602" s="202">
        <v>0</v>
      </c>
      <c r="Y602" s="203">
        <v>0</v>
      </c>
      <c r="Z602" s="203">
        <v>0</v>
      </c>
      <c r="AA602" s="203">
        <v>0</v>
      </c>
      <c r="AB602" s="203">
        <v>0</v>
      </c>
      <c r="AC602" s="203">
        <v>0</v>
      </c>
      <c r="AD602" s="203">
        <v>0</v>
      </c>
      <c r="AE602" s="203">
        <v>1093</v>
      </c>
      <c r="AF602" s="202">
        <f>6238.91*AE602/I602</f>
        <v>9493.9557124161165</v>
      </c>
      <c r="AG602" s="203">
        <v>0</v>
      </c>
      <c r="AH602" s="202">
        <v>0</v>
      </c>
      <c r="AI602" s="203">
        <v>0</v>
      </c>
      <c r="AJ602" s="202">
        <v>0</v>
      </c>
      <c r="AK602" s="203">
        <v>0</v>
      </c>
      <c r="AL602" s="203">
        <v>0</v>
      </c>
      <c r="AM602" s="203">
        <v>0</v>
      </c>
      <c r="AN602" s="203"/>
      <c r="AO602" s="203">
        <v>0</v>
      </c>
    </row>
    <row r="603" spans="1:41" s="176" customFormat="1" ht="36" customHeight="1" x14ac:dyDescent="0.25">
      <c r="A603" s="176">
        <v>1</v>
      </c>
      <c r="B603" s="171">
        <f>SUBTOTAL(103,$A$552:A603)</f>
        <v>52</v>
      </c>
      <c r="C603" s="172" t="s">
        <v>494</v>
      </c>
      <c r="D603" s="173">
        <v>1995</v>
      </c>
      <c r="E603" s="173"/>
      <c r="F603" s="174" t="s">
        <v>267</v>
      </c>
      <c r="G603" s="173">
        <v>9</v>
      </c>
      <c r="H603" s="173" t="s">
        <v>304</v>
      </c>
      <c r="I603" s="177">
        <v>6176.6</v>
      </c>
      <c r="J603" s="177">
        <v>5017.5</v>
      </c>
      <c r="K603" s="177">
        <v>4212.5</v>
      </c>
      <c r="L603" s="206">
        <v>299</v>
      </c>
      <c r="M603" s="173" t="s">
        <v>265</v>
      </c>
      <c r="N603" s="173" t="s">
        <v>269</v>
      </c>
      <c r="O603" s="175" t="s">
        <v>1062</v>
      </c>
      <c r="P603" s="170">
        <v>4667101.3599999994</v>
      </c>
      <c r="Q603" s="170">
        <v>0</v>
      </c>
      <c r="R603" s="170">
        <v>0</v>
      </c>
      <c r="S603" s="170">
        <f t="shared" si="58"/>
        <v>4667101.3599999994</v>
      </c>
      <c r="T603" s="170">
        <f t="shared" si="62"/>
        <v>755.61010264546826</v>
      </c>
      <c r="U603" s="170">
        <v>1460.845869896059</v>
      </c>
      <c r="V603" s="202">
        <f t="shared" si="63"/>
        <v>705.2357672505907</v>
      </c>
      <c r="W603" s="202">
        <f t="shared" si="59"/>
        <v>548.8818595991321</v>
      </c>
      <c r="X603" s="202">
        <v>0</v>
      </c>
      <c r="Y603" s="203">
        <v>0</v>
      </c>
      <c r="Z603" s="203">
        <v>0</v>
      </c>
      <c r="AA603" s="203">
        <v>0</v>
      </c>
      <c r="AB603" s="203">
        <v>0</v>
      </c>
      <c r="AC603" s="203">
        <v>0</v>
      </c>
      <c r="AD603" s="203">
        <v>0</v>
      </c>
      <c r="AE603" s="203">
        <v>543.4</v>
      </c>
      <c r="AF603" s="202">
        <f>6238.91*AE603/I603</f>
        <v>548.8818595991321</v>
      </c>
      <c r="AG603" s="203">
        <v>0</v>
      </c>
      <c r="AH603" s="202">
        <v>0</v>
      </c>
      <c r="AI603" s="203">
        <v>0</v>
      </c>
      <c r="AJ603" s="202">
        <v>0</v>
      </c>
      <c r="AK603" s="203">
        <v>0</v>
      </c>
      <c r="AL603" s="203">
        <v>0</v>
      </c>
      <c r="AM603" s="203">
        <v>0</v>
      </c>
      <c r="AN603" s="203"/>
      <c r="AO603" s="203">
        <v>0</v>
      </c>
    </row>
    <row r="604" spans="1:41" s="176" customFormat="1" ht="36" customHeight="1" x14ac:dyDescent="0.25">
      <c r="A604" s="176">
        <v>1</v>
      </c>
      <c r="B604" s="171">
        <f>SUBTOTAL(103,$A$552:A604)</f>
        <v>53</v>
      </c>
      <c r="C604" s="172" t="s">
        <v>495</v>
      </c>
      <c r="D604" s="173">
        <v>1988</v>
      </c>
      <c r="E604" s="173"/>
      <c r="F604" s="174" t="s">
        <v>267</v>
      </c>
      <c r="G604" s="173">
        <v>5</v>
      </c>
      <c r="H604" s="173" t="s">
        <v>303</v>
      </c>
      <c r="I604" s="177">
        <v>1410.8</v>
      </c>
      <c r="J604" s="177">
        <v>1242.3</v>
      </c>
      <c r="K604" s="177">
        <v>1242.3</v>
      </c>
      <c r="L604" s="206">
        <v>70</v>
      </c>
      <c r="M604" s="173" t="s">
        <v>265</v>
      </c>
      <c r="N604" s="173" t="s">
        <v>269</v>
      </c>
      <c r="O604" s="175" t="s">
        <v>1062</v>
      </c>
      <c r="P604" s="170">
        <v>1135747.27</v>
      </c>
      <c r="Q604" s="170">
        <v>0</v>
      </c>
      <c r="R604" s="170">
        <v>0</v>
      </c>
      <c r="S604" s="170">
        <f t="shared" si="58"/>
        <v>1135747.27</v>
      </c>
      <c r="T604" s="170">
        <f t="shared" si="62"/>
        <v>805.03775871845767</v>
      </c>
      <c r="U604" s="170">
        <v>1596.8142188829033</v>
      </c>
      <c r="V604" s="202">
        <f t="shared" si="63"/>
        <v>791.77646016444567</v>
      </c>
      <c r="W604" s="202">
        <f t="shared" si="59"/>
        <v>2940.7961085908705</v>
      </c>
      <c r="X604" s="202">
        <v>0</v>
      </c>
      <c r="Y604" s="203">
        <v>0</v>
      </c>
      <c r="Z604" s="203">
        <v>0</v>
      </c>
      <c r="AA604" s="203">
        <v>0</v>
      </c>
      <c r="AB604" s="203">
        <v>0</v>
      </c>
      <c r="AC604" s="203">
        <v>0</v>
      </c>
      <c r="AD604" s="203">
        <v>0</v>
      </c>
      <c r="AE604" s="203">
        <v>665</v>
      </c>
      <c r="AF604" s="202">
        <f>6238.91*AE604/I604</f>
        <v>2940.7961085908705</v>
      </c>
      <c r="AG604" s="203">
        <v>0</v>
      </c>
      <c r="AH604" s="202">
        <v>0</v>
      </c>
      <c r="AI604" s="203">
        <v>0</v>
      </c>
      <c r="AJ604" s="202">
        <v>0</v>
      </c>
      <c r="AK604" s="203">
        <v>0</v>
      </c>
      <c r="AL604" s="203">
        <v>0</v>
      </c>
      <c r="AM604" s="203">
        <v>0</v>
      </c>
      <c r="AN604" s="203"/>
      <c r="AO604" s="203">
        <v>0</v>
      </c>
    </row>
    <row r="605" spans="1:41" s="176" customFormat="1" ht="36" customHeight="1" x14ac:dyDescent="0.25">
      <c r="A605" s="176">
        <v>1</v>
      </c>
      <c r="B605" s="171">
        <f>SUBTOTAL(103,$A$552:A605)</f>
        <v>54</v>
      </c>
      <c r="C605" s="172" t="s">
        <v>501</v>
      </c>
      <c r="D605" s="173">
        <v>1985</v>
      </c>
      <c r="E605" s="173"/>
      <c r="F605" s="174" t="s">
        <v>311</v>
      </c>
      <c r="G605" s="173">
        <v>2</v>
      </c>
      <c r="H605" s="173" t="s">
        <v>303</v>
      </c>
      <c r="I605" s="177">
        <v>617.79999999999995</v>
      </c>
      <c r="J605" s="177">
        <v>560.5</v>
      </c>
      <c r="K605" s="177">
        <v>560.5</v>
      </c>
      <c r="L605" s="206">
        <v>38</v>
      </c>
      <c r="M605" s="173" t="s">
        <v>265</v>
      </c>
      <c r="N605" s="173" t="s">
        <v>269</v>
      </c>
      <c r="O605" s="175" t="s">
        <v>1371</v>
      </c>
      <c r="P605" s="170">
        <v>1994020.5499999998</v>
      </c>
      <c r="Q605" s="170">
        <v>0</v>
      </c>
      <c r="R605" s="170">
        <v>0</v>
      </c>
      <c r="S605" s="170">
        <f t="shared" si="58"/>
        <v>1994020.5499999998</v>
      </c>
      <c r="T605" s="170">
        <f t="shared" si="62"/>
        <v>3227.6150048559402</v>
      </c>
      <c r="U605" s="170">
        <v>4990.4465360958238</v>
      </c>
      <c r="V605" s="202">
        <f t="shared" si="63"/>
        <v>1762.8315312398836</v>
      </c>
      <c r="W605" s="202">
        <f t="shared" si="59"/>
        <v>10114.671414697314</v>
      </c>
      <c r="X605" s="202">
        <v>0</v>
      </c>
      <c r="Y605" s="203">
        <v>0</v>
      </c>
      <c r="Z605" s="203">
        <v>0</v>
      </c>
      <c r="AA605" s="203">
        <v>0</v>
      </c>
      <c r="AB605" s="203">
        <v>0</v>
      </c>
      <c r="AC605" s="203">
        <v>0</v>
      </c>
      <c r="AD605" s="203">
        <v>0</v>
      </c>
      <c r="AE605" s="203">
        <v>0</v>
      </c>
      <c r="AF605" s="202">
        <v>0</v>
      </c>
      <c r="AG605" s="203">
        <v>0</v>
      </c>
      <c r="AH605" s="202">
        <v>0</v>
      </c>
      <c r="AI605" s="203">
        <v>840</v>
      </c>
      <c r="AJ605" s="202">
        <f>7439.1*AI605/I605</f>
        <v>10114.671414697314</v>
      </c>
      <c r="AK605" s="203">
        <v>0</v>
      </c>
      <c r="AL605" s="203">
        <v>0</v>
      </c>
      <c r="AM605" s="203">
        <v>0</v>
      </c>
      <c r="AN605" s="203"/>
      <c r="AO605" s="203">
        <v>0</v>
      </c>
    </row>
    <row r="606" spans="1:41" s="176" customFormat="1" ht="36" customHeight="1" x14ac:dyDescent="0.25">
      <c r="A606" s="176">
        <v>1</v>
      </c>
      <c r="B606" s="171">
        <f>SUBTOTAL(103,$A$552:A606)</f>
        <v>55</v>
      </c>
      <c r="C606" s="172" t="s">
        <v>1600</v>
      </c>
      <c r="D606" s="173">
        <v>1962</v>
      </c>
      <c r="E606" s="173"/>
      <c r="F606" s="174" t="s">
        <v>267</v>
      </c>
      <c r="G606" s="173">
        <v>2</v>
      </c>
      <c r="H606" s="173" t="s">
        <v>303</v>
      </c>
      <c r="I606" s="177">
        <v>682.9</v>
      </c>
      <c r="J606" s="177">
        <v>653.4</v>
      </c>
      <c r="K606" s="177">
        <v>653.4</v>
      </c>
      <c r="L606" s="206">
        <v>36</v>
      </c>
      <c r="M606" s="173" t="s">
        <v>265</v>
      </c>
      <c r="N606" s="173" t="s">
        <v>269</v>
      </c>
      <c r="O606" s="175" t="s">
        <v>1374</v>
      </c>
      <c r="P606" s="170">
        <v>2018639.07</v>
      </c>
      <c r="Q606" s="170">
        <v>0</v>
      </c>
      <c r="R606" s="170">
        <v>0</v>
      </c>
      <c r="S606" s="170">
        <f t="shared" si="58"/>
        <v>2018639.07</v>
      </c>
      <c r="T606" s="170">
        <f t="shared" si="62"/>
        <v>2955.9804803045836</v>
      </c>
      <c r="U606" s="170">
        <v>5400.6907160638457</v>
      </c>
      <c r="V606" s="202">
        <f t="shared" si="63"/>
        <v>2444.7102357592621</v>
      </c>
      <c r="W606" s="202">
        <f t="shared" si="59"/>
        <v>8222.3151266656914</v>
      </c>
      <c r="X606" s="202">
        <v>0</v>
      </c>
      <c r="Y606" s="203">
        <v>0</v>
      </c>
      <c r="Z606" s="203">
        <v>0</v>
      </c>
      <c r="AA606" s="203">
        <v>0</v>
      </c>
      <c r="AB606" s="203">
        <v>0</v>
      </c>
      <c r="AC606" s="203">
        <v>0</v>
      </c>
      <c r="AD606" s="203">
        <v>0</v>
      </c>
      <c r="AE606" s="203">
        <v>900</v>
      </c>
      <c r="AF606" s="202">
        <f>6238.91*AE606/I606</f>
        <v>8222.3151266656914</v>
      </c>
      <c r="AG606" s="203">
        <v>0</v>
      </c>
      <c r="AH606" s="202">
        <v>0</v>
      </c>
      <c r="AI606" s="203">
        <v>0</v>
      </c>
      <c r="AJ606" s="202">
        <v>0</v>
      </c>
      <c r="AK606" s="203">
        <v>0</v>
      </c>
      <c r="AL606" s="203">
        <v>0</v>
      </c>
      <c r="AM606" s="203">
        <v>0</v>
      </c>
      <c r="AN606" s="203"/>
      <c r="AO606" s="203">
        <v>0</v>
      </c>
    </row>
    <row r="607" spans="1:41" s="176" customFormat="1" ht="36" customHeight="1" x14ac:dyDescent="0.25">
      <c r="A607" s="176">
        <v>1</v>
      </c>
      <c r="B607" s="171">
        <f>SUBTOTAL(103,$A$552:A607)</f>
        <v>56</v>
      </c>
      <c r="C607" s="172" t="s">
        <v>1686</v>
      </c>
      <c r="D607" s="173">
        <v>1991</v>
      </c>
      <c r="E607" s="173"/>
      <c r="F607" s="174" t="s">
        <v>311</v>
      </c>
      <c r="G607" s="173">
        <v>9</v>
      </c>
      <c r="H607" s="173" t="s">
        <v>308</v>
      </c>
      <c r="I607" s="177">
        <v>8855.2999999999993</v>
      </c>
      <c r="J607" s="177">
        <v>8855.2999999999993</v>
      </c>
      <c r="K607" s="177">
        <v>8855.2999999999993</v>
      </c>
      <c r="L607" s="206">
        <v>382</v>
      </c>
      <c r="M607" s="173" t="s">
        <v>265</v>
      </c>
      <c r="N607" s="173" t="s">
        <v>269</v>
      </c>
      <c r="O607" s="175" t="s">
        <v>348</v>
      </c>
      <c r="P607" s="170">
        <v>6634451.1399999997</v>
      </c>
      <c r="Q607" s="170">
        <v>4598400</v>
      </c>
      <c r="R607" s="170">
        <v>0</v>
      </c>
      <c r="S607" s="170">
        <f t="shared" si="58"/>
        <v>2036051.1399999997</v>
      </c>
      <c r="T607" s="170">
        <f t="shared" si="62"/>
        <v>749.20681851546533</v>
      </c>
      <c r="U607" s="170">
        <v>1110.205187853602</v>
      </c>
      <c r="V607" s="202">
        <f t="shared" si="63"/>
        <v>360.99836933813663</v>
      </c>
      <c r="W607" s="202">
        <f t="shared" si="59"/>
        <v>1128.3862906959675</v>
      </c>
      <c r="X607" s="202">
        <v>0</v>
      </c>
      <c r="Y607" s="203">
        <v>0</v>
      </c>
      <c r="Z607" s="203">
        <v>0</v>
      </c>
      <c r="AA607" s="203">
        <v>0</v>
      </c>
      <c r="AB607" s="203">
        <v>0</v>
      </c>
      <c r="AC607" s="203">
        <v>0</v>
      </c>
      <c r="AD607" s="203">
        <v>0</v>
      </c>
      <c r="AE607" s="203">
        <v>0</v>
      </c>
      <c r="AF607" s="202">
        <v>0</v>
      </c>
      <c r="AG607" s="203">
        <v>0</v>
      </c>
      <c r="AH607" s="202">
        <v>0</v>
      </c>
      <c r="AI607" s="203">
        <v>1343.2</v>
      </c>
      <c r="AJ607" s="202">
        <f>7439.1*AI607/I607</f>
        <v>1128.3862906959675</v>
      </c>
      <c r="AK607" s="203">
        <v>0</v>
      </c>
      <c r="AL607" s="203">
        <v>0</v>
      </c>
      <c r="AM607" s="203">
        <v>0</v>
      </c>
      <c r="AN607" s="203"/>
      <c r="AO607" s="203">
        <v>0</v>
      </c>
    </row>
    <row r="608" spans="1:41" s="176" customFormat="1" ht="36" customHeight="1" x14ac:dyDescent="0.25">
      <c r="A608" s="176">
        <v>1</v>
      </c>
      <c r="B608" s="171">
        <f>SUBTOTAL(103,$A$552:A608)</f>
        <v>57</v>
      </c>
      <c r="C608" s="172" t="s">
        <v>1687</v>
      </c>
      <c r="D608" s="360">
        <v>1998</v>
      </c>
      <c r="E608" s="173"/>
      <c r="F608" s="174" t="s">
        <v>267</v>
      </c>
      <c r="G608" s="173">
        <v>10</v>
      </c>
      <c r="H608" s="173" t="s">
        <v>303</v>
      </c>
      <c r="I608" s="177">
        <v>5111.5</v>
      </c>
      <c r="J608" s="177">
        <v>5111.5</v>
      </c>
      <c r="K608" s="177">
        <v>5111.5</v>
      </c>
      <c r="L608" s="206">
        <v>194</v>
      </c>
      <c r="M608" s="173" t="s">
        <v>265</v>
      </c>
      <c r="N608" s="173" t="s">
        <v>269</v>
      </c>
      <c r="O608" s="175" t="s">
        <v>1372</v>
      </c>
      <c r="P608" s="170">
        <v>4622678.45</v>
      </c>
      <c r="Q608" s="170">
        <v>0</v>
      </c>
      <c r="R608" s="170">
        <v>0</v>
      </c>
      <c r="S608" s="170">
        <f t="shared" si="58"/>
        <v>4622678.45</v>
      </c>
      <c r="T608" s="170">
        <f t="shared" si="62"/>
        <v>904.36827741367506</v>
      </c>
      <c r="U608" s="170">
        <v>1198.7824630734617</v>
      </c>
      <c r="V608" s="202">
        <f t="shared" si="63"/>
        <v>294.41418565978665</v>
      </c>
      <c r="W608" s="202">
        <f t="shared" si="59"/>
        <v>903.62985425022009</v>
      </c>
      <c r="X608" s="202">
        <v>0</v>
      </c>
      <c r="Y608" s="203">
        <v>0</v>
      </c>
      <c r="Z608" s="203">
        <v>0</v>
      </c>
      <c r="AA608" s="203">
        <v>0</v>
      </c>
      <c r="AB608" s="203">
        <v>0</v>
      </c>
      <c r="AC608" s="203">
        <v>2</v>
      </c>
      <c r="AD608" s="202">
        <f>2309452*AC608/I608</f>
        <v>903.62985425022009</v>
      </c>
      <c r="AE608" s="203">
        <v>0</v>
      </c>
      <c r="AF608" s="202">
        <v>0</v>
      </c>
      <c r="AG608" s="203">
        <v>0</v>
      </c>
      <c r="AH608" s="202">
        <v>0</v>
      </c>
      <c r="AI608" s="203">
        <v>0</v>
      </c>
      <c r="AJ608" s="202">
        <v>0</v>
      </c>
      <c r="AK608" s="203">
        <v>0</v>
      </c>
      <c r="AL608" s="203">
        <v>0</v>
      </c>
      <c r="AM608" s="203">
        <v>0</v>
      </c>
      <c r="AN608" s="203"/>
      <c r="AO608" s="203">
        <v>0</v>
      </c>
    </row>
    <row r="609" spans="1:41" s="176" customFormat="1" ht="36" customHeight="1" x14ac:dyDescent="0.25">
      <c r="A609" s="176">
        <v>1</v>
      </c>
      <c r="B609" s="171">
        <f>SUBTOTAL(103,$A$552:A609)</f>
        <v>58</v>
      </c>
      <c r="C609" s="172" t="s">
        <v>1858</v>
      </c>
      <c r="D609" s="173">
        <v>1970</v>
      </c>
      <c r="E609" s="173"/>
      <c r="F609" s="174" t="s">
        <v>267</v>
      </c>
      <c r="G609" s="173">
        <v>5</v>
      </c>
      <c r="H609" s="173" t="s">
        <v>303</v>
      </c>
      <c r="I609" s="170">
        <v>2303.6999999999998</v>
      </c>
      <c r="J609" s="170">
        <v>1759</v>
      </c>
      <c r="K609" s="170">
        <v>1399.2</v>
      </c>
      <c r="L609" s="206">
        <v>77</v>
      </c>
      <c r="M609" s="173" t="s">
        <v>265</v>
      </c>
      <c r="N609" s="173" t="s">
        <v>269</v>
      </c>
      <c r="O609" s="175" t="s">
        <v>1371</v>
      </c>
      <c r="P609" s="170">
        <v>2729561.1</v>
      </c>
      <c r="Q609" s="170">
        <v>0</v>
      </c>
      <c r="R609" s="170">
        <v>0</v>
      </c>
      <c r="S609" s="170">
        <f t="shared" si="58"/>
        <v>2729561.1</v>
      </c>
      <c r="T609" s="170">
        <f t="shared" si="62"/>
        <v>1184.8596171376482</v>
      </c>
      <c r="U609" s="170">
        <v>1670.809975257195</v>
      </c>
      <c r="V609" s="202">
        <f t="shared" si="63"/>
        <v>485.95035811954676</v>
      </c>
      <c r="W609" s="202">
        <f t="shared" si="59"/>
        <v>1624.9277249641882</v>
      </c>
      <c r="X609" s="202">
        <v>0</v>
      </c>
      <c r="Y609" s="203">
        <v>0</v>
      </c>
      <c r="Z609" s="203">
        <v>0</v>
      </c>
      <c r="AA609" s="203">
        <v>0</v>
      </c>
      <c r="AB609" s="203">
        <v>0</v>
      </c>
      <c r="AC609" s="203">
        <v>0</v>
      </c>
      <c r="AD609" s="203">
        <v>0</v>
      </c>
      <c r="AE609" s="203">
        <v>600</v>
      </c>
      <c r="AF609" s="202">
        <f>6238.91*AE609/I609</f>
        <v>1624.9277249641882</v>
      </c>
      <c r="AG609" s="203">
        <v>0</v>
      </c>
      <c r="AH609" s="202">
        <v>0</v>
      </c>
      <c r="AI609" s="203">
        <v>0</v>
      </c>
      <c r="AJ609" s="202">
        <v>0</v>
      </c>
      <c r="AK609" s="203">
        <v>0</v>
      </c>
      <c r="AL609" s="203">
        <v>0</v>
      </c>
      <c r="AM609" s="203">
        <v>0</v>
      </c>
      <c r="AN609" s="203"/>
      <c r="AO609" s="203">
        <v>0</v>
      </c>
    </row>
    <row r="610" spans="1:41" s="176" customFormat="1" ht="36" customHeight="1" x14ac:dyDescent="0.25">
      <c r="A610" s="176">
        <v>1</v>
      </c>
      <c r="B610" s="171">
        <f>SUBTOTAL(103,$A$552:A610)</f>
        <v>59</v>
      </c>
      <c r="C610" s="172" t="s">
        <v>1913</v>
      </c>
      <c r="D610" s="173">
        <v>1970</v>
      </c>
      <c r="E610" s="173"/>
      <c r="F610" s="174" t="s">
        <v>1562</v>
      </c>
      <c r="G610" s="173" t="s">
        <v>308</v>
      </c>
      <c r="H610" s="173" t="s">
        <v>304</v>
      </c>
      <c r="I610" s="170">
        <v>1694.4</v>
      </c>
      <c r="J610" s="170">
        <v>1418.1</v>
      </c>
      <c r="K610" s="170">
        <v>1418.1</v>
      </c>
      <c r="L610" s="206">
        <v>111</v>
      </c>
      <c r="M610" s="173" t="s">
        <v>265</v>
      </c>
      <c r="N610" s="173" t="s">
        <v>269</v>
      </c>
      <c r="O610" s="175" t="s">
        <v>2253</v>
      </c>
      <c r="P610" s="170">
        <v>4474632.67</v>
      </c>
      <c r="Q610" s="170">
        <v>0</v>
      </c>
      <c r="R610" s="170">
        <v>0</v>
      </c>
      <c r="S610" s="170">
        <f t="shared" si="58"/>
        <v>4474632.67</v>
      </c>
      <c r="T610" s="170">
        <f t="shared" si="62"/>
        <v>2640.8360894711991</v>
      </c>
      <c r="U610" s="170">
        <v>3646.7592067988667</v>
      </c>
      <c r="V610" s="202">
        <f t="shared" si="63"/>
        <v>1005.9231173276676</v>
      </c>
      <c r="W610" s="202">
        <f t="shared" si="59"/>
        <v>2378.9841395184135</v>
      </c>
      <c r="X610" s="202">
        <v>0</v>
      </c>
      <c r="Y610" s="203">
        <v>0</v>
      </c>
      <c r="Z610" s="203">
        <v>0</v>
      </c>
      <c r="AA610" s="203">
        <v>0</v>
      </c>
      <c r="AB610" s="203">
        <v>0</v>
      </c>
      <c r="AC610" s="203">
        <v>0</v>
      </c>
      <c r="AD610" s="203">
        <v>0</v>
      </c>
      <c r="AE610" s="203">
        <v>0</v>
      </c>
      <c r="AF610" s="202">
        <v>0</v>
      </c>
      <c r="AG610" s="203">
        <v>0</v>
      </c>
      <c r="AH610" s="202">
        <v>0</v>
      </c>
      <c r="AI610" s="203">
        <v>541.86</v>
      </c>
      <c r="AJ610" s="202">
        <f>7439.1*AI610/I610</f>
        <v>2378.9841395184135</v>
      </c>
      <c r="AK610" s="203">
        <v>0</v>
      </c>
      <c r="AL610" s="203">
        <v>0</v>
      </c>
      <c r="AM610" s="203">
        <v>0</v>
      </c>
      <c r="AN610" s="203"/>
      <c r="AO610" s="203">
        <v>0</v>
      </c>
    </row>
    <row r="611" spans="1:41" s="176" customFormat="1" ht="36" customHeight="1" x14ac:dyDescent="0.25">
      <c r="A611" s="176">
        <v>1</v>
      </c>
      <c r="B611" s="171">
        <f>SUBTOTAL(103,$A$552:A611)</f>
        <v>60</v>
      </c>
      <c r="C611" s="172" t="s">
        <v>1914</v>
      </c>
      <c r="D611" s="173">
        <v>1984</v>
      </c>
      <c r="E611" s="173"/>
      <c r="F611" s="174" t="s">
        <v>1562</v>
      </c>
      <c r="G611" s="173" t="s">
        <v>357</v>
      </c>
      <c r="H611" s="173" t="s">
        <v>304</v>
      </c>
      <c r="I611" s="170">
        <v>6288</v>
      </c>
      <c r="J611" s="170">
        <v>5117.7</v>
      </c>
      <c r="K611" s="170">
        <v>5074.5</v>
      </c>
      <c r="L611" s="206">
        <v>320</v>
      </c>
      <c r="M611" s="173" t="s">
        <v>265</v>
      </c>
      <c r="N611" s="173" t="s">
        <v>269</v>
      </c>
      <c r="O611" s="175" t="s">
        <v>1308</v>
      </c>
      <c r="P611" s="170">
        <v>4362978.1900000004</v>
      </c>
      <c r="Q611" s="170">
        <v>0</v>
      </c>
      <c r="R611" s="170">
        <v>0</v>
      </c>
      <c r="S611" s="170">
        <f t="shared" si="58"/>
        <v>4362978.1900000004</v>
      </c>
      <c r="T611" s="170">
        <f t="shared" si="62"/>
        <v>693.85785464376602</v>
      </c>
      <c r="U611" s="170">
        <v>875.19611164122125</v>
      </c>
      <c r="V611" s="202">
        <f t="shared" si="63"/>
        <v>181.33825699745523</v>
      </c>
      <c r="W611" s="202">
        <f t="shared" si="59"/>
        <v>1012.036927480916</v>
      </c>
      <c r="X611" s="202">
        <v>0</v>
      </c>
      <c r="Y611" s="203">
        <v>0</v>
      </c>
      <c r="Z611" s="203">
        <v>0</v>
      </c>
      <c r="AA611" s="203">
        <v>0</v>
      </c>
      <c r="AB611" s="203">
        <v>0</v>
      </c>
      <c r="AC611" s="203">
        <v>0</v>
      </c>
      <c r="AD611" s="203">
        <v>0</v>
      </c>
      <c r="AE611" s="203">
        <v>1020</v>
      </c>
      <c r="AF611" s="202">
        <f>6238.91*AE611/I611</f>
        <v>1012.036927480916</v>
      </c>
      <c r="AG611" s="203">
        <v>0</v>
      </c>
      <c r="AH611" s="202">
        <v>0</v>
      </c>
      <c r="AI611" s="203">
        <v>0</v>
      </c>
      <c r="AJ611" s="202">
        <v>0</v>
      </c>
      <c r="AK611" s="203">
        <v>0</v>
      </c>
      <c r="AL611" s="203">
        <v>0</v>
      </c>
      <c r="AM611" s="203">
        <v>0</v>
      </c>
      <c r="AN611" s="203"/>
      <c r="AO611" s="203">
        <v>0</v>
      </c>
    </row>
    <row r="612" spans="1:41" s="176" customFormat="1" ht="36" customHeight="1" x14ac:dyDescent="0.25">
      <c r="A612" s="176">
        <v>1</v>
      </c>
      <c r="B612" s="171">
        <f>SUBTOTAL(103,$A$552:A612)</f>
        <v>61</v>
      </c>
      <c r="C612" s="172" t="s">
        <v>1915</v>
      </c>
      <c r="D612" s="173">
        <v>1988</v>
      </c>
      <c r="E612" s="173"/>
      <c r="F612" s="174" t="s">
        <v>1562</v>
      </c>
      <c r="G612" s="173" t="s">
        <v>357</v>
      </c>
      <c r="H612" s="173" t="s">
        <v>304</v>
      </c>
      <c r="I612" s="170">
        <v>7446.7</v>
      </c>
      <c r="J612" s="170">
        <v>6148.5</v>
      </c>
      <c r="K612" s="170">
        <v>5708.1</v>
      </c>
      <c r="L612" s="206">
        <v>289</v>
      </c>
      <c r="M612" s="173" t="s">
        <v>265</v>
      </c>
      <c r="N612" s="173" t="s">
        <v>269</v>
      </c>
      <c r="O612" s="175" t="s">
        <v>1308</v>
      </c>
      <c r="P612" s="170">
        <v>4362980.45</v>
      </c>
      <c r="Q612" s="170">
        <v>0</v>
      </c>
      <c r="R612" s="170">
        <v>0</v>
      </c>
      <c r="S612" s="170">
        <f t="shared" si="58"/>
        <v>4362980.45</v>
      </c>
      <c r="T612" s="170">
        <f t="shared" si="62"/>
        <v>585.89448346247332</v>
      </c>
      <c r="U612" s="170">
        <v>739.01636295271726</v>
      </c>
      <c r="V612" s="202">
        <f t="shared" si="63"/>
        <v>153.12187949024394</v>
      </c>
      <c r="W612" s="202">
        <f t="shared" si="59"/>
        <v>293.23304282433833</v>
      </c>
      <c r="X612" s="202">
        <v>0</v>
      </c>
      <c r="Y612" s="203">
        <v>0</v>
      </c>
      <c r="Z612" s="203">
        <v>0</v>
      </c>
      <c r="AA612" s="203">
        <v>0</v>
      </c>
      <c r="AB612" s="203">
        <v>0</v>
      </c>
      <c r="AC612" s="203">
        <v>0</v>
      </c>
      <c r="AD612" s="203">
        <v>0</v>
      </c>
      <c r="AE612" s="203">
        <v>350</v>
      </c>
      <c r="AF612" s="202">
        <f>6238.91*AE612/I612</f>
        <v>293.23304282433833</v>
      </c>
      <c r="AG612" s="203">
        <v>0</v>
      </c>
      <c r="AH612" s="202">
        <v>0</v>
      </c>
      <c r="AI612" s="203">
        <v>0</v>
      </c>
      <c r="AJ612" s="202">
        <v>0</v>
      </c>
      <c r="AK612" s="203">
        <v>0</v>
      </c>
      <c r="AL612" s="203">
        <v>0</v>
      </c>
      <c r="AM612" s="203">
        <v>0</v>
      </c>
      <c r="AN612" s="203"/>
      <c r="AO612" s="203">
        <v>0</v>
      </c>
    </row>
    <row r="613" spans="1:41" s="176" customFormat="1" ht="36" customHeight="1" x14ac:dyDescent="0.25">
      <c r="A613" s="176">
        <v>1</v>
      </c>
      <c r="B613" s="171">
        <f>SUBTOTAL(103,$A$552:A613)</f>
        <v>62</v>
      </c>
      <c r="C613" s="172" t="s">
        <v>1916</v>
      </c>
      <c r="D613" s="173">
        <v>1972</v>
      </c>
      <c r="E613" s="173"/>
      <c r="F613" s="174" t="s">
        <v>1562</v>
      </c>
      <c r="G613" s="173" t="s">
        <v>351</v>
      </c>
      <c r="H613" s="173" t="s">
        <v>303</v>
      </c>
      <c r="I613" s="170">
        <v>4729.3</v>
      </c>
      <c r="J613" s="170">
        <v>2860.4</v>
      </c>
      <c r="K613" s="170">
        <v>2738.6</v>
      </c>
      <c r="L613" s="206">
        <v>204</v>
      </c>
      <c r="M613" s="173" t="s">
        <v>265</v>
      </c>
      <c r="N613" s="173" t="s">
        <v>269</v>
      </c>
      <c r="O613" s="175" t="s">
        <v>1308</v>
      </c>
      <c r="P613" s="170">
        <v>5174988.24</v>
      </c>
      <c r="Q613" s="170">
        <v>0</v>
      </c>
      <c r="R613" s="170">
        <v>0</v>
      </c>
      <c r="S613" s="170">
        <f>P613-Q613-R613</f>
        <v>5174988.24</v>
      </c>
      <c r="T613" s="170">
        <f t="shared" si="62"/>
        <v>1094.2397902437992</v>
      </c>
      <c r="U613" s="170">
        <v>1409.9856384665807</v>
      </c>
      <c r="V613" s="202">
        <f t="shared" si="63"/>
        <v>315.74584822278143</v>
      </c>
      <c r="W613" s="202">
        <f>X613+Y613+Z613+AA613+AB613+AD613+AF613+AH613+AJ613+AL613+AN613+AO613</f>
        <v>645.09060326052474</v>
      </c>
      <c r="X613" s="202">
        <v>0</v>
      </c>
      <c r="Y613" s="203">
        <v>0</v>
      </c>
      <c r="Z613" s="203">
        <v>0</v>
      </c>
      <c r="AA613" s="203">
        <v>0</v>
      </c>
      <c r="AB613" s="203">
        <v>0</v>
      </c>
      <c r="AC613" s="203">
        <v>0</v>
      </c>
      <c r="AD613" s="203">
        <v>0</v>
      </c>
      <c r="AE613" s="203">
        <v>489</v>
      </c>
      <c r="AF613" s="202">
        <f>6238.91*AE613/I613</f>
        <v>645.09060326052474</v>
      </c>
      <c r="AG613" s="203">
        <v>0</v>
      </c>
      <c r="AH613" s="202">
        <v>0</v>
      </c>
      <c r="AI613" s="203">
        <v>0</v>
      </c>
      <c r="AJ613" s="202">
        <v>0</v>
      </c>
      <c r="AK613" s="203">
        <v>0</v>
      </c>
      <c r="AL613" s="203">
        <v>0</v>
      </c>
      <c r="AM613" s="203">
        <v>0</v>
      </c>
      <c r="AN613" s="203"/>
      <c r="AO613" s="203">
        <v>0</v>
      </c>
    </row>
    <row r="614" spans="1:41" s="176" customFormat="1" ht="36" customHeight="1" x14ac:dyDescent="0.25">
      <c r="A614" s="176">
        <v>1</v>
      </c>
      <c r="B614" s="171">
        <f>SUBTOTAL(103,$A$552:A614)</f>
        <v>63</v>
      </c>
      <c r="C614" s="172" t="s">
        <v>1054</v>
      </c>
      <c r="D614" s="173">
        <v>1959</v>
      </c>
      <c r="E614" s="173"/>
      <c r="F614" s="174" t="s">
        <v>267</v>
      </c>
      <c r="G614" s="173">
        <v>2</v>
      </c>
      <c r="H614" s="173" t="s">
        <v>303</v>
      </c>
      <c r="I614" s="170">
        <v>918.1</v>
      </c>
      <c r="J614" s="170">
        <v>907</v>
      </c>
      <c r="K614" s="170">
        <v>907</v>
      </c>
      <c r="L614" s="206">
        <v>40</v>
      </c>
      <c r="M614" s="173" t="s">
        <v>265</v>
      </c>
      <c r="N614" s="173" t="s">
        <v>269</v>
      </c>
      <c r="O614" s="175" t="s">
        <v>1062</v>
      </c>
      <c r="P614" s="170">
        <v>2112589</v>
      </c>
      <c r="Q614" s="170">
        <v>0</v>
      </c>
      <c r="R614" s="170">
        <v>0</v>
      </c>
      <c r="S614" s="170">
        <f>P614-R614-Q614</f>
        <v>2112589</v>
      </c>
      <c r="T614" s="170">
        <f t="shared" si="62"/>
        <v>2301.0445485241257</v>
      </c>
      <c r="U614" s="170">
        <v>3505.3534473368913</v>
      </c>
      <c r="V614" s="202">
        <f t="shared" si="63"/>
        <v>1204.3088988127656</v>
      </c>
      <c r="W614" s="202">
        <f>X614+Y614+Z614+AA614+AB614+AD614+AF614+AH614+AJ614+AL614+AN614+AO614</f>
        <v>3893.7974403659728</v>
      </c>
      <c r="X614" s="202">
        <v>0</v>
      </c>
      <c r="Y614" s="203">
        <v>0</v>
      </c>
      <c r="Z614" s="203">
        <v>0</v>
      </c>
      <c r="AA614" s="203">
        <v>0</v>
      </c>
      <c r="AB614" s="203">
        <v>0</v>
      </c>
      <c r="AC614" s="203">
        <v>0</v>
      </c>
      <c r="AD614" s="203">
        <v>0</v>
      </c>
      <c r="AE614" s="203">
        <v>573</v>
      </c>
      <c r="AF614" s="202">
        <f>6238.91*AE614/I614</f>
        <v>3893.7974403659728</v>
      </c>
      <c r="AG614" s="203">
        <v>0</v>
      </c>
      <c r="AH614" s="202">
        <v>0</v>
      </c>
      <c r="AI614" s="203">
        <v>0</v>
      </c>
      <c r="AJ614" s="202">
        <v>0</v>
      </c>
      <c r="AK614" s="203">
        <v>0</v>
      </c>
      <c r="AL614" s="203">
        <v>0</v>
      </c>
      <c r="AM614" s="203">
        <v>0</v>
      </c>
      <c r="AN614" s="203"/>
      <c r="AO614" s="203">
        <v>0</v>
      </c>
    </row>
    <row r="615" spans="1:41" s="176" customFormat="1" ht="36" customHeight="1" x14ac:dyDescent="0.25">
      <c r="A615" s="176">
        <v>1</v>
      </c>
      <c r="B615" s="171">
        <f>SUBTOTAL(103,$A$552:A615)</f>
        <v>64</v>
      </c>
      <c r="C615" s="172" t="s">
        <v>486</v>
      </c>
      <c r="D615" s="360">
        <v>1989</v>
      </c>
      <c r="E615" s="173"/>
      <c r="F615" s="174" t="s">
        <v>267</v>
      </c>
      <c r="G615" s="173">
        <v>5</v>
      </c>
      <c r="H615" s="173" t="s">
        <v>312</v>
      </c>
      <c r="I615" s="177">
        <v>2454.8000000000002</v>
      </c>
      <c r="J615" s="177">
        <v>1816.2</v>
      </c>
      <c r="K615" s="177">
        <v>1749.1</v>
      </c>
      <c r="L615" s="206">
        <v>71</v>
      </c>
      <c r="M615" s="173" t="s">
        <v>265</v>
      </c>
      <c r="N615" s="173" t="s">
        <v>269</v>
      </c>
      <c r="O615" s="175" t="s">
        <v>1371</v>
      </c>
      <c r="P615" s="170">
        <v>2556530.7300000004</v>
      </c>
      <c r="Q615" s="170">
        <v>0</v>
      </c>
      <c r="R615" s="170">
        <v>0</v>
      </c>
      <c r="S615" s="170">
        <f t="shared" ref="S615:S635" si="64">P615-Q615-R615</f>
        <v>2556530.7300000004</v>
      </c>
      <c r="T615" s="170">
        <f t="shared" si="62"/>
        <v>1041.4415553201891</v>
      </c>
      <c r="U615" s="170">
        <v>1817.0585343001464</v>
      </c>
      <c r="V615" s="202">
        <f t="shared" si="63"/>
        <v>775.61697897995737</v>
      </c>
      <c r="W615" s="202">
        <f>X615+Y615+Z615+AA615+AB615+AD615+AF615+AH615+AJ615+AL615+AN615+AO615</f>
        <v>4004.8883819455759</v>
      </c>
      <c r="X615" s="202">
        <v>0</v>
      </c>
      <c r="Y615" s="203">
        <v>0</v>
      </c>
      <c r="Z615" s="203">
        <v>0</v>
      </c>
      <c r="AA615" s="203">
        <v>0</v>
      </c>
      <c r="AB615" s="203">
        <v>0</v>
      </c>
      <c r="AC615" s="203">
        <v>4</v>
      </c>
      <c r="AD615" s="202">
        <f>2457800*AC615/I615</f>
        <v>4004.8883819455759</v>
      </c>
      <c r="AE615" s="203">
        <v>0</v>
      </c>
      <c r="AF615" s="202">
        <v>0</v>
      </c>
      <c r="AG615" s="203">
        <v>0</v>
      </c>
      <c r="AH615" s="202">
        <v>0</v>
      </c>
      <c r="AI615" s="203">
        <v>0</v>
      </c>
      <c r="AJ615" s="202">
        <v>0</v>
      </c>
      <c r="AK615" s="203">
        <v>0</v>
      </c>
      <c r="AL615" s="203">
        <v>0</v>
      </c>
      <c r="AM615" s="203">
        <v>0</v>
      </c>
      <c r="AN615" s="203"/>
      <c r="AO615" s="203">
        <v>0</v>
      </c>
    </row>
    <row r="616" spans="1:41" s="176" customFormat="1" ht="36" customHeight="1" x14ac:dyDescent="0.25">
      <c r="A616" s="176">
        <v>1</v>
      </c>
      <c r="B616" s="171">
        <f>SUBTOTAL(103,$A$552:A616)</f>
        <v>65</v>
      </c>
      <c r="C616" s="172" t="s">
        <v>1085</v>
      </c>
      <c r="D616" s="360">
        <v>1974</v>
      </c>
      <c r="E616" s="173"/>
      <c r="F616" s="174" t="s">
        <v>1562</v>
      </c>
      <c r="G616" s="173" t="s">
        <v>351</v>
      </c>
      <c r="H616" s="173" t="s">
        <v>308</v>
      </c>
      <c r="I616" s="177">
        <v>4916.8</v>
      </c>
      <c r="J616" s="177">
        <v>4565.5</v>
      </c>
      <c r="K616" s="177">
        <v>4565.5</v>
      </c>
      <c r="L616" s="206">
        <v>114</v>
      </c>
      <c r="M616" s="173" t="s">
        <v>265</v>
      </c>
      <c r="N616" s="173" t="s">
        <v>269</v>
      </c>
      <c r="O616" s="175" t="s">
        <v>1678</v>
      </c>
      <c r="P616" s="170">
        <v>2262188.67</v>
      </c>
      <c r="Q616" s="170">
        <v>0</v>
      </c>
      <c r="R616" s="170">
        <v>0</v>
      </c>
      <c r="S616" s="170">
        <f t="shared" si="64"/>
        <v>2262188.67</v>
      </c>
      <c r="T616" s="170">
        <f t="shared" si="62"/>
        <v>460.09369305239176</v>
      </c>
      <c r="U616" s="170">
        <v>1602.3252359258054</v>
      </c>
      <c r="V616" s="202">
        <f t="shared" si="63"/>
        <v>1142.2315428734137</v>
      </c>
      <c r="W616" s="202">
        <f>X616+Y616+Z616+AA616+AB616+AD616+AF616+AH616+AJ616+AL616+AN616+AO616</f>
        <v>1207.9894077448748</v>
      </c>
      <c r="X616" s="202">
        <v>0</v>
      </c>
      <c r="Y616" s="203">
        <v>0</v>
      </c>
      <c r="Z616" s="203">
        <v>0</v>
      </c>
      <c r="AA616" s="203">
        <v>0</v>
      </c>
      <c r="AB616" s="203">
        <v>0</v>
      </c>
      <c r="AC616" s="203">
        <v>0</v>
      </c>
      <c r="AD616" s="203">
        <v>0</v>
      </c>
      <c r="AE616" s="203">
        <v>952</v>
      </c>
      <c r="AF616" s="202">
        <f>6238.91*AE616/I616</f>
        <v>1207.9894077448748</v>
      </c>
      <c r="AG616" s="203">
        <v>0</v>
      </c>
      <c r="AH616" s="202">
        <v>0</v>
      </c>
      <c r="AI616" s="203">
        <v>0</v>
      </c>
      <c r="AJ616" s="202">
        <v>0</v>
      </c>
      <c r="AK616" s="203">
        <v>0</v>
      </c>
      <c r="AL616" s="203">
        <v>0</v>
      </c>
      <c r="AM616" s="203">
        <v>0</v>
      </c>
      <c r="AN616" s="203"/>
      <c r="AO616" s="203">
        <v>0</v>
      </c>
    </row>
    <row r="617" spans="1:41" s="176" customFormat="1" ht="36" customHeight="1" x14ac:dyDescent="0.25">
      <c r="A617" s="176">
        <v>1</v>
      </c>
      <c r="B617" s="171">
        <f>SUBTOTAL(103,$A$552:A617)</f>
        <v>66</v>
      </c>
      <c r="C617" s="172" t="s">
        <v>1573</v>
      </c>
      <c r="D617" s="360">
        <v>1970</v>
      </c>
      <c r="E617" s="173"/>
      <c r="F617" s="174" t="s">
        <v>267</v>
      </c>
      <c r="G617" s="173">
        <v>5</v>
      </c>
      <c r="H617" s="173" t="s">
        <v>308</v>
      </c>
      <c r="I617" s="177">
        <v>12297.5</v>
      </c>
      <c r="J617" s="177">
        <v>3386.1</v>
      </c>
      <c r="K617" s="177">
        <v>3386.1</v>
      </c>
      <c r="L617" s="206">
        <v>153</v>
      </c>
      <c r="M617" s="173" t="s">
        <v>265</v>
      </c>
      <c r="N617" s="173" t="s">
        <v>269</v>
      </c>
      <c r="O617" s="175" t="s">
        <v>1577</v>
      </c>
      <c r="P617" s="170">
        <v>4976291.25</v>
      </c>
      <c r="Q617" s="170">
        <v>0</v>
      </c>
      <c r="R617" s="170">
        <v>0</v>
      </c>
      <c r="S617" s="170">
        <f t="shared" si="64"/>
        <v>4976291.25</v>
      </c>
      <c r="T617" s="170">
        <f t="shared" si="62"/>
        <v>404.65877210815205</v>
      </c>
      <c r="U617" s="170">
        <v>585.68628339093311</v>
      </c>
      <c r="V617" s="202">
        <f t="shared" si="63"/>
        <v>181.02751128278106</v>
      </c>
      <c r="W617" s="202">
        <f>X617+Y617+Z617+AA617+AB617+AD617+AF617+AH617+AJ617+AL617+AN617+AO617</f>
        <v>303.38427973165273</v>
      </c>
      <c r="X617" s="202">
        <v>0</v>
      </c>
      <c r="Y617" s="203">
        <v>0</v>
      </c>
      <c r="Z617" s="203">
        <v>0</v>
      </c>
      <c r="AA617" s="203">
        <v>0</v>
      </c>
      <c r="AB617" s="203">
        <v>0</v>
      </c>
      <c r="AC617" s="203">
        <v>0</v>
      </c>
      <c r="AD617" s="203">
        <v>0</v>
      </c>
      <c r="AE617" s="203">
        <v>598</v>
      </c>
      <c r="AF617" s="202">
        <f>6238.91*AE617/I617</f>
        <v>303.38427973165273</v>
      </c>
      <c r="AG617" s="203">
        <v>0</v>
      </c>
      <c r="AH617" s="202">
        <v>0</v>
      </c>
      <c r="AI617" s="203">
        <v>0</v>
      </c>
      <c r="AJ617" s="202">
        <v>0</v>
      </c>
      <c r="AK617" s="203">
        <v>0</v>
      </c>
      <c r="AL617" s="203">
        <v>0</v>
      </c>
      <c r="AM617" s="203">
        <v>0</v>
      </c>
      <c r="AN617" s="203"/>
      <c r="AO617" s="203">
        <v>0</v>
      </c>
    </row>
    <row r="618" spans="1:41" s="176" customFormat="1" ht="36" customHeight="1" x14ac:dyDescent="0.25">
      <c r="A618" s="176">
        <v>1</v>
      </c>
      <c r="B618" s="171">
        <f>SUBTOTAL(103,$A$552:A618)</f>
        <v>67</v>
      </c>
      <c r="C618" s="172" t="s">
        <v>575</v>
      </c>
      <c r="D618" s="360">
        <v>1987</v>
      </c>
      <c r="E618" s="173"/>
      <c r="F618" s="174" t="s">
        <v>318</v>
      </c>
      <c r="G618" s="173" t="s">
        <v>351</v>
      </c>
      <c r="H618" s="173" t="s">
        <v>308</v>
      </c>
      <c r="I618" s="177">
        <v>3579.9</v>
      </c>
      <c r="J618" s="177">
        <v>3187.3</v>
      </c>
      <c r="K618" s="177">
        <v>3187.3</v>
      </c>
      <c r="L618" s="206">
        <v>157</v>
      </c>
      <c r="M618" s="173" t="s">
        <v>265</v>
      </c>
      <c r="N618" s="173" t="s">
        <v>269</v>
      </c>
      <c r="O618" s="175" t="s">
        <v>2255</v>
      </c>
      <c r="P618" s="170">
        <v>1966231.38</v>
      </c>
      <c r="Q618" s="170">
        <v>0</v>
      </c>
      <c r="R618" s="170">
        <v>0</v>
      </c>
      <c r="S618" s="170">
        <f t="shared" si="64"/>
        <v>1966231.38</v>
      </c>
      <c r="T618" s="170">
        <f t="shared" si="62"/>
        <v>549.24198441297233</v>
      </c>
      <c r="U618" s="170">
        <v>1649.9912234978631</v>
      </c>
      <c r="V618" s="202">
        <f t="shared" si="63"/>
        <v>1100.7492390848906</v>
      </c>
      <c r="W618" s="202">
        <f t="shared" ref="W618:W633" si="65">T618</f>
        <v>549.24198441297233</v>
      </c>
      <c r="X618" s="202">
        <v>0</v>
      </c>
      <c r="Y618" s="203">
        <v>0</v>
      </c>
      <c r="Z618" s="203">
        <v>0</v>
      </c>
      <c r="AA618" s="203">
        <v>0</v>
      </c>
      <c r="AB618" s="203">
        <v>0</v>
      </c>
      <c r="AC618" s="203">
        <v>0</v>
      </c>
      <c r="AD618" s="203">
        <v>0</v>
      </c>
      <c r="AE618" s="203">
        <v>0</v>
      </c>
      <c r="AF618" s="202">
        <v>0</v>
      </c>
      <c r="AG618" s="203">
        <v>0</v>
      </c>
      <c r="AH618" s="202">
        <v>0</v>
      </c>
      <c r="AI618" s="203">
        <v>0</v>
      </c>
      <c r="AJ618" s="202">
        <v>0</v>
      </c>
      <c r="AK618" s="203">
        <v>0</v>
      </c>
      <c r="AL618" s="203">
        <v>0</v>
      </c>
      <c r="AM618" s="203">
        <v>0</v>
      </c>
      <c r="AN618" s="203"/>
      <c r="AO618" s="203">
        <v>0</v>
      </c>
    </row>
    <row r="619" spans="1:41" s="176" customFormat="1" ht="36" customHeight="1" x14ac:dyDescent="0.25">
      <c r="A619" s="176">
        <v>1</v>
      </c>
      <c r="B619" s="171">
        <f>SUBTOTAL(103,$A$552:A619)</f>
        <v>68</v>
      </c>
      <c r="C619" s="172" t="s">
        <v>1574</v>
      </c>
      <c r="D619" s="360">
        <v>1960</v>
      </c>
      <c r="E619" s="173"/>
      <c r="F619" s="174" t="s">
        <v>1562</v>
      </c>
      <c r="G619" s="173" t="s">
        <v>308</v>
      </c>
      <c r="H619" s="173" t="s">
        <v>303</v>
      </c>
      <c r="I619" s="177">
        <v>1706.1</v>
      </c>
      <c r="J619" s="177">
        <v>1266.5999999999999</v>
      </c>
      <c r="K619" s="177">
        <v>1266.5999999999999</v>
      </c>
      <c r="L619" s="206">
        <v>56</v>
      </c>
      <c r="M619" s="173" t="s">
        <v>265</v>
      </c>
      <c r="N619" s="173" t="s">
        <v>269</v>
      </c>
      <c r="O619" s="175" t="s">
        <v>1308</v>
      </c>
      <c r="P619" s="170">
        <v>2739411.65</v>
      </c>
      <c r="Q619" s="170">
        <v>0</v>
      </c>
      <c r="R619" s="170">
        <v>0</v>
      </c>
      <c r="S619" s="170">
        <f t="shared" si="64"/>
        <v>2739411.65</v>
      </c>
      <c r="T619" s="170">
        <f t="shared" si="62"/>
        <v>1605.6571420198113</v>
      </c>
      <c r="U619" s="170">
        <v>5729.4281695094078</v>
      </c>
      <c r="V619" s="202">
        <f t="shared" si="63"/>
        <v>4123.7710274895962</v>
      </c>
      <c r="W619" s="202">
        <f t="shared" si="65"/>
        <v>1605.6571420198113</v>
      </c>
      <c r="X619" s="202">
        <v>0</v>
      </c>
      <c r="Y619" s="203">
        <v>0</v>
      </c>
      <c r="Z619" s="203">
        <v>0</v>
      </c>
      <c r="AA619" s="203">
        <v>0</v>
      </c>
      <c r="AB619" s="203">
        <v>0</v>
      </c>
      <c r="AC619" s="203">
        <v>0</v>
      </c>
      <c r="AD619" s="203">
        <v>0</v>
      </c>
      <c r="AE619" s="203">
        <v>0</v>
      </c>
      <c r="AF619" s="202">
        <v>0</v>
      </c>
      <c r="AG619" s="203">
        <v>0</v>
      </c>
      <c r="AH619" s="202">
        <v>0</v>
      </c>
      <c r="AI619" s="203">
        <v>0</v>
      </c>
      <c r="AJ619" s="202">
        <v>0</v>
      </c>
      <c r="AK619" s="203">
        <v>0</v>
      </c>
      <c r="AL619" s="203">
        <v>0</v>
      </c>
      <c r="AM619" s="203">
        <v>0</v>
      </c>
      <c r="AN619" s="203"/>
      <c r="AO619" s="203">
        <v>0</v>
      </c>
    </row>
    <row r="620" spans="1:41" s="176" customFormat="1" ht="36" customHeight="1" x14ac:dyDescent="0.25">
      <c r="A620" s="176">
        <v>1</v>
      </c>
      <c r="B620" s="171">
        <f>SUBTOTAL(103,$A$552:A620)</f>
        <v>69</v>
      </c>
      <c r="C620" s="172" t="s">
        <v>496</v>
      </c>
      <c r="D620" s="173">
        <v>1980</v>
      </c>
      <c r="E620" s="173"/>
      <c r="F620" s="174" t="s">
        <v>318</v>
      </c>
      <c r="G620" s="173" t="s">
        <v>351</v>
      </c>
      <c r="H620" s="173" t="s">
        <v>308</v>
      </c>
      <c r="I620" s="177">
        <v>3319.7</v>
      </c>
      <c r="J620" s="177">
        <v>3048.7</v>
      </c>
      <c r="K620" s="177">
        <v>3048.7</v>
      </c>
      <c r="L620" s="206">
        <v>147</v>
      </c>
      <c r="M620" s="173" t="s">
        <v>265</v>
      </c>
      <c r="N620" s="173" t="s">
        <v>269</v>
      </c>
      <c r="O620" s="175" t="s">
        <v>1678</v>
      </c>
      <c r="P620" s="170">
        <v>4074712.4</v>
      </c>
      <c r="Q620" s="170">
        <v>0</v>
      </c>
      <c r="R620" s="170">
        <v>0</v>
      </c>
      <c r="S620" s="170">
        <f t="shared" si="64"/>
        <v>4074712.4</v>
      </c>
      <c r="T620" s="170">
        <f t="shared" si="62"/>
        <v>1227.4339247522366</v>
      </c>
      <c r="U620" s="170">
        <v>1551.1112449920174</v>
      </c>
      <c r="V620" s="202">
        <f t="shared" si="63"/>
        <v>323.67732023978078</v>
      </c>
      <c r="W620" s="202">
        <f t="shared" si="65"/>
        <v>1227.4339247522366</v>
      </c>
      <c r="X620" s="202">
        <v>0</v>
      </c>
      <c r="Y620" s="203">
        <v>0</v>
      </c>
      <c r="Z620" s="203">
        <v>0</v>
      </c>
      <c r="AA620" s="203">
        <v>0</v>
      </c>
      <c r="AB620" s="203">
        <v>0</v>
      </c>
      <c r="AC620" s="203">
        <v>0</v>
      </c>
      <c r="AD620" s="203">
        <v>0</v>
      </c>
      <c r="AE620" s="203">
        <v>0</v>
      </c>
      <c r="AF620" s="202">
        <v>0</v>
      </c>
      <c r="AG620" s="203">
        <v>0</v>
      </c>
      <c r="AH620" s="202">
        <v>0</v>
      </c>
      <c r="AI620" s="203">
        <v>0</v>
      </c>
      <c r="AJ620" s="202">
        <v>0</v>
      </c>
      <c r="AK620" s="203">
        <v>0</v>
      </c>
      <c r="AL620" s="203">
        <v>0</v>
      </c>
      <c r="AM620" s="203">
        <v>0</v>
      </c>
      <c r="AN620" s="203"/>
      <c r="AO620" s="203">
        <v>0</v>
      </c>
    </row>
    <row r="621" spans="1:41" s="176" customFormat="1" ht="36" customHeight="1" x14ac:dyDescent="0.25">
      <c r="A621" s="176">
        <v>1</v>
      </c>
      <c r="B621" s="171">
        <f>SUBTOTAL(103,$A$552:A621)</f>
        <v>70</v>
      </c>
      <c r="C621" s="172" t="s">
        <v>1575</v>
      </c>
      <c r="D621" s="173">
        <v>1961</v>
      </c>
      <c r="E621" s="173"/>
      <c r="F621" s="174" t="s">
        <v>267</v>
      </c>
      <c r="G621" s="173">
        <v>4</v>
      </c>
      <c r="H621" s="173" t="s">
        <v>303</v>
      </c>
      <c r="I621" s="177">
        <v>1732.3</v>
      </c>
      <c r="J621" s="177">
        <v>1276.7</v>
      </c>
      <c r="K621" s="177">
        <v>1276.7</v>
      </c>
      <c r="L621" s="206">
        <v>59</v>
      </c>
      <c r="M621" s="173" t="s">
        <v>265</v>
      </c>
      <c r="N621" s="173" t="s">
        <v>269</v>
      </c>
      <c r="O621" s="175" t="s">
        <v>1578</v>
      </c>
      <c r="P621" s="170">
        <v>2349713.39</v>
      </c>
      <c r="Q621" s="170">
        <v>0</v>
      </c>
      <c r="R621" s="170">
        <v>0</v>
      </c>
      <c r="S621" s="170">
        <f t="shared" si="64"/>
        <v>2349713.39</v>
      </c>
      <c r="T621" s="170">
        <f t="shared" si="62"/>
        <v>1356.4125093805924</v>
      </c>
      <c r="U621" s="170">
        <v>2626.9276164636613</v>
      </c>
      <c r="V621" s="202">
        <f t="shared" si="63"/>
        <v>1270.5151070830689</v>
      </c>
      <c r="W621" s="202">
        <f t="shared" si="65"/>
        <v>1356.4125093805924</v>
      </c>
      <c r="X621" s="202">
        <v>0</v>
      </c>
      <c r="Y621" s="203">
        <v>0</v>
      </c>
      <c r="Z621" s="203">
        <v>0</v>
      </c>
      <c r="AA621" s="203">
        <v>0</v>
      </c>
      <c r="AB621" s="203">
        <v>0</v>
      </c>
      <c r="AC621" s="203">
        <v>0</v>
      </c>
      <c r="AD621" s="203">
        <v>0</v>
      </c>
      <c r="AE621" s="203">
        <v>0</v>
      </c>
      <c r="AF621" s="202">
        <v>0</v>
      </c>
      <c r="AG621" s="203">
        <v>0</v>
      </c>
      <c r="AH621" s="202">
        <v>0</v>
      </c>
      <c r="AI621" s="203">
        <v>0</v>
      </c>
      <c r="AJ621" s="202">
        <v>0</v>
      </c>
      <c r="AK621" s="203">
        <v>0</v>
      </c>
      <c r="AL621" s="203">
        <v>0</v>
      </c>
      <c r="AM621" s="203">
        <v>0</v>
      </c>
      <c r="AN621" s="203"/>
      <c r="AO621" s="203">
        <v>0</v>
      </c>
    </row>
    <row r="622" spans="1:41" s="176" customFormat="1" ht="36" customHeight="1" x14ac:dyDescent="0.25">
      <c r="A622" s="176">
        <v>1</v>
      </c>
      <c r="B622" s="171">
        <f>SUBTOTAL(103,$A$552:A622)</f>
        <v>71</v>
      </c>
      <c r="C622" s="172" t="s">
        <v>500</v>
      </c>
      <c r="D622" s="173">
        <v>1981</v>
      </c>
      <c r="E622" s="173"/>
      <c r="F622" s="174" t="s">
        <v>1562</v>
      </c>
      <c r="G622" s="173" t="s">
        <v>351</v>
      </c>
      <c r="H622" s="173" t="s">
        <v>304</v>
      </c>
      <c r="I622" s="177">
        <v>855.3</v>
      </c>
      <c r="J622" s="177">
        <v>794.8</v>
      </c>
      <c r="K622" s="177">
        <v>583.6</v>
      </c>
      <c r="L622" s="206">
        <v>24</v>
      </c>
      <c r="M622" s="173" t="s">
        <v>265</v>
      </c>
      <c r="N622" s="173" t="s">
        <v>269</v>
      </c>
      <c r="O622" s="175" t="s">
        <v>348</v>
      </c>
      <c r="P622" s="170">
        <v>685138.2</v>
      </c>
      <c r="Q622" s="170">
        <v>0</v>
      </c>
      <c r="R622" s="170">
        <v>0</v>
      </c>
      <c r="S622" s="170">
        <f t="shared" si="64"/>
        <v>685138.2</v>
      </c>
      <c r="T622" s="170">
        <f t="shared" si="62"/>
        <v>801.0501578393546</v>
      </c>
      <c r="U622" s="170">
        <v>3626.97</v>
      </c>
      <c r="V622" s="202">
        <f t="shared" si="63"/>
        <v>2825.9198421606452</v>
      </c>
      <c r="W622" s="202">
        <f t="shared" si="65"/>
        <v>801.0501578393546</v>
      </c>
      <c r="X622" s="202">
        <v>0</v>
      </c>
      <c r="Y622" s="203">
        <v>0</v>
      </c>
      <c r="Z622" s="203">
        <v>0</v>
      </c>
      <c r="AA622" s="203">
        <v>0</v>
      </c>
      <c r="AB622" s="203">
        <v>0</v>
      </c>
      <c r="AC622" s="203">
        <v>0</v>
      </c>
      <c r="AD622" s="203">
        <v>0</v>
      </c>
      <c r="AE622" s="203">
        <v>0</v>
      </c>
      <c r="AF622" s="202">
        <v>0</v>
      </c>
      <c r="AG622" s="203">
        <v>0</v>
      </c>
      <c r="AH622" s="202">
        <v>0</v>
      </c>
      <c r="AI622" s="203">
        <v>0</v>
      </c>
      <c r="AJ622" s="202">
        <v>0</v>
      </c>
      <c r="AK622" s="203">
        <v>0</v>
      </c>
      <c r="AL622" s="203">
        <v>0</v>
      </c>
      <c r="AM622" s="203">
        <v>0</v>
      </c>
      <c r="AN622" s="203"/>
      <c r="AO622" s="203">
        <v>0</v>
      </c>
    </row>
    <row r="623" spans="1:41" s="176" customFormat="1" ht="36" customHeight="1" x14ac:dyDescent="0.25">
      <c r="A623" s="176">
        <v>1</v>
      </c>
      <c r="B623" s="171">
        <f>SUBTOTAL(103,$A$552:A623)</f>
        <v>72</v>
      </c>
      <c r="C623" s="172" t="s">
        <v>502</v>
      </c>
      <c r="D623" s="173">
        <v>1967</v>
      </c>
      <c r="E623" s="173"/>
      <c r="F623" s="174" t="s">
        <v>267</v>
      </c>
      <c r="G623" s="173">
        <v>2</v>
      </c>
      <c r="H623" s="173" t="s">
        <v>303</v>
      </c>
      <c r="I623" s="177">
        <v>709.3</v>
      </c>
      <c r="J623" s="177">
        <v>653.29999999999995</v>
      </c>
      <c r="K623" s="177">
        <v>653.29999999999995</v>
      </c>
      <c r="L623" s="206">
        <v>36</v>
      </c>
      <c r="M623" s="173" t="s">
        <v>265</v>
      </c>
      <c r="N623" s="173" t="s">
        <v>269</v>
      </c>
      <c r="O623" s="175" t="s">
        <v>1371</v>
      </c>
      <c r="P623" s="170">
        <v>2489210.85</v>
      </c>
      <c r="Q623" s="170">
        <v>0</v>
      </c>
      <c r="R623" s="170">
        <v>0</v>
      </c>
      <c r="S623" s="170">
        <f t="shared" si="64"/>
        <v>2489210.85</v>
      </c>
      <c r="T623" s="170">
        <f t="shared" si="62"/>
        <v>3509.39073734668</v>
      </c>
      <c r="U623" s="170">
        <v>5490.0615395460318</v>
      </c>
      <c r="V623" s="202">
        <f t="shared" si="63"/>
        <v>1980.6708021993518</v>
      </c>
      <c r="W623" s="202">
        <f t="shared" si="65"/>
        <v>3509.39073734668</v>
      </c>
      <c r="X623" s="202">
        <v>0</v>
      </c>
      <c r="Y623" s="203">
        <v>0</v>
      </c>
      <c r="Z623" s="203">
        <v>0</v>
      </c>
      <c r="AA623" s="203">
        <v>0</v>
      </c>
      <c r="AB623" s="203">
        <v>0</v>
      </c>
      <c r="AC623" s="203">
        <v>0</v>
      </c>
      <c r="AD623" s="203">
        <v>0</v>
      </c>
      <c r="AE623" s="203">
        <v>0</v>
      </c>
      <c r="AF623" s="202">
        <v>0</v>
      </c>
      <c r="AG623" s="203">
        <v>0</v>
      </c>
      <c r="AH623" s="202">
        <v>0</v>
      </c>
      <c r="AI623" s="203">
        <v>0</v>
      </c>
      <c r="AJ623" s="202">
        <v>0</v>
      </c>
      <c r="AK623" s="203">
        <v>0</v>
      </c>
      <c r="AL623" s="203">
        <v>0</v>
      </c>
      <c r="AM623" s="203">
        <v>0</v>
      </c>
      <c r="AN623" s="203"/>
      <c r="AO623" s="203">
        <v>0</v>
      </c>
    </row>
    <row r="624" spans="1:41" s="176" customFormat="1" ht="36" customHeight="1" x14ac:dyDescent="0.25">
      <c r="A624" s="176">
        <v>1</v>
      </c>
      <c r="B624" s="171">
        <f>SUBTOTAL(103,$A$552:A624)</f>
        <v>73</v>
      </c>
      <c r="C624" s="172" t="s">
        <v>525</v>
      </c>
      <c r="D624" s="173">
        <v>1988</v>
      </c>
      <c r="E624" s="173"/>
      <c r="F624" s="174" t="s">
        <v>267</v>
      </c>
      <c r="G624" s="173">
        <v>2</v>
      </c>
      <c r="H624" s="173" t="s">
        <v>303</v>
      </c>
      <c r="I624" s="177">
        <v>1063.8</v>
      </c>
      <c r="J624" s="177">
        <v>565.6</v>
      </c>
      <c r="K624" s="177">
        <v>565.6</v>
      </c>
      <c r="L624" s="206">
        <v>36</v>
      </c>
      <c r="M624" s="173" t="s">
        <v>265</v>
      </c>
      <c r="N624" s="173" t="s">
        <v>269</v>
      </c>
      <c r="O624" s="175" t="s">
        <v>1387</v>
      </c>
      <c r="P624" s="170">
        <v>1957983.6400000001</v>
      </c>
      <c r="Q624" s="170">
        <v>0</v>
      </c>
      <c r="R624" s="170">
        <v>0</v>
      </c>
      <c r="S624" s="170">
        <f t="shared" si="64"/>
        <v>1957983.6400000001</v>
      </c>
      <c r="T624" s="170">
        <f t="shared" si="62"/>
        <v>1840.5561571724011</v>
      </c>
      <c r="U624" s="170">
        <v>3321.7286802030458</v>
      </c>
      <c r="V624" s="202">
        <f t="shared" si="63"/>
        <v>1481.1725230306447</v>
      </c>
      <c r="W624" s="202">
        <f t="shared" si="65"/>
        <v>1840.5561571724011</v>
      </c>
      <c r="X624" s="202">
        <v>0</v>
      </c>
      <c r="Y624" s="203">
        <v>0</v>
      </c>
      <c r="Z624" s="203">
        <v>0</v>
      </c>
      <c r="AA624" s="203">
        <v>0</v>
      </c>
      <c r="AB624" s="203">
        <v>0</v>
      </c>
      <c r="AC624" s="203">
        <v>0</v>
      </c>
      <c r="AD624" s="203">
        <v>0</v>
      </c>
      <c r="AE624" s="203">
        <v>0</v>
      </c>
      <c r="AF624" s="202">
        <v>0</v>
      </c>
      <c r="AG624" s="203">
        <v>0</v>
      </c>
      <c r="AH624" s="202">
        <v>0</v>
      </c>
      <c r="AI624" s="203">
        <v>0</v>
      </c>
      <c r="AJ624" s="202">
        <v>0</v>
      </c>
      <c r="AK624" s="203">
        <v>0</v>
      </c>
      <c r="AL624" s="203">
        <v>0</v>
      </c>
      <c r="AM624" s="203">
        <v>0</v>
      </c>
      <c r="AN624" s="203"/>
      <c r="AO624" s="203">
        <v>0</v>
      </c>
    </row>
    <row r="625" spans="1:41" s="176" customFormat="1" ht="36" customHeight="1" x14ac:dyDescent="0.25">
      <c r="A625" s="176">
        <v>1</v>
      </c>
      <c r="B625" s="171">
        <f>SUBTOTAL(103,$A$552:A625)</f>
        <v>74</v>
      </c>
      <c r="C625" s="172" t="s">
        <v>1363</v>
      </c>
      <c r="D625" s="173">
        <v>1960</v>
      </c>
      <c r="E625" s="173"/>
      <c r="F625" s="174" t="s">
        <v>1562</v>
      </c>
      <c r="G625" s="173" t="s">
        <v>303</v>
      </c>
      <c r="H625" s="173" t="s">
        <v>303</v>
      </c>
      <c r="I625" s="177">
        <v>678.4</v>
      </c>
      <c r="J625" s="177">
        <v>622.9</v>
      </c>
      <c r="K625" s="177">
        <v>622.9</v>
      </c>
      <c r="L625" s="206">
        <v>21</v>
      </c>
      <c r="M625" s="173" t="s">
        <v>265</v>
      </c>
      <c r="N625" s="173" t="s">
        <v>269</v>
      </c>
      <c r="O625" s="175" t="s">
        <v>349</v>
      </c>
      <c r="P625" s="170">
        <v>2009865.45</v>
      </c>
      <c r="Q625" s="170">
        <v>0</v>
      </c>
      <c r="R625" s="170">
        <v>0</v>
      </c>
      <c r="S625" s="170">
        <f t="shared" si="64"/>
        <v>2009865.45</v>
      </c>
      <c r="T625" s="170">
        <f t="shared" si="62"/>
        <v>2962.6554392688681</v>
      </c>
      <c r="U625" s="170">
        <v>8070.7216981132087</v>
      </c>
      <c r="V625" s="202">
        <f t="shared" si="63"/>
        <v>5108.0662588443411</v>
      </c>
      <c r="W625" s="202">
        <f t="shared" si="65"/>
        <v>2962.6554392688681</v>
      </c>
      <c r="X625" s="202">
        <v>0</v>
      </c>
      <c r="Y625" s="203">
        <v>0</v>
      </c>
      <c r="Z625" s="203">
        <v>0</v>
      </c>
      <c r="AA625" s="203">
        <v>0</v>
      </c>
      <c r="AB625" s="203">
        <v>0</v>
      </c>
      <c r="AC625" s="203">
        <v>0</v>
      </c>
      <c r="AD625" s="203">
        <v>0</v>
      </c>
      <c r="AE625" s="203">
        <v>0</v>
      </c>
      <c r="AF625" s="202">
        <v>0</v>
      </c>
      <c r="AG625" s="203">
        <v>0</v>
      </c>
      <c r="AH625" s="202">
        <v>0</v>
      </c>
      <c r="AI625" s="203">
        <v>0</v>
      </c>
      <c r="AJ625" s="202">
        <v>0</v>
      </c>
      <c r="AK625" s="203">
        <v>0</v>
      </c>
      <c r="AL625" s="203">
        <v>0</v>
      </c>
      <c r="AM625" s="203">
        <v>0</v>
      </c>
      <c r="AN625" s="203"/>
      <c r="AO625" s="203">
        <v>0</v>
      </c>
    </row>
    <row r="626" spans="1:41" s="176" customFormat="1" ht="36" customHeight="1" x14ac:dyDescent="0.25">
      <c r="A626" s="176">
        <v>1</v>
      </c>
      <c r="B626" s="171">
        <f>SUBTOTAL(103,$A$552:A626)</f>
        <v>75</v>
      </c>
      <c r="C626" s="172" t="s">
        <v>1603</v>
      </c>
      <c r="D626" s="173">
        <v>1961</v>
      </c>
      <c r="E626" s="173"/>
      <c r="F626" s="174" t="s">
        <v>1562</v>
      </c>
      <c r="G626" s="173" t="s">
        <v>312</v>
      </c>
      <c r="H626" s="173" t="s">
        <v>312</v>
      </c>
      <c r="I626" s="177">
        <v>1516.8</v>
      </c>
      <c r="J626" s="177">
        <v>1516.8</v>
      </c>
      <c r="K626" s="177">
        <v>1516.8</v>
      </c>
      <c r="L626" s="206">
        <v>76</v>
      </c>
      <c r="M626" s="173" t="s">
        <v>265</v>
      </c>
      <c r="N626" s="173" t="s">
        <v>269</v>
      </c>
      <c r="O626" s="175" t="s">
        <v>2253</v>
      </c>
      <c r="P626" s="170">
        <v>3504472.23</v>
      </c>
      <c r="Q626" s="170">
        <v>0</v>
      </c>
      <c r="R626" s="170">
        <v>0</v>
      </c>
      <c r="S626" s="170">
        <f t="shared" si="64"/>
        <v>3504472.23</v>
      </c>
      <c r="T626" s="170">
        <f t="shared" si="62"/>
        <v>2310.4379153481013</v>
      </c>
      <c r="U626" s="170">
        <v>3476.0996273734177</v>
      </c>
      <c r="V626" s="202">
        <f t="shared" si="63"/>
        <v>1165.6617120253163</v>
      </c>
      <c r="W626" s="202">
        <f t="shared" si="65"/>
        <v>2310.4379153481013</v>
      </c>
      <c r="X626" s="202">
        <v>0</v>
      </c>
      <c r="Y626" s="203">
        <v>0</v>
      </c>
      <c r="Z626" s="203">
        <v>0</v>
      </c>
      <c r="AA626" s="203">
        <v>0</v>
      </c>
      <c r="AB626" s="203">
        <v>0</v>
      </c>
      <c r="AC626" s="203">
        <v>0</v>
      </c>
      <c r="AD626" s="203">
        <v>0</v>
      </c>
      <c r="AE626" s="203">
        <v>0</v>
      </c>
      <c r="AF626" s="202">
        <v>0</v>
      </c>
      <c r="AG626" s="203">
        <v>0</v>
      </c>
      <c r="AH626" s="202">
        <v>0</v>
      </c>
      <c r="AI626" s="203">
        <v>0</v>
      </c>
      <c r="AJ626" s="202">
        <v>0</v>
      </c>
      <c r="AK626" s="203">
        <v>0</v>
      </c>
      <c r="AL626" s="203">
        <v>0</v>
      </c>
      <c r="AM626" s="203">
        <v>0</v>
      </c>
      <c r="AN626" s="203"/>
      <c r="AO626" s="203">
        <v>0</v>
      </c>
    </row>
    <row r="627" spans="1:41" s="176" customFormat="1" ht="36" customHeight="1" x14ac:dyDescent="0.25">
      <c r="A627" s="176">
        <v>1</v>
      </c>
      <c r="B627" s="171">
        <f>SUBTOTAL(103,$A$552:A627)</f>
        <v>76</v>
      </c>
      <c r="C627" s="172" t="s">
        <v>566</v>
      </c>
      <c r="D627" s="173" t="s">
        <v>309</v>
      </c>
      <c r="E627" s="173"/>
      <c r="F627" s="174" t="s">
        <v>267</v>
      </c>
      <c r="G627" s="173" t="s">
        <v>351</v>
      </c>
      <c r="H627" s="173" t="s">
        <v>304</v>
      </c>
      <c r="I627" s="177">
        <v>658.3</v>
      </c>
      <c r="J627" s="177">
        <v>606.6</v>
      </c>
      <c r="K627" s="177">
        <v>606.6</v>
      </c>
      <c r="L627" s="206">
        <v>17</v>
      </c>
      <c r="M627" s="173" t="s">
        <v>265</v>
      </c>
      <c r="N627" s="173" t="s">
        <v>269</v>
      </c>
      <c r="O627" s="175" t="s">
        <v>1635</v>
      </c>
      <c r="P627" s="170">
        <v>908808.26</v>
      </c>
      <c r="Q627" s="170">
        <v>0</v>
      </c>
      <c r="R627" s="170">
        <v>0</v>
      </c>
      <c r="S627" s="170">
        <f t="shared" si="64"/>
        <v>908808.26</v>
      </c>
      <c r="T627" s="170">
        <f t="shared" si="62"/>
        <v>1380.5381437034787</v>
      </c>
      <c r="U627" s="170">
        <v>2248.8256114233632</v>
      </c>
      <c r="V627" s="202">
        <f t="shared" si="63"/>
        <v>868.28746771988449</v>
      </c>
      <c r="W627" s="202">
        <f t="shared" si="65"/>
        <v>1380.5381437034787</v>
      </c>
      <c r="X627" s="202">
        <v>0</v>
      </c>
      <c r="Y627" s="203">
        <v>0</v>
      </c>
      <c r="Z627" s="203">
        <v>0</v>
      </c>
      <c r="AA627" s="203">
        <v>0</v>
      </c>
      <c r="AB627" s="203">
        <v>0</v>
      </c>
      <c r="AC627" s="203">
        <v>0</v>
      </c>
      <c r="AD627" s="203">
        <v>0</v>
      </c>
      <c r="AE627" s="203">
        <v>0</v>
      </c>
      <c r="AF627" s="202">
        <v>0</v>
      </c>
      <c r="AG627" s="203">
        <v>0</v>
      </c>
      <c r="AH627" s="202">
        <v>0</v>
      </c>
      <c r="AI627" s="203">
        <v>0</v>
      </c>
      <c r="AJ627" s="202">
        <v>0</v>
      </c>
      <c r="AK627" s="203">
        <v>0</v>
      </c>
      <c r="AL627" s="203">
        <v>0</v>
      </c>
      <c r="AM627" s="203">
        <v>0</v>
      </c>
      <c r="AN627" s="203"/>
      <c r="AO627" s="203">
        <v>0</v>
      </c>
    </row>
    <row r="628" spans="1:41" s="176" customFormat="1" ht="36" customHeight="1" x14ac:dyDescent="0.25">
      <c r="A628" s="176">
        <v>1</v>
      </c>
      <c r="B628" s="171">
        <f>SUBTOTAL(103,$A$552:A628)</f>
        <v>77</v>
      </c>
      <c r="C628" s="172" t="s">
        <v>488</v>
      </c>
      <c r="D628" s="173">
        <v>1962</v>
      </c>
      <c r="E628" s="173"/>
      <c r="F628" s="174" t="s">
        <v>267</v>
      </c>
      <c r="G628" s="173">
        <v>3</v>
      </c>
      <c r="H628" s="173" t="s">
        <v>312</v>
      </c>
      <c r="I628" s="177">
        <v>2721.6</v>
      </c>
      <c r="J628" s="177">
        <v>1752.6</v>
      </c>
      <c r="K628" s="177">
        <v>1752.6</v>
      </c>
      <c r="L628" s="206">
        <v>82</v>
      </c>
      <c r="M628" s="173" t="s">
        <v>265</v>
      </c>
      <c r="N628" s="173" t="s">
        <v>269</v>
      </c>
      <c r="O628" s="175" t="s">
        <v>1310</v>
      </c>
      <c r="P628" s="170">
        <v>3422878.75</v>
      </c>
      <c r="Q628" s="170">
        <v>0</v>
      </c>
      <c r="R628" s="170">
        <v>0</v>
      </c>
      <c r="S628" s="170">
        <f t="shared" si="64"/>
        <v>3422878.75</v>
      </c>
      <c r="T628" s="170">
        <f t="shared" si="62"/>
        <v>1257.671498383304</v>
      </c>
      <c r="U628" s="170">
        <v>1679.1359126984128</v>
      </c>
      <c r="V628" s="202">
        <f t="shared" si="63"/>
        <v>421.4644143151088</v>
      </c>
      <c r="W628" s="202">
        <f t="shared" si="65"/>
        <v>1257.671498383304</v>
      </c>
      <c r="X628" s="202">
        <v>0</v>
      </c>
      <c r="Y628" s="203">
        <v>0</v>
      </c>
      <c r="Z628" s="203">
        <v>0</v>
      </c>
      <c r="AA628" s="203">
        <v>0</v>
      </c>
      <c r="AB628" s="203">
        <v>0</v>
      </c>
      <c r="AC628" s="203">
        <v>0</v>
      </c>
      <c r="AD628" s="203">
        <v>0</v>
      </c>
      <c r="AE628" s="203">
        <v>0</v>
      </c>
      <c r="AF628" s="202">
        <v>0</v>
      </c>
      <c r="AG628" s="203">
        <v>0</v>
      </c>
      <c r="AH628" s="202">
        <v>0</v>
      </c>
      <c r="AI628" s="203">
        <v>0</v>
      </c>
      <c r="AJ628" s="202">
        <v>0</v>
      </c>
      <c r="AK628" s="203">
        <v>0</v>
      </c>
      <c r="AL628" s="203">
        <v>0</v>
      </c>
      <c r="AM628" s="203">
        <v>0</v>
      </c>
      <c r="AN628" s="203"/>
      <c r="AO628" s="203">
        <v>0</v>
      </c>
    </row>
    <row r="629" spans="1:41" s="176" customFormat="1" ht="36" customHeight="1" x14ac:dyDescent="0.25">
      <c r="A629" s="176">
        <v>1</v>
      </c>
      <c r="B629" s="171">
        <f>SUBTOTAL(103,$A$552:A629)</f>
        <v>78</v>
      </c>
      <c r="C629" s="172" t="s">
        <v>1088</v>
      </c>
      <c r="D629" s="173">
        <v>1974</v>
      </c>
      <c r="E629" s="173"/>
      <c r="F629" s="174" t="s">
        <v>1562</v>
      </c>
      <c r="G629" s="173" t="s">
        <v>370</v>
      </c>
      <c r="H629" s="173" t="s">
        <v>304</v>
      </c>
      <c r="I629" s="177">
        <v>865.7</v>
      </c>
      <c r="J629" s="177">
        <v>865.7</v>
      </c>
      <c r="K629" s="177">
        <v>602.4</v>
      </c>
      <c r="L629" s="206">
        <v>22</v>
      </c>
      <c r="M629" s="173" t="s">
        <v>265</v>
      </c>
      <c r="N629" s="173" t="s">
        <v>269</v>
      </c>
      <c r="O629" s="175" t="s">
        <v>348</v>
      </c>
      <c r="P629" s="170">
        <v>4249442.9799999995</v>
      </c>
      <c r="Q629" s="170">
        <v>0</v>
      </c>
      <c r="R629" s="170">
        <v>0</v>
      </c>
      <c r="S629" s="170">
        <f t="shared" si="64"/>
        <v>4249442.9799999995</v>
      </c>
      <c r="T629" s="170">
        <f t="shared" si="62"/>
        <v>4908.6785029455923</v>
      </c>
      <c r="U629" s="170">
        <v>9722.3030380039272</v>
      </c>
      <c r="V629" s="202">
        <f t="shared" si="63"/>
        <v>4813.6245350583349</v>
      </c>
      <c r="W629" s="202">
        <f t="shared" si="65"/>
        <v>4908.6785029455923</v>
      </c>
      <c r="X629" s="202">
        <v>0</v>
      </c>
      <c r="Y629" s="203">
        <v>0</v>
      </c>
      <c r="Z629" s="203">
        <v>0</v>
      </c>
      <c r="AA629" s="203">
        <v>0</v>
      </c>
      <c r="AB629" s="203">
        <v>0</v>
      </c>
      <c r="AC629" s="203">
        <v>0</v>
      </c>
      <c r="AD629" s="203">
        <v>0</v>
      </c>
      <c r="AE629" s="203">
        <v>0</v>
      </c>
      <c r="AF629" s="202">
        <v>0</v>
      </c>
      <c r="AG629" s="203">
        <v>0</v>
      </c>
      <c r="AH629" s="202">
        <v>0</v>
      </c>
      <c r="AI629" s="203">
        <v>0</v>
      </c>
      <c r="AJ629" s="202">
        <v>0</v>
      </c>
      <c r="AK629" s="203">
        <v>0</v>
      </c>
      <c r="AL629" s="203">
        <v>0</v>
      </c>
      <c r="AM629" s="203">
        <v>0</v>
      </c>
      <c r="AN629" s="203"/>
      <c r="AO629" s="203">
        <v>0</v>
      </c>
    </row>
    <row r="630" spans="1:41" s="176" customFormat="1" ht="36" customHeight="1" x14ac:dyDescent="0.25">
      <c r="A630" s="176">
        <v>1</v>
      </c>
      <c r="B630" s="171">
        <f>SUBTOTAL(103,$A$552:A630)</f>
        <v>79</v>
      </c>
      <c r="C630" s="172" t="s">
        <v>1118</v>
      </c>
      <c r="D630" s="173">
        <v>1968</v>
      </c>
      <c r="E630" s="173"/>
      <c r="F630" s="174" t="s">
        <v>1562</v>
      </c>
      <c r="G630" s="173" t="s">
        <v>351</v>
      </c>
      <c r="H630" s="173" t="s">
        <v>308</v>
      </c>
      <c r="I630" s="177">
        <v>3176.3</v>
      </c>
      <c r="J630" s="177">
        <v>3176.3</v>
      </c>
      <c r="K630" s="177">
        <v>3093.8</v>
      </c>
      <c r="L630" s="206">
        <v>143</v>
      </c>
      <c r="M630" s="173" t="s">
        <v>265</v>
      </c>
      <c r="N630" s="173" t="s">
        <v>269</v>
      </c>
      <c r="O630" s="175" t="s">
        <v>2253</v>
      </c>
      <c r="P630" s="170">
        <v>3481968.05</v>
      </c>
      <c r="Q630" s="170">
        <v>0</v>
      </c>
      <c r="R630" s="170">
        <v>0</v>
      </c>
      <c r="S630" s="170">
        <f t="shared" si="64"/>
        <v>3481968.05</v>
      </c>
      <c r="T630" s="170">
        <f t="shared" si="62"/>
        <v>1096.2339986777067</v>
      </c>
      <c r="U630" s="170">
        <v>2178.2831596511664</v>
      </c>
      <c r="V630" s="202">
        <f t="shared" si="63"/>
        <v>1082.0491609734597</v>
      </c>
      <c r="W630" s="202">
        <f t="shared" si="65"/>
        <v>1096.2339986777067</v>
      </c>
      <c r="X630" s="202">
        <v>0</v>
      </c>
      <c r="Y630" s="203">
        <v>0</v>
      </c>
      <c r="Z630" s="203">
        <v>0</v>
      </c>
      <c r="AA630" s="203">
        <v>0</v>
      </c>
      <c r="AB630" s="203">
        <v>0</v>
      </c>
      <c r="AC630" s="203">
        <v>0</v>
      </c>
      <c r="AD630" s="203">
        <v>0</v>
      </c>
      <c r="AE630" s="203">
        <v>0</v>
      </c>
      <c r="AF630" s="202">
        <v>0</v>
      </c>
      <c r="AG630" s="203">
        <v>0</v>
      </c>
      <c r="AH630" s="202">
        <v>0</v>
      </c>
      <c r="AI630" s="203">
        <v>0</v>
      </c>
      <c r="AJ630" s="202">
        <v>0</v>
      </c>
      <c r="AK630" s="203">
        <v>0</v>
      </c>
      <c r="AL630" s="203">
        <v>0</v>
      </c>
      <c r="AM630" s="203">
        <v>0</v>
      </c>
      <c r="AN630" s="203"/>
      <c r="AO630" s="203">
        <v>0</v>
      </c>
    </row>
    <row r="631" spans="1:41" s="176" customFormat="1" ht="36" customHeight="1" x14ac:dyDescent="0.25">
      <c r="A631" s="176">
        <v>1</v>
      </c>
      <c r="B631" s="171">
        <f>SUBTOTAL(103,$A$552:A631)</f>
        <v>80</v>
      </c>
      <c r="C631" s="172" t="s">
        <v>577</v>
      </c>
      <c r="D631" s="173" t="s">
        <v>310</v>
      </c>
      <c r="E631" s="173"/>
      <c r="F631" s="174" t="s">
        <v>311</v>
      </c>
      <c r="G631" s="173" t="s">
        <v>351</v>
      </c>
      <c r="H631" s="173" t="s">
        <v>312</v>
      </c>
      <c r="I631" s="177">
        <v>2249.1</v>
      </c>
      <c r="J631" s="177">
        <v>2046.7</v>
      </c>
      <c r="K631" s="177">
        <v>2046.7</v>
      </c>
      <c r="L631" s="206">
        <v>100</v>
      </c>
      <c r="M631" s="173" t="s">
        <v>265</v>
      </c>
      <c r="N631" s="173" t="s">
        <v>269</v>
      </c>
      <c r="O631" s="175" t="s">
        <v>1372</v>
      </c>
      <c r="P631" s="170">
        <v>2647477.29</v>
      </c>
      <c r="Q631" s="170">
        <v>0</v>
      </c>
      <c r="R631" s="170">
        <v>0</v>
      </c>
      <c r="S631" s="170">
        <f t="shared" si="64"/>
        <v>2647477.29</v>
      </c>
      <c r="T631" s="170">
        <f t="shared" si="62"/>
        <v>1177.1274243030546</v>
      </c>
      <c r="U631" s="170">
        <v>1594.03637454982</v>
      </c>
      <c r="V631" s="202">
        <f t="shared" si="63"/>
        <v>416.90895024676547</v>
      </c>
      <c r="W631" s="202">
        <f t="shared" si="65"/>
        <v>1177.1274243030546</v>
      </c>
      <c r="X631" s="202">
        <v>0</v>
      </c>
      <c r="Y631" s="203">
        <v>0</v>
      </c>
      <c r="Z631" s="203">
        <v>0</v>
      </c>
      <c r="AA631" s="203">
        <v>0</v>
      </c>
      <c r="AB631" s="203">
        <v>0</v>
      </c>
      <c r="AC631" s="203">
        <v>0</v>
      </c>
      <c r="AD631" s="203">
        <v>0</v>
      </c>
      <c r="AE631" s="203">
        <v>0</v>
      </c>
      <c r="AF631" s="202">
        <v>0</v>
      </c>
      <c r="AG631" s="203">
        <v>0</v>
      </c>
      <c r="AH631" s="202">
        <v>0</v>
      </c>
      <c r="AI631" s="203">
        <v>0</v>
      </c>
      <c r="AJ631" s="202">
        <v>0</v>
      </c>
      <c r="AK631" s="203">
        <v>0</v>
      </c>
      <c r="AL631" s="203">
        <v>0</v>
      </c>
      <c r="AM631" s="203">
        <v>0</v>
      </c>
      <c r="AN631" s="203"/>
      <c r="AO631" s="203">
        <v>0</v>
      </c>
    </row>
    <row r="632" spans="1:41" s="176" customFormat="1" ht="36" customHeight="1" x14ac:dyDescent="0.25">
      <c r="A632" s="176">
        <v>1</v>
      </c>
      <c r="B632" s="171">
        <f>SUBTOTAL(103,$A$552:A632)</f>
        <v>81</v>
      </c>
      <c r="C632" s="172" t="s">
        <v>585</v>
      </c>
      <c r="D632" s="173" t="s">
        <v>369</v>
      </c>
      <c r="E632" s="173"/>
      <c r="F632" s="174" t="s">
        <v>311</v>
      </c>
      <c r="G632" s="173" t="s">
        <v>351</v>
      </c>
      <c r="H632" s="173" t="s">
        <v>312</v>
      </c>
      <c r="I632" s="177">
        <v>2899.7</v>
      </c>
      <c r="J632" s="177">
        <v>2899.7</v>
      </c>
      <c r="K632" s="177">
        <v>2899.7</v>
      </c>
      <c r="L632" s="206">
        <v>83</v>
      </c>
      <c r="M632" s="173" t="s">
        <v>265</v>
      </c>
      <c r="N632" s="173" t="s">
        <v>269</v>
      </c>
      <c r="O632" s="175" t="s">
        <v>1062</v>
      </c>
      <c r="P632" s="170">
        <v>2934054.27</v>
      </c>
      <c r="Q632" s="170">
        <v>0</v>
      </c>
      <c r="R632" s="170">
        <v>0</v>
      </c>
      <c r="S632" s="170">
        <f t="shared" si="64"/>
        <v>2934054.27</v>
      </c>
      <c r="T632" s="170">
        <f t="shared" si="62"/>
        <v>1011.8475256060973</v>
      </c>
      <c r="U632" s="170">
        <v>1379.557676656206</v>
      </c>
      <c r="V632" s="202">
        <f t="shared" si="63"/>
        <v>367.71015105010872</v>
      </c>
      <c r="W632" s="202">
        <f t="shared" si="65"/>
        <v>1011.8475256060973</v>
      </c>
      <c r="X632" s="202">
        <v>0</v>
      </c>
      <c r="Y632" s="203">
        <v>0</v>
      </c>
      <c r="Z632" s="203">
        <v>0</v>
      </c>
      <c r="AA632" s="203">
        <v>0</v>
      </c>
      <c r="AB632" s="203">
        <v>0</v>
      </c>
      <c r="AC632" s="203">
        <v>0</v>
      </c>
      <c r="AD632" s="203">
        <v>0</v>
      </c>
      <c r="AE632" s="203">
        <v>0</v>
      </c>
      <c r="AF632" s="202">
        <v>0</v>
      </c>
      <c r="AG632" s="203">
        <v>0</v>
      </c>
      <c r="AH632" s="202">
        <v>0</v>
      </c>
      <c r="AI632" s="203">
        <v>0</v>
      </c>
      <c r="AJ632" s="202">
        <v>0</v>
      </c>
      <c r="AK632" s="203">
        <v>0</v>
      </c>
      <c r="AL632" s="203">
        <v>0</v>
      </c>
      <c r="AM632" s="203">
        <v>0</v>
      </c>
      <c r="AN632" s="203"/>
      <c r="AO632" s="203">
        <v>0</v>
      </c>
    </row>
    <row r="633" spans="1:41" s="176" customFormat="1" ht="36" customHeight="1" x14ac:dyDescent="0.25">
      <c r="A633" s="176">
        <v>1</v>
      </c>
      <c r="B633" s="171">
        <f>SUBTOTAL(103,$A$552:A633)</f>
        <v>82</v>
      </c>
      <c r="C633" s="172" t="s">
        <v>589</v>
      </c>
      <c r="D633" s="173" t="s">
        <v>375</v>
      </c>
      <c r="E633" s="173"/>
      <c r="F633" s="174" t="s">
        <v>311</v>
      </c>
      <c r="G633" s="173" t="s">
        <v>351</v>
      </c>
      <c r="H633" s="173" t="s">
        <v>312</v>
      </c>
      <c r="I633" s="177">
        <v>2812.6</v>
      </c>
      <c r="J633" s="177">
        <v>2039.4</v>
      </c>
      <c r="K633" s="177">
        <v>2039.4</v>
      </c>
      <c r="L633" s="206">
        <v>98</v>
      </c>
      <c r="M633" s="173" t="s">
        <v>265</v>
      </c>
      <c r="N633" s="173" t="s">
        <v>269</v>
      </c>
      <c r="O633" s="175" t="s">
        <v>1631</v>
      </c>
      <c r="P633" s="170">
        <v>2671247.02</v>
      </c>
      <c r="Q633" s="170">
        <v>0</v>
      </c>
      <c r="R633" s="170">
        <v>0</v>
      </c>
      <c r="S633" s="170">
        <f t="shared" si="64"/>
        <v>2671247.02</v>
      </c>
      <c r="T633" s="170">
        <f t="shared" si="62"/>
        <v>949.74294958401481</v>
      </c>
      <c r="U633" s="170">
        <v>1286.1159994311313</v>
      </c>
      <c r="V633" s="202">
        <f t="shared" si="63"/>
        <v>336.37304984711648</v>
      </c>
      <c r="W633" s="202">
        <f t="shared" si="65"/>
        <v>949.74294958401481</v>
      </c>
      <c r="X633" s="202">
        <v>0</v>
      </c>
      <c r="Y633" s="203">
        <v>0</v>
      </c>
      <c r="Z633" s="203">
        <v>0</v>
      </c>
      <c r="AA633" s="203">
        <v>0</v>
      </c>
      <c r="AB633" s="203">
        <v>0</v>
      </c>
      <c r="AC633" s="203">
        <v>0</v>
      </c>
      <c r="AD633" s="203">
        <v>0</v>
      </c>
      <c r="AE633" s="203">
        <v>0</v>
      </c>
      <c r="AF633" s="202">
        <v>0</v>
      </c>
      <c r="AG633" s="203">
        <v>0</v>
      </c>
      <c r="AH633" s="202">
        <v>0</v>
      </c>
      <c r="AI633" s="203">
        <v>0</v>
      </c>
      <c r="AJ633" s="202">
        <v>0</v>
      </c>
      <c r="AK633" s="203">
        <v>0</v>
      </c>
      <c r="AL633" s="203">
        <v>0</v>
      </c>
      <c r="AM633" s="203">
        <v>0</v>
      </c>
      <c r="AN633" s="203"/>
      <c r="AO633" s="203">
        <v>0</v>
      </c>
    </row>
    <row r="634" spans="1:41" s="176" customFormat="1" ht="36" customHeight="1" x14ac:dyDescent="0.25">
      <c r="A634" s="176">
        <v>1</v>
      </c>
      <c r="B634" s="171">
        <f>SUBTOTAL(103,$A$552:A634)</f>
        <v>83</v>
      </c>
      <c r="C634" s="172" t="s">
        <v>596</v>
      </c>
      <c r="D634" s="173" t="s">
        <v>323</v>
      </c>
      <c r="E634" s="173"/>
      <c r="F634" s="174" t="s">
        <v>311</v>
      </c>
      <c r="G634" s="173" t="s">
        <v>351</v>
      </c>
      <c r="H634" s="173" t="s">
        <v>308</v>
      </c>
      <c r="I634" s="177">
        <v>4424.1000000000004</v>
      </c>
      <c r="J634" s="177">
        <v>3136.3</v>
      </c>
      <c r="K634" s="177">
        <v>3136.3</v>
      </c>
      <c r="L634" s="206">
        <v>144</v>
      </c>
      <c r="M634" s="173" t="s">
        <v>265</v>
      </c>
      <c r="N634" s="173" t="s">
        <v>269</v>
      </c>
      <c r="O634" s="175" t="s">
        <v>1064</v>
      </c>
      <c r="P634" s="170">
        <v>3840496.51</v>
      </c>
      <c r="Q634" s="170">
        <v>0</v>
      </c>
      <c r="R634" s="170">
        <v>0</v>
      </c>
      <c r="S634" s="170">
        <f>P634-Q634-R634</f>
        <v>3840496.51</v>
      </c>
      <c r="T634" s="170">
        <f t="shared" si="62"/>
        <v>868.0853755566103</v>
      </c>
      <c r="U634" s="170">
        <v>1385.0447684274766</v>
      </c>
      <c r="V634" s="202">
        <f>U634-T634</f>
        <v>516.95939287086628</v>
      </c>
      <c r="W634" s="202">
        <f>T634</f>
        <v>868.0853755566103</v>
      </c>
      <c r="X634" s="202">
        <v>0</v>
      </c>
      <c r="Y634" s="203">
        <v>0</v>
      </c>
      <c r="Z634" s="203">
        <v>0</v>
      </c>
      <c r="AA634" s="203">
        <v>0</v>
      </c>
      <c r="AB634" s="203">
        <v>0</v>
      </c>
      <c r="AC634" s="203">
        <v>0</v>
      </c>
      <c r="AD634" s="203">
        <v>0</v>
      </c>
      <c r="AE634" s="203">
        <v>0</v>
      </c>
      <c r="AF634" s="202">
        <v>0</v>
      </c>
      <c r="AG634" s="203">
        <v>0</v>
      </c>
      <c r="AH634" s="202">
        <v>0</v>
      </c>
      <c r="AI634" s="203">
        <v>0</v>
      </c>
      <c r="AJ634" s="202">
        <v>0</v>
      </c>
      <c r="AK634" s="203">
        <v>0</v>
      </c>
      <c r="AL634" s="203">
        <v>0</v>
      </c>
      <c r="AM634" s="203">
        <v>0</v>
      </c>
      <c r="AN634" s="203"/>
      <c r="AO634" s="203">
        <v>0</v>
      </c>
    </row>
    <row r="635" spans="1:41" s="176" customFormat="1" ht="36" customHeight="1" x14ac:dyDescent="0.25">
      <c r="A635" s="176">
        <v>1</v>
      </c>
      <c r="B635" s="171">
        <f>SUBTOTAL(103,$A$552:A635)</f>
        <v>84</v>
      </c>
      <c r="C635" s="172" t="s">
        <v>582</v>
      </c>
      <c r="D635" s="173" t="s">
        <v>374</v>
      </c>
      <c r="E635" s="173"/>
      <c r="F635" s="174" t="s">
        <v>267</v>
      </c>
      <c r="G635" s="173" t="s">
        <v>2250</v>
      </c>
      <c r="H635" s="173" t="s">
        <v>304</v>
      </c>
      <c r="I635" s="177">
        <v>1800.4</v>
      </c>
      <c r="J635" s="177">
        <v>1058.3</v>
      </c>
      <c r="K635" s="177">
        <v>1043.0999999999999</v>
      </c>
      <c r="L635" s="206">
        <v>51</v>
      </c>
      <c r="M635" s="173" t="s">
        <v>265</v>
      </c>
      <c r="N635" s="173" t="s">
        <v>269</v>
      </c>
      <c r="O635" s="175" t="s">
        <v>1633</v>
      </c>
      <c r="P635" s="170">
        <v>2251988.91</v>
      </c>
      <c r="Q635" s="170">
        <v>0</v>
      </c>
      <c r="R635" s="170">
        <v>0</v>
      </c>
      <c r="S635" s="170">
        <f t="shared" si="64"/>
        <v>2251988.91</v>
      </c>
      <c r="T635" s="170">
        <f t="shared" si="62"/>
        <v>1250.8269884470119</v>
      </c>
      <c r="U635" s="170">
        <v>1320.5732059542324</v>
      </c>
      <c r="V635" s="202">
        <f t="shared" si="63"/>
        <v>69.746217507220535</v>
      </c>
      <c r="W635" s="202">
        <f>X635+Y635+Z635+AA635+AB635+AD635+AF635+AH635+AJ635+AL635+AN635+AO635</f>
        <v>2190.0639413463673</v>
      </c>
      <c r="X635" s="202">
        <v>0</v>
      </c>
      <c r="Y635" s="203">
        <v>0</v>
      </c>
      <c r="Z635" s="203">
        <v>0</v>
      </c>
      <c r="AA635" s="203">
        <v>0</v>
      </c>
      <c r="AB635" s="203">
        <v>0</v>
      </c>
      <c r="AC635" s="203">
        <v>0</v>
      </c>
      <c r="AD635" s="203">
        <v>0</v>
      </c>
      <c r="AE635" s="203">
        <v>632</v>
      </c>
      <c r="AF635" s="202">
        <f>6238.91*AE635/I635</f>
        <v>2190.0639413463673</v>
      </c>
      <c r="AG635" s="203">
        <v>0</v>
      </c>
      <c r="AH635" s="202">
        <v>0</v>
      </c>
      <c r="AI635" s="203">
        <v>0</v>
      </c>
      <c r="AJ635" s="202">
        <v>0</v>
      </c>
      <c r="AK635" s="203">
        <v>0</v>
      </c>
      <c r="AL635" s="203">
        <v>0</v>
      </c>
      <c r="AM635" s="203">
        <v>0</v>
      </c>
      <c r="AN635" s="203"/>
      <c r="AO635" s="203">
        <v>0</v>
      </c>
    </row>
    <row r="636" spans="1:41" s="176" customFormat="1" ht="36" customHeight="1" x14ac:dyDescent="0.25">
      <c r="A636" s="176">
        <v>1</v>
      </c>
      <c r="B636" s="171">
        <f>SUBTOTAL(103,$A$552:A636)</f>
        <v>85</v>
      </c>
      <c r="C636" s="172" t="s">
        <v>1093</v>
      </c>
      <c r="D636" s="173">
        <v>1959</v>
      </c>
      <c r="E636" s="173"/>
      <c r="F636" s="174" t="s">
        <v>267</v>
      </c>
      <c r="G636" s="173" t="s">
        <v>312</v>
      </c>
      <c r="H636" s="173" t="s">
        <v>312</v>
      </c>
      <c r="I636" s="177">
        <v>1764.5</v>
      </c>
      <c r="J636" s="177">
        <v>2310</v>
      </c>
      <c r="K636" s="177">
        <v>1604.9</v>
      </c>
      <c r="L636" s="206">
        <v>64</v>
      </c>
      <c r="M636" s="173" t="s">
        <v>265</v>
      </c>
      <c r="N636" s="173" t="s">
        <v>269</v>
      </c>
      <c r="O636" s="175" t="s">
        <v>1386</v>
      </c>
      <c r="P636" s="170">
        <v>3336923.37</v>
      </c>
      <c r="Q636" s="170">
        <v>0</v>
      </c>
      <c r="R636" s="170">
        <v>0</v>
      </c>
      <c r="S636" s="170">
        <f>P636-Q636-R636</f>
        <v>3336923.37</v>
      </c>
      <c r="T636" s="170">
        <f t="shared" si="62"/>
        <v>1891.1438764522529</v>
      </c>
      <c r="U636" s="170">
        <v>6426.5054757721737</v>
      </c>
      <c r="V636" s="202">
        <f>U636-T636</f>
        <v>4535.361599319921</v>
      </c>
      <c r="W636" s="202">
        <f>X636+Y636+Z636+AA636+AB636+AD636+AF636+AH636+AJ636+AL636+AN636+AO636</f>
        <v>3465.0789458770187</v>
      </c>
      <c r="X636" s="202">
        <v>0</v>
      </c>
      <c r="Y636" s="203">
        <v>0</v>
      </c>
      <c r="Z636" s="203">
        <v>0</v>
      </c>
      <c r="AA636" s="203">
        <v>0</v>
      </c>
      <c r="AB636" s="203">
        <v>0</v>
      </c>
      <c r="AC636" s="203">
        <v>0</v>
      </c>
      <c r="AD636" s="203">
        <v>0</v>
      </c>
      <c r="AE636" s="203">
        <v>980</v>
      </c>
      <c r="AF636" s="202">
        <f>6238.91*AE636/I636</f>
        <v>3465.0789458770187</v>
      </c>
      <c r="AG636" s="203">
        <v>0</v>
      </c>
      <c r="AH636" s="202">
        <v>0</v>
      </c>
      <c r="AI636" s="203">
        <v>0</v>
      </c>
      <c r="AJ636" s="202">
        <v>0</v>
      </c>
      <c r="AK636" s="203">
        <v>0</v>
      </c>
      <c r="AL636" s="203">
        <v>0</v>
      </c>
      <c r="AM636" s="203">
        <v>0</v>
      </c>
      <c r="AN636" s="203"/>
      <c r="AO636" s="203">
        <v>0</v>
      </c>
    </row>
    <row r="637" spans="1:41" s="176" customFormat="1" ht="36" customHeight="1" x14ac:dyDescent="0.25">
      <c r="A637" s="176">
        <v>1</v>
      </c>
      <c r="B637" s="171">
        <f>SUBTOTAL(103,$A$552:A637)</f>
        <v>86</v>
      </c>
      <c r="C637" s="172" t="s">
        <v>791</v>
      </c>
      <c r="D637" s="173">
        <v>1963</v>
      </c>
      <c r="E637" s="173"/>
      <c r="F637" s="174" t="s">
        <v>1562</v>
      </c>
      <c r="G637" s="173" t="s">
        <v>303</v>
      </c>
      <c r="H637" s="173" t="s">
        <v>304</v>
      </c>
      <c r="I637" s="177">
        <v>316.5</v>
      </c>
      <c r="J637" s="177">
        <v>207.1</v>
      </c>
      <c r="K637" s="177">
        <v>207.1</v>
      </c>
      <c r="L637" s="206">
        <v>24</v>
      </c>
      <c r="M637" s="173" t="s">
        <v>265</v>
      </c>
      <c r="N637" s="173" t="s">
        <v>269</v>
      </c>
      <c r="O637" s="175" t="s">
        <v>2253</v>
      </c>
      <c r="P637" s="170">
        <v>1125497.8499999999</v>
      </c>
      <c r="Q637" s="170">
        <v>0</v>
      </c>
      <c r="R637" s="170">
        <v>0</v>
      </c>
      <c r="S637" s="170">
        <f>P637-Q637-R637</f>
        <v>1125497.8499999999</v>
      </c>
      <c r="T637" s="170">
        <f t="shared" si="62"/>
        <v>3556.0753554502367</v>
      </c>
      <c r="U637" s="170">
        <v>6308.4094976303313</v>
      </c>
      <c r="V637" s="202">
        <f>U637-T637</f>
        <v>2752.3341421800947</v>
      </c>
      <c r="W637" s="202">
        <f>T637</f>
        <v>3556.0753554502367</v>
      </c>
      <c r="X637" s="202">
        <v>0</v>
      </c>
      <c r="Y637" s="203">
        <v>0</v>
      </c>
      <c r="Z637" s="203">
        <v>0</v>
      </c>
      <c r="AA637" s="203">
        <v>0</v>
      </c>
      <c r="AB637" s="203">
        <v>0</v>
      </c>
      <c r="AC637" s="203">
        <v>0</v>
      </c>
      <c r="AD637" s="203">
        <v>0</v>
      </c>
      <c r="AE637" s="203">
        <v>0</v>
      </c>
      <c r="AF637" s="202">
        <v>0</v>
      </c>
      <c r="AG637" s="203">
        <v>0</v>
      </c>
      <c r="AH637" s="202">
        <v>0</v>
      </c>
      <c r="AI637" s="203">
        <v>0</v>
      </c>
      <c r="AJ637" s="202">
        <v>0</v>
      </c>
      <c r="AK637" s="203">
        <v>0</v>
      </c>
      <c r="AL637" s="203">
        <v>0</v>
      </c>
      <c r="AM637" s="203">
        <v>0</v>
      </c>
      <c r="AN637" s="203"/>
      <c r="AO637" s="203">
        <v>0</v>
      </c>
    </row>
    <row r="638" spans="1:41" s="176" customFormat="1" ht="36" customHeight="1" x14ac:dyDescent="0.25">
      <c r="A638" s="176">
        <v>1</v>
      </c>
      <c r="B638" s="171">
        <f>SUBTOTAL(103,$A$552:A638)</f>
        <v>87</v>
      </c>
      <c r="C638" s="172" t="s">
        <v>523</v>
      </c>
      <c r="D638" s="173">
        <v>1997</v>
      </c>
      <c r="E638" s="173"/>
      <c r="F638" s="174" t="s">
        <v>267</v>
      </c>
      <c r="G638" s="173">
        <v>4</v>
      </c>
      <c r="H638" s="173" t="s">
        <v>312</v>
      </c>
      <c r="I638" s="177">
        <v>2862.3</v>
      </c>
      <c r="J638" s="177">
        <v>2046.7</v>
      </c>
      <c r="K638" s="177">
        <v>2046.7</v>
      </c>
      <c r="L638" s="206">
        <v>95</v>
      </c>
      <c r="M638" s="173" t="s">
        <v>265</v>
      </c>
      <c r="N638" s="173" t="s">
        <v>269</v>
      </c>
      <c r="O638" s="175" t="s">
        <v>1387</v>
      </c>
      <c r="P638" s="170">
        <v>3949680.45</v>
      </c>
      <c r="Q638" s="170">
        <v>0</v>
      </c>
      <c r="R638" s="170">
        <v>0</v>
      </c>
      <c r="S638" s="170">
        <f>P638-Q638-R638</f>
        <v>3949680.45</v>
      </c>
      <c r="T638" s="170">
        <f t="shared" ref="T638" si="66">P638/I638</f>
        <v>1379.897442616078</v>
      </c>
      <c r="U638" s="170">
        <v>2032.8487999161512</v>
      </c>
      <c r="V638" s="202">
        <f>U638-T638</f>
        <v>652.95135730007314</v>
      </c>
      <c r="W638" s="202">
        <f>T638</f>
        <v>1379.897442616078</v>
      </c>
      <c r="X638" s="202">
        <v>0</v>
      </c>
      <c r="Y638" s="203">
        <v>0</v>
      </c>
      <c r="Z638" s="203">
        <v>0</v>
      </c>
      <c r="AA638" s="203">
        <v>0</v>
      </c>
      <c r="AB638" s="203">
        <v>0</v>
      </c>
      <c r="AC638" s="203">
        <v>0</v>
      </c>
      <c r="AD638" s="203">
        <v>0</v>
      </c>
      <c r="AE638" s="203">
        <v>0</v>
      </c>
      <c r="AF638" s="202">
        <v>0</v>
      </c>
      <c r="AG638" s="203">
        <v>0</v>
      </c>
      <c r="AH638" s="202">
        <v>0</v>
      </c>
      <c r="AI638" s="203">
        <v>0</v>
      </c>
      <c r="AJ638" s="202">
        <v>0</v>
      </c>
      <c r="AK638" s="203">
        <v>0</v>
      </c>
      <c r="AL638" s="203">
        <v>0</v>
      </c>
      <c r="AM638" s="203">
        <v>0</v>
      </c>
      <c r="AN638" s="203"/>
      <c r="AO638" s="203">
        <v>0</v>
      </c>
    </row>
    <row r="639" spans="1:41" s="176" customFormat="1" ht="36" customHeight="1" x14ac:dyDescent="0.25">
      <c r="A639" s="176">
        <v>1</v>
      </c>
      <c r="B639" s="171">
        <f>SUBTOTAL(103,$A$552:A639)</f>
        <v>88</v>
      </c>
      <c r="C639" s="172" t="s">
        <v>571</v>
      </c>
      <c r="D639" s="173" t="s">
        <v>369</v>
      </c>
      <c r="E639" s="173"/>
      <c r="F639" s="174" t="s">
        <v>311</v>
      </c>
      <c r="G639" s="173" t="s">
        <v>351</v>
      </c>
      <c r="H639" s="173" t="s">
        <v>308</v>
      </c>
      <c r="I639" s="177">
        <v>4042.4</v>
      </c>
      <c r="J639" s="177">
        <v>3045.4</v>
      </c>
      <c r="K639" s="177">
        <v>2978.7</v>
      </c>
      <c r="L639" s="206">
        <v>118</v>
      </c>
      <c r="M639" s="173" t="s">
        <v>265</v>
      </c>
      <c r="N639" s="173" t="s">
        <v>269</v>
      </c>
      <c r="O639" s="175" t="s">
        <v>1310</v>
      </c>
      <c r="P639" s="170">
        <v>3593332.35</v>
      </c>
      <c r="Q639" s="170">
        <v>0</v>
      </c>
      <c r="R639" s="170">
        <v>0</v>
      </c>
      <c r="S639" s="170">
        <f t="shared" ref="S639:S642" si="67">P639-Q639-R639</f>
        <v>3593332.35</v>
      </c>
      <c r="T639" s="170">
        <f t="shared" si="62"/>
        <v>888.91063477142291</v>
      </c>
      <c r="U639" s="170">
        <v>1210.4319478527607</v>
      </c>
      <c r="V639" s="202">
        <f t="shared" ref="V639:V642" si="68">U639-T639</f>
        <v>321.52131308133778</v>
      </c>
      <c r="W639" s="202">
        <f t="shared" ref="W639:W642" si="69">X639+Y639+Z639+AA639+AB639+AD639+AF639+AH639+AJ639+AL639+AN639+AO639</f>
        <v>1225.434034237087</v>
      </c>
      <c r="X639" s="202">
        <v>0</v>
      </c>
      <c r="Y639" s="203">
        <v>0</v>
      </c>
      <c r="Z639" s="203">
        <v>0</v>
      </c>
      <c r="AA639" s="203">
        <v>0</v>
      </c>
      <c r="AB639" s="203">
        <v>0</v>
      </c>
      <c r="AC639" s="203">
        <v>0</v>
      </c>
      <c r="AD639" s="203">
        <v>0</v>
      </c>
      <c r="AE639" s="203">
        <v>794</v>
      </c>
      <c r="AF639" s="202">
        <f t="shared" ref="AF639:AF642" si="70">6238.91*AE639/I639</f>
        <v>1225.434034237087</v>
      </c>
      <c r="AG639" s="203">
        <v>0</v>
      </c>
      <c r="AH639" s="202">
        <v>0</v>
      </c>
      <c r="AI639" s="203">
        <v>0</v>
      </c>
      <c r="AJ639" s="202">
        <v>0</v>
      </c>
      <c r="AK639" s="203">
        <v>0</v>
      </c>
      <c r="AL639" s="203">
        <v>0</v>
      </c>
      <c r="AM639" s="203">
        <v>0</v>
      </c>
      <c r="AN639" s="203"/>
      <c r="AO639" s="203">
        <v>0</v>
      </c>
    </row>
    <row r="640" spans="1:41" s="176" customFormat="1" ht="36" customHeight="1" x14ac:dyDescent="0.25">
      <c r="A640" s="176">
        <v>1</v>
      </c>
      <c r="B640" s="171">
        <f>SUBTOTAL(103,$A$552:A640)</f>
        <v>89</v>
      </c>
      <c r="C640" s="172" t="s">
        <v>1370</v>
      </c>
      <c r="D640" s="173">
        <v>1976</v>
      </c>
      <c r="E640" s="173"/>
      <c r="F640" s="174" t="s">
        <v>267</v>
      </c>
      <c r="G640" s="173">
        <v>5</v>
      </c>
      <c r="H640" s="173" t="s">
        <v>2252</v>
      </c>
      <c r="I640" s="177">
        <v>18701</v>
      </c>
      <c r="J640" s="177">
        <v>10438.450000000001</v>
      </c>
      <c r="K640" s="177">
        <v>6661.1</v>
      </c>
      <c r="L640" s="206">
        <v>448</v>
      </c>
      <c r="M640" s="173" t="s">
        <v>265</v>
      </c>
      <c r="N640" s="173" t="s">
        <v>269</v>
      </c>
      <c r="O640" s="175" t="s">
        <v>1387</v>
      </c>
      <c r="P640" s="170">
        <v>8004176.4600000009</v>
      </c>
      <c r="Q640" s="170">
        <v>0</v>
      </c>
      <c r="R640" s="170">
        <v>0</v>
      </c>
      <c r="S640" s="170">
        <f t="shared" ref="S640:S641" si="71">P640-Q640-R640</f>
        <v>8004176.4600000009</v>
      </c>
      <c r="T640" s="170">
        <f t="shared" ref="T640:T641" si="72">P640/I640</f>
        <v>428.00793861290845</v>
      </c>
      <c r="U640" s="170">
        <v>796.43497246136565</v>
      </c>
      <c r="V640" s="202">
        <f t="shared" ref="V640:V641" si="73">U640-T640</f>
        <v>368.4270338484572</v>
      </c>
      <c r="W640" s="202">
        <f t="shared" ref="W640:W641" si="74">X640+Y640+Z640+AA640+AB640+AD640+AF640+AH640+AJ640+AL640+AN640+AO640</f>
        <v>121.70228158921984</v>
      </c>
      <c r="X640" s="202">
        <v>0</v>
      </c>
      <c r="Y640" s="203">
        <v>0</v>
      </c>
      <c r="Z640" s="203">
        <v>0</v>
      </c>
      <c r="AA640" s="203">
        <v>0</v>
      </c>
      <c r="AB640" s="203">
        <v>0</v>
      </c>
      <c r="AC640" s="203">
        <v>0</v>
      </c>
      <c r="AD640" s="203">
        <v>0</v>
      </c>
      <c r="AE640" s="203">
        <v>364.8</v>
      </c>
      <c r="AF640" s="202">
        <f t="shared" ref="AF640:AF641" si="75">6238.91*AE640/I640</f>
        <v>121.70228158921984</v>
      </c>
      <c r="AG640" s="203">
        <v>0</v>
      </c>
      <c r="AH640" s="202">
        <v>0</v>
      </c>
      <c r="AI640" s="203">
        <v>0</v>
      </c>
      <c r="AJ640" s="202">
        <v>0</v>
      </c>
      <c r="AK640" s="203">
        <v>0</v>
      </c>
      <c r="AL640" s="203">
        <v>0</v>
      </c>
      <c r="AM640" s="203">
        <v>0</v>
      </c>
      <c r="AN640" s="203"/>
      <c r="AO640" s="203">
        <v>0</v>
      </c>
    </row>
    <row r="641" spans="1:41" s="176" customFormat="1" ht="36" customHeight="1" x14ac:dyDescent="0.25">
      <c r="A641" s="176">
        <v>1</v>
      </c>
      <c r="B641" s="171">
        <f>SUBTOTAL(103,$A$552:A641)</f>
        <v>90</v>
      </c>
      <c r="C641" s="172" t="s">
        <v>2456</v>
      </c>
      <c r="D641" s="173">
        <v>1975</v>
      </c>
      <c r="E641" s="173"/>
      <c r="F641" s="174" t="s">
        <v>318</v>
      </c>
      <c r="G641" s="173">
        <v>5</v>
      </c>
      <c r="H641" s="173">
        <v>4</v>
      </c>
      <c r="I641" s="177">
        <v>4051.1</v>
      </c>
      <c r="J641" s="177">
        <v>3064</v>
      </c>
      <c r="K641" s="177">
        <v>2752.8</v>
      </c>
      <c r="L641" s="206">
        <v>143</v>
      </c>
      <c r="M641" s="173" t="s">
        <v>265</v>
      </c>
      <c r="N641" s="173" t="s">
        <v>269</v>
      </c>
      <c r="O641" s="175" t="s">
        <v>1310</v>
      </c>
      <c r="P641" s="170">
        <v>4430001.0200000005</v>
      </c>
      <c r="Q641" s="170">
        <v>0</v>
      </c>
      <c r="R641" s="170">
        <v>0</v>
      </c>
      <c r="S641" s="170">
        <f t="shared" si="71"/>
        <v>4430001.0200000005</v>
      </c>
      <c r="T641" s="170">
        <f t="shared" si="72"/>
        <v>1093.5304040877788</v>
      </c>
      <c r="U641" s="170">
        <v>1396.5860803238627</v>
      </c>
      <c r="V641" s="202">
        <f t="shared" si="73"/>
        <v>303.05567623608385</v>
      </c>
      <c r="W641" s="202">
        <f t="shared" si="74"/>
        <v>561.81145071708931</v>
      </c>
      <c r="X641" s="202">
        <v>0</v>
      </c>
      <c r="Y641" s="203">
        <v>0</v>
      </c>
      <c r="Z641" s="203">
        <v>0</v>
      </c>
      <c r="AA641" s="203">
        <v>0</v>
      </c>
      <c r="AB641" s="203">
        <v>0</v>
      </c>
      <c r="AC641" s="203">
        <v>0</v>
      </c>
      <c r="AD641" s="203">
        <v>0</v>
      </c>
      <c r="AE641" s="203">
        <v>364.8</v>
      </c>
      <c r="AF641" s="202">
        <f t="shared" si="75"/>
        <v>561.81145071708931</v>
      </c>
      <c r="AG641" s="203">
        <v>0</v>
      </c>
      <c r="AH641" s="202">
        <v>0</v>
      </c>
      <c r="AI641" s="203">
        <v>0</v>
      </c>
      <c r="AJ641" s="202">
        <v>0</v>
      </c>
      <c r="AK641" s="203">
        <v>0</v>
      </c>
      <c r="AL641" s="203">
        <v>0</v>
      </c>
      <c r="AM641" s="203">
        <v>0</v>
      </c>
      <c r="AN641" s="203"/>
      <c r="AO641" s="203">
        <v>0</v>
      </c>
    </row>
    <row r="642" spans="1:41" s="176" customFormat="1" ht="36" customHeight="1" x14ac:dyDescent="0.25">
      <c r="A642" s="176">
        <v>1</v>
      </c>
      <c r="B642" s="171">
        <f>SUBTOTAL(103,$A$552:A642)</f>
        <v>91</v>
      </c>
      <c r="C642" s="172" t="s">
        <v>524</v>
      </c>
      <c r="D642" s="173">
        <v>1996</v>
      </c>
      <c r="E642" s="173"/>
      <c r="F642" s="174" t="s">
        <v>318</v>
      </c>
      <c r="G642" s="173" t="s">
        <v>357</v>
      </c>
      <c r="H642" s="173" t="s">
        <v>308</v>
      </c>
      <c r="I642" s="177">
        <v>8787.9</v>
      </c>
      <c r="J642" s="177">
        <v>6287.1</v>
      </c>
      <c r="K642" s="177">
        <v>5664.6</v>
      </c>
      <c r="L642" s="206" t="s">
        <v>2696</v>
      </c>
      <c r="M642" s="173" t="s">
        <v>265</v>
      </c>
      <c r="N642" s="173" t="s">
        <v>269</v>
      </c>
      <c r="O642" s="175" t="s">
        <v>2697</v>
      </c>
      <c r="P642" s="170">
        <v>4549868.84</v>
      </c>
      <c r="Q642" s="170">
        <v>0</v>
      </c>
      <c r="R642" s="170">
        <v>0</v>
      </c>
      <c r="S642" s="170">
        <f t="shared" si="67"/>
        <v>4549868.84</v>
      </c>
      <c r="T642" s="170">
        <f t="shared" si="62"/>
        <v>517.74244586306168</v>
      </c>
      <c r="U642" s="170">
        <f>T642</f>
        <v>517.74244586306168</v>
      </c>
      <c r="V642" s="202">
        <f t="shared" si="68"/>
        <v>0</v>
      </c>
      <c r="W642" s="202">
        <f t="shared" si="69"/>
        <v>258.98728569965527</v>
      </c>
      <c r="X642" s="202">
        <v>0</v>
      </c>
      <c r="Y642" s="203">
        <v>0</v>
      </c>
      <c r="Z642" s="203">
        <v>0</v>
      </c>
      <c r="AA642" s="203">
        <v>0</v>
      </c>
      <c r="AB642" s="203">
        <v>0</v>
      </c>
      <c r="AC642" s="203">
        <v>0</v>
      </c>
      <c r="AD642" s="203">
        <v>0</v>
      </c>
      <c r="AE642" s="203">
        <v>364.8</v>
      </c>
      <c r="AF642" s="202">
        <f t="shared" si="70"/>
        <v>258.98728569965527</v>
      </c>
      <c r="AG642" s="203">
        <v>0</v>
      </c>
      <c r="AH642" s="202">
        <v>0</v>
      </c>
      <c r="AI642" s="203">
        <v>0</v>
      </c>
      <c r="AJ642" s="202">
        <v>0</v>
      </c>
      <c r="AK642" s="203">
        <v>0</v>
      </c>
      <c r="AL642" s="203">
        <v>0</v>
      </c>
      <c r="AM642" s="203">
        <v>0</v>
      </c>
      <c r="AN642" s="203"/>
      <c r="AO642" s="203">
        <v>0</v>
      </c>
    </row>
    <row r="643" spans="1:41" s="176" customFormat="1" ht="36" customHeight="1" x14ac:dyDescent="0.25">
      <c r="B643" s="172" t="s">
        <v>748</v>
      </c>
      <c r="C643" s="359"/>
      <c r="D643" s="173" t="s">
        <v>882</v>
      </c>
      <c r="E643" s="173" t="s">
        <v>882</v>
      </c>
      <c r="F643" s="173" t="s">
        <v>882</v>
      </c>
      <c r="G643" s="173" t="s">
        <v>882</v>
      </c>
      <c r="H643" s="173" t="s">
        <v>882</v>
      </c>
      <c r="I643" s="177">
        <f>SUM(I644:I674)</f>
        <v>46935.01</v>
      </c>
      <c r="J643" s="177">
        <f>SUM(J644:J674)</f>
        <v>43959.5</v>
      </c>
      <c r="K643" s="177">
        <f>SUM(K644:K674)</f>
        <v>41237.199999999997</v>
      </c>
      <c r="L643" s="357">
        <f>SUM(L644:L674)</f>
        <v>1959</v>
      </c>
      <c r="M643" s="173" t="s">
        <v>882</v>
      </c>
      <c r="N643" s="173" t="s">
        <v>882</v>
      </c>
      <c r="O643" s="175" t="s">
        <v>882</v>
      </c>
      <c r="P643" s="177">
        <v>99817914.609999999</v>
      </c>
      <c r="Q643" s="177">
        <f>SUM(Q644:Q674)</f>
        <v>0</v>
      </c>
      <c r="R643" s="177">
        <f>SUM(R644:R674)</f>
        <v>0</v>
      </c>
      <c r="S643" s="177">
        <f>SUM(S644:S674)</f>
        <v>99817914.609999999</v>
      </c>
      <c r="T643" s="170">
        <f t="shared" si="62"/>
        <v>2126.7261817990452</v>
      </c>
      <c r="U643" s="170">
        <f>MAX(U644:U674)</f>
        <v>10033.85808</v>
      </c>
      <c r="V643" s="202">
        <f t="shared" ref="V643:V706" si="76">U643-T643</f>
        <v>7907.1318982009543</v>
      </c>
      <c r="W643" s="202"/>
      <c r="X643" s="202"/>
      <c r="Y643" s="203"/>
      <c r="Z643" s="203"/>
      <c r="AA643" s="203"/>
      <c r="AB643" s="203"/>
      <c r="AC643" s="203"/>
      <c r="AD643" s="203"/>
      <c r="AE643" s="203"/>
      <c r="AF643" s="203"/>
      <c r="AG643" s="203"/>
      <c r="AH643" s="203"/>
      <c r="AI643" s="203"/>
      <c r="AJ643" s="203"/>
      <c r="AK643" s="203"/>
      <c r="AL643" s="203"/>
      <c r="AM643" s="203"/>
      <c r="AN643" s="203"/>
      <c r="AO643" s="203"/>
    </row>
    <row r="644" spans="1:41" s="176" customFormat="1" ht="36" customHeight="1" x14ac:dyDescent="0.25">
      <c r="A644" s="176">
        <v>1</v>
      </c>
      <c r="B644" s="171">
        <f>SUBTOTAL(103,$A$552:A644)</f>
        <v>92</v>
      </c>
      <c r="C644" s="172" t="s">
        <v>453</v>
      </c>
      <c r="D644" s="173">
        <v>1960</v>
      </c>
      <c r="E644" s="173"/>
      <c r="F644" s="174" t="s">
        <v>267</v>
      </c>
      <c r="G644" s="173">
        <v>2</v>
      </c>
      <c r="H644" s="173" t="s">
        <v>303</v>
      </c>
      <c r="I644" s="177">
        <v>634.6</v>
      </c>
      <c r="J644" s="177">
        <v>634.6</v>
      </c>
      <c r="K644" s="177">
        <v>634.6</v>
      </c>
      <c r="L644" s="206">
        <v>26</v>
      </c>
      <c r="M644" s="173" t="s">
        <v>265</v>
      </c>
      <c r="N644" s="173" t="s">
        <v>266</v>
      </c>
      <c r="O644" s="175" t="s">
        <v>268</v>
      </c>
      <c r="P644" s="170">
        <v>3167655.13</v>
      </c>
      <c r="Q644" s="170">
        <v>0</v>
      </c>
      <c r="R644" s="170">
        <v>0</v>
      </c>
      <c r="S644" s="170">
        <f t="shared" ref="S644:S674" si="77">P644-Q644-R644</f>
        <v>3167655.13</v>
      </c>
      <c r="T644" s="170">
        <f t="shared" si="62"/>
        <v>4991.5775764260952</v>
      </c>
      <c r="U644" s="170">
        <v>6407.7248547116287</v>
      </c>
      <c r="V644" s="202">
        <f t="shared" si="76"/>
        <v>1416.1472782855335</v>
      </c>
      <c r="W644" s="202">
        <f t="shared" ref="W644:W672" si="78">X644+Y644+Z644+AA644+AB644+AD644+AF644+AH644+AJ644+AL644+AN644+AO644</f>
        <v>6104.221901985502</v>
      </c>
      <c r="X644" s="202">
        <v>0</v>
      </c>
      <c r="Y644" s="203">
        <v>0</v>
      </c>
      <c r="Z644" s="203">
        <v>0</v>
      </c>
      <c r="AA644" s="203">
        <v>0</v>
      </c>
      <c r="AB644" s="203">
        <v>0</v>
      </c>
      <c r="AC644" s="203">
        <v>0</v>
      </c>
      <c r="AD644" s="203">
        <v>0</v>
      </c>
      <c r="AE644" s="203">
        <v>620.9</v>
      </c>
      <c r="AF644" s="202">
        <f>6238.91*AE644/I644</f>
        <v>6104.221901985502</v>
      </c>
      <c r="AG644" s="203">
        <v>0</v>
      </c>
      <c r="AH644" s="202">
        <v>0</v>
      </c>
      <c r="AI644" s="203">
        <v>0</v>
      </c>
      <c r="AJ644" s="202">
        <v>0</v>
      </c>
      <c r="AK644" s="203">
        <v>0</v>
      </c>
      <c r="AL644" s="203">
        <v>0</v>
      </c>
      <c r="AM644" s="203">
        <v>0</v>
      </c>
      <c r="AN644" s="203"/>
      <c r="AO644" s="203">
        <v>0</v>
      </c>
    </row>
    <row r="645" spans="1:41" s="176" customFormat="1" ht="61.5" x14ac:dyDescent="0.25">
      <c r="A645" s="176">
        <v>1</v>
      </c>
      <c r="B645" s="171">
        <f>SUBTOTAL(103,$A$552:A645)</f>
        <v>93</v>
      </c>
      <c r="C645" s="172" t="s">
        <v>454</v>
      </c>
      <c r="D645" s="173">
        <v>1952</v>
      </c>
      <c r="E645" s="173">
        <v>2008</v>
      </c>
      <c r="F645" s="174" t="s">
        <v>267</v>
      </c>
      <c r="G645" s="173">
        <v>2</v>
      </c>
      <c r="H645" s="173" t="s">
        <v>304</v>
      </c>
      <c r="I645" s="177">
        <v>427.8</v>
      </c>
      <c r="J645" s="177">
        <v>392.1</v>
      </c>
      <c r="K645" s="177">
        <v>392.1</v>
      </c>
      <c r="L645" s="206">
        <v>21</v>
      </c>
      <c r="M645" s="173" t="s">
        <v>265</v>
      </c>
      <c r="N645" s="173" t="s">
        <v>269</v>
      </c>
      <c r="O645" s="175" t="s">
        <v>340</v>
      </c>
      <c r="P645" s="170">
        <v>2301582.35</v>
      </c>
      <c r="Q645" s="170">
        <v>0</v>
      </c>
      <c r="R645" s="170">
        <v>0</v>
      </c>
      <c r="S645" s="170">
        <f t="shared" si="77"/>
        <v>2301582.35</v>
      </c>
      <c r="T645" s="170">
        <f t="shared" si="62"/>
        <v>5380.0428938756431</v>
      </c>
      <c r="U645" s="170">
        <v>7634.5546143057509</v>
      </c>
      <c r="V645" s="202">
        <f t="shared" si="76"/>
        <v>2254.5117204301077</v>
      </c>
      <c r="W645" s="202">
        <f t="shared" si="78"/>
        <v>7634.5546143057509</v>
      </c>
      <c r="X645" s="202">
        <v>0</v>
      </c>
      <c r="Y645" s="203">
        <v>0</v>
      </c>
      <c r="Z645" s="203">
        <v>0</v>
      </c>
      <c r="AA645" s="203">
        <v>0</v>
      </c>
      <c r="AB645" s="203">
        <v>0</v>
      </c>
      <c r="AC645" s="203">
        <v>0</v>
      </c>
      <c r="AD645" s="203">
        <v>0</v>
      </c>
      <c r="AE645" s="203">
        <v>0</v>
      </c>
      <c r="AF645" s="202">
        <v>0</v>
      </c>
      <c r="AG645" s="203">
        <v>0</v>
      </c>
      <c r="AH645" s="202">
        <v>0</v>
      </c>
      <c r="AI645" s="203">
        <v>439.04</v>
      </c>
      <c r="AJ645" s="202">
        <f>7439.1*AI645/I645</f>
        <v>7634.5546143057509</v>
      </c>
      <c r="AK645" s="203">
        <v>0</v>
      </c>
      <c r="AL645" s="203">
        <v>0</v>
      </c>
      <c r="AM645" s="203">
        <v>0</v>
      </c>
      <c r="AN645" s="203"/>
      <c r="AO645" s="203">
        <v>0</v>
      </c>
    </row>
    <row r="646" spans="1:41" s="176" customFormat="1" ht="36" customHeight="1" x14ac:dyDescent="0.25">
      <c r="A646" s="176">
        <v>1</v>
      </c>
      <c r="B646" s="171">
        <f>SUBTOTAL(103,$A$552:A646)</f>
        <v>94</v>
      </c>
      <c r="C646" s="172" t="s">
        <v>455</v>
      </c>
      <c r="D646" s="173">
        <v>1963</v>
      </c>
      <c r="E646" s="173"/>
      <c r="F646" s="174" t="s">
        <v>267</v>
      </c>
      <c r="G646" s="173">
        <v>4</v>
      </c>
      <c r="H646" s="173" t="s">
        <v>312</v>
      </c>
      <c r="I646" s="177">
        <v>2171.1999999999998</v>
      </c>
      <c r="J646" s="177">
        <v>2025.5</v>
      </c>
      <c r="K646" s="177">
        <v>2025.5</v>
      </c>
      <c r="L646" s="206">
        <v>84</v>
      </c>
      <c r="M646" s="173" t="s">
        <v>265</v>
      </c>
      <c r="N646" s="173" t="s">
        <v>266</v>
      </c>
      <c r="O646" s="175" t="s">
        <v>268</v>
      </c>
      <c r="P646" s="170">
        <v>4857937.9999999991</v>
      </c>
      <c r="Q646" s="170">
        <v>0</v>
      </c>
      <c r="R646" s="170">
        <v>0</v>
      </c>
      <c r="S646" s="170">
        <f t="shared" si="77"/>
        <v>4857937.9999999991</v>
      </c>
      <c r="T646" s="170">
        <f t="shared" si="62"/>
        <v>2237.4438098747232</v>
      </c>
      <c r="U646" s="170">
        <v>2626.5501013264557</v>
      </c>
      <c r="V646" s="202">
        <f t="shared" si="76"/>
        <v>389.10629145173243</v>
      </c>
      <c r="W646" s="202">
        <f t="shared" si="78"/>
        <v>2545.9074521002212</v>
      </c>
      <c r="X646" s="202">
        <v>0</v>
      </c>
      <c r="Y646" s="203">
        <v>0</v>
      </c>
      <c r="Z646" s="203">
        <v>0</v>
      </c>
      <c r="AA646" s="203">
        <v>0</v>
      </c>
      <c r="AB646" s="203">
        <v>0</v>
      </c>
      <c r="AC646" s="203">
        <v>0</v>
      </c>
      <c r="AD646" s="203">
        <v>0</v>
      </c>
      <c r="AE646" s="203">
        <v>886</v>
      </c>
      <c r="AF646" s="202">
        <f>6238.91*AE646/I646</f>
        <v>2545.9074521002212</v>
      </c>
      <c r="AG646" s="203">
        <v>0</v>
      </c>
      <c r="AH646" s="202">
        <v>0</v>
      </c>
      <c r="AI646" s="203">
        <v>0</v>
      </c>
      <c r="AJ646" s="202">
        <v>0</v>
      </c>
      <c r="AK646" s="203">
        <v>0</v>
      </c>
      <c r="AL646" s="203">
        <v>0</v>
      </c>
      <c r="AM646" s="203">
        <v>0</v>
      </c>
      <c r="AN646" s="203"/>
      <c r="AO646" s="203">
        <v>0</v>
      </c>
    </row>
    <row r="647" spans="1:41" s="176" customFormat="1" ht="36" customHeight="1" x14ac:dyDescent="0.25">
      <c r="A647" s="176">
        <v>1</v>
      </c>
      <c r="B647" s="171">
        <f>SUBTOTAL(103,$A$552:A647)</f>
        <v>95</v>
      </c>
      <c r="C647" s="172" t="s">
        <v>456</v>
      </c>
      <c r="D647" s="173">
        <v>1959</v>
      </c>
      <c r="E647" s="173"/>
      <c r="F647" s="174" t="s">
        <v>267</v>
      </c>
      <c r="G647" s="173">
        <v>2</v>
      </c>
      <c r="H647" s="173" t="s">
        <v>303</v>
      </c>
      <c r="I647" s="177">
        <v>679.1</v>
      </c>
      <c r="J647" s="177">
        <v>632.4</v>
      </c>
      <c r="K647" s="177">
        <v>632.4</v>
      </c>
      <c r="L647" s="206">
        <v>43</v>
      </c>
      <c r="M647" s="173" t="s">
        <v>265</v>
      </c>
      <c r="N647" s="173" t="s">
        <v>266</v>
      </c>
      <c r="O647" s="175" t="s">
        <v>268</v>
      </c>
      <c r="P647" s="170">
        <v>3345121.12</v>
      </c>
      <c r="Q647" s="170">
        <v>0</v>
      </c>
      <c r="R647" s="170">
        <v>0</v>
      </c>
      <c r="S647" s="170">
        <f t="shared" si="77"/>
        <v>3345121.12</v>
      </c>
      <c r="T647" s="170">
        <f t="shared" si="62"/>
        <v>4925.8152260344577</v>
      </c>
      <c r="U647" s="170">
        <v>5724.7299661316438</v>
      </c>
      <c r="V647" s="202">
        <f t="shared" si="76"/>
        <v>798.91474009718604</v>
      </c>
      <c r="W647" s="202">
        <f t="shared" si="78"/>
        <v>5548.9642762479752</v>
      </c>
      <c r="X647" s="202">
        <v>0</v>
      </c>
      <c r="Y647" s="203">
        <v>0</v>
      </c>
      <c r="Z647" s="203">
        <v>0</v>
      </c>
      <c r="AA647" s="203">
        <v>0</v>
      </c>
      <c r="AB647" s="203">
        <v>0</v>
      </c>
      <c r="AC647" s="203">
        <v>0</v>
      </c>
      <c r="AD647" s="203">
        <v>0</v>
      </c>
      <c r="AE647" s="203">
        <v>604</v>
      </c>
      <c r="AF647" s="202">
        <f>6238.91*AE647/I647</f>
        <v>5548.9642762479752</v>
      </c>
      <c r="AG647" s="203">
        <v>0</v>
      </c>
      <c r="AH647" s="202">
        <v>0</v>
      </c>
      <c r="AI647" s="203">
        <v>0</v>
      </c>
      <c r="AJ647" s="202">
        <v>0</v>
      </c>
      <c r="AK647" s="203">
        <v>0</v>
      </c>
      <c r="AL647" s="203">
        <v>0</v>
      </c>
      <c r="AM647" s="203">
        <v>0</v>
      </c>
      <c r="AN647" s="203"/>
      <c r="AO647" s="203">
        <v>0</v>
      </c>
    </row>
    <row r="648" spans="1:41" s="176" customFormat="1" ht="36" customHeight="1" x14ac:dyDescent="0.25">
      <c r="A648" s="176">
        <v>1</v>
      </c>
      <c r="B648" s="171">
        <f>SUBTOTAL(103,$A$552:A648)</f>
        <v>96</v>
      </c>
      <c r="C648" s="172" t="s">
        <v>457</v>
      </c>
      <c r="D648" s="173">
        <v>1959</v>
      </c>
      <c r="E648" s="173"/>
      <c r="F648" s="174" t="s">
        <v>267</v>
      </c>
      <c r="G648" s="173">
        <v>2</v>
      </c>
      <c r="H648" s="173" t="s">
        <v>303</v>
      </c>
      <c r="I648" s="177">
        <v>692.3</v>
      </c>
      <c r="J648" s="177">
        <v>645.9</v>
      </c>
      <c r="K648" s="177">
        <v>615.29999999999995</v>
      </c>
      <c r="L648" s="206">
        <v>28</v>
      </c>
      <c r="M648" s="173" t="s">
        <v>265</v>
      </c>
      <c r="N648" s="173" t="s">
        <v>266</v>
      </c>
      <c r="O648" s="175" t="s">
        <v>268</v>
      </c>
      <c r="P648" s="170">
        <v>3345121.12</v>
      </c>
      <c r="Q648" s="170">
        <v>0</v>
      </c>
      <c r="R648" s="170">
        <v>0</v>
      </c>
      <c r="S648" s="170">
        <f t="shared" si="77"/>
        <v>3345121.12</v>
      </c>
      <c r="T648" s="170">
        <f t="shared" si="62"/>
        <v>4831.8953055033953</v>
      </c>
      <c r="U648" s="170">
        <v>5615.5772353026141</v>
      </c>
      <c r="V648" s="202">
        <f t="shared" si="76"/>
        <v>783.68192979921878</v>
      </c>
      <c r="W648" s="202">
        <f t="shared" si="78"/>
        <v>5443.162848476095</v>
      </c>
      <c r="X648" s="202">
        <v>0</v>
      </c>
      <c r="Y648" s="203">
        <v>0</v>
      </c>
      <c r="Z648" s="203">
        <v>0</v>
      </c>
      <c r="AA648" s="203">
        <v>0</v>
      </c>
      <c r="AB648" s="203">
        <v>0</v>
      </c>
      <c r="AC648" s="203">
        <v>0</v>
      </c>
      <c r="AD648" s="203">
        <v>0</v>
      </c>
      <c r="AE648" s="203">
        <v>604</v>
      </c>
      <c r="AF648" s="202">
        <f>6238.91*AE648/I648</f>
        <v>5443.162848476095</v>
      </c>
      <c r="AG648" s="203">
        <v>0</v>
      </c>
      <c r="AH648" s="202">
        <v>0</v>
      </c>
      <c r="AI648" s="203">
        <v>0</v>
      </c>
      <c r="AJ648" s="202">
        <v>0</v>
      </c>
      <c r="AK648" s="203">
        <v>0</v>
      </c>
      <c r="AL648" s="203">
        <v>0</v>
      </c>
      <c r="AM648" s="203">
        <v>0</v>
      </c>
      <c r="AN648" s="203"/>
      <c r="AO648" s="203">
        <v>0</v>
      </c>
    </row>
    <row r="649" spans="1:41" s="176" customFormat="1" ht="36" customHeight="1" x14ac:dyDescent="0.25">
      <c r="A649" s="176">
        <v>1</v>
      </c>
      <c r="B649" s="171">
        <f>SUBTOTAL(103,$A$552:A649)</f>
        <v>97</v>
      </c>
      <c r="C649" s="172" t="s">
        <v>458</v>
      </c>
      <c r="D649" s="173">
        <v>1972</v>
      </c>
      <c r="E649" s="173"/>
      <c r="F649" s="174" t="s">
        <v>267</v>
      </c>
      <c r="G649" s="173">
        <v>2</v>
      </c>
      <c r="H649" s="173" t="s">
        <v>303</v>
      </c>
      <c r="I649" s="177">
        <v>800.8</v>
      </c>
      <c r="J649" s="177">
        <v>734.3</v>
      </c>
      <c r="K649" s="177">
        <v>734.3</v>
      </c>
      <c r="L649" s="206">
        <v>35</v>
      </c>
      <c r="M649" s="173" t="s">
        <v>265</v>
      </c>
      <c r="N649" s="173" t="s">
        <v>266</v>
      </c>
      <c r="O649" s="175" t="s">
        <v>268</v>
      </c>
      <c r="P649" s="170">
        <v>3146129.7399999998</v>
      </c>
      <c r="Q649" s="170">
        <v>0</v>
      </c>
      <c r="R649" s="170">
        <v>0</v>
      </c>
      <c r="S649" s="170">
        <f t="shared" si="77"/>
        <v>3146129.7399999998</v>
      </c>
      <c r="T649" s="170">
        <f t="shared" si="62"/>
        <v>3928.7334415584414</v>
      </c>
      <c r="U649" s="170">
        <v>5349.4412356393605</v>
      </c>
      <c r="V649" s="202">
        <f t="shared" si="76"/>
        <v>1420.707794080919</v>
      </c>
      <c r="W649" s="202">
        <f t="shared" si="78"/>
        <v>5634.6519335664343</v>
      </c>
      <c r="X649" s="202">
        <v>0</v>
      </c>
      <c r="Y649" s="203">
        <v>0</v>
      </c>
      <c r="Z649" s="203">
        <v>0</v>
      </c>
      <c r="AA649" s="203">
        <v>0</v>
      </c>
      <c r="AB649" s="203">
        <v>0</v>
      </c>
      <c r="AC649" s="203">
        <v>0</v>
      </c>
      <c r="AD649" s="203">
        <v>0</v>
      </c>
      <c r="AE649" s="203">
        <v>723.24</v>
      </c>
      <c r="AF649" s="202">
        <f>6238.91*AE649/I649</f>
        <v>5634.6519335664343</v>
      </c>
      <c r="AG649" s="203">
        <v>0</v>
      </c>
      <c r="AH649" s="202">
        <v>0</v>
      </c>
      <c r="AI649" s="203">
        <v>0</v>
      </c>
      <c r="AJ649" s="202">
        <v>0</v>
      </c>
      <c r="AK649" s="203">
        <v>0</v>
      </c>
      <c r="AL649" s="203">
        <v>0</v>
      </c>
      <c r="AM649" s="203">
        <v>0</v>
      </c>
      <c r="AN649" s="203"/>
      <c r="AO649" s="203">
        <v>0</v>
      </c>
    </row>
    <row r="650" spans="1:41" s="176" customFormat="1" ht="36" customHeight="1" x14ac:dyDescent="0.25">
      <c r="A650" s="176">
        <v>1</v>
      </c>
      <c r="B650" s="171">
        <f>SUBTOTAL(103,$A$552:A650)</f>
        <v>98</v>
      </c>
      <c r="C650" s="172" t="s">
        <v>459</v>
      </c>
      <c r="D650" s="173">
        <v>1954</v>
      </c>
      <c r="E650" s="173"/>
      <c r="F650" s="174" t="s">
        <v>324</v>
      </c>
      <c r="G650" s="173">
        <v>2</v>
      </c>
      <c r="H650" s="173" t="s">
        <v>303</v>
      </c>
      <c r="I650" s="177">
        <v>391.3</v>
      </c>
      <c r="J650" s="177">
        <v>360.5</v>
      </c>
      <c r="K650" s="177">
        <v>360.5</v>
      </c>
      <c r="L650" s="206">
        <v>15</v>
      </c>
      <c r="M650" s="173" t="s">
        <v>265</v>
      </c>
      <c r="N650" s="173" t="s">
        <v>266</v>
      </c>
      <c r="O650" s="175" t="s">
        <v>268</v>
      </c>
      <c r="P650" s="170">
        <v>1442033.72</v>
      </c>
      <c r="Q650" s="170">
        <v>0</v>
      </c>
      <c r="R650" s="170">
        <v>0</v>
      </c>
      <c r="S650" s="170">
        <f t="shared" si="77"/>
        <v>1442033.72</v>
      </c>
      <c r="T650" s="170">
        <f t="shared" si="62"/>
        <v>3685.2382315359059</v>
      </c>
      <c r="U650" s="170">
        <v>8165.5220930232554</v>
      </c>
      <c r="V650" s="202">
        <f t="shared" si="76"/>
        <v>4480.283861487349</v>
      </c>
      <c r="W650" s="202">
        <f t="shared" si="78"/>
        <v>8165.5220930232554</v>
      </c>
      <c r="X650" s="202">
        <v>0</v>
      </c>
      <c r="Y650" s="203">
        <v>0</v>
      </c>
      <c r="Z650" s="203">
        <v>0</v>
      </c>
      <c r="AA650" s="203">
        <v>0</v>
      </c>
      <c r="AB650" s="203">
        <v>0</v>
      </c>
      <c r="AC650" s="203">
        <v>0</v>
      </c>
      <c r="AD650" s="203">
        <v>0</v>
      </c>
      <c r="AE650" s="203">
        <v>0</v>
      </c>
      <c r="AF650" s="202">
        <v>0</v>
      </c>
      <c r="AG650" s="203">
        <v>0</v>
      </c>
      <c r="AH650" s="202">
        <v>0</v>
      </c>
      <c r="AI650" s="203">
        <v>409.5</v>
      </c>
      <c r="AJ650" s="202">
        <f>7802.61*AI650/I650</f>
        <v>8165.5220930232554</v>
      </c>
      <c r="AK650" s="203">
        <v>0</v>
      </c>
      <c r="AL650" s="203">
        <v>0</v>
      </c>
      <c r="AM650" s="203">
        <v>0</v>
      </c>
      <c r="AN650" s="203"/>
      <c r="AO650" s="203">
        <v>0</v>
      </c>
    </row>
    <row r="651" spans="1:41" s="176" customFormat="1" ht="36" customHeight="1" x14ac:dyDescent="0.25">
      <c r="A651" s="176">
        <v>1</v>
      </c>
      <c r="B651" s="171">
        <f>SUBTOTAL(103,$A$552:A651)</f>
        <v>99</v>
      </c>
      <c r="C651" s="172" t="s">
        <v>462</v>
      </c>
      <c r="D651" s="173">
        <v>1957</v>
      </c>
      <c r="E651" s="173">
        <v>2010</v>
      </c>
      <c r="F651" s="174" t="s">
        <v>267</v>
      </c>
      <c r="G651" s="173">
        <v>2</v>
      </c>
      <c r="H651" s="173" t="s">
        <v>303</v>
      </c>
      <c r="I651" s="177">
        <v>728.8</v>
      </c>
      <c r="J651" s="177">
        <v>720.3</v>
      </c>
      <c r="K651" s="177">
        <v>720.3</v>
      </c>
      <c r="L651" s="206">
        <v>14</v>
      </c>
      <c r="M651" s="173" t="s">
        <v>265</v>
      </c>
      <c r="N651" s="173" t="s">
        <v>341</v>
      </c>
      <c r="O651" s="175" t="s">
        <v>342</v>
      </c>
      <c r="P651" s="170">
        <v>4038383.5199999996</v>
      </c>
      <c r="Q651" s="170">
        <v>0</v>
      </c>
      <c r="R651" s="170">
        <v>0</v>
      </c>
      <c r="S651" s="170">
        <f t="shared" si="77"/>
        <v>4038383.5199999996</v>
      </c>
      <c r="T651" s="170">
        <f t="shared" si="62"/>
        <v>5541.140944017563</v>
      </c>
      <c r="U651" s="170">
        <v>4735.5</v>
      </c>
      <c r="V651" s="202">
        <f t="shared" si="76"/>
        <v>-805.64094401756302</v>
      </c>
      <c r="W651" s="202">
        <f t="shared" si="78"/>
        <v>4523.83</v>
      </c>
      <c r="X651" s="202">
        <v>101.55</v>
      </c>
      <c r="Y651" s="203">
        <v>0</v>
      </c>
      <c r="Z651" s="203">
        <v>3626.97</v>
      </c>
      <c r="AA651" s="203">
        <v>0</v>
      </c>
      <c r="AB651" s="203">
        <v>795.31</v>
      </c>
      <c r="AC651" s="203">
        <v>0</v>
      </c>
      <c r="AD651" s="203">
        <v>0</v>
      </c>
      <c r="AE651" s="203">
        <v>0</v>
      </c>
      <c r="AF651" s="202">
        <v>0</v>
      </c>
      <c r="AG651" s="203">
        <v>0</v>
      </c>
      <c r="AH651" s="202">
        <v>0</v>
      </c>
      <c r="AI651" s="203">
        <v>0</v>
      </c>
      <c r="AJ651" s="202">
        <v>0</v>
      </c>
      <c r="AK651" s="203">
        <v>0</v>
      </c>
      <c r="AL651" s="203">
        <v>0</v>
      </c>
      <c r="AM651" s="203">
        <v>0</v>
      </c>
      <c r="AN651" s="203"/>
      <c r="AO651" s="203">
        <v>0</v>
      </c>
    </row>
    <row r="652" spans="1:41" s="176" customFormat="1" ht="36" customHeight="1" x14ac:dyDescent="0.25">
      <c r="A652" s="176">
        <v>1</v>
      </c>
      <c r="B652" s="171">
        <f>SUBTOTAL(103,$A$552:A652)</f>
        <v>100</v>
      </c>
      <c r="C652" s="172" t="s">
        <v>463</v>
      </c>
      <c r="D652" s="173">
        <v>1976</v>
      </c>
      <c r="E652" s="173">
        <v>2008</v>
      </c>
      <c r="F652" s="174" t="s">
        <v>311</v>
      </c>
      <c r="G652" s="173">
        <v>5</v>
      </c>
      <c r="H652" s="173" t="s">
        <v>2252</v>
      </c>
      <c r="I652" s="177">
        <v>7722.2</v>
      </c>
      <c r="J652" s="177">
        <v>7705.8</v>
      </c>
      <c r="K652" s="177">
        <v>7705.8</v>
      </c>
      <c r="L652" s="206">
        <v>351</v>
      </c>
      <c r="M652" s="173" t="s">
        <v>265</v>
      </c>
      <c r="N652" s="173" t="s">
        <v>269</v>
      </c>
      <c r="O652" s="175" t="s">
        <v>343</v>
      </c>
      <c r="P652" s="170">
        <v>7926122.8699999992</v>
      </c>
      <c r="Q652" s="170">
        <v>0</v>
      </c>
      <c r="R652" s="170">
        <v>0</v>
      </c>
      <c r="S652" s="170">
        <f t="shared" si="77"/>
        <v>7926122.8699999992</v>
      </c>
      <c r="T652" s="170">
        <f t="shared" si="62"/>
        <v>1026.4073541218822</v>
      </c>
      <c r="U652" s="170">
        <v>2561.7509425422809</v>
      </c>
      <c r="V652" s="202">
        <f t="shared" si="76"/>
        <v>1535.3435884203986</v>
      </c>
      <c r="W652" s="202">
        <f t="shared" si="78"/>
        <v>2483.0978140296802</v>
      </c>
      <c r="X652" s="202">
        <v>0</v>
      </c>
      <c r="Y652" s="203">
        <v>0</v>
      </c>
      <c r="Z652" s="203">
        <v>0</v>
      </c>
      <c r="AA652" s="203">
        <v>0</v>
      </c>
      <c r="AB652" s="203">
        <v>0</v>
      </c>
      <c r="AC652" s="203">
        <v>0</v>
      </c>
      <c r="AD652" s="203">
        <v>0</v>
      </c>
      <c r="AE652" s="203">
        <v>3073.45</v>
      </c>
      <c r="AF652" s="202">
        <f t="shared" ref="AF652:AF659" si="79">6238.91*AE652/I652</f>
        <v>2483.0978140296802</v>
      </c>
      <c r="AG652" s="203">
        <v>0</v>
      </c>
      <c r="AH652" s="202">
        <v>0</v>
      </c>
      <c r="AI652" s="203">
        <v>0</v>
      </c>
      <c r="AJ652" s="202">
        <v>0</v>
      </c>
      <c r="AK652" s="203">
        <v>0</v>
      </c>
      <c r="AL652" s="203">
        <v>0</v>
      </c>
      <c r="AM652" s="203">
        <v>0</v>
      </c>
      <c r="AN652" s="203"/>
      <c r="AO652" s="203">
        <v>0</v>
      </c>
    </row>
    <row r="653" spans="1:41" s="176" customFormat="1" ht="36" customHeight="1" x14ac:dyDescent="0.25">
      <c r="A653" s="176">
        <v>1</v>
      </c>
      <c r="B653" s="171">
        <f>SUBTOTAL(103,$A$552:A653)</f>
        <v>101</v>
      </c>
      <c r="C653" s="172" t="s">
        <v>443</v>
      </c>
      <c r="D653" s="173">
        <v>1969</v>
      </c>
      <c r="E653" s="173"/>
      <c r="F653" s="174" t="s">
        <v>267</v>
      </c>
      <c r="G653" s="173">
        <v>2</v>
      </c>
      <c r="H653" s="173" t="s">
        <v>303</v>
      </c>
      <c r="I653" s="170">
        <v>725.2</v>
      </c>
      <c r="J653" s="170">
        <v>674.9</v>
      </c>
      <c r="K653" s="170">
        <v>674.9</v>
      </c>
      <c r="L653" s="206">
        <v>25</v>
      </c>
      <c r="M653" s="173" t="s">
        <v>265</v>
      </c>
      <c r="N653" s="173" t="s">
        <v>266</v>
      </c>
      <c r="O653" s="175" t="s">
        <v>268</v>
      </c>
      <c r="P653" s="170">
        <v>4800723</v>
      </c>
      <c r="Q653" s="170">
        <v>0</v>
      </c>
      <c r="R653" s="170">
        <v>0</v>
      </c>
      <c r="S653" s="170">
        <f t="shared" si="77"/>
        <v>4800723</v>
      </c>
      <c r="T653" s="170">
        <f t="shared" si="62"/>
        <v>6619.860728075013</v>
      </c>
      <c r="U653" s="170">
        <v>7544.1953943739654</v>
      </c>
      <c r="V653" s="202">
        <f t="shared" si="76"/>
        <v>924.33466629895247</v>
      </c>
      <c r="W653" s="202">
        <f t="shared" si="78"/>
        <v>7312.5668781025915</v>
      </c>
      <c r="X653" s="202">
        <v>0</v>
      </c>
      <c r="Y653" s="203">
        <v>0</v>
      </c>
      <c r="Z653" s="203">
        <v>0</v>
      </c>
      <c r="AA653" s="203">
        <v>0</v>
      </c>
      <c r="AB653" s="203">
        <v>0</v>
      </c>
      <c r="AC653" s="203">
        <v>0</v>
      </c>
      <c r="AD653" s="203">
        <v>0</v>
      </c>
      <c r="AE653" s="203">
        <v>850</v>
      </c>
      <c r="AF653" s="202">
        <f t="shared" si="79"/>
        <v>7312.5668781025915</v>
      </c>
      <c r="AG653" s="203">
        <v>0</v>
      </c>
      <c r="AH653" s="202">
        <v>0</v>
      </c>
      <c r="AI653" s="203">
        <v>0</v>
      </c>
      <c r="AJ653" s="202">
        <v>0</v>
      </c>
      <c r="AK653" s="203">
        <v>0</v>
      </c>
      <c r="AL653" s="203">
        <v>0</v>
      </c>
      <c r="AM653" s="203">
        <v>0</v>
      </c>
      <c r="AN653" s="203"/>
      <c r="AO653" s="203">
        <v>0</v>
      </c>
    </row>
    <row r="654" spans="1:41" s="176" customFormat="1" ht="36" customHeight="1" x14ac:dyDescent="0.25">
      <c r="A654" s="176">
        <v>1</v>
      </c>
      <c r="B654" s="171">
        <f>SUBTOTAL(103,$A$552:A654)</f>
        <v>102</v>
      </c>
      <c r="C654" s="172" t="s">
        <v>1276</v>
      </c>
      <c r="D654" s="173">
        <v>1970</v>
      </c>
      <c r="E654" s="173"/>
      <c r="F654" s="174" t="s">
        <v>267</v>
      </c>
      <c r="G654" s="173">
        <v>2</v>
      </c>
      <c r="H654" s="173" t="s">
        <v>303</v>
      </c>
      <c r="I654" s="177">
        <v>781.5</v>
      </c>
      <c r="J654" s="177">
        <v>722.4</v>
      </c>
      <c r="K654" s="177">
        <v>722.4</v>
      </c>
      <c r="L654" s="206">
        <v>29</v>
      </c>
      <c r="M654" s="173" t="s">
        <v>265</v>
      </c>
      <c r="N654" s="173" t="s">
        <v>266</v>
      </c>
      <c r="O654" s="175" t="s">
        <v>268</v>
      </c>
      <c r="P654" s="170">
        <v>3854496</v>
      </c>
      <c r="Q654" s="170">
        <v>0</v>
      </c>
      <c r="R654" s="170">
        <v>0</v>
      </c>
      <c r="S654" s="170">
        <f t="shared" si="77"/>
        <v>3854496</v>
      </c>
      <c r="T654" s="170">
        <f t="shared" si="62"/>
        <v>4932.1765834932821</v>
      </c>
      <c r="U654" s="170">
        <v>5902.66451746641</v>
      </c>
      <c r="V654" s="202">
        <f t="shared" si="76"/>
        <v>970.48793397312784</v>
      </c>
      <c r="W654" s="202">
        <f t="shared" si="78"/>
        <v>5721.4357246321169</v>
      </c>
      <c r="X654" s="202">
        <v>0</v>
      </c>
      <c r="Y654" s="203">
        <v>0</v>
      </c>
      <c r="Z654" s="203">
        <v>0</v>
      </c>
      <c r="AA654" s="203">
        <v>0</v>
      </c>
      <c r="AB654" s="203">
        <v>0</v>
      </c>
      <c r="AC654" s="203">
        <v>0</v>
      </c>
      <c r="AD654" s="203">
        <v>0</v>
      </c>
      <c r="AE654" s="203">
        <v>716.68</v>
      </c>
      <c r="AF654" s="202">
        <f t="shared" si="79"/>
        <v>5721.4357246321169</v>
      </c>
      <c r="AG654" s="203">
        <v>0</v>
      </c>
      <c r="AH654" s="202">
        <v>0</v>
      </c>
      <c r="AI654" s="203">
        <v>0</v>
      </c>
      <c r="AJ654" s="202">
        <v>0</v>
      </c>
      <c r="AK654" s="203">
        <v>0</v>
      </c>
      <c r="AL654" s="203">
        <v>0</v>
      </c>
      <c r="AM654" s="203">
        <v>0</v>
      </c>
      <c r="AN654" s="203"/>
      <c r="AO654" s="203">
        <v>0</v>
      </c>
    </row>
    <row r="655" spans="1:41" s="176" customFormat="1" ht="36" customHeight="1" x14ac:dyDescent="0.25">
      <c r="A655" s="176">
        <v>1</v>
      </c>
      <c r="B655" s="171">
        <f>SUBTOTAL(103,$A$552:A655)</f>
        <v>103</v>
      </c>
      <c r="C655" s="172" t="s">
        <v>461</v>
      </c>
      <c r="D655" s="173">
        <v>1971</v>
      </c>
      <c r="E655" s="173"/>
      <c r="F655" s="174" t="s">
        <v>267</v>
      </c>
      <c r="G655" s="173">
        <v>2</v>
      </c>
      <c r="H655" s="173" t="s">
        <v>303</v>
      </c>
      <c r="I655" s="177">
        <v>775.3</v>
      </c>
      <c r="J655" s="177">
        <v>716.1</v>
      </c>
      <c r="K655" s="177">
        <v>716.1</v>
      </c>
      <c r="L655" s="206">
        <v>35</v>
      </c>
      <c r="M655" s="173" t="s">
        <v>265</v>
      </c>
      <c r="N655" s="173" t="s">
        <v>266</v>
      </c>
      <c r="O655" s="175" t="s">
        <v>268</v>
      </c>
      <c r="P655" s="170">
        <v>3793636.92</v>
      </c>
      <c r="Q655" s="170">
        <v>0</v>
      </c>
      <c r="R655" s="170">
        <v>0</v>
      </c>
      <c r="S655" s="170">
        <f t="shared" si="77"/>
        <v>3793636.92</v>
      </c>
      <c r="T655" s="170">
        <f t="shared" ref="T655:T717" si="80">P655/I655</f>
        <v>4893.1212691861219</v>
      </c>
      <c r="U655" s="170">
        <v>6010.638101380111</v>
      </c>
      <c r="V655" s="202">
        <f t="shared" si="76"/>
        <v>1117.5168321939891</v>
      </c>
      <c r="W655" s="202">
        <f t="shared" si="78"/>
        <v>5826.0942086934092</v>
      </c>
      <c r="X655" s="202">
        <v>0</v>
      </c>
      <c r="Y655" s="203">
        <v>0</v>
      </c>
      <c r="Z655" s="203">
        <v>0</v>
      </c>
      <c r="AA655" s="203">
        <v>0</v>
      </c>
      <c r="AB655" s="203">
        <v>0</v>
      </c>
      <c r="AC655" s="203">
        <v>0</v>
      </c>
      <c r="AD655" s="203">
        <v>0</v>
      </c>
      <c r="AE655" s="203">
        <v>724</v>
      </c>
      <c r="AF655" s="202">
        <f t="shared" si="79"/>
        <v>5826.0942086934092</v>
      </c>
      <c r="AG655" s="203">
        <v>0</v>
      </c>
      <c r="AH655" s="202">
        <v>0</v>
      </c>
      <c r="AI655" s="203">
        <v>0</v>
      </c>
      <c r="AJ655" s="202">
        <v>0</v>
      </c>
      <c r="AK655" s="203">
        <v>0</v>
      </c>
      <c r="AL655" s="203">
        <v>0</v>
      </c>
      <c r="AM655" s="203">
        <v>0</v>
      </c>
      <c r="AN655" s="203"/>
      <c r="AO655" s="203">
        <v>0</v>
      </c>
    </row>
    <row r="656" spans="1:41" s="176" customFormat="1" ht="36" customHeight="1" x14ac:dyDescent="0.25">
      <c r="A656" s="176">
        <v>1</v>
      </c>
      <c r="B656" s="171">
        <f>SUBTOTAL(103,$A$552:A656)</f>
        <v>104</v>
      </c>
      <c r="C656" s="172" t="s">
        <v>1611</v>
      </c>
      <c r="D656" s="173">
        <v>1959</v>
      </c>
      <c r="E656" s="173"/>
      <c r="F656" s="174" t="s">
        <v>1332</v>
      </c>
      <c r="G656" s="173">
        <v>2</v>
      </c>
      <c r="H656" s="173" t="s">
        <v>303</v>
      </c>
      <c r="I656" s="177">
        <v>693.8</v>
      </c>
      <c r="J656" s="177">
        <v>645.20000000000005</v>
      </c>
      <c r="K656" s="177">
        <v>573.4</v>
      </c>
      <c r="L656" s="206">
        <v>22</v>
      </c>
      <c r="M656" s="173" t="s">
        <v>265</v>
      </c>
      <c r="N656" s="173" t="s">
        <v>266</v>
      </c>
      <c r="O656" s="175" t="s">
        <v>268</v>
      </c>
      <c r="P656" s="170">
        <v>3607695.84</v>
      </c>
      <c r="Q656" s="170">
        <v>0</v>
      </c>
      <c r="R656" s="170">
        <v>0</v>
      </c>
      <c r="S656" s="170">
        <f t="shared" si="77"/>
        <v>3607695.84</v>
      </c>
      <c r="T656" s="170">
        <f t="shared" si="80"/>
        <v>5199.9075237820698</v>
      </c>
      <c r="U656" s="170">
        <v>5822.3785356010385</v>
      </c>
      <c r="V656" s="202">
        <f t="shared" si="76"/>
        <v>622.47101181896869</v>
      </c>
      <c r="W656" s="202">
        <f t="shared" si="78"/>
        <v>5643.6147535312775</v>
      </c>
      <c r="X656" s="202">
        <v>0</v>
      </c>
      <c r="Y656" s="203">
        <v>0</v>
      </c>
      <c r="Z656" s="203">
        <v>0</v>
      </c>
      <c r="AA656" s="203">
        <v>0</v>
      </c>
      <c r="AB656" s="203">
        <v>0</v>
      </c>
      <c r="AC656" s="203">
        <v>0</v>
      </c>
      <c r="AD656" s="203">
        <v>0</v>
      </c>
      <c r="AE656" s="203">
        <v>627.6</v>
      </c>
      <c r="AF656" s="202">
        <f t="shared" si="79"/>
        <v>5643.6147535312775</v>
      </c>
      <c r="AG656" s="203">
        <v>0</v>
      </c>
      <c r="AH656" s="202">
        <v>0</v>
      </c>
      <c r="AI656" s="203">
        <v>0</v>
      </c>
      <c r="AJ656" s="202">
        <v>0</v>
      </c>
      <c r="AK656" s="203">
        <v>0</v>
      </c>
      <c r="AL656" s="203">
        <v>0</v>
      </c>
      <c r="AM656" s="203">
        <v>0</v>
      </c>
      <c r="AN656" s="203"/>
      <c r="AO656" s="203">
        <v>0</v>
      </c>
    </row>
    <row r="657" spans="1:41" s="176" customFormat="1" ht="36" customHeight="1" x14ac:dyDescent="0.25">
      <c r="A657" s="176">
        <v>1</v>
      </c>
      <c r="B657" s="171">
        <f>SUBTOTAL(103,$A$552:A657)</f>
        <v>105</v>
      </c>
      <c r="C657" s="172" t="s">
        <v>1612</v>
      </c>
      <c r="D657" s="173">
        <v>1959</v>
      </c>
      <c r="E657" s="173"/>
      <c r="F657" s="174" t="s">
        <v>1332</v>
      </c>
      <c r="G657" s="173">
        <v>2</v>
      </c>
      <c r="H657" s="173" t="s">
        <v>304</v>
      </c>
      <c r="I657" s="177">
        <v>301.39999999999998</v>
      </c>
      <c r="J657" s="177">
        <v>280.39999999999998</v>
      </c>
      <c r="K657" s="177">
        <v>280.39999999999998</v>
      </c>
      <c r="L657" s="206">
        <v>17</v>
      </c>
      <c r="M657" s="173" t="s">
        <v>265</v>
      </c>
      <c r="N657" s="173" t="s">
        <v>266</v>
      </c>
      <c r="O657" s="175" t="s">
        <v>268</v>
      </c>
      <c r="P657" s="170">
        <v>1597480.36</v>
      </c>
      <c r="Q657" s="170">
        <v>0</v>
      </c>
      <c r="R657" s="170">
        <v>0</v>
      </c>
      <c r="S657" s="170">
        <f t="shared" si="77"/>
        <v>1597480.36</v>
      </c>
      <c r="T657" s="170">
        <f t="shared" si="80"/>
        <v>5300.2002654280031</v>
      </c>
      <c r="U657" s="170">
        <v>5934.6771300597211</v>
      </c>
      <c r="V657" s="202">
        <f t="shared" si="76"/>
        <v>634.47686463171794</v>
      </c>
      <c r="W657" s="202">
        <f t="shared" si="78"/>
        <v>5752.4654578633044</v>
      </c>
      <c r="X657" s="202">
        <v>0</v>
      </c>
      <c r="Y657" s="203">
        <v>0</v>
      </c>
      <c r="Z657" s="203">
        <v>0</v>
      </c>
      <c r="AA657" s="203">
        <v>0</v>
      </c>
      <c r="AB657" s="203">
        <v>0</v>
      </c>
      <c r="AC657" s="203">
        <v>0</v>
      </c>
      <c r="AD657" s="203">
        <v>0</v>
      </c>
      <c r="AE657" s="203">
        <v>277.89999999999998</v>
      </c>
      <c r="AF657" s="202">
        <f t="shared" si="79"/>
        <v>5752.4654578633044</v>
      </c>
      <c r="AG657" s="203">
        <v>0</v>
      </c>
      <c r="AH657" s="202">
        <v>0</v>
      </c>
      <c r="AI657" s="203">
        <v>0</v>
      </c>
      <c r="AJ657" s="202">
        <v>0</v>
      </c>
      <c r="AK657" s="203">
        <v>0</v>
      </c>
      <c r="AL657" s="203">
        <v>0</v>
      </c>
      <c r="AM657" s="203">
        <v>0</v>
      </c>
      <c r="AN657" s="203"/>
      <c r="AO657" s="203">
        <v>0</v>
      </c>
    </row>
    <row r="658" spans="1:41" s="176" customFormat="1" ht="36" customHeight="1" x14ac:dyDescent="0.25">
      <c r="A658" s="176">
        <v>1</v>
      </c>
      <c r="B658" s="171">
        <f>SUBTOTAL(103,$A$552:A658)</f>
        <v>106</v>
      </c>
      <c r="C658" s="172" t="s">
        <v>1613</v>
      </c>
      <c r="D658" s="173">
        <v>1962</v>
      </c>
      <c r="E658" s="173"/>
      <c r="F658" s="174" t="s">
        <v>1332</v>
      </c>
      <c r="G658" s="173">
        <v>2</v>
      </c>
      <c r="H658" s="173" t="s">
        <v>303</v>
      </c>
      <c r="I658" s="177">
        <v>585.91</v>
      </c>
      <c r="J658" s="177">
        <v>546.5</v>
      </c>
      <c r="K658" s="177">
        <v>546.5</v>
      </c>
      <c r="L658" s="206">
        <v>38</v>
      </c>
      <c r="M658" s="173" t="s">
        <v>265</v>
      </c>
      <c r="N658" s="173" t="s">
        <v>266</v>
      </c>
      <c r="O658" s="175" t="s">
        <v>268</v>
      </c>
      <c r="P658" s="170">
        <v>3132303.1599999997</v>
      </c>
      <c r="Q658" s="170">
        <v>0</v>
      </c>
      <c r="R658" s="170">
        <v>0</v>
      </c>
      <c r="S658" s="170">
        <f t="shared" si="77"/>
        <v>3132303.1599999997</v>
      </c>
      <c r="T658" s="170">
        <f t="shared" si="80"/>
        <v>5346.0483009335903</v>
      </c>
      <c r="U658" s="170">
        <v>5986.0135464491132</v>
      </c>
      <c r="V658" s="202">
        <f t="shared" si="76"/>
        <v>639.96524551552284</v>
      </c>
      <c r="W658" s="202">
        <f t="shared" si="78"/>
        <v>5802.225698486116</v>
      </c>
      <c r="X658" s="202">
        <v>0</v>
      </c>
      <c r="Y658" s="203">
        <v>0</v>
      </c>
      <c r="Z658" s="203">
        <v>0</v>
      </c>
      <c r="AA658" s="203">
        <v>0</v>
      </c>
      <c r="AB658" s="203">
        <v>0</v>
      </c>
      <c r="AC658" s="203">
        <v>0</v>
      </c>
      <c r="AD658" s="203">
        <v>0</v>
      </c>
      <c r="AE658" s="203">
        <v>544.9</v>
      </c>
      <c r="AF658" s="202">
        <f t="shared" si="79"/>
        <v>5802.225698486116</v>
      </c>
      <c r="AG658" s="203">
        <v>0</v>
      </c>
      <c r="AH658" s="202">
        <v>0</v>
      </c>
      <c r="AI658" s="203">
        <v>0</v>
      </c>
      <c r="AJ658" s="202">
        <v>0</v>
      </c>
      <c r="AK658" s="203">
        <v>0</v>
      </c>
      <c r="AL658" s="203">
        <v>0</v>
      </c>
      <c r="AM658" s="203">
        <v>0</v>
      </c>
      <c r="AN658" s="203"/>
      <c r="AO658" s="203">
        <v>0</v>
      </c>
    </row>
    <row r="659" spans="1:41" s="176" customFormat="1" ht="36" customHeight="1" x14ac:dyDescent="0.25">
      <c r="A659" s="176">
        <v>1</v>
      </c>
      <c r="B659" s="171">
        <f>SUBTOTAL(103,$A$552:A659)</f>
        <v>107</v>
      </c>
      <c r="C659" s="172" t="s">
        <v>1614</v>
      </c>
      <c r="D659" s="173">
        <v>1966</v>
      </c>
      <c r="E659" s="173"/>
      <c r="F659" s="174" t="s">
        <v>1332</v>
      </c>
      <c r="G659" s="173">
        <v>2</v>
      </c>
      <c r="H659" s="173" t="s">
        <v>303</v>
      </c>
      <c r="I659" s="177">
        <v>462.3</v>
      </c>
      <c r="J659" s="177">
        <v>462.3</v>
      </c>
      <c r="K659" s="177">
        <v>462.3</v>
      </c>
      <c r="L659" s="206">
        <v>32</v>
      </c>
      <c r="M659" s="173" t="s">
        <v>265</v>
      </c>
      <c r="N659" s="173" t="s">
        <v>266</v>
      </c>
      <c r="O659" s="175" t="s">
        <v>268</v>
      </c>
      <c r="P659" s="170">
        <v>1937212.2999999998</v>
      </c>
      <c r="Q659" s="170">
        <v>0</v>
      </c>
      <c r="R659" s="170">
        <v>0</v>
      </c>
      <c r="S659" s="170">
        <f t="shared" si="77"/>
        <v>1937212.2999999998</v>
      </c>
      <c r="T659" s="170">
        <f t="shared" si="80"/>
        <v>4190.3791910015134</v>
      </c>
      <c r="U659" s="170">
        <v>4691.9978585334193</v>
      </c>
      <c r="V659" s="202">
        <f t="shared" si="76"/>
        <v>501.61866753190588</v>
      </c>
      <c r="W659" s="202">
        <f t="shared" si="78"/>
        <v>4547.9400173047798</v>
      </c>
      <c r="X659" s="202">
        <v>0</v>
      </c>
      <c r="Y659" s="203">
        <v>0</v>
      </c>
      <c r="Z659" s="203">
        <v>0</v>
      </c>
      <c r="AA659" s="203">
        <v>0</v>
      </c>
      <c r="AB659" s="203">
        <v>0</v>
      </c>
      <c r="AC659" s="203">
        <v>0</v>
      </c>
      <c r="AD659" s="203">
        <v>0</v>
      </c>
      <c r="AE659" s="203">
        <v>337</v>
      </c>
      <c r="AF659" s="202">
        <f t="shared" si="79"/>
        <v>4547.9400173047798</v>
      </c>
      <c r="AG659" s="203">
        <v>0</v>
      </c>
      <c r="AH659" s="202">
        <v>0</v>
      </c>
      <c r="AI659" s="203">
        <v>0</v>
      </c>
      <c r="AJ659" s="202">
        <v>0</v>
      </c>
      <c r="AK659" s="203">
        <v>0</v>
      </c>
      <c r="AL659" s="203">
        <v>0</v>
      </c>
      <c r="AM659" s="203">
        <v>0</v>
      </c>
      <c r="AN659" s="203"/>
      <c r="AO659" s="203">
        <v>0</v>
      </c>
    </row>
    <row r="660" spans="1:41" s="176" customFormat="1" ht="36" customHeight="1" x14ac:dyDescent="0.25">
      <c r="A660" s="176">
        <v>1</v>
      </c>
      <c r="B660" s="171">
        <f>SUBTOTAL(103,$A$552:A660)</f>
        <v>108</v>
      </c>
      <c r="C660" s="172" t="s">
        <v>474</v>
      </c>
      <c r="D660" s="173">
        <v>1958</v>
      </c>
      <c r="E660" s="173"/>
      <c r="F660" s="174" t="s">
        <v>267</v>
      </c>
      <c r="G660" s="173">
        <v>2</v>
      </c>
      <c r="H660" s="173" t="s">
        <v>304</v>
      </c>
      <c r="I660" s="170">
        <v>660.3</v>
      </c>
      <c r="J660" s="170">
        <v>660.3</v>
      </c>
      <c r="K660" s="170">
        <v>660.3</v>
      </c>
      <c r="L660" s="206">
        <v>17</v>
      </c>
      <c r="M660" s="173" t="s">
        <v>265</v>
      </c>
      <c r="N660" s="173" t="s">
        <v>341</v>
      </c>
      <c r="O660" s="175" t="s">
        <v>342</v>
      </c>
      <c r="P660" s="170">
        <v>2847699.39</v>
      </c>
      <c r="Q660" s="170">
        <v>0</v>
      </c>
      <c r="R660" s="170">
        <v>0</v>
      </c>
      <c r="S660" s="170">
        <f t="shared" si="77"/>
        <v>2847699.39</v>
      </c>
      <c r="T660" s="170">
        <f t="shared" si="80"/>
        <v>4312.7357110404364</v>
      </c>
      <c r="U660" s="170">
        <v>4971.422535211268</v>
      </c>
      <c r="V660" s="202">
        <f t="shared" si="76"/>
        <v>658.68682417083164</v>
      </c>
      <c r="W660" s="202">
        <f>X660+Y660+Z660+AA660+AB660+AD660+AF660+AH660+AJ660+AL660+AN660+AO660</f>
        <v>3259.66</v>
      </c>
      <c r="X660" s="202">
        <v>0</v>
      </c>
      <c r="Y660" s="203">
        <v>0</v>
      </c>
      <c r="Z660" s="203">
        <v>3259.66</v>
      </c>
      <c r="AA660" s="203">
        <v>0</v>
      </c>
      <c r="AB660" s="203">
        <v>0</v>
      </c>
      <c r="AC660" s="203">
        <v>0</v>
      </c>
      <c r="AD660" s="203">
        <v>0</v>
      </c>
      <c r="AE660" s="203">
        <v>0</v>
      </c>
      <c r="AF660" s="202">
        <v>0</v>
      </c>
      <c r="AG660" s="203">
        <v>0</v>
      </c>
      <c r="AH660" s="202">
        <v>0</v>
      </c>
      <c r="AI660" s="203">
        <v>0</v>
      </c>
      <c r="AJ660" s="202">
        <v>0</v>
      </c>
      <c r="AK660" s="203">
        <v>0</v>
      </c>
      <c r="AL660" s="203">
        <v>0</v>
      </c>
      <c r="AM660" s="203">
        <v>0</v>
      </c>
      <c r="AN660" s="203"/>
      <c r="AO660" s="203">
        <v>0</v>
      </c>
    </row>
    <row r="661" spans="1:41" s="176" customFormat="1" ht="36" customHeight="1" x14ac:dyDescent="0.25">
      <c r="A661" s="176">
        <v>1</v>
      </c>
      <c r="B661" s="171">
        <f>SUBTOTAL(103,$A$552:A661)</f>
        <v>109</v>
      </c>
      <c r="C661" s="172" t="s">
        <v>1125</v>
      </c>
      <c r="D661" s="173">
        <v>1933</v>
      </c>
      <c r="E661" s="173">
        <v>2008</v>
      </c>
      <c r="F661" s="174" t="s">
        <v>267</v>
      </c>
      <c r="G661" s="173">
        <v>3</v>
      </c>
      <c r="H661" s="173" t="s">
        <v>308</v>
      </c>
      <c r="I661" s="170">
        <v>1863.4</v>
      </c>
      <c r="J661" s="170">
        <v>1677.4</v>
      </c>
      <c r="K661" s="170">
        <v>1677.4</v>
      </c>
      <c r="L661" s="206">
        <v>86</v>
      </c>
      <c r="M661" s="173" t="s">
        <v>265</v>
      </c>
      <c r="N661" s="173" t="s">
        <v>269</v>
      </c>
      <c r="O661" s="175" t="s">
        <v>346</v>
      </c>
      <c r="P661" s="170">
        <v>2152387.4200000004</v>
      </c>
      <c r="Q661" s="170">
        <v>0</v>
      </c>
      <c r="R661" s="170">
        <v>0</v>
      </c>
      <c r="S661" s="170">
        <f t="shared" si="77"/>
        <v>2152387.4200000004</v>
      </c>
      <c r="T661" s="170">
        <f t="shared" si="80"/>
        <v>1155.086089943115</v>
      </c>
      <c r="U661" s="170">
        <v>3626.97</v>
      </c>
      <c r="V661" s="202">
        <f t="shared" si="76"/>
        <v>2471.8839100568848</v>
      </c>
      <c r="W661" s="202">
        <f>X661+Y661+Z661+AA661+AB661+AD661+AF661+AH661+AJ661+AL661+AN661+AO661</f>
        <v>3259.66</v>
      </c>
      <c r="X661" s="202">
        <v>0</v>
      </c>
      <c r="Y661" s="203">
        <v>0</v>
      </c>
      <c r="Z661" s="203">
        <v>3259.66</v>
      </c>
      <c r="AA661" s="203">
        <v>0</v>
      </c>
      <c r="AB661" s="203">
        <v>0</v>
      </c>
      <c r="AC661" s="203">
        <v>0</v>
      </c>
      <c r="AD661" s="203">
        <v>0</v>
      </c>
      <c r="AE661" s="203">
        <v>0</v>
      </c>
      <c r="AF661" s="202">
        <v>0</v>
      </c>
      <c r="AG661" s="203">
        <v>0</v>
      </c>
      <c r="AH661" s="202">
        <v>0</v>
      </c>
      <c r="AI661" s="203">
        <v>0</v>
      </c>
      <c r="AJ661" s="202">
        <v>0</v>
      </c>
      <c r="AK661" s="203">
        <v>0</v>
      </c>
      <c r="AL661" s="203">
        <v>0</v>
      </c>
      <c r="AM661" s="203">
        <v>0</v>
      </c>
      <c r="AN661" s="203"/>
      <c r="AO661" s="203">
        <v>0</v>
      </c>
    </row>
    <row r="662" spans="1:41" s="176" customFormat="1" ht="36" customHeight="1" x14ac:dyDescent="0.25">
      <c r="A662" s="176">
        <v>1</v>
      </c>
      <c r="B662" s="171">
        <f>SUBTOTAL(103,$A$552:A662)</f>
        <v>110</v>
      </c>
      <c r="C662" s="172" t="s">
        <v>1130</v>
      </c>
      <c r="D662" s="173">
        <v>1964</v>
      </c>
      <c r="E662" s="173"/>
      <c r="F662" s="174" t="s">
        <v>267</v>
      </c>
      <c r="G662" s="173">
        <v>2</v>
      </c>
      <c r="H662" s="173" t="s">
        <v>304</v>
      </c>
      <c r="I662" s="170">
        <v>380.8</v>
      </c>
      <c r="J662" s="170">
        <v>380.8</v>
      </c>
      <c r="K662" s="170">
        <v>380.8</v>
      </c>
      <c r="L662" s="206">
        <v>13</v>
      </c>
      <c r="M662" s="173" t="s">
        <v>265</v>
      </c>
      <c r="N662" s="173" t="s">
        <v>266</v>
      </c>
      <c r="O662" s="175" t="s">
        <v>268</v>
      </c>
      <c r="P662" s="170">
        <v>534516.64</v>
      </c>
      <c r="Q662" s="170">
        <v>0</v>
      </c>
      <c r="R662" s="170">
        <v>0</v>
      </c>
      <c r="S662" s="170">
        <f t="shared" si="77"/>
        <v>534516.64</v>
      </c>
      <c r="T662" s="170">
        <f t="shared" si="80"/>
        <v>1403.6676470588236</v>
      </c>
      <c r="U662" s="170">
        <v>3626.97</v>
      </c>
      <c r="V662" s="202">
        <f t="shared" si="76"/>
        <v>2223.3023529411762</v>
      </c>
      <c r="W662" s="202">
        <f>X662+Y662+Z662+AA662+AB662+AD662+AF662+AH662+AJ662+AL662+AN662+AO662</f>
        <v>3259.66</v>
      </c>
      <c r="X662" s="202">
        <v>0</v>
      </c>
      <c r="Y662" s="203">
        <v>0</v>
      </c>
      <c r="Z662" s="203">
        <v>3259.66</v>
      </c>
      <c r="AA662" s="203">
        <v>0</v>
      </c>
      <c r="AB662" s="203">
        <v>0</v>
      </c>
      <c r="AC662" s="203">
        <v>0</v>
      </c>
      <c r="AD662" s="203">
        <v>0</v>
      </c>
      <c r="AE662" s="203">
        <v>0</v>
      </c>
      <c r="AF662" s="202">
        <v>0</v>
      </c>
      <c r="AG662" s="203">
        <v>0</v>
      </c>
      <c r="AH662" s="202">
        <v>0</v>
      </c>
      <c r="AI662" s="203">
        <v>0</v>
      </c>
      <c r="AJ662" s="202">
        <v>0</v>
      </c>
      <c r="AK662" s="203">
        <v>0</v>
      </c>
      <c r="AL662" s="203">
        <v>0</v>
      </c>
      <c r="AM662" s="203">
        <v>0</v>
      </c>
      <c r="AN662" s="203"/>
      <c r="AO662" s="203">
        <v>0</v>
      </c>
    </row>
    <row r="663" spans="1:41" s="176" customFormat="1" ht="36" customHeight="1" x14ac:dyDescent="0.25">
      <c r="A663" s="176">
        <v>1</v>
      </c>
      <c r="B663" s="171">
        <f>SUBTOTAL(103,$A$552:A663)</f>
        <v>111</v>
      </c>
      <c r="C663" s="172" t="s">
        <v>1135</v>
      </c>
      <c r="D663" s="173">
        <v>1977</v>
      </c>
      <c r="E663" s="173">
        <v>2014</v>
      </c>
      <c r="F663" s="174" t="s">
        <v>267</v>
      </c>
      <c r="G663" s="173">
        <v>5</v>
      </c>
      <c r="H663" s="173" t="s">
        <v>308</v>
      </c>
      <c r="I663" s="170">
        <v>3912.3</v>
      </c>
      <c r="J663" s="170">
        <v>3639.1</v>
      </c>
      <c r="K663" s="170">
        <v>2732.3</v>
      </c>
      <c r="L663" s="206">
        <v>140</v>
      </c>
      <c r="M663" s="173" t="s">
        <v>265</v>
      </c>
      <c r="N663" s="173" t="s">
        <v>269</v>
      </c>
      <c r="O663" s="175" t="s">
        <v>1290</v>
      </c>
      <c r="P663" s="170">
        <v>1370144.55</v>
      </c>
      <c r="Q663" s="170">
        <v>0</v>
      </c>
      <c r="R663" s="170">
        <v>0</v>
      </c>
      <c r="S663" s="170">
        <f t="shared" si="77"/>
        <v>1370144.55</v>
      </c>
      <c r="T663" s="170">
        <f t="shared" si="80"/>
        <v>350.2145924392301</v>
      </c>
      <c r="U663" s="170">
        <v>3626.97</v>
      </c>
      <c r="V663" s="202">
        <f t="shared" si="76"/>
        <v>3276.7554075607695</v>
      </c>
      <c r="W663" s="202">
        <f>X663+Y663+Z663+AA663+AB663+AD663+AF663+AH663+AJ663+AL663+AN663+AO663</f>
        <v>4054.97</v>
      </c>
      <c r="X663" s="202">
        <v>0</v>
      </c>
      <c r="Y663" s="203">
        <v>0</v>
      </c>
      <c r="Z663" s="203">
        <v>3259.66</v>
      </c>
      <c r="AA663" s="203">
        <v>0</v>
      </c>
      <c r="AB663" s="203">
        <v>795.31</v>
      </c>
      <c r="AC663" s="203">
        <v>0</v>
      </c>
      <c r="AD663" s="203">
        <v>0</v>
      </c>
      <c r="AE663" s="203">
        <v>0</v>
      </c>
      <c r="AF663" s="202">
        <v>0</v>
      </c>
      <c r="AG663" s="203">
        <v>0</v>
      </c>
      <c r="AH663" s="202">
        <v>0</v>
      </c>
      <c r="AI663" s="203">
        <v>0</v>
      </c>
      <c r="AJ663" s="202">
        <v>0</v>
      </c>
      <c r="AK663" s="203">
        <v>0</v>
      </c>
      <c r="AL663" s="203">
        <v>0</v>
      </c>
      <c r="AM663" s="203">
        <v>0</v>
      </c>
      <c r="AN663" s="203"/>
      <c r="AO663" s="203">
        <v>0</v>
      </c>
    </row>
    <row r="664" spans="1:41" s="176" customFormat="1" ht="36" customHeight="1" x14ac:dyDescent="0.25">
      <c r="A664" s="176">
        <v>1</v>
      </c>
      <c r="B664" s="171">
        <f>SUBTOTAL(103,$A$552:A664)</f>
        <v>112</v>
      </c>
      <c r="C664" s="172" t="s">
        <v>1137</v>
      </c>
      <c r="D664" s="173">
        <v>1985</v>
      </c>
      <c r="E664" s="173">
        <v>2014</v>
      </c>
      <c r="F664" s="174" t="s">
        <v>267</v>
      </c>
      <c r="G664" s="173">
        <v>9</v>
      </c>
      <c r="H664" s="173" t="s">
        <v>312</v>
      </c>
      <c r="I664" s="170">
        <v>7073.4</v>
      </c>
      <c r="J664" s="170">
        <v>6236.1</v>
      </c>
      <c r="K664" s="170">
        <v>5330.6</v>
      </c>
      <c r="L664" s="206">
        <v>229</v>
      </c>
      <c r="M664" s="173" t="s">
        <v>265</v>
      </c>
      <c r="N664" s="173" t="s">
        <v>269</v>
      </c>
      <c r="O664" s="175" t="s">
        <v>1318</v>
      </c>
      <c r="P664" s="170">
        <v>4024964.16</v>
      </c>
      <c r="Q664" s="170">
        <v>0</v>
      </c>
      <c r="R664" s="170">
        <v>0</v>
      </c>
      <c r="S664" s="170">
        <f t="shared" si="77"/>
        <v>4024964.16</v>
      </c>
      <c r="T664" s="170">
        <f t="shared" si="80"/>
        <v>569.02821274069049</v>
      </c>
      <c r="U664" s="170">
        <v>4437.43</v>
      </c>
      <c r="V664" s="202">
        <f t="shared" si="76"/>
        <v>3868.4017872593099</v>
      </c>
      <c r="W664" s="202">
        <f>X664+Y664+Z664+AA664+AB664+AD664+AF664+AH664+AJ664+AL664+AN664+AO664</f>
        <v>473.37050216303339</v>
      </c>
      <c r="X664" s="202">
        <v>0</v>
      </c>
      <c r="Y664" s="203">
        <v>0</v>
      </c>
      <c r="Z664" s="203">
        <v>0</v>
      </c>
      <c r="AA664" s="203">
        <v>0</v>
      </c>
      <c r="AB664" s="203">
        <v>0</v>
      </c>
      <c r="AC664" s="203">
        <v>0</v>
      </c>
      <c r="AD664" s="203">
        <v>0</v>
      </c>
      <c r="AE664" s="203">
        <v>0</v>
      </c>
      <c r="AF664" s="202">
        <v>0</v>
      </c>
      <c r="AG664" s="203">
        <v>0</v>
      </c>
      <c r="AH664" s="202">
        <v>0</v>
      </c>
      <c r="AI664" s="203">
        <v>450.1</v>
      </c>
      <c r="AJ664" s="202">
        <f>7439.1*AI664/I664</f>
        <v>473.37050216303339</v>
      </c>
      <c r="AK664" s="203">
        <v>0</v>
      </c>
      <c r="AL664" s="203">
        <v>0</v>
      </c>
      <c r="AM664" s="203">
        <v>0</v>
      </c>
      <c r="AN664" s="203"/>
      <c r="AO664" s="203">
        <v>0</v>
      </c>
    </row>
    <row r="665" spans="1:41" s="176" customFormat="1" ht="36" customHeight="1" x14ac:dyDescent="0.25">
      <c r="A665" s="176">
        <v>1</v>
      </c>
      <c r="B665" s="171">
        <f>SUBTOTAL(103,$A$552:A665)</f>
        <v>113</v>
      </c>
      <c r="C665" s="172" t="s">
        <v>1133</v>
      </c>
      <c r="D665" s="173">
        <v>1955</v>
      </c>
      <c r="E665" s="173"/>
      <c r="F665" s="174" t="s">
        <v>267</v>
      </c>
      <c r="G665" s="173">
        <v>2</v>
      </c>
      <c r="H665" s="173" t="s">
        <v>304</v>
      </c>
      <c r="I665" s="170">
        <v>388.3</v>
      </c>
      <c r="J665" s="170">
        <v>388.3</v>
      </c>
      <c r="K665" s="170">
        <v>388.3</v>
      </c>
      <c r="L665" s="206">
        <v>24</v>
      </c>
      <c r="M665" s="173" t="s">
        <v>265</v>
      </c>
      <c r="N665" s="173" t="s">
        <v>266</v>
      </c>
      <c r="O665" s="175" t="s">
        <v>268</v>
      </c>
      <c r="P665" s="170">
        <v>1971369.43</v>
      </c>
      <c r="Q665" s="170">
        <v>0</v>
      </c>
      <c r="R665" s="170">
        <v>0</v>
      </c>
      <c r="S665" s="170">
        <f t="shared" si="77"/>
        <v>1971369.43</v>
      </c>
      <c r="T665" s="170">
        <f t="shared" si="80"/>
        <v>5076.9235900077256</v>
      </c>
      <c r="U665" s="170">
        <v>8623.072134947206</v>
      </c>
      <c r="V665" s="202">
        <f t="shared" si="76"/>
        <v>3546.1485449394804</v>
      </c>
      <c r="W665" s="202">
        <f>T665</f>
        <v>5076.9235900077256</v>
      </c>
      <c r="X665" s="202">
        <v>0</v>
      </c>
      <c r="Y665" s="203">
        <v>0</v>
      </c>
      <c r="Z665" s="203">
        <v>0</v>
      </c>
      <c r="AA665" s="203">
        <v>0</v>
      </c>
      <c r="AB665" s="203">
        <v>0</v>
      </c>
      <c r="AC665" s="203">
        <v>0</v>
      </c>
      <c r="AD665" s="203">
        <v>0</v>
      </c>
      <c r="AE665" s="203">
        <v>0</v>
      </c>
      <c r="AF665" s="202">
        <v>0</v>
      </c>
      <c r="AG665" s="203">
        <v>0</v>
      </c>
      <c r="AH665" s="202">
        <v>0</v>
      </c>
      <c r="AI665" s="203">
        <v>538.6</v>
      </c>
      <c r="AJ665" s="202">
        <f>3979.46*AI665/I665</f>
        <v>5519.7969508112283</v>
      </c>
      <c r="AK665" s="203">
        <v>0</v>
      </c>
      <c r="AL665" s="203">
        <v>0</v>
      </c>
      <c r="AM665" s="203">
        <v>0</v>
      </c>
      <c r="AN665" s="203"/>
      <c r="AO665" s="203">
        <v>0</v>
      </c>
    </row>
    <row r="666" spans="1:41" s="176" customFormat="1" ht="36" customHeight="1" x14ac:dyDescent="0.25">
      <c r="A666" s="176">
        <v>1</v>
      </c>
      <c r="B666" s="171">
        <f>SUBTOTAL(103,$A$552:A666)</f>
        <v>114</v>
      </c>
      <c r="C666" s="172" t="s">
        <v>452</v>
      </c>
      <c r="D666" s="173">
        <v>1937</v>
      </c>
      <c r="E666" s="173">
        <v>2010</v>
      </c>
      <c r="F666" s="174" t="s">
        <v>330</v>
      </c>
      <c r="G666" s="173">
        <v>2</v>
      </c>
      <c r="H666" s="173" t="s">
        <v>303</v>
      </c>
      <c r="I666" s="177">
        <v>522</v>
      </c>
      <c r="J666" s="177">
        <v>471.4</v>
      </c>
      <c r="K666" s="177">
        <v>471.4</v>
      </c>
      <c r="L666" s="206">
        <v>22</v>
      </c>
      <c r="M666" s="173" t="s">
        <v>265</v>
      </c>
      <c r="N666" s="173" t="s">
        <v>266</v>
      </c>
      <c r="O666" s="175" t="s">
        <v>268</v>
      </c>
      <c r="P666" s="170">
        <v>2358287.8899999997</v>
      </c>
      <c r="Q666" s="170">
        <v>0</v>
      </c>
      <c r="R666" s="170">
        <v>0</v>
      </c>
      <c r="S666" s="170">
        <f t="shared" si="77"/>
        <v>2358287.8899999997</v>
      </c>
      <c r="T666" s="170">
        <f t="shared" si="80"/>
        <v>4517.7928927203056</v>
      </c>
      <c r="U666" s="170">
        <v>4517.7928927203056</v>
      </c>
      <c r="V666" s="202">
        <f t="shared" si="76"/>
        <v>0</v>
      </c>
      <c r="W666" s="202">
        <f t="shared" si="78"/>
        <v>6095.4867816091955</v>
      </c>
      <c r="X666" s="202">
        <v>0</v>
      </c>
      <c r="Y666" s="203">
        <v>0</v>
      </c>
      <c r="Z666" s="203">
        <v>0</v>
      </c>
      <c r="AA666" s="203">
        <v>0</v>
      </c>
      <c r="AB666" s="203">
        <v>0</v>
      </c>
      <c r="AC666" s="203">
        <v>0</v>
      </c>
      <c r="AD666" s="203">
        <v>0</v>
      </c>
      <c r="AE666" s="203">
        <v>510</v>
      </c>
      <c r="AF666" s="202">
        <f>6238.91*AE666/I666</f>
        <v>6095.4867816091955</v>
      </c>
      <c r="AG666" s="203">
        <v>0</v>
      </c>
      <c r="AH666" s="202">
        <v>0</v>
      </c>
      <c r="AI666" s="203">
        <v>0</v>
      </c>
      <c r="AJ666" s="202">
        <v>0</v>
      </c>
      <c r="AK666" s="203">
        <v>0</v>
      </c>
      <c r="AL666" s="203">
        <v>0</v>
      </c>
      <c r="AM666" s="203">
        <v>0</v>
      </c>
      <c r="AN666" s="203"/>
      <c r="AO666" s="203">
        <v>0</v>
      </c>
    </row>
    <row r="667" spans="1:41" s="176" customFormat="1" ht="36" customHeight="1" x14ac:dyDescent="0.25">
      <c r="A667" s="176">
        <v>1</v>
      </c>
      <c r="B667" s="171">
        <f>SUBTOTAL(103,$A$552:A667)</f>
        <v>115</v>
      </c>
      <c r="C667" s="172" t="s">
        <v>1126</v>
      </c>
      <c r="D667" s="173">
        <v>1928</v>
      </c>
      <c r="E667" s="173"/>
      <c r="F667" s="174" t="s">
        <v>1562</v>
      </c>
      <c r="G667" s="173" t="s">
        <v>303</v>
      </c>
      <c r="H667" s="173" t="s">
        <v>303</v>
      </c>
      <c r="I667" s="170">
        <v>550</v>
      </c>
      <c r="J667" s="170">
        <v>498.3</v>
      </c>
      <c r="K667" s="170">
        <v>498.3</v>
      </c>
      <c r="L667" s="206">
        <v>28</v>
      </c>
      <c r="M667" s="173" t="s">
        <v>265</v>
      </c>
      <c r="N667" s="173" t="s">
        <v>266</v>
      </c>
      <c r="O667" s="175" t="s">
        <v>268</v>
      </c>
      <c r="P667" s="170">
        <v>2333192.16</v>
      </c>
      <c r="Q667" s="170">
        <v>0</v>
      </c>
      <c r="R667" s="170">
        <v>0</v>
      </c>
      <c r="S667" s="170">
        <f t="shared" si="77"/>
        <v>2333192.16</v>
      </c>
      <c r="T667" s="170">
        <f t="shared" si="80"/>
        <v>4242.1675636363643</v>
      </c>
      <c r="U667" s="170">
        <v>10033.85808</v>
      </c>
      <c r="V667" s="202">
        <f t="shared" si="76"/>
        <v>5791.6905163636357</v>
      </c>
      <c r="W667" s="202">
        <f t="shared" si="78"/>
        <v>3259.66</v>
      </c>
      <c r="X667" s="202">
        <v>0</v>
      </c>
      <c r="Y667" s="203">
        <v>0</v>
      </c>
      <c r="Z667" s="203">
        <v>3259.66</v>
      </c>
      <c r="AA667" s="203">
        <v>0</v>
      </c>
      <c r="AB667" s="203">
        <v>0</v>
      </c>
      <c r="AC667" s="203">
        <v>0</v>
      </c>
      <c r="AD667" s="203">
        <v>0</v>
      </c>
      <c r="AE667" s="203">
        <v>0</v>
      </c>
      <c r="AF667" s="202">
        <v>0</v>
      </c>
      <c r="AG667" s="203">
        <v>0</v>
      </c>
      <c r="AH667" s="202">
        <v>0</v>
      </c>
      <c r="AI667" s="203">
        <v>0</v>
      </c>
      <c r="AJ667" s="202">
        <v>0</v>
      </c>
      <c r="AK667" s="203">
        <v>0</v>
      </c>
      <c r="AL667" s="203">
        <v>0</v>
      </c>
      <c r="AM667" s="203">
        <v>0</v>
      </c>
      <c r="AN667" s="203"/>
      <c r="AO667" s="203">
        <v>0</v>
      </c>
    </row>
    <row r="668" spans="1:41" s="176" customFormat="1" ht="36" customHeight="1" x14ac:dyDescent="0.25">
      <c r="A668" s="176">
        <v>1</v>
      </c>
      <c r="B668" s="171">
        <f>SUBTOTAL(103,$A$552:A668)</f>
        <v>116</v>
      </c>
      <c r="C668" s="172" t="s">
        <v>1136</v>
      </c>
      <c r="D668" s="173">
        <v>1970</v>
      </c>
      <c r="E668" s="173"/>
      <c r="F668" s="174" t="s">
        <v>267</v>
      </c>
      <c r="G668" s="173">
        <v>5</v>
      </c>
      <c r="H668" s="173" t="s">
        <v>308</v>
      </c>
      <c r="I668" s="170">
        <v>3635.4</v>
      </c>
      <c r="J668" s="170">
        <v>3360</v>
      </c>
      <c r="K668" s="170">
        <v>3247.2</v>
      </c>
      <c r="L668" s="206">
        <v>167</v>
      </c>
      <c r="M668" s="173" t="s">
        <v>265</v>
      </c>
      <c r="N668" s="173" t="s">
        <v>269</v>
      </c>
      <c r="O668" s="175" t="s">
        <v>1318</v>
      </c>
      <c r="P668" s="170">
        <v>1540784.43</v>
      </c>
      <c r="Q668" s="170">
        <v>0</v>
      </c>
      <c r="R668" s="170">
        <v>0</v>
      </c>
      <c r="S668" s="170">
        <f t="shared" si="77"/>
        <v>1540784.43</v>
      </c>
      <c r="T668" s="170">
        <f t="shared" si="80"/>
        <v>423.82803267865984</v>
      </c>
      <c r="U668" s="170">
        <v>3626.97</v>
      </c>
      <c r="V668" s="202">
        <f t="shared" si="76"/>
        <v>3203.14196732134</v>
      </c>
      <c r="W668" s="202">
        <f t="shared" si="78"/>
        <v>3259.66</v>
      </c>
      <c r="X668" s="202">
        <v>0</v>
      </c>
      <c r="Y668" s="203">
        <v>0</v>
      </c>
      <c r="Z668" s="203">
        <v>3259.66</v>
      </c>
      <c r="AA668" s="203">
        <v>0</v>
      </c>
      <c r="AB668" s="203">
        <v>0</v>
      </c>
      <c r="AC668" s="203">
        <v>0</v>
      </c>
      <c r="AD668" s="203">
        <v>0</v>
      </c>
      <c r="AE668" s="203">
        <v>0</v>
      </c>
      <c r="AF668" s="202">
        <v>0</v>
      </c>
      <c r="AG668" s="203">
        <v>0</v>
      </c>
      <c r="AH668" s="202">
        <v>0</v>
      </c>
      <c r="AI668" s="203">
        <v>0</v>
      </c>
      <c r="AJ668" s="202">
        <v>0</v>
      </c>
      <c r="AK668" s="203">
        <v>0</v>
      </c>
      <c r="AL668" s="203">
        <v>0</v>
      </c>
      <c r="AM668" s="203">
        <v>0</v>
      </c>
      <c r="AN668" s="203"/>
      <c r="AO668" s="203">
        <v>0</v>
      </c>
    </row>
    <row r="669" spans="1:41" s="176" customFormat="1" ht="36" customHeight="1" x14ac:dyDescent="0.25">
      <c r="A669" s="176">
        <v>1</v>
      </c>
      <c r="B669" s="171">
        <f>SUBTOTAL(103,$A$552:A669)</f>
        <v>117</v>
      </c>
      <c r="C669" s="172" t="s">
        <v>460</v>
      </c>
      <c r="D669" s="173">
        <v>1970</v>
      </c>
      <c r="E669" s="173"/>
      <c r="F669" s="174" t="s">
        <v>267</v>
      </c>
      <c r="G669" s="173">
        <v>2</v>
      </c>
      <c r="H669" s="173" t="s">
        <v>303</v>
      </c>
      <c r="I669" s="170">
        <v>794.7</v>
      </c>
      <c r="J669" s="170">
        <v>737.8</v>
      </c>
      <c r="K669" s="170">
        <v>737.8</v>
      </c>
      <c r="L669" s="206">
        <v>38</v>
      </c>
      <c r="M669" s="173" t="s">
        <v>265</v>
      </c>
      <c r="N669" s="173" t="s">
        <v>266</v>
      </c>
      <c r="O669" s="175" t="s">
        <v>268</v>
      </c>
      <c r="P669" s="170">
        <v>2256753.77</v>
      </c>
      <c r="Q669" s="170">
        <v>0</v>
      </c>
      <c r="R669" s="170">
        <v>0</v>
      </c>
      <c r="S669" s="170">
        <f t="shared" si="77"/>
        <v>2256753.77</v>
      </c>
      <c r="T669" s="170">
        <f t="shared" si="80"/>
        <v>2839.7555933056497</v>
      </c>
      <c r="U669" s="170">
        <v>5062.8852434881082</v>
      </c>
      <c r="V669" s="202">
        <f t="shared" si="76"/>
        <v>2223.1296501824586</v>
      </c>
      <c r="W669" s="202">
        <f t="shared" si="78"/>
        <v>3259.66</v>
      </c>
      <c r="X669" s="202">
        <v>0</v>
      </c>
      <c r="Y669" s="203">
        <v>0</v>
      </c>
      <c r="Z669" s="203">
        <v>3259.66</v>
      </c>
      <c r="AA669" s="203">
        <v>0</v>
      </c>
      <c r="AB669" s="203">
        <v>0</v>
      </c>
      <c r="AC669" s="203">
        <v>0</v>
      </c>
      <c r="AD669" s="203">
        <v>0</v>
      </c>
      <c r="AE669" s="203">
        <v>0</v>
      </c>
      <c r="AF669" s="202">
        <v>0</v>
      </c>
      <c r="AG669" s="203">
        <v>0</v>
      </c>
      <c r="AH669" s="202">
        <v>0</v>
      </c>
      <c r="AI669" s="203">
        <v>0</v>
      </c>
      <c r="AJ669" s="202">
        <v>0</v>
      </c>
      <c r="AK669" s="203">
        <v>0</v>
      </c>
      <c r="AL669" s="203">
        <v>0</v>
      </c>
      <c r="AM669" s="203">
        <v>0</v>
      </c>
      <c r="AN669" s="203"/>
      <c r="AO669" s="203">
        <v>0</v>
      </c>
    </row>
    <row r="670" spans="1:41" s="176" customFormat="1" ht="36" customHeight="1" x14ac:dyDescent="0.25">
      <c r="A670" s="176">
        <v>1</v>
      </c>
      <c r="B670" s="171">
        <f>SUBTOTAL(103,$A$552:A670)</f>
        <v>118</v>
      </c>
      <c r="C670" s="172" t="s">
        <v>1275</v>
      </c>
      <c r="D670" s="173">
        <v>1978</v>
      </c>
      <c r="E670" s="173"/>
      <c r="F670" s="174" t="s">
        <v>330</v>
      </c>
      <c r="G670" s="173" t="s">
        <v>303</v>
      </c>
      <c r="H670" s="173" t="s">
        <v>312</v>
      </c>
      <c r="I670" s="170">
        <v>873.7</v>
      </c>
      <c r="J670" s="170">
        <v>873.7</v>
      </c>
      <c r="K670" s="170">
        <v>873.7</v>
      </c>
      <c r="L670" s="206">
        <v>31</v>
      </c>
      <c r="M670" s="173" t="s">
        <v>265</v>
      </c>
      <c r="N670" s="173" t="s">
        <v>266</v>
      </c>
      <c r="O670" s="175" t="s">
        <v>268</v>
      </c>
      <c r="P670" s="170">
        <v>2922293.2399999998</v>
      </c>
      <c r="Q670" s="170">
        <v>0</v>
      </c>
      <c r="R670" s="170">
        <v>0</v>
      </c>
      <c r="S670" s="170">
        <f t="shared" si="77"/>
        <v>2922293.2399999998</v>
      </c>
      <c r="T670" s="170">
        <f t="shared" si="80"/>
        <v>3344.7330204875811</v>
      </c>
      <c r="U670" s="170">
        <v>3344.7330204875811</v>
      </c>
      <c r="V670" s="202">
        <f t="shared" si="76"/>
        <v>0</v>
      </c>
      <c r="W670" s="202">
        <f t="shared" si="78"/>
        <v>4054.97</v>
      </c>
      <c r="X670" s="202">
        <v>0</v>
      </c>
      <c r="Y670" s="203">
        <v>0</v>
      </c>
      <c r="Z670" s="203">
        <v>3259.66</v>
      </c>
      <c r="AA670" s="203">
        <v>0</v>
      </c>
      <c r="AB670" s="203">
        <v>795.31</v>
      </c>
      <c r="AC670" s="203">
        <v>0</v>
      </c>
      <c r="AD670" s="203">
        <v>0</v>
      </c>
      <c r="AE670" s="203">
        <v>0</v>
      </c>
      <c r="AF670" s="202">
        <v>0</v>
      </c>
      <c r="AG670" s="203">
        <v>0</v>
      </c>
      <c r="AH670" s="202">
        <v>0</v>
      </c>
      <c r="AI670" s="203">
        <v>0</v>
      </c>
      <c r="AJ670" s="202">
        <v>0</v>
      </c>
      <c r="AK670" s="203">
        <v>0</v>
      </c>
      <c r="AL670" s="203">
        <v>0</v>
      </c>
      <c r="AM670" s="203">
        <v>0</v>
      </c>
      <c r="AN670" s="203"/>
      <c r="AO670" s="203">
        <v>0</v>
      </c>
    </row>
    <row r="671" spans="1:41" s="176" customFormat="1" ht="61.5" x14ac:dyDescent="0.25">
      <c r="A671" s="176">
        <v>1</v>
      </c>
      <c r="B671" s="171">
        <f>SUBTOTAL(103,$A$552:A671)</f>
        <v>119</v>
      </c>
      <c r="C671" s="172" t="s">
        <v>1544</v>
      </c>
      <c r="D671" s="173">
        <v>1927</v>
      </c>
      <c r="E671" s="173"/>
      <c r="F671" s="174" t="s">
        <v>1562</v>
      </c>
      <c r="G671" s="173">
        <v>2</v>
      </c>
      <c r="H671" s="173" t="s">
        <v>303</v>
      </c>
      <c r="I671" s="170">
        <v>522.4</v>
      </c>
      <c r="J671" s="170">
        <v>474.6</v>
      </c>
      <c r="K671" s="170">
        <v>239.9</v>
      </c>
      <c r="L671" s="206">
        <v>7</v>
      </c>
      <c r="M671" s="173" t="s">
        <v>265</v>
      </c>
      <c r="N671" s="173" t="s">
        <v>269</v>
      </c>
      <c r="O671" s="175" t="s">
        <v>1561</v>
      </c>
      <c r="P671" s="170">
        <v>3147456.93</v>
      </c>
      <c r="Q671" s="170">
        <v>0</v>
      </c>
      <c r="R671" s="170">
        <v>0</v>
      </c>
      <c r="S671" s="170">
        <f t="shared" si="77"/>
        <v>3147456.93</v>
      </c>
      <c r="T671" s="170">
        <f t="shared" si="80"/>
        <v>6024.9941232771826</v>
      </c>
      <c r="U671" s="170">
        <v>9036.8546324655454</v>
      </c>
      <c r="V671" s="202">
        <f t="shared" si="76"/>
        <v>3011.8605091883628</v>
      </c>
      <c r="W671" s="202">
        <f t="shared" si="78"/>
        <v>6409.5308384379787</v>
      </c>
      <c r="X671" s="202">
        <v>0</v>
      </c>
      <c r="Y671" s="203">
        <v>0</v>
      </c>
      <c r="Z671" s="203">
        <v>0</v>
      </c>
      <c r="AA671" s="203">
        <v>0</v>
      </c>
      <c r="AB671" s="203">
        <v>0</v>
      </c>
      <c r="AC671" s="203">
        <v>0</v>
      </c>
      <c r="AD671" s="203">
        <v>0</v>
      </c>
      <c r="AE671" s="203">
        <v>0</v>
      </c>
      <c r="AF671" s="202">
        <v>0</v>
      </c>
      <c r="AG671" s="203">
        <v>0</v>
      </c>
      <c r="AH671" s="202">
        <v>0</v>
      </c>
      <c r="AI671" s="203">
        <v>450.1</v>
      </c>
      <c r="AJ671" s="202">
        <f>7439.1*AI671/I671</f>
        <v>6409.5308384379787</v>
      </c>
      <c r="AK671" s="203">
        <v>0</v>
      </c>
      <c r="AL671" s="203">
        <v>0</v>
      </c>
      <c r="AM671" s="203">
        <v>0</v>
      </c>
      <c r="AN671" s="203"/>
      <c r="AO671" s="203">
        <v>0</v>
      </c>
    </row>
    <row r="672" spans="1:41" s="176" customFormat="1" ht="36" customHeight="1" x14ac:dyDescent="0.25">
      <c r="A672" s="176">
        <v>1</v>
      </c>
      <c r="B672" s="171">
        <f>SUBTOTAL(103,$A$552:A672)</f>
        <v>120</v>
      </c>
      <c r="C672" s="172" t="s">
        <v>451</v>
      </c>
      <c r="D672" s="173">
        <v>1962</v>
      </c>
      <c r="E672" s="173"/>
      <c r="F672" s="174" t="s">
        <v>267</v>
      </c>
      <c r="G672" s="173" t="s">
        <v>312</v>
      </c>
      <c r="H672" s="173" t="s">
        <v>312</v>
      </c>
      <c r="I672" s="170">
        <v>1651.8</v>
      </c>
      <c r="J672" s="170">
        <v>1537.5</v>
      </c>
      <c r="K672" s="170">
        <v>1462.9</v>
      </c>
      <c r="L672" s="206">
        <v>58</v>
      </c>
      <c r="M672" s="173" t="s">
        <v>265</v>
      </c>
      <c r="N672" s="173" t="s">
        <v>341</v>
      </c>
      <c r="O672" s="175" t="s">
        <v>347</v>
      </c>
      <c r="P672" s="170">
        <v>2775034.26</v>
      </c>
      <c r="Q672" s="170">
        <v>0</v>
      </c>
      <c r="R672" s="170">
        <v>0</v>
      </c>
      <c r="S672" s="170">
        <f t="shared" si="77"/>
        <v>2775034.26</v>
      </c>
      <c r="T672" s="170">
        <f t="shared" si="80"/>
        <v>1680.0062114057391</v>
      </c>
      <c r="U672" s="170">
        <v>3277.1048129313476</v>
      </c>
      <c r="V672" s="202">
        <f t="shared" si="76"/>
        <v>1597.0986015256085</v>
      </c>
      <c r="W672" s="202">
        <f t="shared" si="78"/>
        <v>3251.6890713766797</v>
      </c>
      <c r="X672" s="202">
        <v>0</v>
      </c>
      <c r="Y672" s="203">
        <v>0</v>
      </c>
      <c r="Z672" s="203">
        <v>0</v>
      </c>
      <c r="AA672" s="203">
        <v>0</v>
      </c>
      <c r="AB672" s="203">
        <v>0</v>
      </c>
      <c r="AC672" s="203">
        <v>0</v>
      </c>
      <c r="AD672" s="203">
        <v>0</v>
      </c>
      <c r="AE672" s="203">
        <v>860.91</v>
      </c>
      <c r="AF672" s="202">
        <f>6238.91*AE672/I672</f>
        <v>3251.6890713766797</v>
      </c>
      <c r="AG672" s="203">
        <v>0</v>
      </c>
      <c r="AH672" s="202">
        <v>0</v>
      </c>
      <c r="AI672" s="203">
        <v>0</v>
      </c>
      <c r="AJ672" s="202">
        <v>0</v>
      </c>
      <c r="AK672" s="203">
        <v>0</v>
      </c>
      <c r="AL672" s="203">
        <v>0</v>
      </c>
      <c r="AM672" s="203">
        <v>0</v>
      </c>
      <c r="AN672" s="203"/>
      <c r="AO672" s="203">
        <v>0</v>
      </c>
    </row>
    <row r="673" spans="1:76" s="176" customFormat="1" ht="61.5" x14ac:dyDescent="0.25">
      <c r="A673" s="176">
        <v>1</v>
      </c>
      <c r="B673" s="171">
        <f>SUBTOTAL(103,$A$552:A673)</f>
        <v>121</v>
      </c>
      <c r="C673" s="172" t="s">
        <v>1917</v>
      </c>
      <c r="D673" s="173">
        <v>1976</v>
      </c>
      <c r="E673" s="173"/>
      <c r="F673" s="174" t="s">
        <v>1562</v>
      </c>
      <c r="G673" s="173" t="s">
        <v>351</v>
      </c>
      <c r="H673" s="173" t="s">
        <v>370</v>
      </c>
      <c r="I673" s="170">
        <v>4908.2</v>
      </c>
      <c r="J673" s="170">
        <v>4507.3</v>
      </c>
      <c r="K673" s="170">
        <v>4121.8</v>
      </c>
      <c r="L673" s="206">
        <v>252</v>
      </c>
      <c r="M673" s="173" t="s">
        <v>265</v>
      </c>
      <c r="N673" s="173" t="s">
        <v>266</v>
      </c>
      <c r="O673" s="175" t="s">
        <v>268</v>
      </c>
      <c r="P673" s="170">
        <v>9319463.129999999</v>
      </c>
      <c r="Q673" s="170">
        <v>0</v>
      </c>
      <c r="R673" s="170">
        <v>0</v>
      </c>
      <c r="S673" s="170">
        <f t="shared" si="77"/>
        <v>9319463.129999999</v>
      </c>
      <c r="T673" s="170">
        <f t="shared" si="80"/>
        <v>1898.7537447536774</v>
      </c>
      <c r="U673" s="170">
        <v>1898.753759015525</v>
      </c>
      <c r="V673" s="202">
        <f t="shared" si="76"/>
        <v>1.4261847582019982E-5</v>
      </c>
      <c r="W673" s="202">
        <f>T673</f>
        <v>1898.7537447536774</v>
      </c>
      <c r="X673" s="202">
        <v>0</v>
      </c>
      <c r="Y673" s="203">
        <v>0</v>
      </c>
      <c r="Z673" s="203">
        <v>0</v>
      </c>
      <c r="AA673" s="203">
        <v>0</v>
      </c>
      <c r="AB673" s="203">
        <v>0</v>
      </c>
      <c r="AC673" s="203">
        <v>0</v>
      </c>
      <c r="AD673" s="203">
        <v>0</v>
      </c>
      <c r="AE673" s="203">
        <v>0</v>
      </c>
      <c r="AF673" s="202">
        <v>0</v>
      </c>
      <c r="AG673" s="203">
        <v>0</v>
      </c>
      <c r="AH673" s="202">
        <v>0</v>
      </c>
      <c r="AI673" s="203">
        <v>538.6</v>
      </c>
      <c r="AJ673" s="202">
        <f>3979.46*AI673/I673</f>
        <v>436.68496719775072</v>
      </c>
      <c r="AK673" s="203">
        <v>0</v>
      </c>
      <c r="AL673" s="203">
        <v>0</v>
      </c>
      <c r="AM673" s="203">
        <v>0</v>
      </c>
      <c r="AN673" s="203"/>
      <c r="AO673" s="203">
        <v>0</v>
      </c>
    </row>
    <row r="674" spans="1:76" s="176" customFormat="1" ht="61.5" x14ac:dyDescent="0.25">
      <c r="A674" s="176">
        <v>1</v>
      </c>
      <c r="B674" s="171">
        <f>SUBTOTAL(103,$A$552:A674)</f>
        <v>122</v>
      </c>
      <c r="C674" s="172" t="s">
        <v>2291</v>
      </c>
      <c r="D674" s="173">
        <v>1961</v>
      </c>
      <c r="E674" s="173" t="s">
        <v>721</v>
      </c>
      <c r="F674" s="174" t="s">
        <v>267</v>
      </c>
      <c r="G674" s="173">
        <v>2</v>
      </c>
      <c r="H674" s="173">
        <v>2</v>
      </c>
      <c r="I674" s="170">
        <v>624.79999999999995</v>
      </c>
      <c r="J674" s="170">
        <v>617.70000000000005</v>
      </c>
      <c r="K674" s="170">
        <v>617.70000000000005</v>
      </c>
      <c r="L674" s="206">
        <v>32</v>
      </c>
      <c r="M674" s="173" t="s">
        <v>265</v>
      </c>
      <c r="N674" s="173" t="s">
        <v>266</v>
      </c>
      <c r="O674" s="175" t="s">
        <v>268</v>
      </c>
      <c r="P674" s="170">
        <v>3969932.0599999996</v>
      </c>
      <c r="Q674" s="170">
        <v>0</v>
      </c>
      <c r="R674" s="170">
        <v>0</v>
      </c>
      <c r="S674" s="170">
        <f t="shared" si="77"/>
        <v>3969932.0599999996</v>
      </c>
      <c r="T674" s="170">
        <f t="shared" si="80"/>
        <v>6353.924551856594</v>
      </c>
      <c r="U674" s="170">
        <v>6406.6549407810498</v>
      </c>
      <c r="V674" s="202">
        <f t="shared" si="76"/>
        <v>52.730388924455838</v>
      </c>
      <c r="W674" s="202">
        <f>T674</f>
        <v>6353.924551856594</v>
      </c>
      <c r="X674" s="202">
        <v>0</v>
      </c>
      <c r="Y674" s="203">
        <v>0</v>
      </c>
      <c r="Z674" s="203">
        <v>0</v>
      </c>
      <c r="AA674" s="203">
        <v>0</v>
      </c>
      <c r="AB674" s="203">
        <v>0</v>
      </c>
      <c r="AC674" s="203">
        <v>0</v>
      </c>
      <c r="AD674" s="203">
        <v>0</v>
      </c>
      <c r="AE674" s="203">
        <v>0</v>
      </c>
      <c r="AF674" s="202">
        <v>0</v>
      </c>
      <c r="AG674" s="203">
        <v>0</v>
      </c>
      <c r="AH674" s="202">
        <v>0</v>
      </c>
      <c r="AI674" s="203">
        <v>538.6</v>
      </c>
      <c r="AJ674" s="202">
        <f>3979.46*AI674/I674</f>
        <v>3430.4371895006402</v>
      </c>
      <c r="AK674" s="203">
        <v>0</v>
      </c>
      <c r="AL674" s="203">
        <v>0</v>
      </c>
      <c r="AM674" s="203">
        <v>0</v>
      </c>
      <c r="AN674" s="203"/>
      <c r="AO674" s="203">
        <v>0</v>
      </c>
    </row>
    <row r="675" spans="1:76" s="176" customFormat="1" ht="36" customHeight="1" x14ac:dyDescent="0.25">
      <c r="B675" s="172" t="s">
        <v>749</v>
      </c>
      <c r="C675" s="359"/>
      <c r="D675" s="173" t="s">
        <v>882</v>
      </c>
      <c r="E675" s="173" t="s">
        <v>882</v>
      </c>
      <c r="F675" s="173" t="s">
        <v>882</v>
      </c>
      <c r="G675" s="173" t="s">
        <v>882</v>
      </c>
      <c r="H675" s="173" t="s">
        <v>882</v>
      </c>
      <c r="I675" s="177">
        <f>SUM(I676:I734)</f>
        <v>165373.4</v>
      </c>
      <c r="J675" s="177">
        <f>SUM(J676:J734)</f>
        <v>146749.77999999997</v>
      </c>
      <c r="K675" s="177">
        <f>SUM(K676:K734)</f>
        <v>137633.07999999999</v>
      </c>
      <c r="L675" s="357">
        <f>SUM(L676:L734)</f>
        <v>6045</v>
      </c>
      <c r="M675" s="173" t="s">
        <v>882</v>
      </c>
      <c r="N675" s="173" t="s">
        <v>882</v>
      </c>
      <c r="O675" s="175" t="s">
        <v>882</v>
      </c>
      <c r="P675" s="177">
        <v>231365022.94000003</v>
      </c>
      <c r="Q675" s="177">
        <f>SUM(Q676:Q734)</f>
        <v>2030976</v>
      </c>
      <c r="R675" s="177">
        <f>SUM(R676:R734)</f>
        <v>0</v>
      </c>
      <c r="S675" s="177">
        <f>SUM(S676:S734)</f>
        <v>228720014.47000003</v>
      </c>
      <c r="T675" s="170">
        <f t="shared" si="80"/>
        <v>1399.0461763500057</v>
      </c>
      <c r="U675" s="170">
        <f>MAX(U676:U734)</f>
        <v>7384.2344047537736</v>
      </c>
      <c r="V675" s="202">
        <f t="shared" si="76"/>
        <v>5985.1882284037674</v>
      </c>
      <c r="W675" s="202"/>
      <c r="X675" s="202"/>
      <c r="Y675" s="203"/>
      <c r="Z675" s="203"/>
      <c r="AA675" s="203"/>
      <c r="AB675" s="203"/>
      <c r="AC675" s="203"/>
      <c r="AD675" s="203"/>
      <c r="AE675" s="203"/>
      <c r="AF675" s="203"/>
      <c r="AG675" s="203"/>
      <c r="AH675" s="203"/>
      <c r="AI675" s="203"/>
      <c r="AJ675" s="203"/>
      <c r="AK675" s="203"/>
      <c r="AL675" s="203"/>
      <c r="AM675" s="203"/>
      <c r="AN675" s="203"/>
      <c r="AO675" s="203"/>
    </row>
    <row r="676" spans="1:76" s="176" customFormat="1" ht="36" customHeight="1" x14ac:dyDescent="0.25">
      <c r="A676" s="176">
        <v>1</v>
      </c>
      <c r="B676" s="171">
        <f>SUBTOTAL(103,$A$552:A676)</f>
        <v>123</v>
      </c>
      <c r="C676" s="172" t="s">
        <v>399</v>
      </c>
      <c r="D676" s="173">
        <v>1985</v>
      </c>
      <c r="E676" s="173"/>
      <c r="F676" s="174" t="s">
        <v>267</v>
      </c>
      <c r="G676" s="173">
        <v>5</v>
      </c>
      <c r="H676" s="173" t="s">
        <v>370</v>
      </c>
      <c r="I676" s="177">
        <v>4537.2</v>
      </c>
      <c r="J676" s="177">
        <v>4163</v>
      </c>
      <c r="K676" s="177">
        <v>4163</v>
      </c>
      <c r="L676" s="206">
        <v>198</v>
      </c>
      <c r="M676" s="173" t="s">
        <v>265</v>
      </c>
      <c r="N676" s="173" t="s">
        <v>269</v>
      </c>
      <c r="O676" s="175" t="s">
        <v>981</v>
      </c>
      <c r="P676" s="170">
        <v>11288397.499999998</v>
      </c>
      <c r="Q676" s="170">
        <v>0</v>
      </c>
      <c r="R676" s="170">
        <v>0</v>
      </c>
      <c r="S676" s="170">
        <f t="shared" ref="S676:S717" si="81">P676-Q676-R676</f>
        <v>11288397.499999998</v>
      </c>
      <c r="T676" s="170">
        <f t="shared" si="80"/>
        <v>2487.9655955214666</v>
      </c>
      <c r="U676" s="170">
        <v>5837.8969769902142</v>
      </c>
      <c r="V676" s="202">
        <f t="shared" si="76"/>
        <v>3349.9313814687475</v>
      </c>
      <c r="W676" s="202">
        <f t="shared" ref="W676:W712" si="82">X676+Y676+Z676+AA676+AB676+AD676+AF676+AH676+AJ676+AL676+AN676+AO676</f>
        <v>1608.8170457550914</v>
      </c>
      <c r="X676" s="202">
        <v>0</v>
      </c>
      <c r="Y676" s="203">
        <v>0</v>
      </c>
      <c r="Z676" s="203">
        <v>0</v>
      </c>
      <c r="AA676" s="203">
        <v>0</v>
      </c>
      <c r="AB676" s="203">
        <v>0</v>
      </c>
      <c r="AC676" s="203">
        <v>0</v>
      </c>
      <c r="AD676" s="203">
        <v>0</v>
      </c>
      <c r="AE676" s="203">
        <v>1170</v>
      </c>
      <c r="AF676" s="202">
        <f>6238.91*AE676/I676</f>
        <v>1608.8170457550914</v>
      </c>
      <c r="AG676" s="203">
        <v>0</v>
      </c>
      <c r="AH676" s="202">
        <v>0</v>
      </c>
      <c r="AI676" s="203">
        <v>0</v>
      </c>
      <c r="AJ676" s="202">
        <v>0</v>
      </c>
      <c r="AK676" s="203">
        <v>0</v>
      </c>
      <c r="AL676" s="203">
        <v>0</v>
      </c>
      <c r="AM676" s="203">
        <v>0</v>
      </c>
      <c r="AN676" s="203"/>
      <c r="AO676" s="203">
        <v>0</v>
      </c>
    </row>
    <row r="677" spans="1:76" s="176" customFormat="1" ht="36" customHeight="1" x14ac:dyDescent="0.25">
      <c r="A677" s="176">
        <v>1</v>
      </c>
      <c r="B677" s="171">
        <f>SUBTOTAL(103,$A$552:A677)</f>
        <v>124</v>
      </c>
      <c r="C677" s="172" t="s">
        <v>401</v>
      </c>
      <c r="D677" s="173">
        <v>1987</v>
      </c>
      <c r="E677" s="173"/>
      <c r="F677" s="174" t="s">
        <v>267</v>
      </c>
      <c r="G677" s="173">
        <v>9</v>
      </c>
      <c r="H677" s="173" t="s">
        <v>304</v>
      </c>
      <c r="I677" s="177">
        <v>6006.9</v>
      </c>
      <c r="J677" s="177">
        <v>4691.3999999999996</v>
      </c>
      <c r="K677" s="177">
        <v>3628.4</v>
      </c>
      <c r="L677" s="206">
        <v>297</v>
      </c>
      <c r="M677" s="173" t="s">
        <v>265</v>
      </c>
      <c r="N677" s="173" t="s">
        <v>269</v>
      </c>
      <c r="O677" s="175" t="s">
        <v>321</v>
      </c>
      <c r="P677" s="170">
        <v>4870838.3400000008</v>
      </c>
      <c r="Q677" s="170">
        <v>0</v>
      </c>
      <c r="R677" s="170">
        <v>0</v>
      </c>
      <c r="S677" s="170">
        <f t="shared" si="81"/>
        <v>4870838.3400000008</v>
      </c>
      <c r="T677" s="170">
        <f t="shared" si="80"/>
        <v>810.87388503221314</v>
      </c>
      <c r="U677" s="170">
        <v>942.94001897817509</v>
      </c>
      <c r="V677" s="202">
        <f t="shared" si="76"/>
        <v>132.06613394596195</v>
      </c>
      <c r="W677" s="202">
        <f t="shared" si="82"/>
        <v>913.98904593051327</v>
      </c>
      <c r="X677" s="202">
        <v>0</v>
      </c>
      <c r="Y677" s="203">
        <v>0</v>
      </c>
      <c r="Z677" s="203">
        <v>0</v>
      </c>
      <c r="AA677" s="203">
        <v>0</v>
      </c>
      <c r="AB677" s="203">
        <v>0</v>
      </c>
      <c r="AC677" s="203">
        <v>0</v>
      </c>
      <c r="AD677" s="203">
        <v>0</v>
      </c>
      <c r="AE677" s="203">
        <v>880</v>
      </c>
      <c r="AF677" s="202">
        <f>6238.91*AE677/I677</f>
        <v>913.98904593051327</v>
      </c>
      <c r="AG677" s="203">
        <v>0</v>
      </c>
      <c r="AH677" s="202">
        <v>0</v>
      </c>
      <c r="AI677" s="203">
        <v>0</v>
      </c>
      <c r="AJ677" s="202">
        <v>0</v>
      </c>
      <c r="AK677" s="203">
        <v>0</v>
      </c>
      <c r="AL677" s="203">
        <v>0</v>
      </c>
      <c r="AM677" s="203">
        <v>0</v>
      </c>
      <c r="AN677" s="203"/>
      <c r="AO677" s="203">
        <v>0</v>
      </c>
      <c r="BW677" s="364"/>
      <c r="BX677" s="364"/>
    </row>
    <row r="678" spans="1:76" s="176" customFormat="1" ht="36" customHeight="1" x14ac:dyDescent="0.25">
      <c r="A678" s="176">
        <v>1</v>
      </c>
      <c r="B678" s="171">
        <f>SUBTOTAL(103,$A$552:A678)</f>
        <v>125</v>
      </c>
      <c r="C678" s="172" t="s">
        <v>402</v>
      </c>
      <c r="D678" s="173">
        <v>1992</v>
      </c>
      <c r="E678" s="173"/>
      <c r="F678" s="174" t="s">
        <v>267</v>
      </c>
      <c r="G678" s="173">
        <v>4</v>
      </c>
      <c r="H678" s="173" t="s">
        <v>304</v>
      </c>
      <c r="I678" s="177">
        <v>1756.3</v>
      </c>
      <c r="J678" s="177">
        <v>1356.3</v>
      </c>
      <c r="K678" s="177">
        <v>1356.3</v>
      </c>
      <c r="L678" s="206">
        <v>65</v>
      </c>
      <c r="M678" s="173" t="s">
        <v>265</v>
      </c>
      <c r="N678" s="173" t="s">
        <v>266</v>
      </c>
      <c r="O678" s="175" t="s">
        <v>268</v>
      </c>
      <c r="P678" s="170">
        <v>3522876.8499999996</v>
      </c>
      <c r="Q678" s="170">
        <v>0</v>
      </c>
      <c r="R678" s="170">
        <v>0</v>
      </c>
      <c r="S678" s="170">
        <f t="shared" si="81"/>
        <v>3522876.8499999996</v>
      </c>
      <c r="T678" s="170">
        <f t="shared" si="80"/>
        <v>2005.851420600125</v>
      </c>
      <c r="U678" s="170">
        <v>2382.135455218357</v>
      </c>
      <c r="V678" s="202">
        <f t="shared" si="76"/>
        <v>376.284034618232</v>
      </c>
      <c r="W678" s="202">
        <f t="shared" si="82"/>
        <v>2308.9970392301998</v>
      </c>
      <c r="X678" s="202">
        <v>0</v>
      </c>
      <c r="Y678" s="203">
        <v>0</v>
      </c>
      <c r="Z678" s="203">
        <v>0</v>
      </c>
      <c r="AA678" s="203">
        <v>0</v>
      </c>
      <c r="AB678" s="203">
        <v>0</v>
      </c>
      <c r="AC678" s="203">
        <v>0</v>
      </c>
      <c r="AD678" s="203">
        <v>0</v>
      </c>
      <c r="AE678" s="203">
        <v>650</v>
      </c>
      <c r="AF678" s="202">
        <f>6238.91*AE678/I678</f>
        <v>2308.9970392301998</v>
      </c>
      <c r="AG678" s="203">
        <v>0</v>
      </c>
      <c r="AH678" s="202">
        <v>0</v>
      </c>
      <c r="AI678" s="203">
        <v>0</v>
      </c>
      <c r="AJ678" s="202">
        <v>0</v>
      </c>
      <c r="AK678" s="203">
        <v>0</v>
      </c>
      <c r="AL678" s="203">
        <v>0</v>
      </c>
      <c r="AM678" s="203">
        <v>0</v>
      </c>
      <c r="AN678" s="203"/>
      <c r="AO678" s="203">
        <v>0</v>
      </c>
    </row>
    <row r="679" spans="1:76" s="176" customFormat="1" ht="36" customHeight="1" x14ac:dyDescent="0.25">
      <c r="A679" s="176">
        <v>1</v>
      </c>
      <c r="B679" s="171">
        <f>SUBTOTAL(103,$A$552:A679)</f>
        <v>126</v>
      </c>
      <c r="C679" s="172" t="s">
        <v>403</v>
      </c>
      <c r="D679" s="173">
        <v>1941</v>
      </c>
      <c r="E679" s="173"/>
      <c r="F679" s="174" t="s">
        <v>324</v>
      </c>
      <c r="G679" s="173">
        <v>2</v>
      </c>
      <c r="H679" s="173" t="s">
        <v>303</v>
      </c>
      <c r="I679" s="177">
        <v>743.7</v>
      </c>
      <c r="J679" s="177">
        <v>670.6</v>
      </c>
      <c r="K679" s="177">
        <v>553.1</v>
      </c>
      <c r="L679" s="206">
        <v>23</v>
      </c>
      <c r="M679" s="173" t="s">
        <v>265</v>
      </c>
      <c r="N679" s="173" t="s">
        <v>269</v>
      </c>
      <c r="O679" s="175" t="s">
        <v>325</v>
      </c>
      <c r="P679" s="170">
        <v>3494220.47</v>
      </c>
      <c r="Q679" s="170">
        <v>0</v>
      </c>
      <c r="R679" s="170">
        <v>0</v>
      </c>
      <c r="S679" s="170">
        <f t="shared" si="81"/>
        <v>3494220.47</v>
      </c>
      <c r="T679" s="170">
        <f t="shared" si="80"/>
        <v>4698.427416969208</v>
      </c>
      <c r="U679" s="170">
        <v>5365.9386849536095</v>
      </c>
      <c r="V679" s="202">
        <f t="shared" si="76"/>
        <v>667.51126798440146</v>
      </c>
      <c r="W679" s="202">
        <f t="shared" si="82"/>
        <v>5201.1889202635466</v>
      </c>
      <c r="X679" s="202">
        <v>0</v>
      </c>
      <c r="Y679" s="203">
        <v>0</v>
      </c>
      <c r="Z679" s="203">
        <v>0</v>
      </c>
      <c r="AA679" s="203">
        <v>0</v>
      </c>
      <c r="AB679" s="203">
        <v>0</v>
      </c>
      <c r="AC679" s="203">
        <v>0</v>
      </c>
      <c r="AD679" s="203">
        <v>0</v>
      </c>
      <c r="AE679" s="203">
        <v>620</v>
      </c>
      <c r="AF679" s="202">
        <f>6238.91*AE679/I679</f>
        <v>5201.1889202635466</v>
      </c>
      <c r="AG679" s="203">
        <v>0</v>
      </c>
      <c r="AH679" s="202">
        <v>0</v>
      </c>
      <c r="AI679" s="203">
        <v>0</v>
      </c>
      <c r="AJ679" s="202">
        <v>0</v>
      </c>
      <c r="AK679" s="203">
        <v>0</v>
      </c>
      <c r="AL679" s="203">
        <v>0</v>
      </c>
      <c r="AM679" s="203">
        <v>0</v>
      </c>
      <c r="AN679" s="203"/>
      <c r="AO679" s="203">
        <v>0</v>
      </c>
    </row>
    <row r="680" spans="1:76" s="176" customFormat="1" ht="36" customHeight="1" x14ac:dyDescent="0.25">
      <c r="A680" s="176">
        <v>1</v>
      </c>
      <c r="B680" s="171">
        <f>SUBTOTAL(103,$A$552:A680)</f>
        <v>127</v>
      </c>
      <c r="C680" s="172" t="s">
        <v>404</v>
      </c>
      <c r="D680" s="173">
        <v>1957</v>
      </c>
      <c r="E680" s="173"/>
      <c r="F680" s="174" t="s">
        <v>267</v>
      </c>
      <c r="G680" s="173">
        <v>2</v>
      </c>
      <c r="H680" s="173" t="s">
        <v>303</v>
      </c>
      <c r="I680" s="177">
        <v>706.7</v>
      </c>
      <c r="J680" s="177">
        <v>646.1</v>
      </c>
      <c r="K680" s="177">
        <v>646.1</v>
      </c>
      <c r="L680" s="206">
        <v>18</v>
      </c>
      <c r="M680" s="173" t="s">
        <v>265</v>
      </c>
      <c r="N680" s="173" t="s">
        <v>269</v>
      </c>
      <c r="O680" s="175" t="s">
        <v>325</v>
      </c>
      <c r="P680" s="170">
        <v>2797619.9899999998</v>
      </c>
      <c r="Q680" s="170">
        <v>0</v>
      </c>
      <c r="R680" s="170">
        <v>0</v>
      </c>
      <c r="S680" s="170">
        <f t="shared" si="81"/>
        <v>2797619.9899999998</v>
      </c>
      <c r="T680" s="170">
        <f t="shared" si="80"/>
        <v>3958.7094806848727</v>
      </c>
      <c r="U680" s="170">
        <v>5829.0352341870657</v>
      </c>
      <c r="V680" s="202">
        <f t="shared" si="76"/>
        <v>1870.325753502193</v>
      </c>
      <c r="W680" s="202">
        <f t="shared" si="82"/>
        <v>5650.0670723079093</v>
      </c>
      <c r="X680" s="202">
        <v>0</v>
      </c>
      <c r="Y680" s="203">
        <v>0</v>
      </c>
      <c r="Z680" s="203">
        <v>0</v>
      </c>
      <c r="AA680" s="203">
        <v>0</v>
      </c>
      <c r="AB680" s="203">
        <v>0</v>
      </c>
      <c r="AC680" s="203">
        <v>0</v>
      </c>
      <c r="AD680" s="203">
        <v>0</v>
      </c>
      <c r="AE680" s="203">
        <v>640</v>
      </c>
      <c r="AF680" s="202">
        <f>6238.91*AE680/I680</f>
        <v>5650.0670723079093</v>
      </c>
      <c r="AG680" s="203">
        <v>0</v>
      </c>
      <c r="AH680" s="202">
        <v>0</v>
      </c>
      <c r="AI680" s="203">
        <v>0</v>
      </c>
      <c r="AJ680" s="202">
        <v>0</v>
      </c>
      <c r="AK680" s="203">
        <v>0</v>
      </c>
      <c r="AL680" s="203">
        <v>0</v>
      </c>
      <c r="AM680" s="203">
        <v>0</v>
      </c>
      <c r="AN680" s="203"/>
      <c r="AO680" s="203">
        <v>0</v>
      </c>
    </row>
    <row r="681" spans="1:76" s="176" customFormat="1" ht="36" customHeight="1" x14ac:dyDescent="0.25">
      <c r="A681" s="176">
        <v>1</v>
      </c>
      <c r="B681" s="171">
        <f>SUBTOTAL(103,$A$552:A681)</f>
        <v>128</v>
      </c>
      <c r="C681" s="172" t="s">
        <v>198</v>
      </c>
      <c r="D681" s="360">
        <v>1967</v>
      </c>
      <c r="E681" s="173"/>
      <c r="F681" s="174" t="s">
        <v>267</v>
      </c>
      <c r="G681" s="173">
        <v>2</v>
      </c>
      <c r="H681" s="173" t="s">
        <v>303</v>
      </c>
      <c r="I681" s="177">
        <v>1003.5</v>
      </c>
      <c r="J681" s="177">
        <v>634.5</v>
      </c>
      <c r="K681" s="177">
        <v>634.5</v>
      </c>
      <c r="L681" s="206">
        <v>28</v>
      </c>
      <c r="M681" s="173" t="s">
        <v>265</v>
      </c>
      <c r="N681" s="173" t="s">
        <v>269</v>
      </c>
      <c r="O681" s="175" t="s">
        <v>326</v>
      </c>
      <c r="P681" s="170">
        <v>1577910.0299999998</v>
      </c>
      <c r="Q681" s="170">
        <v>0</v>
      </c>
      <c r="R681" s="170">
        <v>0</v>
      </c>
      <c r="S681" s="170">
        <f t="shared" si="81"/>
        <v>1577910.0299999998</v>
      </c>
      <c r="T681" s="170">
        <f t="shared" si="80"/>
        <v>1572.4066068759341</v>
      </c>
      <c r="U681" s="170">
        <v>3811.95</v>
      </c>
      <c r="V681" s="202">
        <f t="shared" si="76"/>
        <v>2239.5433931240659</v>
      </c>
      <c r="W681" s="202">
        <f>T681</f>
        <v>1572.4066068759341</v>
      </c>
      <c r="X681" s="202">
        <v>0</v>
      </c>
      <c r="Y681" s="203">
        <v>0</v>
      </c>
      <c r="Z681" s="203">
        <v>0</v>
      </c>
      <c r="AA681" s="203">
        <v>184.98</v>
      </c>
      <c r="AB681" s="203">
        <v>810.46</v>
      </c>
      <c r="AC681" s="203">
        <v>0</v>
      </c>
      <c r="AD681" s="203">
        <v>0</v>
      </c>
      <c r="AE681" s="203">
        <v>0</v>
      </c>
      <c r="AF681" s="202">
        <v>0</v>
      </c>
      <c r="AG681" s="203">
        <v>0</v>
      </c>
      <c r="AH681" s="202">
        <v>0</v>
      </c>
      <c r="AI681" s="203">
        <v>0</v>
      </c>
      <c r="AJ681" s="202">
        <v>0</v>
      </c>
      <c r="AK681" s="203">
        <v>0</v>
      </c>
      <c r="AL681" s="203">
        <v>0</v>
      </c>
      <c r="AM681" s="203">
        <v>0</v>
      </c>
      <c r="AN681" s="203"/>
      <c r="AO681" s="203">
        <v>0</v>
      </c>
    </row>
    <row r="682" spans="1:76" s="176" customFormat="1" ht="36" customHeight="1" x14ac:dyDescent="0.25">
      <c r="A682" s="176">
        <v>1</v>
      </c>
      <c r="B682" s="171">
        <f>SUBTOTAL(103,$A$552:A682)</f>
        <v>129</v>
      </c>
      <c r="C682" s="172" t="s">
        <v>199</v>
      </c>
      <c r="D682" s="360">
        <v>1974</v>
      </c>
      <c r="E682" s="173"/>
      <c r="F682" s="174" t="s">
        <v>267</v>
      </c>
      <c r="G682" s="173">
        <v>2</v>
      </c>
      <c r="H682" s="173" t="s">
        <v>303</v>
      </c>
      <c r="I682" s="177">
        <v>1163.5</v>
      </c>
      <c r="J682" s="177">
        <v>704.1</v>
      </c>
      <c r="K682" s="177">
        <v>704.1</v>
      </c>
      <c r="L682" s="206">
        <v>46</v>
      </c>
      <c r="M682" s="173" t="s">
        <v>265</v>
      </c>
      <c r="N682" s="173" t="s">
        <v>269</v>
      </c>
      <c r="O682" s="175" t="s">
        <v>326</v>
      </c>
      <c r="P682" s="170">
        <v>783943</v>
      </c>
      <c r="Q682" s="170">
        <v>0</v>
      </c>
      <c r="R682" s="170">
        <v>0</v>
      </c>
      <c r="S682" s="170">
        <f t="shared" si="81"/>
        <v>783943</v>
      </c>
      <c r="T682" s="170">
        <f t="shared" si="80"/>
        <v>673.77997421572843</v>
      </c>
      <c r="U682" s="170">
        <v>810.46</v>
      </c>
      <c r="V682" s="202">
        <f t="shared" si="76"/>
        <v>136.68002578427161</v>
      </c>
      <c r="W682" s="202">
        <f>T682</f>
        <v>673.77997421572843</v>
      </c>
      <c r="X682" s="202">
        <v>0</v>
      </c>
      <c r="Y682" s="203">
        <v>0</v>
      </c>
      <c r="Z682" s="203">
        <v>0</v>
      </c>
      <c r="AA682" s="203">
        <v>0</v>
      </c>
      <c r="AB682" s="203">
        <v>810.46</v>
      </c>
      <c r="AC682" s="203">
        <v>0</v>
      </c>
      <c r="AD682" s="203">
        <v>0</v>
      </c>
      <c r="AE682" s="203">
        <v>0</v>
      </c>
      <c r="AF682" s="202">
        <v>0</v>
      </c>
      <c r="AG682" s="203">
        <v>0</v>
      </c>
      <c r="AH682" s="202">
        <v>0</v>
      </c>
      <c r="AI682" s="203">
        <v>0</v>
      </c>
      <c r="AJ682" s="202">
        <v>0</v>
      </c>
      <c r="AK682" s="203">
        <v>0</v>
      </c>
      <c r="AL682" s="203">
        <v>0</v>
      </c>
      <c r="AM682" s="203">
        <v>0</v>
      </c>
      <c r="AN682" s="203"/>
      <c r="AO682" s="203">
        <v>0</v>
      </c>
    </row>
    <row r="683" spans="1:76" s="176" customFormat="1" ht="36" customHeight="1" x14ac:dyDescent="0.25">
      <c r="A683" s="176">
        <v>1</v>
      </c>
      <c r="B683" s="171">
        <f>SUBTOTAL(103,$A$552:A683)</f>
        <v>130</v>
      </c>
      <c r="C683" s="172" t="s">
        <v>200</v>
      </c>
      <c r="D683" s="173">
        <v>1973</v>
      </c>
      <c r="E683" s="173"/>
      <c r="F683" s="174" t="s">
        <v>267</v>
      </c>
      <c r="G683" s="173">
        <v>2</v>
      </c>
      <c r="H683" s="173" t="s">
        <v>303</v>
      </c>
      <c r="I683" s="177">
        <v>692.9</v>
      </c>
      <c r="J683" s="177">
        <v>692.9</v>
      </c>
      <c r="K683" s="177">
        <v>692.9</v>
      </c>
      <c r="L683" s="206">
        <v>47</v>
      </c>
      <c r="M683" s="173" t="s">
        <v>265</v>
      </c>
      <c r="N683" s="173" t="s">
        <v>269</v>
      </c>
      <c r="O683" s="175" t="s">
        <v>326</v>
      </c>
      <c r="P683" s="170">
        <v>776127.96</v>
      </c>
      <c r="Q683" s="170">
        <v>0</v>
      </c>
      <c r="R683" s="170">
        <v>0</v>
      </c>
      <c r="S683" s="170">
        <f t="shared" si="81"/>
        <v>776127.96</v>
      </c>
      <c r="T683" s="170">
        <f t="shared" si="80"/>
        <v>1120.1153990474816</v>
      </c>
      <c r="U683" s="170">
        <v>810.46</v>
      </c>
      <c r="V683" s="202">
        <f t="shared" si="76"/>
        <v>-309.65539904748152</v>
      </c>
      <c r="W683" s="202">
        <f>T683</f>
        <v>1120.1153990474816</v>
      </c>
      <c r="X683" s="202">
        <v>0</v>
      </c>
      <c r="Y683" s="203">
        <v>0</v>
      </c>
      <c r="Z683" s="203">
        <v>0</v>
      </c>
      <c r="AA683" s="203">
        <v>0</v>
      </c>
      <c r="AB683" s="203">
        <v>810.46</v>
      </c>
      <c r="AC683" s="203">
        <v>0</v>
      </c>
      <c r="AD683" s="203">
        <v>0</v>
      </c>
      <c r="AE683" s="203">
        <v>0</v>
      </c>
      <c r="AF683" s="202">
        <v>0</v>
      </c>
      <c r="AG683" s="203">
        <v>0</v>
      </c>
      <c r="AH683" s="202">
        <v>0</v>
      </c>
      <c r="AI683" s="203">
        <v>0</v>
      </c>
      <c r="AJ683" s="202">
        <v>0</v>
      </c>
      <c r="AK683" s="203">
        <v>0</v>
      </c>
      <c r="AL683" s="203">
        <v>0</v>
      </c>
      <c r="AM683" s="203">
        <v>0</v>
      </c>
      <c r="AN683" s="203"/>
      <c r="AO683" s="203">
        <v>0</v>
      </c>
    </row>
    <row r="684" spans="1:76" s="176" customFormat="1" ht="36" customHeight="1" x14ac:dyDescent="0.25">
      <c r="A684" s="176">
        <v>1</v>
      </c>
      <c r="B684" s="171">
        <f>SUBTOTAL(103,$A$552:A684)</f>
        <v>131</v>
      </c>
      <c r="C684" s="172" t="s">
        <v>405</v>
      </c>
      <c r="D684" s="173">
        <v>1960</v>
      </c>
      <c r="E684" s="173"/>
      <c r="F684" s="174" t="s">
        <v>267</v>
      </c>
      <c r="G684" s="173">
        <v>2</v>
      </c>
      <c r="H684" s="173" t="s">
        <v>303</v>
      </c>
      <c r="I684" s="177">
        <v>582.70000000000005</v>
      </c>
      <c r="J684" s="177">
        <v>576.70000000000005</v>
      </c>
      <c r="K684" s="177">
        <v>576.70000000000005</v>
      </c>
      <c r="L684" s="206">
        <v>31</v>
      </c>
      <c r="M684" s="173" t="s">
        <v>265</v>
      </c>
      <c r="N684" s="173" t="s">
        <v>269</v>
      </c>
      <c r="O684" s="175" t="s">
        <v>321</v>
      </c>
      <c r="P684" s="170">
        <v>2686506.29</v>
      </c>
      <c r="Q684" s="170">
        <v>0</v>
      </c>
      <c r="R684" s="170">
        <v>0</v>
      </c>
      <c r="S684" s="170">
        <f t="shared" si="81"/>
        <v>2686506.29</v>
      </c>
      <c r="T684" s="170">
        <f t="shared" si="80"/>
        <v>4610.4449802642866</v>
      </c>
      <c r="U684" s="170">
        <v>5268.9631199588121</v>
      </c>
      <c r="V684" s="202">
        <f t="shared" si="76"/>
        <v>658.51813969452542</v>
      </c>
      <c r="W684" s="202">
        <f t="shared" si="82"/>
        <v>5107.1907842800747</v>
      </c>
      <c r="X684" s="202">
        <v>0</v>
      </c>
      <c r="Y684" s="203">
        <v>0</v>
      </c>
      <c r="Z684" s="203">
        <v>0</v>
      </c>
      <c r="AA684" s="203">
        <v>0</v>
      </c>
      <c r="AB684" s="203">
        <v>0</v>
      </c>
      <c r="AC684" s="203">
        <v>0</v>
      </c>
      <c r="AD684" s="203">
        <v>0</v>
      </c>
      <c r="AE684" s="203">
        <v>477</v>
      </c>
      <c r="AF684" s="202">
        <f t="shared" ref="AF684:AF694" si="83">6238.91*AE684/I684</f>
        <v>5107.1907842800747</v>
      </c>
      <c r="AG684" s="203">
        <v>0</v>
      </c>
      <c r="AH684" s="202">
        <v>0</v>
      </c>
      <c r="AI684" s="203">
        <v>0</v>
      </c>
      <c r="AJ684" s="202">
        <v>0</v>
      </c>
      <c r="AK684" s="203">
        <v>0</v>
      </c>
      <c r="AL684" s="203">
        <v>0</v>
      </c>
      <c r="AM684" s="203">
        <v>0</v>
      </c>
      <c r="AN684" s="203"/>
      <c r="AO684" s="203">
        <v>0</v>
      </c>
    </row>
    <row r="685" spans="1:76" s="176" customFormat="1" ht="36" customHeight="1" x14ac:dyDescent="0.25">
      <c r="A685" s="176">
        <v>1</v>
      </c>
      <c r="B685" s="171">
        <f>SUBTOTAL(103,$A$552:A685)</f>
        <v>132</v>
      </c>
      <c r="C685" s="172" t="s">
        <v>406</v>
      </c>
      <c r="D685" s="173">
        <v>1960</v>
      </c>
      <c r="E685" s="173"/>
      <c r="F685" s="174" t="s">
        <v>267</v>
      </c>
      <c r="G685" s="173">
        <v>2</v>
      </c>
      <c r="H685" s="173" t="s">
        <v>303</v>
      </c>
      <c r="I685" s="177">
        <v>592.20000000000005</v>
      </c>
      <c r="J685" s="177">
        <v>550.70000000000005</v>
      </c>
      <c r="K685" s="177">
        <v>550.70000000000005</v>
      </c>
      <c r="L685" s="206">
        <v>37</v>
      </c>
      <c r="M685" s="173" t="s">
        <v>265</v>
      </c>
      <c r="N685" s="173" t="s">
        <v>269</v>
      </c>
      <c r="O685" s="175" t="s">
        <v>328</v>
      </c>
      <c r="P685" s="170">
        <v>2651701.0900000003</v>
      </c>
      <c r="Q685" s="170">
        <v>0</v>
      </c>
      <c r="R685" s="170">
        <v>0</v>
      </c>
      <c r="S685" s="170">
        <f t="shared" si="81"/>
        <v>2651701.0900000003</v>
      </c>
      <c r="T685" s="170">
        <f t="shared" si="80"/>
        <v>4477.7120736237757</v>
      </c>
      <c r="U685" s="170">
        <v>5130.0948328267468</v>
      </c>
      <c r="V685" s="202">
        <f t="shared" si="76"/>
        <v>652.3827592029711</v>
      </c>
      <c r="W685" s="202">
        <f t="shared" si="82"/>
        <v>4972.5861533265788</v>
      </c>
      <c r="X685" s="202">
        <v>0</v>
      </c>
      <c r="Y685" s="203">
        <v>0</v>
      </c>
      <c r="Z685" s="203">
        <v>0</v>
      </c>
      <c r="AA685" s="203">
        <v>0</v>
      </c>
      <c r="AB685" s="203">
        <v>0</v>
      </c>
      <c r="AC685" s="203">
        <v>0</v>
      </c>
      <c r="AD685" s="203">
        <v>0</v>
      </c>
      <c r="AE685" s="203">
        <v>472</v>
      </c>
      <c r="AF685" s="202">
        <f t="shared" si="83"/>
        <v>4972.5861533265788</v>
      </c>
      <c r="AG685" s="203">
        <v>0</v>
      </c>
      <c r="AH685" s="202">
        <v>0</v>
      </c>
      <c r="AI685" s="203">
        <v>0</v>
      </c>
      <c r="AJ685" s="202">
        <v>0</v>
      </c>
      <c r="AK685" s="203">
        <v>0</v>
      </c>
      <c r="AL685" s="203">
        <v>0</v>
      </c>
      <c r="AM685" s="203">
        <v>0</v>
      </c>
      <c r="AN685" s="203"/>
      <c r="AO685" s="203">
        <v>0</v>
      </c>
    </row>
    <row r="686" spans="1:76" s="176" customFormat="1" ht="36" customHeight="1" x14ac:dyDescent="0.25">
      <c r="A686" s="176">
        <v>1</v>
      </c>
      <c r="B686" s="171">
        <f>SUBTOTAL(103,$A$552:A686)</f>
        <v>133</v>
      </c>
      <c r="C686" s="172" t="s">
        <v>407</v>
      </c>
      <c r="D686" s="173">
        <v>1950</v>
      </c>
      <c r="E686" s="173"/>
      <c r="F686" s="174" t="s">
        <v>267</v>
      </c>
      <c r="G686" s="173">
        <v>3</v>
      </c>
      <c r="H686" s="173" t="s">
        <v>303</v>
      </c>
      <c r="I686" s="177">
        <v>786.1</v>
      </c>
      <c r="J686" s="177">
        <v>786.1</v>
      </c>
      <c r="K686" s="177">
        <v>527.79999999999995</v>
      </c>
      <c r="L686" s="206">
        <v>18</v>
      </c>
      <c r="M686" s="173" t="s">
        <v>265</v>
      </c>
      <c r="N686" s="173" t="s">
        <v>269</v>
      </c>
      <c r="O686" s="175" t="s">
        <v>326</v>
      </c>
      <c r="P686" s="170">
        <v>2456912.8200000003</v>
      </c>
      <c r="Q686" s="170">
        <v>0</v>
      </c>
      <c r="R686" s="170">
        <v>0</v>
      </c>
      <c r="S686" s="170">
        <f t="shared" si="81"/>
        <v>2456912.8200000003</v>
      </c>
      <c r="T686" s="170">
        <f t="shared" si="80"/>
        <v>3125.4456430479586</v>
      </c>
      <c r="U686" s="170">
        <v>3602.6882076071743</v>
      </c>
      <c r="V686" s="202">
        <f t="shared" si="76"/>
        <v>477.24256455921568</v>
      </c>
      <c r="W686" s="202">
        <f t="shared" si="82"/>
        <v>3492.0753084849252</v>
      </c>
      <c r="X686" s="202">
        <v>0</v>
      </c>
      <c r="Y686" s="203">
        <v>0</v>
      </c>
      <c r="Z686" s="203">
        <v>0</v>
      </c>
      <c r="AA686" s="203">
        <v>0</v>
      </c>
      <c r="AB686" s="203">
        <v>0</v>
      </c>
      <c r="AC686" s="203">
        <v>0</v>
      </c>
      <c r="AD686" s="203">
        <v>0</v>
      </c>
      <c r="AE686" s="203">
        <v>440</v>
      </c>
      <c r="AF686" s="202">
        <f t="shared" si="83"/>
        <v>3492.0753084849252</v>
      </c>
      <c r="AG686" s="203">
        <v>0</v>
      </c>
      <c r="AH686" s="202">
        <v>0</v>
      </c>
      <c r="AI686" s="203">
        <v>0</v>
      </c>
      <c r="AJ686" s="202">
        <v>0</v>
      </c>
      <c r="AK686" s="203">
        <v>0</v>
      </c>
      <c r="AL686" s="203">
        <v>0</v>
      </c>
      <c r="AM686" s="203">
        <v>0</v>
      </c>
      <c r="AN686" s="203"/>
      <c r="AO686" s="203">
        <v>0</v>
      </c>
    </row>
    <row r="687" spans="1:76" s="176" customFormat="1" ht="36" customHeight="1" x14ac:dyDescent="0.25">
      <c r="A687" s="176">
        <v>1</v>
      </c>
      <c r="B687" s="171">
        <f>SUBTOTAL(103,$A$552:A687)</f>
        <v>134</v>
      </c>
      <c r="C687" s="172" t="s">
        <v>408</v>
      </c>
      <c r="D687" s="173">
        <v>1977</v>
      </c>
      <c r="E687" s="173"/>
      <c r="F687" s="174" t="s">
        <v>267</v>
      </c>
      <c r="G687" s="173">
        <v>9</v>
      </c>
      <c r="H687" s="173" t="s">
        <v>303</v>
      </c>
      <c r="I687" s="177">
        <v>4984</v>
      </c>
      <c r="J687" s="177">
        <v>3767.5</v>
      </c>
      <c r="K687" s="177">
        <v>3767.5</v>
      </c>
      <c r="L687" s="206">
        <v>163</v>
      </c>
      <c r="M687" s="173" t="s">
        <v>265</v>
      </c>
      <c r="N687" s="173" t="s">
        <v>269</v>
      </c>
      <c r="O687" s="175" t="s">
        <v>981</v>
      </c>
      <c r="P687" s="170">
        <v>3762569.57</v>
      </c>
      <c r="Q687" s="170">
        <v>0</v>
      </c>
      <c r="R687" s="170">
        <v>0</v>
      </c>
      <c r="S687" s="170">
        <f t="shared" si="81"/>
        <v>3762569.57</v>
      </c>
      <c r="T687" s="170">
        <f t="shared" si="80"/>
        <v>754.92968900481537</v>
      </c>
      <c r="U687" s="170">
        <v>849.76660112359559</v>
      </c>
      <c r="V687" s="202">
        <f t="shared" si="76"/>
        <v>94.836912118780219</v>
      </c>
      <c r="W687" s="202">
        <f t="shared" si="82"/>
        <v>823.67632022471901</v>
      </c>
      <c r="X687" s="202">
        <v>0</v>
      </c>
      <c r="Y687" s="203">
        <v>0</v>
      </c>
      <c r="Z687" s="203">
        <v>0</v>
      </c>
      <c r="AA687" s="203">
        <v>0</v>
      </c>
      <c r="AB687" s="203">
        <v>0</v>
      </c>
      <c r="AC687" s="203">
        <v>0</v>
      </c>
      <c r="AD687" s="203">
        <v>0</v>
      </c>
      <c r="AE687" s="203">
        <v>658</v>
      </c>
      <c r="AF687" s="202">
        <f t="shared" si="83"/>
        <v>823.67632022471901</v>
      </c>
      <c r="AG687" s="203">
        <v>0</v>
      </c>
      <c r="AH687" s="202">
        <v>0</v>
      </c>
      <c r="AI687" s="203">
        <v>0</v>
      </c>
      <c r="AJ687" s="202">
        <v>0</v>
      </c>
      <c r="AK687" s="203">
        <v>0</v>
      </c>
      <c r="AL687" s="203">
        <v>0</v>
      </c>
      <c r="AM687" s="203">
        <v>0</v>
      </c>
      <c r="AN687" s="203"/>
      <c r="AO687" s="203">
        <v>0</v>
      </c>
      <c r="BW687" s="364"/>
      <c r="BX687" s="364"/>
    </row>
    <row r="688" spans="1:76" s="176" customFormat="1" ht="36" customHeight="1" x14ac:dyDescent="0.25">
      <c r="A688" s="176">
        <v>1</v>
      </c>
      <c r="B688" s="171">
        <f>SUBTOTAL(103,$A$552:A688)</f>
        <v>135</v>
      </c>
      <c r="C688" s="172" t="s">
        <v>409</v>
      </c>
      <c r="D688" s="173">
        <v>1961</v>
      </c>
      <c r="E688" s="173"/>
      <c r="F688" s="174" t="s">
        <v>267</v>
      </c>
      <c r="G688" s="173">
        <v>4</v>
      </c>
      <c r="H688" s="173" t="s">
        <v>308</v>
      </c>
      <c r="I688" s="177">
        <v>2700.93</v>
      </c>
      <c r="J688" s="177">
        <v>2461.3000000000002</v>
      </c>
      <c r="K688" s="177">
        <v>2280.6999999999998</v>
      </c>
      <c r="L688" s="206">
        <v>87</v>
      </c>
      <c r="M688" s="173" t="s">
        <v>265</v>
      </c>
      <c r="N688" s="173" t="s">
        <v>269</v>
      </c>
      <c r="O688" s="175" t="s">
        <v>321</v>
      </c>
      <c r="P688" s="170">
        <v>8724868.5500000007</v>
      </c>
      <c r="Q688" s="170">
        <v>0</v>
      </c>
      <c r="R688" s="170">
        <v>0</v>
      </c>
      <c r="S688" s="170">
        <f t="shared" si="81"/>
        <v>8724868.5500000007</v>
      </c>
      <c r="T688" s="170">
        <f t="shared" si="80"/>
        <v>3230.320130473578</v>
      </c>
      <c r="U688" s="170">
        <v>6880.5317692794697</v>
      </c>
      <c r="V688" s="202">
        <f t="shared" si="76"/>
        <v>3650.2116388058917</v>
      </c>
      <c r="W688" s="202">
        <f t="shared" si="82"/>
        <v>2619.4399484621963</v>
      </c>
      <c r="X688" s="202">
        <v>0</v>
      </c>
      <c r="Y688" s="203">
        <v>0</v>
      </c>
      <c r="Z688" s="203">
        <v>0</v>
      </c>
      <c r="AA688" s="203">
        <v>0</v>
      </c>
      <c r="AB688" s="203">
        <v>0</v>
      </c>
      <c r="AC688" s="203">
        <v>0</v>
      </c>
      <c r="AD688" s="203">
        <v>0</v>
      </c>
      <c r="AE688" s="203">
        <v>1134</v>
      </c>
      <c r="AF688" s="202">
        <f t="shared" si="83"/>
        <v>2619.4399484621963</v>
      </c>
      <c r="AG688" s="203">
        <v>0</v>
      </c>
      <c r="AH688" s="202">
        <v>0</v>
      </c>
      <c r="AI688" s="203">
        <v>0</v>
      </c>
      <c r="AJ688" s="202">
        <v>0</v>
      </c>
      <c r="AK688" s="203">
        <v>0</v>
      </c>
      <c r="AL688" s="203">
        <v>0</v>
      </c>
      <c r="AM688" s="203">
        <v>0</v>
      </c>
      <c r="AN688" s="203"/>
      <c r="AO688" s="203">
        <v>0</v>
      </c>
      <c r="BW688" s="364"/>
      <c r="BX688" s="364"/>
    </row>
    <row r="689" spans="1:76" s="176" customFormat="1" ht="36" customHeight="1" x14ac:dyDescent="0.25">
      <c r="A689" s="176">
        <v>1</v>
      </c>
      <c r="B689" s="171">
        <f>SUBTOTAL(103,$A$552:A689)</f>
        <v>136</v>
      </c>
      <c r="C689" s="172" t="s">
        <v>410</v>
      </c>
      <c r="D689" s="173">
        <v>1960</v>
      </c>
      <c r="E689" s="173"/>
      <c r="F689" s="174" t="s">
        <v>267</v>
      </c>
      <c r="G689" s="173">
        <v>4</v>
      </c>
      <c r="H689" s="173" t="s">
        <v>303</v>
      </c>
      <c r="I689" s="177">
        <v>1374.8</v>
      </c>
      <c r="J689" s="177">
        <v>1203.9000000000001</v>
      </c>
      <c r="K689" s="177">
        <v>773.1</v>
      </c>
      <c r="L689" s="206">
        <v>43</v>
      </c>
      <c r="M689" s="173" t="s">
        <v>265</v>
      </c>
      <c r="N689" s="173" t="s">
        <v>269</v>
      </c>
      <c r="O689" s="175" t="s">
        <v>321</v>
      </c>
      <c r="P689" s="170">
        <v>2895000</v>
      </c>
      <c r="Q689" s="170">
        <v>0</v>
      </c>
      <c r="R689" s="170">
        <v>0</v>
      </c>
      <c r="S689" s="170">
        <f t="shared" si="81"/>
        <v>2895000</v>
      </c>
      <c r="T689" s="170">
        <f t="shared" si="80"/>
        <v>2105.760837940064</v>
      </c>
      <c r="U689" s="170">
        <v>2710.7585612452717</v>
      </c>
      <c r="V689" s="202">
        <f t="shared" si="76"/>
        <v>604.99772330520773</v>
      </c>
      <c r="W689" s="202">
        <f t="shared" si="82"/>
        <v>2627.5304698865293</v>
      </c>
      <c r="X689" s="202">
        <v>0</v>
      </c>
      <c r="Y689" s="203">
        <v>0</v>
      </c>
      <c r="Z689" s="203">
        <v>0</v>
      </c>
      <c r="AA689" s="203">
        <v>0</v>
      </c>
      <c r="AB689" s="203">
        <v>0</v>
      </c>
      <c r="AC689" s="203">
        <v>0</v>
      </c>
      <c r="AD689" s="203">
        <v>0</v>
      </c>
      <c r="AE689" s="203">
        <v>579</v>
      </c>
      <c r="AF689" s="202">
        <f t="shared" si="83"/>
        <v>2627.5304698865293</v>
      </c>
      <c r="AG689" s="203">
        <v>0</v>
      </c>
      <c r="AH689" s="202">
        <v>0</v>
      </c>
      <c r="AI689" s="203">
        <v>0</v>
      </c>
      <c r="AJ689" s="202">
        <v>0</v>
      </c>
      <c r="AK689" s="203">
        <v>0</v>
      </c>
      <c r="AL689" s="203">
        <v>0</v>
      </c>
      <c r="AM689" s="203">
        <v>0</v>
      </c>
      <c r="AN689" s="203"/>
      <c r="AO689" s="203">
        <v>0</v>
      </c>
    </row>
    <row r="690" spans="1:76" s="176" customFormat="1" ht="36" customHeight="1" x14ac:dyDescent="0.25">
      <c r="A690" s="176">
        <v>1</v>
      </c>
      <c r="B690" s="171">
        <f>SUBTOTAL(103,$A$552:A690)</f>
        <v>137</v>
      </c>
      <c r="C690" s="172" t="s">
        <v>411</v>
      </c>
      <c r="D690" s="173">
        <v>1958</v>
      </c>
      <c r="E690" s="173"/>
      <c r="F690" s="174" t="s">
        <v>267</v>
      </c>
      <c r="G690" s="173">
        <v>2</v>
      </c>
      <c r="H690" s="173" t="s">
        <v>303</v>
      </c>
      <c r="I690" s="177">
        <v>653.29999999999995</v>
      </c>
      <c r="J690" s="177">
        <v>605.6</v>
      </c>
      <c r="K690" s="177">
        <v>605.6</v>
      </c>
      <c r="L690" s="206">
        <v>30</v>
      </c>
      <c r="M690" s="173" t="s">
        <v>265</v>
      </c>
      <c r="N690" s="173" t="s">
        <v>269</v>
      </c>
      <c r="O690" s="175" t="s">
        <v>325</v>
      </c>
      <c r="P690" s="170">
        <v>2963667.8699999996</v>
      </c>
      <c r="Q690" s="170">
        <v>0</v>
      </c>
      <c r="R690" s="170">
        <v>0</v>
      </c>
      <c r="S690" s="170">
        <f t="shared" si="81"/>
        <v>2963667.8699999996</v>
      </c>
      <c r="T690" s="170">
        <f t="shared" si="80"/>
        <v>4536.4577835603859</v>
      </c>
      <c r="U690" s="170">
        <v>5553.2682297566198</v>
      </c>
      <c r="V690" s="202">
        <f t="shared" si="76"/>
        <v>1016.8104461962339</v>
      </c>
      <c r="W690" s="202">
        <f t="shared" si="82"/>
        <v>5443.4083881830702</v>
      </c>
      <c r="X690" s="202">
        <v>0</v>
      </c>
      <c r="Y690" s="203">
        <v>0</v>
      </c>
      <c r="Z690" s="203">
        <v>0</v>
      </c>
      <c r="AA690" s="203">
        <v>0</v>
      </c>
      <c r="AB690" s="203">
        <v>0</v>
      </c>
      <c r="AC690" s="203">
        <v>0</v>
      </c>
      <c r="AD690" s="203">
        <v>0</v>
      </c>
      <c r="AE690" s="203">
        <v>570</v>
      </c>
      <c r="AF690" s="202">
        <f t="shared" si="83"/>
        <v>5443.4083881830702</v>
      </c>
      <c r="AG690" s="203">
        <v>0</v>
      </c>
      <c r="AH690" s="202">
        <v>0</v>
      </c>
      <c r="AI690" s="203">
        <v>0</v>
      </c>
      <c r="AJ690" s="202">
        <v>0</v>
      </c>
      <c r="AK690" s="203">
        <v>0</v>
      </c>
      <c r="AL690" s="203">
        <v>0</v>
      </c>
      <c r="AM690" s="203">
        <v>0</v>
      </c>
      <c r="AN690" s="203"/>
      <c r="AO690" s="203">
        <v>0</v>
      </c>
    </row>
    <row r="691" spans="1:76" s="176" customFormat="1" ht="36" customHeight="1" x14ac:dyDescent="0.25">
      <c r="A691" s="176">
        <v>1</v>
      </c>
      <c r="B691" s="171">
        <f>SUBTOTAL(103,$A$552:A691)</f>
        <v>138</v>
      </c>
      <c r="C691" s="172" t="s">
        <v>412</v>
      </c>
      <c r="D691" s="173">
        <v>1961</v>
      </c>
      <c r="E691" s="173"/>
      <c r="F691" s="174" t="s">
        <v>267</v>
      </c>
      <c r="G691" s="173">
        <v>2</v>
      </c>
      <c r="H691" s="173" t="s">
        <v>304</v>
      </c>
      <c r="I691" s="177">
        <v>291.64999999999998</v>
      </c>
      <c r="J691" s="177">
        <v>275.13</v>
      </c>
      <c r="K691" s="177">
        <v>275.13</v>
      </c>
      <c r="L691" s="206">
        <v>17</v>
      </c>
      <c r="M691" s="173" t="s">
        <v>265</v>
      </c>
      <c r="N691" s="173" t="s">
        <v>266</v>
      </c>
      <c r="O691" s="175" t="s">
        <v>268</v>
      </c>
      <c r="P691" s="170">
        <v>1478880.1700000002</v>
      </c>
      <c r="Q691" s="170">
        <v>0</v>
      </c>
      <c r="R691" s="170">
        <v>0</v>
      </c>
      <c r="S691" s="170">
        <f t="shared" si="81"/>
        <v>1478880.1700000002</v>
      </c>
      <c r="T691" s="170">
        <f t="shared" si="80"/>
        <v>5070.7360534887721</v>
      </c>
      <c r="U691" s="170">
        <v>5849.2642249271394</v>
      </c>
      <c r="V691" s="202">
        <f t="shared" si="76"/>
        <v>778.52817143836728</v>
      </c>
      <c r="W691" s="202">
        <f t="shared" si="82"/>
        <v>5690.2110749185676</v>
      </c>
      <c r="X691" s="202">
        <v>0</v>
      </c>
      <c r="Y691" s="203">
        <v>0</v>
      </c>
      <c r="Z691" s="203">
        <v>0</v>
      </c>
      <c r="AA691" s="203">
        <v>0</v>
      </c>
      <c r="AB691" s="203">
        <v>0</v>
      </c>
      <c r="AC691" s="203">
        <v>0</v>
      </c>
      <c r="AD691" s="203">
        <v>0</v>
      </c>
      <c r="AE691" s="203">
        <v>266</v>
      </c>
      <c r="AF691" s="202">
        <f t="shared" si="83"/>
        <v>5690.2110749185676</v>
      </c>
      <c r="AG691" s="203">
        <v>0</v>
      </c>
      <c r="AH691" s="202">
        <v>0</v>
      </c>
      <c r="AI691" s="203">
        <v>0</v>
      </c>
      <c r="AJ691" s="202">
        <v>0</v>
      </c>
      <c r="AK691" s="203">
        <v>0</v>
      </c>
      <c r="AL691" s="203">
        <v>0</v>
      </c>
      <c r="AM691" s="203">
        <v>0</v>
      </c>
      <c r="AN691" s="203"/>
      <c r="AO691" s="203">
        <v>0</v>
      </c>
    </row>
    <row r="692" spans="1:76" s="176" customFormat="1" ht="36" customHeight="1" x14ac:dyDescent="0.25">
      <c r="A692" s="176">
        <v>1</v>
      </c>
      <c r="B692" s="171">
        <f>SUBTOTAL(103,$A$552:A692)</f>
        <v>139</v>
      </c>
      <c r="C692" s="172" t="s">
        <v>413</v>
      </c>
      <c r="D692" s="173">
        <v>1971</v>
      </c>
      <c r="E692" s="173"/>
      <c r="F692" s="174" t="s">
        <v>267</v>
      </c>
      <c r="G692" s="173">
        <v>5</v>
      </c>
      <c r="H692" s="173" t="s">
        <v>370</v>
      </c>
      <c r="I692" s="177">
        <v>5077.5</v>
      </c>
      <c r="J692" s="177">
        <v>4703.1000000000004</v>
      </c>
      <c r="K692" s="177">
        <v>3712.4</v>
      </c>
      <c r="L692" s="206">
        <v>180</v>
      </c>
      <c r="M692" s="173" t="s">
        <v>265</v>
      </c>
      <c r="N692" s="173" t="s">
        <v>269</v>
      </c>
      <c r="O692" s="175" t="s">
        <v>328</v>
      </c>
      <c r="P692" s="170">
        <v>11271795.5</v>
      </c>
      <c r="Q692" s="170">
        <v>0</v>
      </c>
      <c r="R692" s="170">
        <v>0</v>
      </c>
      <c r="S692" s="170">
        <f t="shared" si="81"/>
        <v>11271795.5</v>
      </c>
      <c r="T692" s="170">
        <f t="shared" si="80"/>
        <v>2219.9498769079273</v>
      </c>
      <c r="U692" s="170">
        <v>6244.4014180206796</v>
      </c>
      <c r="V692" s="202">
        <f t="shared" si="76"/>
        <v>4024.4515411127522</v>
      </c>
      <c r="W692" s="202">
        <f t="shared" si="82"/>
        <v>2002.8406302314129</v>
      </c>
      <c r="X692" s="202">
        <v>0</v>
      </c>
      <c r="Y692" s="203">
        <v>0</v>
      </c>
      <c r="Z692" s="203">
        <v>0</v>
      </c>
      <c r="AA692" s="203">
        <v>0</v>
      </c>
      <c r="AB692" s="203">
        <v>0</v>
      </c>
      <c r="AC692" s="203">
        <v>0</v>
      </c>
      <c r="AD692" s="203">
        <v>0</v>
      </c>
      <c r="AE692" s="203">
        <v>1630</v>
      </c>
      <c r="AF692" s="202">
        <f t="shared" si="83"/>
        <v>2002.8406302314129</v>
      </c>
      <c r="AG692" s="203">
        <v>0</v>
      </c>
      <c r="AH692" s="202">
        <v>0</v>
      </c>
      <c r="AI692" s="203">
        <v>0</v>
      </c>
      <c r="AJ692" s="202">
        <v>0</v>
      </c>
      <c r="AK692" s="203">
        <v>0</v>
      </c>
      <c r="AL692" s="203">
        <v>0</v>
      </c>
      <c r="AM692" s="203">
        <v>0</v>
      </c>
      <c r="AN692" s="203"/>
      <c r="AO692" s="203">
        <v>0</v>
      </c>
      <c r="BW692" s="364"/>
      <c r="BX692" s="364"/>
    </row>
    <row r="693" spans="1:76" s="176" customFormat="1" ht="36" customHeight="1" x14ac:dyDescent="0.25">
      <c r="A693" s="176">
        <v>1</v>
      </c>
      <c r="B693" s="171">
        <f>SUBTOTAL(103,$A$552:A693)</f>
        <v>140</v>
      </c>
      <c r="C693" s="172" t="s">
        <v>414</v>
      </c>
      <c r="D693" s="173">
        <v>1941</v>
      </c>
      <c r="E693" s="173"/>
      <c r="F693" s="174" t="s">
        <v>324</v>
      </c>
      <c r="G693" s="173">
        <v>2</v>
      </c>
      <c r="H693" s="173" t="s">
        <v>303</v>
      </c>
      <c r="I693" s="177">
        <v>613.70000000000005</v>
      </c>
      <c r="J693" s="177">
        <v>345.1</v>
      </c>
      <c r="K693" s="177">
        <v>345.1</v>
      </c>
      <c r="L693" s="206">
        <v>22</v>
      </c>
      <c r="M693" s="173" t="s">
        <v>265</v>
      </c>
      <c r="N693" s="173" t="s">
        <v>269</v>
      </c>
      <c r="O693" s="175" t="s">
        <v>325</v>
      </c>
      <c r="P693" s="170">
        <v>2786349.04</v>
      </c>
      <c r="Q693" s="170">
        <v>0</v>
      </c>
      <c r="R693" s="170">
        <v>0</v>
      </c>
      <c r="S693" s="170">
        <f t="shared" si="81"/>
        <v>2786349.04</v>
      </c>
      <c r="T693" s="170">
        <f t="shared" si="80"/>
        <v>4540.2461137363534</v>
      </c>
      <c r="U693" s="170">
        <v>5244.036174026397</v>
      </c>
      <c r="V693" s="202">
        <f t="shared" si="76"/>
        <v>703.79006029004358</v>
      </c>
      <c r="W693" s="202">
        <f t="shared" si="82"/>
        <v>5083.0291673456086</v>
      </c>
      <c r="X693" s="202">
        <v>0</v>
      </c>
      <c r="Y693" s="203">
        <v>0</v>
      </c>
      <c r="Z693" s="203">
        <v>0</v>
      </c>
      <c r="AA693" s="203">
        <v>0</v>
      </c>
      <c r="AB693" s="203">
        <v>0</v>
      </c>
      <c r="AC693" s="203">
        <v>0</v>
      </c>
      <c r="AD693" s="203">
        <v>0</v>
      </c>
      <c r="AE693" s="203">
        <v>500</v>
      </c>
      <c r="AF693" s="202">
        <f t="shared" si="83"/>
        <v>5083.0291673456086</v>
      </c>
      <c r="AG693" s="203">
        <v>0</v>
      </c>
      <c r="AH693" s="202">
        <v>0</v>
      </c>
      <c r="AI693" s="203">
        <v>0</v>
      </c>
      <c r="AJ693" s="202">
        <v>0</v>
      </c>
      <c r="AK693" s="203">
        <v>0</v>
      </c>
      <c r="AL693" s="203">
        <v>0</v>
      </c>
      <c r="AM693" s="203">
        <v>0</v>
      </c>
      <c r="AN693" s="203"/>
      <c r="AO693" s="203">
        <v>0</v>
      </c>
    </row>
    <row r="694" spans="1:76" s="176" customFormat="1" ht="36" customHeight="1" x14ac:dyDescent="0.25">
      <c r="A694" s="176">
        <v>1</v>
      </c>
      <c r="B694" s="171">
        <f>SUBTOTAL(103,$A$552:A694)</f>
        <v>141</v>
      </c>
      <c r="C694" s="172" t="s">
        <v>415</v>
      </c>
      <c r="D694" s="173">
        <v>1954</v>
      </c>
      <c r="E694" s="173"/>
      <c r="F694" s="174" t="s">
        <v>324</v>
      </c>
      <c r="G694" s="173">
        <v>2</v>
      </c>
      <c r="H694" s="173" t="s">
        <v>303</v>
      </c>
      <c r="I694" s="177">
        <v>441</v>
      </c>
      <c r="J694" s="177">
        <v>399.8</v>
      </c>
      <c r="K694" s="177">
        <v>399.8</v>
      </c>
      <c r="L694" s="206">
        <v>27</v>
      </c>
      <c r="M694" s="173" t="s">
        <v>265</v>
      </c>
      <c r="N694" s="173" t="s">
        <v>269</v>
      </c>
      <c r="O694" s="175" t="s">
        <v>325</v>
      </c>
      <c r="P694" s="170">
        <v>2063308.78</v>
      </c>
      <c r="Q694" s="170">
        <v>0</v>
      </c>
      <c r="R694" s="170">
        <v>0</v>
      </c>
      <c r="S694" s="170">
        <f t="shared" si="81"/>
        <v>2063308.78</v>
      </c>
      <c r="T694" s="170">
        <f t="shared" si="80"/>
        <v>4678.7047165532877</v>
      </c>
      <c r="U694" s="170">
        <v>5540.9620163265308</v>
      </c>
      <c r="V694" s="202">
        <f t="shared" si="76"/>
        <v>862.25729977324318</v>
      </c>
      <c r="W694" s="202">
        <f t="shared" si="82"/>
        <v>5941.8190476190466</v>
      </c>
      <c r="X694" s="202">
        <v>0</v>
      </c>
      <c r="Y694" s="203">
        <v>0</v>
      </c>
      <c r="Z694" s="203">
        <v>0</v>
      </c>
      <c r="AA694" s="203">
        <v>0</v>
      </c>
      <c r="AB694" s="203">
        <v>0</v>
      </c>
      <c r="AC694" s="203">
        <v>0</v>
      </c>
      <c r="AD694" s="203">
        <v>0</v>
      </c>
      <c r="AE694" s="203">
        <v>420</v>
      </c>
      <c r="AF694" s="202">
        <f t="shared" si="83"/>
        <v>5941.8190476190466</v>
      </c>
      <c r="AG694" s="203">
        <v>0</v>
      </c>
      <c r="AH694" s="202">
        <v>0</v>
      </c>
      <c r="AI694" s="203">
        <v>0</v>
      </c>
      <c r="AJ694" s="202">
        <v>0</v>
      </c>
      <c r="AK694" s="203">
        <v>0</v>
      </c>
      <c r="AL694" s="203">
        <v>0</v>
      </c>
      <c r="AM694" s="203">
        <v>0</v>
      </c>
      <c r="AN694" s="203"/>
      <c r="AO694" s="203">
        <v>0</v>
      </c>
    </row>
    <row r="695" spans="1:76" s="176" customFormat="1" ht="36" customHeight="1" x14ac:dyDescent="0.25">
      <c r="A695" s="176">
        <v>1</v>
      </c>
      <c r="B695" s="171">
        <f>SUBTOTAL(103,$A$552:A695)</f>
        <v>142</v>
      </c>
      <c r="C695" s="172" t="s">
        <v>201</v>
      </c>
      <c r="D695" s="173">
        <v>1980</v>
      </c>
      <c r="E695" s="173"/>
      <c r="F695" s="174" t="s">
        <v>267</v>
      </c>
      <c r="G695" s="173">
        <v>2</v>
      </c>
      <c r="H695" s="173" t="s">
        <v>312</v>
      </c>
      <c r="I695" s="177">
        <v>962.22</v>
      </c>
      <c r="J695" s="177">
        <v>829.52</v>
      </c>
      <c r="K695" s="177">
        <v>829.52</v>
      </c>
      <c r="L695" s="206">
        <v>30</v>
      </c>
      <c r="M695" s="173" t="s">
        <v>265</v>
      </c>
      <c r="N695" s="173" t="s">
        <v>269</v>
      </c>
      <c r="O695" s="175" t="s">
        <v>327</v>
      </c>
      <c r="P695" s="170">
        <v>3677950</v>
      </c>
      <c r="Q695" s="170">
        <v>0</v>
      </c>
      <c r="R695" s="170">
        <v>0</v>
      </c>
      <c r="S695" s="170">
        <f t="shared" si="81"/>
        <v>3677950</v>
      </c>
      <c r="T695" s="170">
        <f t="shared" si="80"/>
        <v>3822.3587121448318</v>
      </c>
      <c r="U695" s="170">
        <v>1631.0497307570477</v>
      </c>
      <c r="V695" s="202">
        <f t="shared" si="76"/>
        <v>-2191.3089813877841</v>
      </c>
      <c r="W695" s="202">
        <f t="shared" si="82"/>
        <v>4712.384261395523</v>
      </c>
      <c r="X695" s="202">
        <v>0</v>
      </c>
      <c r="Y695" s="203">
        <v>0</v>
      </c>
      <c r="Z695" s="203">
        <v>0</v>
      </c>
      <c r="AA695" s="203">
        <v>0</v>
      </c>
      <c r="AB695" s="203">
        <v>0</v>
      </c>
      <c r="AC695" s="203">
        <v>0</v>
      </c>
      <c r="AD695" s="203">
        <v>0</v>
      </c>
      <c r="AE695" s="203">
        <v>0</v>
      </c>
      <c r="AF695" s="202">
        <v>0</v>
      </c>
      <c r="AG695" s="203">
        <v>0</v>
      </c>
      <c r="AH695" s="202">
        <v>0</v>
      </c>
      <c r="AI695" s="203">
        <v>0</v>
      </c>
      <c r="AJ695" s="202">
        <v>0</v>
      </c>
      <c r="AK695" s="203">
        <v>0</v>
      </c>
      <c r="AL695" s="203">
        <v>0</v>
      </c>
      <c r="AM695" s="203">
        <v>649.20000000000005</v>
      </c>
      <c r="AN695" s="203">
        <f>6984.52*AM695/I695</f>
        <v>4712.384261395523</v>
      </c>
      <c r="AO695" s="203">
        <v>0</v>
      </c>
    </row>
    <row r="696" spans="1:76" s="176" customFormat="1" ht="36" customHeight="1" x14ac:dyDescent="0.25">
      <c r="A696" s="176">
        <v>1</v>
      </c>
      <c r="B696" s="171">
        <f>SUBTOTAL(103,$A$552:A696)</f>
        <v>143</v>
      </c>
      <c r="C696" s="172" t="s">
        <v>203</v>
      </c>
      <c r="D696" s="173">
        <v>1981</v>
      </c>
      <c r="E696" s="173"/>
      <c r="F696" s="174" t="s">
        <v>267</v>
      </c>
      <c r="G696" s="173">
        <v>2</v>
      </c>
      <c r="H696" s="173" t="s">
        <v>312</v>
      </c>
      <c r="I696" s="177">
        <v>955.1</v>
      </c>
      <c r="J696" s="177">
        <v>865.5</v>
      </c>
      <c r="K696" s="177">
        <v>865.5</v>
      </c>
      <c r="L696" s="206">
        <v>44</v>
      </c>
      <c r="M696" s="173" t="s">
        <v>265</v>
      </c>
      <c r="N696" s="173" t="s">
        <v>269</v>
      </c>
      <c r="O696" s="175" t="s">
        <v>327</v>
      </c>
      <c r="P696" s="170">
        <v>3670000</v>
      </c>
      <c r="Q696" s="170">
        <v>0</v>
      </c>
      <c r="R696" s="170">
        <v>0</v>
      </c>
      <c r="S696" s="170">
        <f t="shared" si="81"/>
        <v>3670000</v>
      </c>
      <c r="T696" s="170">
        <f t="shared" si="80"/>
        <v>3842.5295780546539</v>
      </c>
      <c r="U696" s="170">
        <v>1631.0497307570477</v>
      </c>
      <c r="V696" s="202">
        <f t="shared" si="76"/>
        <v>-2211.4798472976063</v>
      </c>
      <c r="W696" s="202">
        <f t="shared" si="82"/>
        <v>4674.385073814261</v>
      </c>
      <c r="X696" s="202">
        <v>0</v>
      </c>
      <c r="Y696" s="203">
        <v>0</v>
      </c>
      <c r="Z696" s="203">
        <v>0</v>
      </c>
      <c r="AA696" s="203">
        <v>0</v>
      </c>
      <c r="AB696" s="203">
        <v>0</v>
      </c>
      <c r="AC696" s="203">
        <v>0</v>
      </c>
      <c r="AD696" s="203">
        <v>0</v>
      </c>
      <c r="AE696" s="203">
        <v>0</v>
      </c>
      <c r="AF696" s="202">
        <v>0</v>
      </c>
      <c r="AG696" s="203">
        <v>0</v>
      </c>
      <c r="AH696" s="202">
        <v>0</v>
      </c>
      <c r="AI696" s="203">
        <v>0</v>
      </c>
      <c r="AJ696" s="202">
        <v>0</v>
      </c>
      <c r="AK696" s="203">
        <v>0</v>
      </c>
      <c r="AL696" s="203">
        <v>0</v>
      </c>
      <c r="AM696" s="203">
        <v>639.20000000000005</v>
      </c>
      <c r="AN696" s="203">
        <f>6984.52*AM696/I696</f>
        <v>4674.385073814261</v>
      </c>
      <c r="AO696" s="203">
        <v>0</v>
      </c>
    </row>
    <row r="697" spans="1:76" s="176" customFormat="1" ht="36" customHeight="1" x14ac:dyDescent="0.25">
      <c r="A697" s="176">
        <v>1</v>
      </c>
      <c r="B697" s="171">
        <f>SUBTOTAL(103,$A$552:A697)</f>
        <v>144</v>
      </c>
      <c r="C697" s="172" t="s">
        <v>202</v>
      </c>
      <c r="D697" s="173">
        <v>1981</v>
      </c>
      <c r="E697" s="173"/>
      <c r="F697" s="174" t="s">
        <v>267</v>
      </c>
      <c r="G697" s="173">
        <v>2</v>
      </c>
      <c r="H697" s="173" t="s">
        <v>303</v>
      </c>
      <c r="I697" s="177">
        <v>946.6</v>
      </c>
      <c r="J697" s="177">
        <v>861.8</v>
      </c>
      <c r="K697" s="177">
        <v>861.8</v>
      </c>
      <c r="L697" s="206">
        <v>44</v>
      </c>
      <c r="M697" s="173" t="s">
        <v>265</v>
      </c>
      <c r="N697" s="173" t="s">
        <v>266</v>
      </c>
      <c r="O697" s="175" t="s">
        <v>268</v>
      </c>
      <c r="P697" s="170">
        <v>3503417.49</v>
      </c>
      <c r="Q697" s="170">
        <v>0</v>
      </c>
      <c r="R697" s="170">
        <v>0</v>
      </c>
      <c r="S697" s="170">
        <f t="shared" si="81"/>
        <v>3503417.49</v>
      </c>
      <c r="T697" s="170">
        <f t="shared" si="80"/>
        <v>3701.0537608282275</v>
      </c>
      <c r="U697" s="170">
        <v>1631.0497307570477</v>
      </c>
      <c r="V697" s="202">
        <f t="shared" si="76"/>
        <v>-2070.0040300711798</v>
      </c>
      <c r="W697" s="202">
        <f t="shared" si="82"/>
        <v>4559.1959729558421</v>
      </c>
      <c r="X697" s="202">
        <v>0</v>
      </c>
      <c r="Y697" s="203">
        <v>0</v>
      </c>
      <c r="Z697" s="203">
        <v>0</v>
      </c>
      <c r="AA697" s="203">
        <v>0</v>
      </c>
      <c r="AB697" s="203">
        <v>0</v>
      </c>
      <c r="AC697" s="203">
        <v>0</v>
      </c>
      <c r="AD697" s="203">
        <v>0</v>
      </c>
      <c r="AE697" s="203">
        <v>0</v>
      </c>
      <c r="AF697" s="202">
        <v>0</v>
      </c>
      <c r="AG697" s="203">
        <v>0</v>
      </c>
      <c r="AH697" s="202">
        <v>0</v>
      </c>
      <c r="AI697" s="203">
        <v>0</v>
      </c>
      <c r="AJ697" s="202">
        <v>0</v>
      </c>
      <c r="AK697" s="203">
        <v>0</v>
      </c>
      <c r="AL697" s="203">
        <v>0</v>
      </c>
      <c r="AM697" s="203">
        <v>617.9</v>
      </c>
      <c r="AN697" s="203">
        <f>6984.52*AM697/I697</f>
        <v>4559.1959729558421</v>
      </c>
      <c r="AO697" s="203">
        <v>0</v>
      </c>
    </row>
    <row r="698" spans="1:76" s="176" customFormat="1" ht="36" customHeight="1" x14ac:dyDescent="0.25">
      <c r="A698" s="176">
        <v>1</v>
      </c>
      <c r="B698" s="171">
        <f>SUBTOTAL(103,$A$552:A698)</f>
        <v>145</v>
      </c>
      <c r="C698" s="172" t="s">
        <v>416</v>
      </c>
      <c r="D698" s="173">
        <v>1987</v>
      </c>
      <c r="E698" s="173"/>
      <c r="F698" s="174" t="s">
        <v>267</v>
      </c>
      <c r="G698" s="173">
        <v>5</v>
      </c>
      <c r="H698" s="173" t="s">
        <v>308</v>
      </c>
      <c r="I698" s="177">
        <v>4250.6000000000004</v>
      </c>
      <c r="J698" s="177">
        <v>2613.6</v>
      </c>
      <c r="K698" s="177">
        <v>2613.6</v>
      </c>
      <c r="L698" s="206">
        <v>107</v>
      </c>
      <c r="M698" s="173" t="s">
        <v>265</v>
      </c>
      <c r="N698" s="173" t="s">
        <v>269</v>
      </c>
      <c r="O698" s="175" t="s">
        <v>326</v>
      </c>
      <c r="P698" s="170">
        <v>2866181.7800000003</v>
      </c>
      <c r="Q698" s="170">
        <v>0</v>
      </c>
      <c r="R698" s="170">
        <v>0</v>
      </c>
      <c r="S698" s="170">
        <f t="shared" si="81"/>
        <v>2866181.7800000003</v>
      </c>
      <c r="T698" s="170">
        <f t="shared" si="80"/>
        <v>674.30051757398951</v>
      </c>
      <c r="U698" s="170">
        <v>1044.6300724133062</v>
      </c>
      <c r="V698" s="202">
        <f t="shared" si="76"/>
        <v>370.32955483931664</v>
      </c>
      <c r="W698" s="202">
        <f t="shared" si="82"/>
        <v>1138.9907683621136</v>
      </c>
      <c r="X698" s="202">
        <v>0</v>
      </c>
      <c r="Y698" s="203">
        <v>0</v>
      </c>
      <c r="Z698" s="203">
        <v>0</v>
      </c>
      <c r="AA698" s="203">
        <v>0</v>
      </c>
      <c r="AB698" s="203">
        <v>0</v>
      </c>
      <c r="AC698" s="203">
        <v>0</v>
      </c>
      <c r="AD698" s="203">
        <v>0</v>
      </c>
      <c r="AE698" s="203">
        <v>776</v>
      </c>
      <c r="AF698" s="202">
        <f>6238.91*AE698/I698</f>
        <v>1138.9907683621136</v>
      </c>
      <c r="AG698" s="203">
        <v>0</v>
      </c>
      <c r="AH698" s="202">
        <v>0</v>
      </c>
      <c r="AI698" s="203">
        <v>0</v>
      </c>
      <c r="AJ698" s="202">
        <v>0</v>
      </c>
      <c r="AK698" s="203">
        <v>0</v>
      </c>
      <c r="AL698" s="203">
        <v>0</v>
      </c>
      <c r="AM698" s="203">
        <v>0</v>
      </c>
      <c r="AN698" s="203"/>
      <c r="AO698" s="203">
        <v>0</v>
      </c>
      <c r="BW698" s="364"/>
      <c r="BX698" s="364"/>
    </row>
    <row r="699" spans="1:76" s="176" customFormat="1" ht="36" customHeight="1" x14ac:dyDescent="0.25">
      <c r="A699" s="176">
        <v>1</v>
      </c>
      <c r="B699" s="171">
        <f>SUBTOTAL(103,$A$552:A699)</f>
        <v>146</v>
      </c>
      <c r="C699" s="172" t="s">
        <v>425</v>
      </c>
      <c r="D699" s="173">
        <v>1880</v>
      </c>
      <c r="E699" s="173"/>
      <c r="F699" s="174" t="s">
        <v>267</v>
      </c>
      <c r="G699" s="173">
        <v>2</v>
      </c>
      <c r="H699" s="173" t="s">
        <v>304</v>
      </c>
      <c r="I699" s="177">
        <v>646.49</v>
      </c>
      <c r="J699" s="177">
        <v>646.49</v>
      </c>
      <c r="K699" s="177">
        <v>646.49</v>
      </c>
      <c r="L699" s="206">
        <v>37</v>
      </c>
      <c r="M699" s="173" t="s">
        <v>265</v>
      </c>
      <c r="N699" s="173" t="s">
        <v>266</v>
      </c>
      <c r="O699" s="175" t="s">
        <v>268</v>
      </c>
      <c r="P699" s="170">
        <v>3571530.1000000006</v>
      </c>
      <c r="Q699" s="170">
        <v>0</v>
      </c>
      <c r="R699" s="170">
        <v>0</v>
      </c>
      <c r="S699" s="170">
        <f t="shared" si="81"/>
        <v>3571530.1000000006</v>
      </c>
      <c r="T699" s="170">
        <f t="shared" si="80"/>
        <v>5524.4939596900194</v>
      </c>
      <c r="U699" s="170">
        <v>7307.7897879317534</v>
      </c>
      <c r="V699" s="202">
        <f t="shared" si="76"/>
        <v>1783.2958282417339</v>
      </c>
      <c r="W699" s="202">
        <f t="shared" si="82"/>
        <v>3633.9826602112944</v>
      </c>
      <c r="X699" s="202">
        <v>0</v>
      </c>
      <c r="Y699" s="203">
        <v>0</v>
      </c>
      <c r="Z699" s="203">
        <v>0</v>
      </c>
      <c r="AA699" s="203">
        <v>0</v>
      </c>
      <c r="AB699" s="203">
        <v>0</v>
      </c>
      <c r="AC699" s="203">
        <v>0</v>
      </c>
      <c r="AD699" s="203">
        <v>0</v>
      </c>
      <c r="AE699" s="203">
        <v>365</v>
      </c>
      <c r="AF699" s="202">
        <f>6436.53*AE699/I699</f>
        <v>3633.9826602112944</v>
      </c>
      <c r="AG699" s="203">
        <v>0</v>
      </c>
      <c r="AH699" s="202">
        <v>0</v>
      </c>
      <c r="AI699" s="203">
        <v>0</v>
      </c>
      <c r="AJ699" s="202">
        <v>0</v>
      </c>
      <c r="AK699" s="203">
        <v>0</v>
      </c>
      <c r="AL699" s="203">
        <v>0</v>
      </c>
      <c r="AM699" s="203">
        <v>0</v>
      </c>
      <c r="AN699" s="203"/>
      <c r="AO699" s="203">
        <v>0</v>
      </c>
    </row>
    <row r="700" spans="1:76" s="176" customFormat="1" ht="36" customHeight="1" x14ac:dyDescent="0.25">
      <c r="A700" s="176">
        <v>1</v>
      </c>
      <c r="B700" s="171">
        <f>SUBTOTAL(103,$A$552:A700)</f>
        <v>147</v>
      </c>
      <c r="C700" s="172" t="s">
        <v>418</v>
      </c>
      <c r="D700" s="173">
        <v>1964</v>
      </c>
      <c r="E700" s="173"/>
      <c r="F700" s="174" t="s">
        <v>267</v>
      </c>
      <c r="G700" s="173">
        <v>3</v>
      </c>
      <c r="H700" s="173" t="s">
        <v>303</v>
      </c>
      <c r="I700" s="177">
        <v>1192.79</v>
      </c>
      <c r="J700" s="177">
        <v>1192.79</v>
      </c>
      <c r="K700" s="177">
        <v>1192.79</v>
      </c>
      <c r="L700" s="206">
        <v>56</v>
      </c>
      <c r="M700" s="173" t="s">
        <v>265</v>
      </c>
      <c r="N700" s="173" t="s">
        <v>269</v>
      </c>
      <c r="O700" s="175" t="s">
        <v>322</v>
      </c>
      <c r="P700" s="170">
        <v>4390734.43</v>
      </c>
      <c r="Q700" s="170">
        <v>0</v>
      </c>
      <c r="R700" s="170">
        <v>0</v>
      </c>
      <c r="S700" s="170">
        <f t="shared" si="81"/>
        <v>4390734.43</v>
      </c>
      <c r="T700" s="170">
        <f t="shared" si="80"/>
        <v>3681.0624083032217</v>
      </c>
      <c r="U700" s="170">
        <v>3681.0624083032217</v>
      </c>
      <c r="V700" s="202">
        <f t="shared" si="76"/>
        <v>0</v>
      </c>
      <c r="W700" s="202">
        <f t="shared" si="82"/>
        <v>5906.1760242792116</v>
      </c>
      <c r="X700" s="202">
        <v>0</v>
      </c>
      <c r="Y700" s="203">
        <v>0</v>
      </c>
      <c r="Z700" s="203">
        <v>0</v>
      </c>
      <c r="AA700" s="203">
        <v>0</v>
      </c>
      <c r="AB700" s="203">
        <v>0</v>
      </c>
      <c r="AC700" s="203">
        <v>0</v>
      </c>
      <c r="AD700" s="203">
        <v>0</v>
      </c>
      <c r="AE700" s="203">
        <v>0</v>
      </c>
      <c r="AF700" s="202">
        <v>0</v>
      </c>
      <c r="AG700" s="203">
        <v>0</v>
      </c>
      <c r="AH700" s="202">
        <v>0</v>
      </c>
      <c r="AI700" s="203">
        <v>947</v>
      </c>
      <c r="AJ700" s="202">
        <f>7439.1*AI700/I700</f>
        <v>5906.1760242792116</v>
      </c>
      <c r="AK700" s="203">
        <v>0</v>
      </c>
      <c r="AL700" s="203">
        <v>0</v>
      </c>
      <c r="AM700" s="203">
        <v>0</v>
      </c>
      <c r="AN700" s="203"/>
      <c r="AO700" s="203">
        <v>0</v>
      </c>
    </row>
    <row r="701" spans="1:76" s="176" customFormat="1" ht="36" customHeight="1" x14ac:dyDescent="0.25">
      <c r="A701" s="176">
        <v>1</v>
      </c>
      <c r="B701" s="171">
        <f>SUBTOTAL(103,$A$552:A701)</f>
        <v>148</v>
      </c>
      <c r="C701" s="172" t="s">
        <v>419</v>
      </c>
      <c r="D701" s="173">
        <v>1941</v>
      </c>
      <c r="E701" s="173"/>
      <c r="F701" s="174" t="s">
        <v>267</v>
      </c>
      <c r="G701" s="173">
        <v>2</v>
      </c>
      <c r="H701" s="173" t="s">
        <v>303</v>
      </c>
      <c r="I701" s="177">
        <v>858.3</v>
      </c>
      <c r="J701" s="177">
        <v>655.4</v>
      </c>
      <c r="K701" s="177">
        <v>655.4</v>
      </c>
      <c r="L701" s="206">
        <v>31</v>
      </c>
      <c r="M701" s="173" t="s">
        <v>265</v>
      </c>
      <c r="N701" s="173" t="s">
        <v>269</v>
      </c>
      <c r="O701" s="175" t="s">
        <v>325</v>
      </c>
      <c r="P701" s="170">
        <v>3255890.12</v>
      </c>
      <c r="Q701" s="170">
        <v>0</v>
      </c>
      <c r="R701" s="170">
        <v>0</v>
      </c>
      <c r="S701" s="170">
        <f t="shared" si="81"/>
        <v>3255890.12</v>
      </c>
      <c r="T701" s="170">
        <f t="shared" si="80"/>
        <v>3793.4173598974721</v>
      </c>
      <c r="U701" s="170">
        <v>4237.0260398462078</v>
      </c>
      <c r="V701" s="202">
        <f t="shared" si="76"/>
        <v>443.6086799487357</v>
      </c>
      <c r="W701" s="202">
        <f t="shared" si="82"/>
        <v>4361.349178608878</v>
      </c>
      <c r="X701" s="202">
        <v>0</v>
      </c>
      <c r="Y701" s="203">
        <v>0</v>
      </c>
      <c r="Z701" s="203">
        <v>0</v>
      </c>
      <c r="AA701" s="203">
        <v>0</v>
      </c>
      <c r="AB701" s="203">
        <v>0</v>
      </c>
      <c r="AC701" s="203">
        <v>0</v>
      </c>
      <c r="AD701" s="203">
        <v>0</v>
      </c>
      <c r="AE701" s="203">
        <v>600</v>
      </c>
      <c r="AF701" s="202">
        <f>6238.91*AE701/I701</f>
        <v>4361.349178608878</v>
      </c>
      <c r="AG701" s="203">
        <v>0</v>
      </c>
      <c r="AH701" s="202">
        <v>0</v>
      </c>
      <c r="AI701" s="203">
        <v>0</v>
      </c>
      <c r="AJ701" s="202">
        <v>0</v>
      </c>
      <c r="AK701" s="203">
        <v>0</v>
      </c>
      <c r="AL701" s="203">
        <v>0</v>
      </c>
      <c r="AM701" s="203">
        <v>0</v>
      </c>
      <c r="AN701" s="203"/>
      <c r="AO701" s="203">
        <v>0</v>
      </c>
    </row>
    <row r="702" spans="1:76" s="176" customFormat="1" ht="36" customHeight="1" x14ac:dyDescent="0.25">
      <c r="A702" s="176">
        <v>1</v>
      </c>
      <c r="B702" s="171">
        <f>SUBTOTAL(103,$A$552:A702)</f>
        <v>149</v>
      </c>
      <c r="C702" s="172" t="s">
        <v>420</v>
      </c>
      <c r="D702" s="173">
        <v>1962</v>
      </c>
      <c r="E702" s="173"/>
      <c r="F702" s="174" t="s">
        <v>324</v>
      </c>
      <c r="G702" s="173">
        <v>2</v>
      </c>
      <c r="H702" s="173" t="s">
        <v>303</v>
      </c>
      <c r="I702" s="177">
        <v>590.99</v>
      </c>
      <c r="J702" s="177">
        <v>550.29</v>
      </c>
      <c r="K702" s="177">
        <v>550.29</v>
      </c>
      <c r="L702" s="206">
        <v>18</v>
      </c>
      <c r="M702" s="173" t="s">
        <v>265</v>
      </c>
      <c r="N702" s="173" t="s">
        <v>269</v>
      </c>
      <c r="O702" s="175" t="s">
        <v>328</v>
      </c>
      <c r="P702" s="170">
        <v>2533670.4300000002</v>
      </c>
      <c r="Q702" s="170">
        <v>0</v>
      </c>
      <c r="R702" s="170">
        <v>0</v>
      </c>
      <c r="S702" s="170">
        <f t="shared" si="81"/>
        <v>2533670.4300000002</v>
      </c>
      <c r="T702" s="170">
        <f t="shared" si="80"/>
        <v>4287.1629469195759</v>
      </c>
      <c r="U702" s="170">
        <v>5248.8557643953363</v>
      </c>
      <c r="V702" s="202">
        <f t="shared" si="76"/>
        <v>961.69281747576042</v>
      </c>
      <c r="W702" s="202">
        <f t="shared" si="82"/>
        <v>5130.5610247212298</v>
      </c>
      <c r="X702" s="202">
        <v>0</v>
      </c>
      <c r="Y702" s="203">
        <v>0</v>
      </c>
      <c r="Z702" s="203">
        <v>0</v>
      </c>
      <c r="AA702" s="203">
        <v>0</v>
      </c>
      <c r="AB702" s="203">
        <v>0</v>
      </c>
      <c r="AC702" s="203">
        <v>0</v>
      </c>
      <c r="AD702" s="203">
        <v>0</v>
      </c>
      <c r="AE702" s="203">
        <v>486</v>
      </c>
      <c r="AF702" s="202">
        <f>6238.91*AE702/I702</f>
        <v>5130.5610247212298</v>
      </c>
      <c r="AG702" s="203">
        <v>0</v>
      </c>
      <c r="AH702" s="202">
        <v>0</v>
      </c>
      <c r="AI702" s="203">
        <v>0</v>
      </c>
      <c r="AJ702" s="202">
        <v>0</v>
      </c>
      <c r="AK702" s="203">
        <v>0</v>
      </c>
      <c r="AL702" s="203">
        <v>0</v>
      </c>
      <c r="AM702" s="203">
        <v>0</v>
      </c>
      <c r="AN702" s="203"/>
      <c r="AO702" s="203">
        <v>0</v>
      </c>
    </row>
    <row r="703" spans="1:76" s="176" customFormat="1" ht="36" customHeight="1" x14ac:dyDescent="0.25">
      <c r="A703" s="176">
        <v>1</v>
      </c>
      <c r="B703" s="171">
        <f>SUBTOTAL(103,$A$552:A703)</f>
        <v>150</v>
      </c>
      <c r="C703" s="172" t="s">
        <v>1610</v>
      </c>
      <c r="D703" s="173">
        <v>1960</v>
      </c>
      <c r="E703" s="173"/>
      <c r="F703" s="174" t="s">
        <v>1332</v>
      </c>
      <c r="G703" s="173">
        <v>4</v>
      </c>
      <c r="H703" s="173" t="s">
        <v>308</v>
      </c>
      <c r="I703" s="177">
        <v>2241.9</v>
      </c>
      <c r="J703" s="177">
        <v>2091.3000000000002</v>
      </c>
      <c r="K703" s="177">
        <v>1908.9</v>
      </c>
      <c r="L703" s="206">
        <v>87</v>
      </c>
      <c r="M703" s="173" t="s">
        <v>265</v>
      </c>
      <c r="N703" s="173" t="s">
        <v>297</v>
      </c>
      <c r="O703" s="175" t="s">
        <v>2698</v>
      </c>
      <c r="P703" s="170">
        <v>5101600</v>
      </c>
      <c r="Q703" s="170">
        <v>0</v>
      </c>
      <c r="R703" s="170">
        <v>0</v>
      </c>
      <c r="S703" s="170">
        <f t="shared" si="81"/>
        <v>5101600</v>
      </c>
      <c r="T703" s="170">
        <f t="shared" si="80"/>
        <v>2275.5698291627637</v>
      </c>
      <c r="U703" s="170">
        <v>2615.4952629466079</v>
      </c>
      <c r="V703" s="202">
        <f t="shared" si="76"/>
        <v>339.92543378384426</v>
      </c>
      <c r="W703" s="202">
        <f t="shared" si="82"/>
        <v>2535.1920290824746</v>
      </c>
      <c r="X703" s="202">
        <v>0</v>
      </c>
      <c r="Y703" s="203">
        <v>0</v>
      </c>
      <c r="Z703" s="203">
        <v>0</v>
      </c>
      <c r="AA703" s="203">
        <v>0</v>
      </c>
      <c r="AB703" s="203">
        <v>0</v>
      </c>
      <c r="AC703" s="203">
        <v>0</v>
      </c>
      <c r="AD703" s="203">
        <v>0</v>
      </c>
      <c r="AE703" s="203">
        <v>911</v>
      </c>
      <c r="AF703" s="202">
        <f>6238.91*AE703/I703</f>
        <v>2535.1920290824746</v>
      </c>
      <c r="AG703" s="203">
        <v>0</v>
      </c>
      <c r="AH703" s="202">
        <v>0</v>
      </c>
      <c r="AI703" s="203">
        <v>0</v>
      </c>
      <c r="AJ703" s="202">
        <v>0</v>
      </c>
      <c r="AK703" s="203">
        <v>0</v>
      </c>
      <c r="AL703" s="203">
        <v>0</v>
      </c>
      <c r="AM703" s="203">
        <v>0</v>
      </c>
      <c r="AN703" s="203"/>
      <c r="AO703" s="203">
        <v>0</v>
      </c>
    </row>
    <row r="704" spans="1:76" s="176" customFormat="1" ht="36" customHeight="1" x14ac:dyDescent="0.25">
      <c r="A704" s="176">
        <v>1</v>
      </c>
      <c r="B704" s="171">
        <f>SUBTOTAL(103,$A$552:A704)</f>
        <v>151</v>
      </c>
      <c r="C704" s="172" t="s">
        <v>1639</v>
      </c>
      <c r="D704" s="173">
        <v>1959</v>
      </c>
      <c r="E704" s="173"/>
      <c r="F704" s="174" t="s">
        <v>1332</v>
      </c>
      <c r="G704" s="173">
        <v>3</v>
      </c>
      <c r="H704" s="173" t="s">
        <v>303</v>
      </c>
      <c r="I704" s="177">
        <v>1638.8</v>
      </c>
      <c r="J704" s="177">
        <v>1086.7</v>
      </c>
      <c r="K704" s="177">
        <v>1052.4000000000001</v>
      </c>
      <c r="L704" s="206">
        <v>92</v>
      </c>
      <c r="M704" s="173" t="s">
        <v>265</v>
      </c>
      <c r="N704" s="173" t="s">
        <v>269</v>
      </c>
      <c r="O704" s="175" t="s">
        <v>326</v>
      </c>
      <c r="P704" s="170">
        <v>2638742.77</v>
      </c>
      <c r="Q704" s="170">
        <v>0</v>
      </c>
      <c r="R704" s="170">
        <v>0</v>
      </c>
      <c r="S704" s="170">
        <f t="shared" si="81"/>
        <v>2638742.77</v>
      </c>
      <c r="T704" s="170">
        <f t="shared" si="80"/>
        <v>1610.1676653649013</v>
      </c>
      <c r="U704" s="170">
        <v>1885.2418843055893</v>
      </c>
      <c r="V704" s="202">
        <f t="shared" si="76"/>
        <v>275.07421894068807</v>
      </c>
      <c r="W704" s="202">
        <f t="shared" si="82"/>
        <v>1827.359531364413</v>
      </c>
      <c r="X704" s="202">
        <v>0</v>
      </c>
      <c r="Y704" s="203">
        <v>0</v>
      </c>
      <c r="Z704" s="203">
        <v>0</v>
      </c>
      <c r="AA704" s="203">
        <v>0</v>
      </c>
      <c r="AB704" s="203">
        <v>0</v>
      </c>
      <c r="AC704" s="203">
        <v>0</v>
      </c>
      <c r="AD704" s="203">
        <v>0</v>
      </c>
      <c r="AE704" s="203">
        <v>480</v>
      </c>
      <c r="AF704" s="202">
        <f>6238.91*AE704/I704</f>
        <v>1827.359531364413</v>
      </c>
      <c r="AG704" s="203">
        <v>0</v>
      </c>
      <c r="AH704" s="202">
        <v>0</v>
      </c>
      <c r="AI704" s="203">
        <v>0</v>
      </c>
      <c r="AJ704" s="202">
        <v>0</v>
      </c>
      <c r="AK704" s="203">
        <v>0</v>
      </c>
      <c r="AL704" s="203">
        <v>0</v>
      </c>
      <c r="AM704" s="203">
        <v>0</v>
      </c>
      <c r="AN704" s="203"/>
      <c r="AO704" s="203">
        <v>0</v>
      </c>
    </row>
    <row r="705" spans="1:76" s="176" customFormat="1" ht="36" customHeight="1" x14ac:dyDescent="0.25">
      <c r="A705" s="176">
        <v>1</v>
      </c>
      <c r="B705" s="171">
        <f>SUBTOTAL(103,$A$552:A705)</f>
        <v>152</v>
      </c>
      <c r="C705" s="172" t="s">
        <v>1640</v>
      </c>
      <c r="D705" s="173">
        <v>1942</v>
      </c>
      <c r="E705" s="173"/>
      <c r="F705" s="174" t="s">
        <v>1332</v>
      </c>
      <c r="G705" s="173">
        <v>2</v>
      </c>
      <c r="H705" s="173" t="s">
        <v>303</v>
      </c>
      <c r="I705" s="177">
        <v>659.9</v>
      </c>
      <c r="J705" s="177">
        <v>659.9</v>
      </c>
      <c r="K705" s="177">
        <v>659.9</v>
      </c>
      <c r="L705" s="206">
        <v>25</v>
      </c>
      <c r="M705" s="173" t="s">
        <v>265</v>
      </c>
      <c r="N705" s="173" t="s">
        <v>269</v>
      </c>
      <c r="O705" s="175" t="s">
        <v>326</v>
      </c>
      <c r="P705" s="170">
        <v>3423151.78</v>
      </c>
      <c r="Q705" s="170">
        <v>0</v>
      </c>
      <c r="R705" s="170">
        <v>0</v>
      </c>
      <c r="S705" s="170">
        <f t="shared" si="81"/>
        <v>3423151.78</v>
      </c>
      <c r="T705" s="170">
        <f t="shared" si="80"/>
        <v>5187.3795726625249</v>
      </c>
      <c r="U705" s="170">
        <v>5852.2776178208824</v>
      </c>
      <c r="V705" s="202">
        <f t="shared" si="76"/>
        <v>664.89804515835749</v>
      </c>
      <c r="W705" s="202">
        <f t="shared" si="82"/>
        <v>5672.5958478557359</v>
      </c>
      <c r="X705" s="202">
        <v>0</v>
      </c>
      <c r="Y705" s="203">
        <v>0</v>
      </c>
      <c r="Z705" s="203">
        <v>0</v>
      </c>
      <c r="AA705" s="203">
        <v>0</v>
      </c>
      <c r="AB705" s="203">
        <v>0</v>
      </c>
      <c r="AC705" s="203">
        <v>0</v>
      </c>
      <c r="AD705" s="203">
        <v>0</v>
      </c>
      <c r="AE705" s="203">
        <v>600</v>
      </c>
      <c r="AF705" s="202">
        <f>6238.91*AE705/I705</f>
        <v>5672.5958478557359</v>
      </c>
      <c r="AG705" s="203">
        <v>0</v>
      </c>
      <c r="AH705" s="202">
        <v>0</v>
      </c>
      <c r="AI705" s="203">
        <v>0</v>
      </c>
      <c r="AJ705" s="202">
        <v>0</v>
      </c>
      <c r="AK705" s="203">
        <v>0</v>
      </c>
      <c r="AL705" s="203">
        <v>0</v>
      </c>
      <c r="AM705" s="203">
        <v>0</v>
      </c>
      <c r="AN705" s="203"/>
      <c r="AO705" s="203">
        <v>0</v>
      </c>
    </row>
    <row r="706" spans="1:76" s="176" customFormat="1" ht="36" customHeight="1" x14ac:dyDescent="0.25">
      <c r="A706" s="176">
        <v>1</v>
      </c>
      <c r="B706" s="171">
        <f>SUBTOTAL(103,$A$552:A706)</f>
        <v>153</v>
      </c>
      <c r="C706" s="172" t="s">
        <v>436</v>
      </c>
      <c r="D706" s="173">
        <v>1994</v>
      </c>
      <c r="E706" s="173"/>
      <c r="F706" s="174" t="s">
        <v>311</v>
      </c>
      <c r="G706" s="173">
        <v>9</v>
      </c>
      <c r="H706" s="173" t="s">
        <v>303</v>
      </c>
      <c r="I706" s="177">
        <v>4306.3</v>
      </c>
      <c r="J706" s="177">
        <v>3866</v>
      </c>
      <c r="K706" s="177">
        <v>3866</v>
      </c>
      <c r="L706" s="206">
        <v>182</v>
      </c>
      <c r="M706" s="173" t="s">
        <v>265</v>
      </c>
      <c r="N706" s="173" t="s">
        <v>269</v>
      </c>
      <c r="O706" s="175" t="s">
        <v>321</v>
      </c>
      <c r="P706" s="170">
        <v>4331631.53</v>
      </c>
      <c r="Q706" s="170">
        <v>2030976</v>
      </c>
      <c r="R706" s="170">
        <v>0</v>
      </c>
      <c r="S706" s="170">
        <f t="shared" si="81"/>
        <v>2300655.5300000003</v>
      </c>
      <c r="T706" s="170">
        <f t="shared" si="80"/>
        <v>1005.8824350370388</v>
      </c>
      <c r="U706" s="170">
        <v>1141.4903745674942</v>
      </c>
      <c r="V706" s="202">
        <f t="shared" si="76"/>
        <v>135.60793953045538</v>
      </c>
      <c r="W706" s="202">
        <f t="shared" si="82"/>
        <v>1141.4903745674942</v>
      </c>
      <c r="X706" s="202">
        <v>0</v>
      </c>
      <c r="Y706" s="203">
        <v>0</v>
      </c>
      <c r="Z706" s="203">
        <v>0</v>
      </c>
      <c r="AA706" s="203">
        <v>0</v>
      </c>
      <c r="AB706" s="203">
        <v>0</v>
      </c>
      <c r="AC706" s="203">
        <v>2</v>
      </c>
      <c r="AD706" s="202">
        <f>2457800*AC706/I706</f>
        <v>1141.4903745674942</v>
      </c>
      <c r="AE706" s="203">
        <v>0</v>
      </c>
      <c r="AF706" s="202">
        <v>0</v>
      </c>
      <c r="AG706" s="203">
        <v>0</v>
      </c>
      <c r="AH706" s="202">
        <v>0</v>
      </c>
      <c r="AI706" s="203">
        <v>0</v>
      </c>
      <c r="AJ706" s="202">
        <v>0</v>
      </c>
      <c r="AK706" s="203">
        <v>0</v>
      </c>
      <c r="AL706" s="203">
        <v>0</v>
      </c>
      <c r="AM706" s="203">
        <v>0</v>
      </c>
      <c r="AN706" s="203"/>
      <c r="AO706" s="203">
        <v>0</v>
      </c>
    </row>
    <row r="707" spans="1:76" s="176" customFormat="1" ht="36" customHeight="1" x14ac:dyDescent="0.25">
      <c r="A707" s="176">
        <v>1</v>
      </c>
      <c r="B707" s="171">
        <f>SUBTOTAL(103,$A$552:A707)</f>
        <v>154</v>
      </c>
      <c r="C707" s="172" t="s">
        <v>1660</v>
      </c>
      <c r="D707" s="173">
        <v>1952</v>
      </c>
      <c r="E707" s="173"/>
      <c r="F707" s="174" t="s">
        <v>1332</v>
      </c>
      <c r="G707" s="173">
        <v>2</v>
      </c>
      <c r="H707" s="173" t="s">
        <v>303</v>
      </c>
      <c r="I707" s="177">
        <v>557.4</v>
      </c>
      <c r="J707" s="177">
        <v>517.5</v>
      </c>
      <c r="K707" s="177">
        <v>517.5</v>
      </c>
      <c r="L707" s="206">
        <v>31</v>
      </c>
      <c r="M707" s="173" t="s">
        <v>265</v>
      </c>
      <c r="N707" s="173" t="s">
        <v>266</v>
      </c>
      <c r="O707" s="175" t="s">
        <v>268</v>
      </c>
      <c r="P707" s="170">
        <v>3238039.31</v>
      </c>
      <c r="Q707" s="170">
        <v>0</v>
      </c>
      <c r="R707" s="170">
        <v>0</v>
      </c>
      <c r="S707" s="170">
        <f t="shared" si="81"/>
        <v>3238039.31</v>
      </c>
      <c r="T707" s="170">
        <f t="shared" si="80"/>
        <v>5809.1842662360968</v>
      </c>
      <c r="U707" s="170">
        <v>6928.4499461786872</v>
      </c>
      <c r="V707" s="202">
        <f t="shared" ref="V707:V716" si="84">U707-T707</f>
        <v>1119.2656799425904</v>
      </c>
      <c r="W707" s="202">
        <f t="shared" si="82"/>
        <v>6715.7265877287409</v>
      </c>
      <c r="X707" s="202">
        <v>0</v>
      </c>
      <c r="Y707" s="203">
        <v>0</v>
      </c>
      <c r="Z707" s="203">
        <v>0</v>
      </c>
      <c r="AA707" s="203">
        <v>0</v>
      </c>
      <c r="AB707" s="203">
        <v>0</v>
      </c>
      <c r="AC707" s="203">
        <v>0</v>
      </c>
      <c r="AD707" s="203">
        <v>0</v>
      </c>
      <c r="AE707" s="203">
        <v>600</v>
      </c>
      <c r="AF707" s="202">
        <f>6238.91*AE707/I707</f>
        <v>6715.7265877287409</v>
      </c>
      <c r="AG707" s="203">
        <v>0</v>
      </c>
      <c r="AH707" s="202">
        <v>0</v>
      </c>
      <c r="AI707" s="203">
        <v>0</v>
      </c>
      <c r="AJ707" s="202">
        <v>0</v>
      </c>
      <c r="AK707" s="203">
        <v>0</v>
      </c>
      <c r="AL707" s="203">
        <v>0</v>
      </c>
      <c r="AM707" s="203">
        <v>0</v>
      </c>
      <c r="AN707" s="203"/>
      <c r="AO707" s="203">
        <v>0</v>
      </c>
    </row>
    <row r="708" spans="1:76" s="176" customFormat="1" ht="36" customHeight="1" x14ac:dyDescent="0.25">
      <c r="A708" s="176">
        <v>1</v>
      </c>
      <c r="B708" s="171">
        <f>SUBTOTAL(103,$A$552:A708)</f>
        <v>155</v>
      </c>
      <c r="C708" s="172" t="s">
        <v>1661</v>
      </c>
      <c r="D708" s="173">
        <v>1950</v>
      </c>
      <c r="E708" s="173"/>
      <c r="F708" s="174" t="s">
        <v>1332</v>
      </c>
      <c r="G708" s="173">
        <v>2</v>
      </c>
      <c r="H708" s="173" t="s">
        <v>304</v>
      </c>
      <c r="I708" s="177">
        <v>462.7</v>
      </c>
      <c r="J708" s="177">
        <v>460.2</v>
      </c>
      <c r="K708" s="177">
        <v>460.2</v>
      </c>
      <c r="L708" s="206">
        <v>17</v>
      </c>
      <c r="M708" s="173" t="s">
        <v>265</v>
      </c>
      <c r="N708" s="173" t="s">
        <v>269</v>
      </c>
      <c r="O708" s="175" t="s">
        <v>321</v>
      </c>
      <c r="P708" s="170">
        <v>2312994.5099999998</v>
      </c>
      <c r="Q708" s="170">
        <v>0</v>
      </c>
      <c r="R708" s="170">
        <v>0</v>
      </c>
      <c r="S708" s="170">
        <f t="shared" si="81"/>
        <v>2312994.5099999998</v>
      </c>
      <c r="T708" s="170">
        <f t="shared" si="80"/>
        <v>4998.9075210719684</v>
      </c>
      <c r="U708" s="170">
        <v>6120.7547006699797</v>
      </c>
      <c r="V708" s="202">
        <f t="shared" si="84"/>
        <v>1121.8471795980113</v>
      </c>
      <c r="W708" s="202">
        <f t="shared" si="82"/>
        <v>5932.8299113896692</v>
      </c>
      <c r="X708" s="202">
        <v>0</v>
      </c>
      <c r="Y708" s="203">
        <v>0</v>
      </c>
      <c r="Z708" s="203">
        <v>0</v>
      </c>
      <c r="AA708" s="203">
        <v>0</v>
      </c>
      <c r="AB708" s="203">
        <v>0</v>
      </c>
      <c r="AC708" s="203">
        <v>0</v>
      </c>
      <c r="AD708" s="203">
        <v>0</v>
      </c>
      <c r="AE708" s="203">
        <v>440</v>
      </c>
      <c r="AF708" s="202">
        <f>6238.91*AE708/I708</f>
        <v>5932.8299113896692</v>
      </c>
      <c r="AG708" s="203">
        <v>0</v>
      </c>
      <c r="AH708" s="202">
        <v>0</v>
      </c>
      <c r="AI708" s="203">
        <v>0</v>
      </c>
      <c r="AJ708" s="202">
        <v>0</v>
      </c>
      <c r="AK708" s="203">
        <v>0</v>
      </c>
      <c r="AL708" s="203">
        <v>0</v>
      </c>
      <c r="AM708" s="203">
        <v>0</v>
      </c>
      <c r="AN708" s="203"/>
      <c r="AO708" s="203">
        <v>0</v>
      </c>
    </row>
    <row r="709" spans="1:76" s="176" customFormat="1" ht="36" customHeight="1" x14ac:dyDescent="0.25">
      <c r="A709" s="176">
        <v>1</v>
      </c>
      <c r="B709" s="171">
        <f>SUBTOTAL(103,$A$552:A709)</f>
        <v>156</v>
      </c>
      <c r="C709" s="172" t="s">
        <v>1141</v>
      </c>
      <c r="D709" s="173">
        <v>1952</v>
      </c>
      <c r="E709" s="173"/>
      <c r="F709" s="174" t="s">
        <v>267</v>
      </c>
      <c r="G709" s="173">
        <v>3</v>
      </c>
      <c r="H709" s="173" t="s">
        <v>312</v>
      </c>
      <c r="I709" s="170">
        <v>1714.1</v>
      </c>
      <c r="J709" s="170">
        <v>1638</v>
      </c>
      <c r="K709" s="170">
        <v>1638</v>
      </c>
      <c r="L709" s="206">
        <v>55</v>
      </c>
      <c r="M709" s="173" t="s">
        <v>265</v>
      </c>
      <c r="N709" s="173" t="s">
        <v>269</v>
      </c>
      <c r="O709" s="175" t="s">
        <v>981</v>
      </c>
      <c r="P709" s="170">
        <v>2050106.0299999998</v>
      </c>
      <c r="Q709" s="170">
        <v>0</v>
      </c>
      <c r="R709" s="170">
        <v>0</v>
      </c>
      <c r="S709" s="170">
        <f t="shared" si="81"/>
        <v>2050106.0299999998</v>
      </c>
      <c r="T709" s="170">
        <f t="shared" si="80"/>
        <v>1196.024753514964</v>
      </c>
      <c r="U709" s="170">
        <v>7143.3327372965414</v>
      </c>
      <c r="V709" s="202">
        <f t="shared" si="84"/>
        <v>5947.3079837815776</v>
      </c>
      <c r="W709" s="202">
        <f t="shared" si="82"/>
        <v>7143.3327372965414</v>
      </c>
      <c r="X709" s="202">
        <v>0</v>
      </c>
      <c r="Y709" s="203">
        <v>0</v>
      </c>
      <c r="Z709" s="203">
        <v>0</v>
      </c>
      <c r="AA709" s="203">
        <v>0</v>
      </c>
      <c r="AB709" s="203">
        <v>0</v>
      </c>
      <c r="AC709" s="203">
        <v>0</v>
      </c>
      <c r="AD709" s="203">
        <v>0</v>
      </c>
      <c r="AE709" s="203">
        <v>0</v>
      </c>
      <c r="AF709" s="202">
        <v>0</v>
      </c>
      <c r="AG709" s="203">
        <v>0</v>
      </c>
      <c r="AH709" s="202">
        <v>0</v>
      </c>
      <c r="AI709" s="203">
        <v>1645.95</v>
      </c>
      <c r="AJ709" s="202">
        <f>7439.1*AI709/I709</f>
        <v>7143.3327372965414</v>
      </c>
      <c r="AK709" s="203">
        <v>0</v>
      </c>
      <c r="AL709" s="203">
        <v>0</v>
      </c>
      <c r="AM709" s="203">
        <v>0</v>
      </c>
      <c r="AN709" s="203"/>
      <c r="AO709" s="203">
        <v>0</v>
      </c>
    </row>
    <row r="710" spans="1:76" s="176" customFormat="1" ht="36" customHeight="1" x14ac:dyDescent="0.25">
      <c r="A710" s="176">
        <v>1</v>
      </c>
      <c r="B710" s="171">
        <f>SUBTOTAL(103,$A$552:A710)</f>
        <v>157</v>
      </c>
      <c r="C710" s="172" t="s">
        <v>1281</v>
      </c>
      <c r="D710" s="173">
        <v>1958</v>
      </c>
      <c r="E710" s="173"/>
      <c r="F710" s="174" t="s">
        <v>267</v>
      </c>
      <c r="G710" s="173">
        <v>4</v>
      </c>
      <c r="H710" s="173" t="s">
        <v>308</v>
      </c>
      <c r="I710" s="170">
        <v>5856.4</v>
      </c>
      <c r="J710" s="170">
        <v>3235.1</v>
      </c>
      <c r="K710" s="170">
        <v>2625</v>
      </c>
      <c r="L710" s="206">
        <v>86</v>
      </c>
      <c r="M710" s="173" t="s">
        <v>265</v>
      </c>
      <c r="N710" s="173" t="s">
        <v>269</v>
      </c>
      <c r="O710" s="175" t="s">
        <v>321</v>
      </c>
      <c r="P710" s="170">
        <v>16352955.629999999</v>
      </c>
      <c r="Q710" s="170">
        <v>0</v>
      </c>
      <c r="R710" s="170">
        <v>0</v>
      </c>
      <c r="S710" s="170">
        <f t="shared" si="81"/>
        <v>16352955.629999999</v>
      </c>
      <c r="T710" s="170">
        <f t="shared" si="80"/>
        <v>2792.3221825694968</v>
      </c>
      <c r="U710" s="170">
        <v>7384.2344047537736</v>
      </c>
      <c r="V710" s="202">
        <f t="shared" si="84"/>
        <v>4591.9122221842772</v>
      </c>
      <c r="W710" s="202">
        <f t="shared" si="82"/>
        <v>3206.1144047537741</v>
      </c>
      <c r="X710" s="202">
        <v>0</v>
      </c>
      <c r="Y710" s="203">
        <v>0</v>
      </c>
      <c r="Z710" s="203">
        <v>0</v>
      </c>
      <c r="AA710" s="203">
        <v>0</v>
      </c>
      <c r="AB710" s="203">
        <v>0</v>
      </c>
      <c r="AC710" s="203">
        <v>0</v>
      </c>
      <c r="AD710" s="203">
        <v>0</v>
      </c>
      <c r="AE710" s="203">
        <v>0</v>
      </c>
      <c r="AF710" s="202">
        <v>0</v>
      </c>
      <c r="AG710" s="203">
        <v>0</v>
      </c>
      <c r="AH710" s="202">
        <v>0</v>
      </c>
      <c r="AI710" s="203">
        <v>2524</v>
      </c>
      <c r="AJ710" s="202">
        <f>7439.1*AI710/I710</f>
        <v>3206.1144047537741</v>
      </c>
      <c r="AK710" s="203">
        <v>0</v>
      </c>
      <c r="AL710" s="203">
        <v>0</v>
      </c>
      <c r="AM710" s="203">
        <v>0</v>
      </c>
      <c r="AN710" s="203"/>
      <c r="AO710" s="203">
        <v>0</v>
      </c>
    </row>
    <row r="711" spans="1:76" s="176" customFormat="1" ht="36" customHeight="1" x14ac:dyDescent="0.25">
      <c r="A711" s="176">
        <v>1</v>
      </c>
      <c r="B711" s="171">
        <f>SUBTOTAL(103,$A$552:A711)</f>
        <v>158</v>
      </c>
      <c r="C711" s="172" t="s">
        <v>1579</v>
      </c>
      <c r="D711" s="173">
        <v>1986</v>
      </c>
      <c r="E711" s="173"/>
      <c r="F711" s="174" t="s">
        <v>318</v>
      </c>
      <c r="G711" s="173">
        <v>5</v>
      </c>
      <c r="H711" s="173" t="s">
        <v>308</v>
      </c>
      <c r="I711" s="170">
        <v>3450.6</v>
      </c>
      <c r="J711" s="170">
        <v>3118.5</v>
      </c>
      <c r="K711" s="170">
        <v>3118.5</v>
      </c>
      <c r="L711" s="206">
        <v>32</v>
      </c>
      <c r="M711" s="173" t="s">
        <v>265</v>
      </c>
      <c r="N711" s="173" t="s">
        <v>269</v>
      </c>
      <c r="O711" s="175" t="s">
        <v>321</v>
      </c>
      <c r="P711" s="170">
        <v>3057001.3899999997</v>
      </c>
      <c r="Q711" s="170">
        <v>0</v>
      </c>
      <c r="R711" s="170">
        <v>0</v>
      </c>
      <c r="S711" s="170">
        <f t="shared" si="81"/>
        <v>3057001.3899999997</v>
      </c>
      <c r="T711" s="170">
        <f t="shared" si="80"/>
        <v>885.93328406653904</v>
      </c>
      <c r="U711" s="170">
        <v>2694.375680171564</v>
      </c>
      <c r="V711" s="202">
        <f t="shared" si="84"/>
        <v>1808.442396105025</v>
      </c>
      <c r="W711" s="202">
        <f t="shared" si="82"/>
        <v>8343.4424447922102</v>
      </c>
      <c r="X711" s="202">
        <v>0</v>
      </c>
      <c r="Y711" s="203">
        <v>0</v>
      </c>
      <c r="Z711" s="203">
        <v>0</v>
      </c>
      <c r="AA711" s="203">
        <v>0</v>
      </c>
      <c r="AB711" s="203">
        <v>0</v>
      </c>
      <c r="AC711" s="203">
        <v>0</v>
      </c>
      <c r="AD711" s="203">
        <v>0</v>
      </c>
      <c r="AE711" s="203">
        <v>0</v>
      </c>
      <c r="AF711" s="202">
        <v>0</v>
      </c>
      <c r="AG711" s="203">
        <v>0</v>
      </c>
      <c r="AH711" s="202">
        <v>0</v>
      </c>
      <c r="AI711" s="203">
        <v>0</v>
      </c>
      <c r="AJ711" s="202">
        <v>0</v>
      </c>
      <c r="AK711" s="203">
        <v>375</v>
      </c>
      <c r="AL711" s="202">
        <f>76773.02*AK711/I711</f>
        <v>8343.4424447922102</v>
      </c>
      <c r="AM711" s="203">
        <v>0</v>
      </c>
      <c r="AN711" s="203"/>
      <c r="AO711" s="203">
        <v>0</v>
      </c>
      <c r="BW711" s="364"/>
      <c r="BX711" s="364"/>
    </row>
    <row r="712" spans="1:76" s="176" customFormat="1" ht="36" customHeight="1" x14ac:dyDescent="0.25">
      <c r="A712" s="176">
        <v>1</v>
      </c>
      <c r="B712" s="171">
        <f>SUBTOTAL(103,$A$552:A712)</f>
        <v>159</v>
      </c>
      <c r="C712" s="172" t="s">
        <v>1857</v>
      </c>
      <c r="D712" s="173">
        <v>1974</v>
      </c>
      <c r="E712" s="173"/>
      <c r="F712" s="174" t="s">
        <v>267</v>
      </c>
      <c r="G712" s="173">
        <v>5</v>
      </c>
      <c r="H712" s="173" t="s">
        <v>370</v>
      </c>
      <c r="I712" s="170">
        <v>4544.2</v>
      </c>
      <c r="J712" s="170">
        <v>4544.2</v>
      </c>
      <c r="K712" s="170">
        <v>3002.6</v>
      </c>
      <c r="L712" s="206">
        <v>207</v>
      </c>
      <c r="M712" s="173" t="s">
        <v>265</v>
      </c>
      <c r="N712" s="173" t="s">
        <v>269</v>
      </c>
      <c r="O712" s="175" t="s">
        <v>321</v>
      </c>
      <c r="P712" s="170">
        <v>3368416.68</v>
      </c>
      <c r="Q712" s="170">
        <v>0</v>
      </c>
      <c r="R712" s="170">
        <v>0</v>
      </c>
      <c r="S712" s="170">
        <f t="shared" si="81"/>
        <v>3368416.68</v>
      </c>
      <c r="T712" s="170">
        <f t="shared" si="80"/>
        <v>741.25625632674621</v>
      </c>
      <c r="U712" s="170">
        <v>810.46</v>
      </c>
      <c r="V712" s="202">
        <f t="shared" si="84"/>
        <v>69.203743673253825</v>
      </c>
      <c r="W712" s="202">
        <f t="shared" si="82"/>
        <v>795.31</v>
      </c>
      <c r="X712" s="202">
        <v>0</v>
      </c>
      <c r="Y712" s="203">
        <v>0</v>
      </c>
      <c r="Z712" s="203">
        <v>0</v>
      </c>
      <c r="AA712" s="203">
        <v>0</v>
      </c>
      <c r="AB712" s="203">
        <v>795.31</v>
      </c>
      <c r="AC712" s="203">
        <v>0</v>
      </c>
      <c r="AD712" s="203">
        <v>0</v>
      </c>
      <c r="AE712" s="203">
        <v>0</v>
      </c>
      <c r="AF712" s="202">
        <v>0</v>
      </c>
      <c r="AG712" s="203">
        <v>0</v>
      </c>
      <c r="AH712" s="202">
        <v>0</v>
      </c>
      <c r="AI712" s="203">
        <v>0</v>
      </c>
      <c r="AJ712" s="202">
        <v>0</v>
      </c>
      <c r="AK712" s="203">
        <v>0</v>
      </c>
      <c r="AL712" s="203">
        <v>0</v>
      </c>
      <c r="AM712" s="203">
        <v>0</v>
      </c>
      <c r="AN712" s="203"/>
      <c r="AO712" s="203">
        <v>0</v>
      </c>
    </row>
    <row r="713" spans="1:76" s="176" customFormat="1" ht="36" customHeight="1" x14ac:dyDescent="0.25">
      <c r="A713" s="176">
        <v>1</v>
      </c>
      <c r="B713" s="171">
        <f>SUBTOTAL(103,$A$552:A713)</f>
        <v>160</v>
      </c>
      <c r="C713" s="172" t="s">
        <v>1148</v>
      </c>
      <c r="D713" s="173">
        <v>1959</v>
      </c>
      <c r="E713" s="173"/>
      <c r="F713" s="174" t="s">
        <v>1562</v>
      </c>
      <c r="G713" s="173" t="s">
        <v>308</v>
      </c>
      <c r="H713" s="173" t="s">
        <v>303</v>
      </c>
      <c r="I713" s="177">
        <v>1378.1</v>
      </c>
      <c r="J713" s="177">
        <v>1378.1</v>
      </c>
      <c r="K713" s="177">
        <v>1378.1</v>
      </c>
      <c r="L713" s="206">
        <v>83</v>
      </c>
      <c r="M713" s="173" t="s">
        <v>265</v>
      </c>
      <c r="N713" s="173" t="s">
        <v>269</v>
      </c>
      <c r="O713" s="175" t="s">
        <v>328</v>
      </c>
      <c r="P713" s="170">
        <v>375226.5</v>
      </c>
      <c r="Q713" s="170">
        <v>0</v>
      </c>
      <c r="R713" s="170">
        <v>0</v>
      </c>
      <c r="S713" s="170">
        <f t="shared" si="81"/>
        <v>375226.5</v>
      </c>
      <c r="T713" s="170">
        <f t="shared" si="80"/>
        <v>272.27813656483568</v>
      </c>
      <c r="U713" s="170">
        <v>810.46</v>
      </c>
      <c r="V713" s="202">
        <f t="shared" si="84"/>
        <v>538.18186343516436</v>
      </c>
      <c r="W713" s="202">
        <f t="shared" ref="W713:W717" si="85">T713</f>
        <v>272.27813656483568</v>
      </c>
      <c r="X713" s="202">
        <v>0</v>
      </c>
      <c r="Y713" s="203">
        <v>0</v>
      </c>
      <c r="Z713" s="203">
        <v>0</v>
      </c>
      <c r="AA713" s="203">
        <v>0</v>
      </c>
      <c r="AB713" s="203">
        <v>0</v>
      </c>
      <c r="AC713" s="203">
        <v>0</v>
      </c>
      <c r="AD713" s="203">
        <v>0</v>
      </c>
      <c r="AE713" s="203">
        <v>0</v>
      </c>
      <c r="AF713" s="202">
        <v>0</v>
      </c>
      <c r="AG713" s="203">
        <v>0</v>
      </c>
      <c r="AH713" s="202">
        <v>0</v>
      </c>
      <c r="AI713" s="203">
        <v>0</v>
      </c>
      <c r="AJ713" s="202">
        <v>0</v>
      </c>
      <c r="AK713" s="203">
        <v>0</v>
      </c>
      <c r="AL713" s="203">
        <v>0</v>
      </c>
      <c r="AM713" s="203">
        <v>0</v>
      </c>
      <c r="AN713" s="203"/>
      <c r="AO713" s="203">
        <v>0</v>
      </c>
    </row>
    <row r="714" spans="1:76" s="176" customFormat="1" ht="36" customHeight="1" x14ac:dyDescent="0.25">
      <c r="A714" s="176">
        <v>1</v>
      </c>
      <c r="B714" s="171">
        <f>SUBTOTAL(103,$A$552:A714)</f>
        <v>161</v>
      </c>
      <c r="C714" s="172" t="s">
        <v>1149</v>
      </c>
      <c r="D714" s="173">
        <v>1963</v>
      </c>
      <c r="E714" s="173"/>
      <c r="F714" s="174" t="s">
        <v>1562</v>
      </c>
      <c r="G714" s="173" t="s">
        <v>303</v>
      </c>
      <c r="H714" s="173" t="s">
        <v>303</v>
      </c>
      <c r="I714" s="177">
        <v>623.29999999999995</v>
      </c>
      <c r="J714" s="177">
        <v>623.29999999999995</v>
      </c>
      <c r="K714" s="177">
        <v>623.29999999999995</v>
      </c>
      <c r="L714" s="206">
        <v>32</v>
      </c>
      <c r="M714" s="173" t="s">
        <v>265</v>
      </c>
      <c r="N714" s="173" t="s">
        <v>269</v>
      </c>
      <c r="O714" s="175" t="s">
        <v>326</v>
      </c>
      <c r="P714" s="170">
        <v>160103.5</v>
      </c>
      <c r="Q714" s="170">
        <v>0</v>
      </c>
      <c r="R714" s="170">
        <v>0</v>
      </c>
      <c r="S714" s="170">
        <f t="shared" si="81"/>
        <v>160103.5</v>
      </c>
      <c r="T714" s="170">
        <f t="shared" si="80"/>
        <v>256.86427081662123</v>
      </c>
      <c r="U714" s="170">
        <v>810.46</v>
      </c>
      <c r="V714" s="202">
        <f t="shared" si="84"/>
        <v>553.59572918337881</v>
      </c>
      <c r="W714" s="202">
        <f t="shared" si="85"/>
        <v>256.86427081662123</v>
      </c>
      <c r="X714" s="202">
        <v>0</v>
      </c>
      <c r="Y714" s="203">
        <v>0</v>
      </c>
      <c r="Z714" s="203">
        <v>0</v>
      </c>
      <c r="AA714" s="203">
        <v>0</v>
      </c>
      <c r="AB714" s="203">
        <v>0</v>
      </c>
      <c r="AC714" s="203">
        <v>0</v>
      </c>
      <c r="AD714" s="203">
        <v>0</v>
      </c>
      <c r="AE714" s="203">
        <v>0</v>
      </c>
      <c r="AF714" s="202">
        <v>0</v>
      </c>
      <c r="AG714" s="203">
        <v>0</v>
      </c>
      <c r="AH714" s="202">
        <v>0</v>
      </c>
      <c r="AI714" s="203">
        <v>0</v>
      </c>
      <c r="AJ714" s="202">
        <v>0</v>
      </c>
      <c r="AK714" s="203">
        <v>0</v>
      </c>
      <c r="AL714" s="203">
        <v>0</v>
      </c>
      <c r="AM714" s="203">
        <v>0</v>
      </c>
      <c r="AN714" s="203"/>
      <c r="AO714" s="203">
        <v>0</v>
      </c>
    </row>
    <row r="715" spans="1:76" s="176" customFormat="1" ht="36" customHeight="1" x14ac:dyDescent="0.25">
      <c r="A715" s="176">
        <v>1</v>
      </c>
      <c r="B715" s="171">
        <f>SUBTOTAL(103,$A$552:A715)</f>
        <v>162</v>
      </c>
      <c r="C715" s="172" t="s">
        <v>2290</v>
      </c>
      <c r="D715" s="173">
        <v>1956</v>
      </c>
      <c r="E715" s="173"/>
      <c r="F715" s="174" t="s">
        <v>267</v>
      </c>
      <c r="G715" s="173">
        <v>2</v>
      </c>
      <c r="H715" s="173">
        <v>2</v>
      </c>
      <c r="I715" s="177">
        <v>783.5</v>
      </c>
      <c r="J715" s="177">
        <v>466.8</v>
      </c>
      <c r="K715" s="177">
        <v>466.8</v>
      </c>
      <c r="L715" s="206">
        <v>31</v>
      </c>
      <c r="M715" s="173" t="s">
        <v>265</v>
      </c>
      <c r="N715" s="173" t="s">
        <v>266</v>
      </c>
      <c r="O715" s="175" t="s">
        <v>268</v>
      </c>
      <c r="P715" s="170">
        <v>3952475.8999999994</v>
      </c>
      <c r="Q715" s="170">
        <v>0</v>
      </c>
      <c r="R715" s="170">
        <v>0</v>
      </c>
      <c r="S715" s="170">
        <f t="shared" si="81"/>
        <v>3952475.8999999994</v>
      </c>
      <c r="T715" s="170">
        <f t="shared" si="80"/>
        <v>5044.6405871091247</v>
      </c>
      <c r="U715" s="170">
        <v>7352.5135290363751</v>
      </c>
      <c r="V715" s="202">
        <f t="shared" si="84"/>
        <v>2307.8729419272504</v>
      </c>
      <c r="W715" s="202">
        <f t="shared" si="85"/>
        <v>5044.6405871091247</v>
      </c>
      <c r="X715" s="202">
        <v>0</v>
      </c>
      <c r="Y715" s="203">
        <v>0</v>
      </c>
      <c r="Z715" s="203">
        <v>0</v>
      </c>
      <c r="AA715" s="203">
        <v>0</v>
      </c>
      <c r="AB715" s="203">
        <v>0</v>
      </c>
      <c r="AC715" s="203">
        <v>0</v>
      </c>
      <c r="AD715" s="203">
        <v>0</v>
      </c>
      <c r="AE715" s="203">
        <v>0</v>
      </c>
      <c r="AF715" s="202">
        <v>0</v>
      </c>
      <c r="AG715" s="203">
        <v>0</v>
      </c>
      <c r="AH715" s="202">
        <v>0</v>
      </c>
      <c r="AI715" s="203">
        <v>0</v>
      </c>
      <c r="AJ715" s="202">
        <v>0</v>
      </c>
      <c r="AK715" s="203">
        <v>0</v>
      </c>
      <c r="AL715" s="203">
        <v>0</v>
      </c>
      <c r="AM715" s="203">
        <v>0</v>
      </c>
      <c r="AN715" s="203"/>
      <c r="AO715" s="203">
        <v>0</v>
      </c>
    </row>
    <row r="716" spans="1:76" s="176" customFormat="1" ht="36" customHeight="1" x14ac:dyDescent="0.25">
      <c r="A716" s="176">
        <v>1</v>
      </c>
      <c r="B716" s="171">
        <f>SUBTOTAL(103,$A$552:A716)</f>
        <v>163</v>
      </c>
      <c r="C716" s="172" t="s">
        <v>2289</v>
      </c>
      <c r="D716" s="173">
        <v>1954</v>
      </c>
      <c r="E716" s="173"/>
      <c r="F716" s="174" t="s">
        <v>267</v>
      </c>
      <c r="G716" s="173">
        <v>2</v>
      </c>
      <c r="H716" s="173">
        <v>2</v>
      </c>
      <c r="I716" s="177">
        <v>972.5</v>
      </c>
      <c r="J716" s="177">
        <v>972.5</v>
      </c>
      <c r="K716" s="177">
        <v>514.9</v>
      </c>
      <c r="L716" s="206">
        <v>43</v>
      </c>
      <c r="M716" s="173" t="s">
        <v>265</v>
      </c>
      <c r="N716" s="173" t="s">
        <v>266</v>
      </c>
      <c r="O716" s="175" t="s">
        <v>268</v>
      </c>
      <c r="P716" s="170">
        <v>5359795.0699999994</v>
      </c>
      <c r="Q716" s="170">
        <v>0</v>
      </c>
      <c r="R716" s="170">
        <v>0</v>
      </c>
      <c r="S716" s="170">
        <f t="shared" si="81"/>
        <v>5359795.0699999994</v>
      </c>
      <c r="T716" s="170">
        <f t="shared" si="80"/>
        <v>5511.3573984575833</v>
      </c>
      <c r="U716" s="170">
        <v>6843.5702005141384</v>
      </c>
      <c r="V716" s="202">
        <f t="shared" si="84"/>
        <v>1332.2128020565551</v>
      </c>
      <c r="W716" s="202">
        <f t="shared" si="85"/>
        <v>5511.3573984575833</v>
      </c>
      <c r="X716" s="202">
        <v>0</v>
      </c>
      <c r="Y716" s="203">
        <v>0</v>
      </c>
      <c r="Z716" s="203">
        <v>0</v>
      </c>
      <c r="AA716" s="203">
        <v>0</v>
      </c>
      <c r="AB716" s="203">
        <v>0</v>
      </c>
      <c r="AC716" s="203">
        <v>0</v>
      </c>
      <c r="AD716" s="203">
        <v>0</v>
      </c>
      <c r="AE716" s="203">
        <v>0</v>
      </c>
      <c r="AF716" s="202">
        <v>0</v>
      </c>
      <c r="AG716" s="203">
        <v>0</v>
      </c>
      <c r="AH716" s="202">
        <v>0</v>
      </c>
      <c r="AI716" s="203">
        <v>0</v>
      </c>
      <c r="AJ716" s="202">
        <v>0</v>
      </c>
      <c r="AK716" s="203">
        <v>0</v>
      </c>
      <c r="AL716" s="203">
        <v>0</v>
      </c>
      <c r="AM716" s="203">
        <v>0</v>
      </c>
      <c r="AN716" s="203"/>
      <c r="AO716" s="203">
        <v>0</v>
      </c>
    </row>
    <row r="717" spans="1:76" s="176" customFormat="1" ht="36" customHeight="1" x14ac:dyDescent="0.25">
      <c r="A717" s="176">
        <v>1</v>
      </c>
      <c r="B717" s="171">
        <f>SUBTOTAL(103,$A$552:A717)</f>
        <v>164</v>
      </c>
      <c r="C717" s="172" t="s">
        <v>2308</v>
      </c>
      <c r="D717" s="173">
        <v>1994</v>
      </c>
      <c r="E717" s="173"/>
      <c r="F717" s="174" t="s">
        <v>267</v>
      </c>
      <c r="G717" s="173">
        <v>9</v>
      </c>
      <c r="H717" s="173">
        <v>1</v>
      </c>
      <c r="I717" s="177">
        <v>2822.7</v>
      </c>
      <c r="J717" s="177">
        <v>2542.4</v>
      </c>
      <c r="K717" s="177">
        <v>2542.4</v>
      </c>
      <c r="L717" s="206">
        <v>110</v>
      </c>
      <c r="M717" s="173" t="s">
        <v>265</v>
      </c>
      <c r="N717" s="173" t="s">
        <v>269</v>
      </c>
      <c r="O717" s="175" t="s">
        <v>322</v>
      </c>
      <c r="P717" s="170">
        <v>2339941.1800000002</v>
      </c>
      <c r="Q717" s="170">
        <v>0</v>
      </c>
      <c r="R717" s="170">
        <v>0</v>
      </c>
      <c r="S717" s="170">
        <f t="shared" si="81"/>
        <v>2339941.1800000002</v>
      </c>
      <c r="T717" s="170">
        <f t="shared" si="80"/>
        <v>828.97267864101752</v>
      </c>
      <c r="U717" s="170">
        <v>870.72660927480786</v>
      </c>
      <c r="V717" s="202">
        <f t="shared" ref="V717:V728" si="86">U717-T717</f>
        <v>41.753930633790333</v>
      </c>
      <c r="W717" s="202">
        <f t="shared" si="85"/>
        <v>828.97267864101752</v>
      </c>
      <c r="X717" s="202">
        <v>0</v>
      </c>
      <c r="Y717" s="203">
        <v>0</v>
      </c>
      <c r="Z717" s="203">
        <v>0</v>
      </c>
      <c r="AA717" s="203">
        <v>0</v>
      </c>
      <c r="AB717" s="203">
        <v>0</v>
      </c>
      <c r="AC717" s="203">
        <v>0</v>
      </c>
      <c r="AD717" s="203">
        <v>0</v>
      </c>
      <c r="AE717" s="203">
        <v>0</v>
      </c>
      <c r="AF717" s="202">
        <v>0</v>
      </c>
      <c r="AG717" s="203">
        <v>0</v>
      </c>
      <c r="AH717" s="202">
        <v>0</v>
      </c>
      <c r="AI717" s="203">
        <v>0</v>
      </c>
      <c r="AJ717" s="202">
        <v>0</v>
      </c>
      <c r="AK717" s="203">
        <v>0</v>
      </c>
      <c r="AL717" s="203">
        <v>0</v>
      </c>
      <c r="AM717" s="203">
        <v>0</v>
      </c>
      <c r="AN717" s="203"/>
      <c r="AO717" s="203">
        <v>0</v>
      </c>
    </row>
    <row r="718" spans="1:76" s="176" customFormat="1" ht="36" customHeight="1" x14ac:dyDescent="0.25">
      <c r="A718" s="176">
        <v>1</v>
      </c>
      <c r="B718" s="171">
        <f>SUBTOTAL(103,$A$552:A718)</f>
        <v>165</v>
      </c>
      <c r="C718" s="172" t="s">
        <v>2309</v>
      </c>
      <c r="D718" s="173">
        <v>1988</v>
      </c>
      <c r="E718" s="173"/>
      <c r="F718" s="174" t="s">
        <v>318</v>
      </c>
      <c r="G718" s="173">
        <v>9</v>
      </c>
      <c r="H718" s="173">
        <v>6</v>
      </c>
      <c r="I718" s="177">
        <v>12966</v>
      </c>
      <c r="J718" s="177">
        <v>11544.4</v>
      </c>
      <c r="K718" s="177">
        <v>11529</v>
      </c>
      <c r="L718" s="206">
        <v>510</v>
      </c>
      <c r="M718" s="173" t="s">
        <v>265</v>
      </c>
      <c r="N718" s="173" t="s">
        <v>269</v>
      </c>
      <c r="O718" s="175" t="s">
        <v>321</v>
      </c>
      <c r="P718" s="170">
        <v>13632124.75</v>
      </c>
      <c r="Q718" s="170">
        <v>0</v>
      </c>
      <c r="R718" s="170">
        <v>0</v>
      </c>
      <c r="S718" s="170">
        <f t="shared" ref="S718:S729" si="87">P718-Q718-R718</f>
        <v>13632124.75</v>
      </c>
      <c r="T718" s="170">
        <f t="shared" ref="T718:T729" si="88">P718/I718</f>
        <v>1051.3747300632424</v>
      </c>
      <c r="U718" s="170">
        <v>1137.3438223044886</v>
      </c>
      <c r="V718" s="202">
        <f t="shared" si="86"/>
        <v>85.969092241246244</v>
      </c>
      <c r="W718" s="202">
        <f t="shared" ref="W718:W729" si="89">T718</f>
        <v>1051.3747300632424</v>
      </c>
      <c r="X718" s="202">
        <v>0</v>
      </c>
      <c r="Y718" s="203">
        <v>0</v>
      </c>
      <c r="Z718" s="203">
        <v>0</v>
      </c>
      <c r="AA718" s="203">
        <v>0</v>
      </c>
      <c r="AB718" s="203">
        <v>0</v>
      </c>
      <c r="AC718" s="203">
        <v>0</v>
      </c>
      <c r="AD718" s="203">
        <v>0</v>
      </c>
      <c r="AE718" s="203">
        <v>0</v>
      </c>
      <c r="AF718" s="202">
        <v>0</v>
      </c>
      <c r="AG718" s="203">
        <v>0</v>
      </c>
      <c r="AH718" s="202">
        <v>0</v>
      </c>
      <c r="AI718" s="203">
        <v>0</v>
      </c>
      <c r="AJ718" s="202">
        <v>0</v>
      </c>
      <c r="AK718" s="203">
        <v>0</v>
      </c>
      <c r="AL718" s="203">
        <v>0</v>
      </c>
      <c r="AM718" s="203">
        <v>0</v>
      </c>
      <c r="AN718" s="203"/>
      <c r="AO718" s="203">
        <v>0</v>
      </c>
    </row>
    <row r="719" spans="1:76" s="176" customFormat="1" ht="36" customHeight="1" x14ac:dyDescent="0.25">
      <c r="A719" s="176">
        <v>1</v>
      </c>
      <c r="B719" s="171">
        <f>SUBTOTAL(103,$A$552:A719)</f>
        <v>166</v>
      </c>
      <c r="C719" s="172" t="s">
        <v>388</v>
      </c>
      <c r="D719" s="173">
        <v>1966</v>
      </c>
      <c r="E719" s="173"/>
      <c r="F719" s="174" t="s">
        <v>267</v>
      </c>
      <c r="G719" s="173">
        <v>4</v>
      </c>
      <c r="H719" s="173" t="s">
        <v>308</v>
      </c>
      <c r="I719" s="170">
        <v>2747.7</v>
      </c>
      <c r="J719" s="170">
        <v>2553.9</v>
      </c>
      <c r="K719" s="170">
        <v>2553.9</v>
      </c>
      <c r="L719" s="206">
        <v>120</v>
      </c>
      <c r="M719" s="173" t="s">
        <v>265</v>
      </c>
      <c r="N719" s="173" t="s">
        <v>269</v>
      </c>
      <c r="O719" s="175" t="s">
        <v>981</v>
      </c>
      <c r="P719" s="170">
        <v>3067061.7</v>
      </c>
      <c r="Q719" s="170">
        <v>0</v>
      </c>
      <c r="R719" s="170">
        <v>0</v>
      </c>
      <c r="S719" s="170">
        <f t="shared" si="87"/>
        <v>3067061.7</v>
      </c>
      <c r="T719" s="170">
        <f t="shared" si="88"/>
        <v>1116.2287367616555</v>
      </c>
      <c r="U719" s="170">
        <v>4178.12</v>
      </c>
      <c r="V719" s="202">
        <f t="shared" si="86"/>
        <v>3061.8912632383444</v>
      </c>
      <c r="W719" s="202">
        <f t="shared" si="89"/>
        <v>1116.2287367616555</v>
      </c>
      <c r="X719" s="202">
        <v>0</v>
      </c>
      <c r="Y719" s="203">
        <v>0</v>
      </c>
      <c r="Z719" s="203">
        <v>0</v>
      </c>
      <c r="AA719" s="203">
        <v>0</v>
      </c>
      <c r="AB719" s="203">
        <v>0</v>
      </c>
      <c r="AC719" s="203">
        <v>0</v>
      </c>
      <c r="AD719" s="203">
        <v>0</v>
      </c>
      <c r="AE719" s="203">
        <v>0</v>
      </c>
      <c r="AF719" s="202">
        <v>0</v>
      </c>
      <c r="AG719" s="203">
        <v>0</v>
      </c>
      <c r="AH719" s="202">
        <v>0</v>
      </c>
      <c r="AI719" s="203">
        <v>0</v>
      </c>
      <c r="AJ719" s="202">
        <v>0</v>
      </c>
      <c r="AK719" s="203">
        <v>0</v>
      </c>
      <c r="AL719" s="203">
        <v>0</v>
      </c>
      <c r="AM719" s="203">
        <v>0</v>
      </c>
      <c r="AN719" s="203"/>
      <c r="AO719" s="203">
        <v>0</v>
      </c>
      <c r="BW719" s="364"/>
      <c r="BX719" s="364"/>
    </row>
    <row r="720" spans="1:76" s="176" customFormat="1" ht="36" customHeight="1" x14ac:dyDescent="0.25">
      <c r="A720" s="176">
        <v>1</v>
      </c>
      <c r="B720" s="171">
        <f>SUBTOTAL(103,$A$552:A720)</f>
        <v>167</v>
      </c>
      <c r="C720" s="172" t="s">
        <v>384</v>
      </c>
      <c r="D720" s="173">
        <v>1974</v>
      </c>
      <c r="E720" s="173"/>
      <c r="F720" s="174" t="s">
        <v>311</v>
      </c>
      <c r="G720" s="173">
        <v>5</v>
      </c>
      <c r="H720" s="173" t="s">
        <v>370</v>
      </c>
      <c r="I720" s="170">
        <v>4987.2</v>
      </c>
      <c r="J720" s="170">
        <v>4580.7</v>
      </c>
      <c r="K720" s="170">
        <v>4580.7</v>
      </c>
      <c r="L720" s="206">
        <v>117</v>
      </c>
      <c r="M720" s="173" t="s">
        <v>265</v>
      </c>
      <c r="N720" s="173" t="s">
        <v>269</v>
      </c>
      <c r="O720" s="175" t="s">
        <v>321</v>
      </c>
      <c r="P720" s="170">
        <v>3092723.1</v>
      </c>
      <c r="Q720" s="170">
        <v>0</v>
      </c>
      <c r="R720" s="170">
        <v>0</v>
      </c>
      <c r="S720" s="170">
        <f t="shared" si="87"/>
        <v>3092723.1</v>
      </c>
      <c r="T720" s="170">
        <f t="shared" si="88"/>
        <v>620.13215832531284</v>
      </c>
      <c r="U720" s="170">
        <v>4178.12</v>
      </c>
      <c r="V720" s="202">
        <f t="shared" si="86"/>
        <v>3557.9878416746869</v>
      </c>
      <c r="W720" s="202">
        <f t="shared" si="89"/>
        <v>620.13215832531284</v>
      </c>
      <c r="X720" s="202">
        <v>0</v>
      </c>
      <c r="Y720" s="203">
        <v>0</v>
      </c>
      <c r="Z720" s="203">
        <v>0</v>
      </c>
      <c r="AA720" s="203">
        <v>0</v>
      </c>
      <c r="AB720" s="203">
        <v>0</v>
      </c>
      <c r="AC720" s="203">
        <v>0</v>
      </c>
      <c r="AD720" s="203">
        <v>0</v>
      </c>
      <c r="AE720" s="203">
        <v>0</v>
      </c>
      <c r="AF720" s="202">
        <v>0</v>
      </c>
      <c r="AG720" s="203">
        <v>0</v>
      </c>
      <c r="AH720" s="202">
        <v>0</v>
      </c>
      <c r="AI720" s="203">
        <v>0</v>
      </c>
      <c r="AJ720" s="202">
        <v>0</v>
      </c>
      <c r="AK720" s="203">
        <v>0</v>
      </c>
      <c r="AL720" s="203">
        <v>0</v>
      </c>
      <c r="AM720" s="203">
        <v>0</v>
      </c>
      <c r="AN720" s="203"/>
      <c r="AO720" s="203">
        <v>0</v>
      </c>
      <c r="BW720" s="364"/>
      <c r="BX720" s="364"/>
    </row>
    <row r="721" spans="1:76" s="176" customFormat="1" ht="36" customHeight="1" x14ac:dyDescent="0.25">
      <c r="A721" s="176">
        <v>1</v>
      </c>
      <c r="B721" s="171">
        <f>SUBTOTAL(103,$A$552:A721)</f>
        <v>168</v>
      </c>
      <c r="C721" s="172" t="s">
        <v>393</v>
      </c>
      <c r="D721" s="173">
        <v>1974</v>
      </c>
      <c r="E721" s="173"/>
      <c r="F721" s="174" t="s">
        <v>267</v>
      </c>
      <c r="G721" s="173">
        <v>5</v>
      </c>
      <c r="H721" s="173" t="s">
        <v>308</v>
      </c>
      <c r="I721" s="170">
        <v>3647.3</v>
      </c>
      <c r="J721" s="170">
        <v>3647.3</v>
      </c>
      <c r="K721" s="170">
        <v>2672.9</v>
      </c>
      <c r="L721" s="206">
        <v>113</v>
      </c>
      <c r="M721" s="173" t="s">
        <v>265</v>
      </c>
      <c r="N721" s="173" t="s">
        <v>269</v>
      </c>
      <c r="O721" s="175" t="s">
        <v>326</v>
      </c>
      <c r="P721" s="170">
        <v>3092545.34</v>
      </c>
      <c r="Q721" s="170">
        <v>0</v>
      </c>
      <c r="R721" s="170">
        <v>0</v>
      </c>
      <c r="S721" s="170">
        <f t="shared" ref="S721:S722" si="90">P721-Q721-R721</f>
        <v>3092545.34</v>
      </c>
      <c r="T721" s="170">
        <f t="shared" ref="T721:T722" si="91">P721/I721</f>
        <v>847.89990952211213</v>
      </c>
      <c r="U721" s="170">
        <v>4178.12</v>
      </c>
      <c r="V721" s="202">
        <f t="shared" si="86"/>
        <v>3330.2200904778879</v>
      </c>
      <c r="W721" s="202">
        <f t="shared" ref="W721:W722" si="92">T721</f>
        <v>847.89990952211213</v>
      </c>
      <c r="X721" s="202">
        <v>0</v>
      </c>
      <c r="Y721" s="203">
        <v>0</v>
      </c>
      <c r="Z721" s="203">
        <v>0</v>
      </c>
      <c r="AA721" s="203">
        <v>0</v>
      </c>
      <c r="AB721" s="203">
        <v>0</v>
      </c>
      <c r="AC721" s="203">
        <v>0</v>
      </c>
      <c r="AD721" s="203">
        <v>0</v>
      </c>
      <c r="AE721" s="203">
        <v>0</v>
      </c>
      <c r="AF721" s="202">
        <v>0</v>
      </c>
      <c r="AG721" s="203">
        <v>0</v>
      </c>
      <c r="AH721" s="202">
        <v>0</v>
      </c>
      <c r="AI721" s="203">
        <v>0</v>
      </c>
      <c r="AJ721" s="202">
        <v>0</v>
      </c>
      <c r="AK721" s="203">
        <v>0</v>
      </c>
      <c r="AL721" s="203">
        <v>0</v>
      </c>
      <c r="AM721" s="203">
        <v>0</v>
      </c>
      <c r="AN721" s="203"/>
      <c r="AO721" s="203">
        <v>0</v>
      </c>
      <c r="BW721" s="364"/>
      <c r="BX721" s="364"/>
    </row>
    <row r="722" spans="1:76" s="176" customFormat="1" ht="36" customHeight="1" x14ac:dyDescent="0.25">
      <c r="A722" s="176">
        <v>1</v>
      </c>
      <c r="B722" s="171">
        <f>SUBTOTAL(103,$A$552:A722)</f>
        <v>169</v>
      </c>
      <c r="C722" s="172" t="s">
        <v>387</v>
      </c>
      <c r="D722" s="173">
        <v>1975</v>
      </c>
      <c r="E722" s="173"/>
      <c r="F722" s="174" t="s">
        <v>267</v>
      </c>
      <c r="G722" s="173">
        <v>5</v>
      </c>
      <c r="H722" s="173" t="s">
        <v>308</v>
      </c>
      <c r="I722" s="170">
        <v>3325.2</v>
      </c>
      <c r="J722" s="170">
        <v>3325.2</v>
      </c>
      <c r="K722" s="170">
        <v>3325.2</v>
      </c>
      <c r="L722" s="206">
        <v>111</v>
      </c>
      <c r="M722" s="173" t="s">
        <v>265</v>
      </c>
      <c r="N722" s="173" t="s">
        <v>269</v>
      </c>
      <c r="O722" s="175" t="s">
        <v>322</v>
      </c>
      <c r="P722" s="170">
        <v>3090490.04</v>
      </c>
      <c r="Q722" s="170">
        <v>0</v>
      </c>
      <c r="R722" s="170">
        <v>0</v>
      </c>
      <c r="S722" s="170">
        <f t="shared" si="90"/>
        <v>3090490.04</v>
      </c>
      <c r="T722" s="170">
        <f t="shared" si="91"/>
        <v>929.41478407313855</v>
      </c>
      <c r="U722" s="170">
        <v>4178.12</v>
      </c>
      <c r="V722" s="202">
        <f t="shared" si="86"/>
        <v>3248.7052159268615</v>
      </c>
      <c r="W722" s="202">
        <f t="shared" si="92"/>
        <v>929.41478407313855</v>
      </c>
      <c r="X722" s="202">
        <v>0</v>
      </c>
      <c r="Y722" s="203">
        <v>0</v>
      </c>
      <c r="Z722" s="203">
        <v>0</v>
      </c>
      <c r="AA722" s="203">
        <v>0</v>
      </c>
      <c r="AB722" s="203">
        <v>0</v>
      </c>
      <c r="AC722" s="203">
        <v>0</v>
      </c>
      <c r="AD722" s="203">
        <v>0</v>
      </c>
      <c r="AE722" s="203">
        <v>0</v>
      </c>
      <c r="AF722" s="202">
        <v>0</v>
      </c>
      <c r="AG722" s="203">
        <v>0</v>
      </c>
      <c r="AH722" s="202">
        <v>0</v>
      </c>
      <c r="AI722" s="203">
        <v>0</v>
      </c>
      <c r="AJ722" s="202">
        <v>0</v>
      </c>
      <c r="AK722" s="203">
        <v>0</v>
      </c>
      <c r="AL722" s="203">
        <v>0</v>
      </c>
      <c r="AM722" s="203">
        <v>0</v>
      </c>
      <c r="AN722" s="203"/>
      <c r="AO722" s="203">
        <v>0</v>
      </c>
      <c r="BW722" s="364"/>
      <c r="BX722" s="364"/>
    </row>
    <row r="723" spans="1:76" s="176" customFormat="1" ht="36" customHeight="1" x14ac:dyDescent="0.25">
      <c r="A723" s="176">
        <v>1</v>
      </c>
      <c r="B723" s="171">
        <f>SUBTOTAL(103,$A$552:A723)</f>
        <v>170</v>
      </c>
      <c r="C723" s="172" t="s">
        <v>2451</v>
      </c>
      <c r="D723" s="173">
        <v>1967</v>
      </c>
      <c r="E723" s="173"/>
      <c r="F723" s="174" t="s">
        <v>267</v>
      </c>
      <c r="G723" s="173">
        <v>5</v>
      </c>
      <c r="H723" s="173">
        <v>4</v>
      </c>
      <c r="I723" s="170">
        <v>3656.6</v>
      </c>
      <c r="J723" s="170">
        <v>3333.6</v>
      </c>
      <c r="K723" s="170">
        <v>3333.6</v>
      </c>
      <c r="L723" s="206">
        <v>174</v>
      </c>
      <c r="M723" s="173" t="s">
        <v>265</v>
      </c>
      <c r="N723" s="173" t="s">
        <v>269</v>
      </c>
      <c r="O723" s="175" t="s">
        <v>322</v>
      </c>
      <c r="P723" s="170">
        <v>3090084.75</v>
      </c>
      <c r="Q723" s="170">
        <v>0</v>
      </c>
      <c r="R723" s="170">
        <v>0</v>
      </c>
      <c r="S723" s="170">
        <f t="shared" ref="S723:S724" si="93">P723-Q723-R723</f>
        <v>3090084.75</v>
      </c>
      <c r="T723" s="170">
        <f t="shared" ref="T723:T724" si="94">P723/I723</f>
        <v>845.07048897883283</v>
      </c>
      <c r="U723" s="170">
        <v>4178.12</v>
      </c>
      <c r="V723" s="202">
        <f t="shared" si="86"/>
        <v>3333.0495110211668</v>
      </c>
      <c r="W723" s="202">
        <f t="shared" ref="W723:W724" si="95">T723</f>
        <v>845.07048897883283</v>
      </c>
      <c r="X723" s="202">
        <v>0</v>
      </c>
      <c r="Y723" s="203">
        <v>0</v>
      </c>
      <c r="Z723" s="203">
        <v>0</v>
      </c>
      <c r="AA723" s="203">
        <v>0</v>
      </c>
      <c r="AB723" s="203">
        <v>0</v>
      </c>
      <c r="AC723" s="203">
        <v>0</v>
      </c>
      <c r="AD723" s="203">
        <v>0</v>
      </c>
      <c r="AE723" s="203">
        <v>0</v>
      </c>
      <c r="AF723" s="202">
        <v>0</v>
      </c>
      <c r="AG723" s="203">
        <v>0</v>
      </c>
      <c r="AH723" s="202">
        <v>0</v>
      </c>
      <c r="AI723" s="203">
        <v>0</v>
      </c>
      <c r="AJ723" s="202">
        <v>0</v>
      </c>
      <c r="AK723" s="203">
        <v>0</v>
      </c>
      <c r="AL723" s="203">
        <v>0</v>
      </c>
      <c r="AM723" s="203">
        <v>0</v>
      </c>
      <c r="AN723" s="203"/>
      <c r="AO723" s="203">
        <v>0</v>
      </c>
      <c r="BW723" s="364"/>
      <c r="BX723" s="364"/>
    </row>
    <row r="724" spans="1:76" s="176" customFormat="1" ht="36" customHeight="1" x14ac:dyDescent="0.25">
      <c r="A724" s="176">
        <v>1</v>
      </c>
      <c r="B724" s="171">
        <f>SUBTOTAL(103,$A$552:A724)</f>
        <v>171</v>
      </c>
      <c r="C724" s="172" t="s">
        <v>398</v>
      </c>
      <c r="D724" s="173">
        <v>1972</v>
      </c>
      <c r="E724" s="173"/>
      <c r="F724" s="174" t="s">
        <v>267</v>
      </c>
      <c r="G724" s="173">
        <v>5</v>
      </c>
      <c r="H724" s="173" t="s">
        <v>2250</v>
      </c>
      <c r="I724" s="170">
        <v>6552.34</v>
      </c>
      <c r="J724" s="170">
        <v>6023.94</v>
      </c>
      <c r="K724" s="170">
        <v>6023.94</v>
      </c>
      <c r="L724" s="206">
        <v>307</v>
      </c>
      <c r="M724" s="173" t="s">
        <v>265</v>
      </c>
      <c r="N724" s="173" t="s">
        <v>269</v>
      </c>
      <c r="O724" s="175" t="s">
        <v>328</v>
      </c>
      <c r="P724" s="170">
        <v>3068078.75</v>
      </c>
      <c r="Q724" s="170">
        <v>0</v>
      </c>
      <c r="R724" s="170">
        <v>0</v>
      </c>
      <c r="S724" s="170">
        <f t="shared" si="93"/>
        <v>3068078.75</v>
      </c>
      <c r="T724" s="170">
        <f t="shared" si="94"/>
        <v>468.24168922858092</v>
      </c>
      <c r="U724" s="170">
        <v>4178.12</v>
      </c>
      <c r="V724" s="202">
        <f t="shared" si="86"/>
        <v>3709.8783107714189</v>
      </c>
      <c r="W724" s="202">
        <f t="shared" si="95"/>
        <v>468.24168922858092</v>
      </c>
      <c r="X724" s="202">
        <v>0</v>
      </c>
      <c r="Y724" s="203">
        <v>0</v>
      </c>
      <c r="Z724" s="203">
        <v>0</v>
      </c>
      <c r="AA724" s="203">
        <v>0</v>
      </c>
      <c r="AB724" s="203">
        <v>0</v>
      </c>
      <c r="AC724" s="203">
        <v>0</v>
      </c>
      <c r="AD724" s="203">
        <v>0</v>
      </c>
      <c r="AE724" s="203">
        <v>0</v>
      </c>
      <c r="AF724" s="202">
        <v>0</v>
      </c>
      <c r="AG724" s="203">
        <v>0</v>
      </c>
      <c r="AH724" s="202">
        <v>0</v>
      </c>
      <c r="AI724" s="203">
        <v>0</v>
      </c>
      <c r="AJ724" s="202">
        <v>0</v>
      </c>
      <c r="AK724" s="203">
        <v>0</v>
      </c>
      <c r="AL724" s="203">
        <v>0</v>
      </c>
      <c r="AM724" s="203">
        <v>0</v>
      </c>
      <c r="AN724" s="203"/>
      <c r="AO724" s="203">
        <v>0</v>
      </c>
      <c r="BW724" s="364"/>
      <c r="BX724" s="364"/>
    </row>
    <row r="725" spans="1:76" s="176" customFormat="1" ht="36" customHeight="1" x14ac:dyDescent="0.25">
      <c r="A725" s="176">
        <v>1</v>
      </c>
      <c r="B725" s="171">
        <f>SUBTOTAL(103,$A$552:A725)</f>
        <v>172</v>
      </c>
      <c r="C725" s="172" t="s">
        <v>2452</v>
      </c>
      <c r="D725" s="173">
        <v>1977</v>
      </c>
      <c r="E725" s="173"/>
      <c r="F725" s="174" t="s">
        <v>318</v>
      </c>
      <c r="G725" s="173">
        <v>5</v>
      </c>
      <c r="H725" s="173">
        <v>6</v>
      </c>
      <c r="I725" s="170">
        <v>4961.7</v>
      </c>
      <c r="J725" s="170">
        <v>4559</v>
      </c>
      <c r="K725" s="170">
        <v>4559</v>
      </c>
      <c r="L725" s="206">
        <v>234</v>
      </c>
      <c r="M725" s="173" t="s">
        <v>265</v>
      </c>
      <c r="N725" s="173" t="s">
        <v>269</v>
      </c>
      <c r="O725" s="175" t="s">
        <v>328</v>
      </c>
      <c r="P725" s="170">
        <v>3113648.54</v>
      </c>
      <c r="Q725" s="170">
        <v>0</v>
      </c>
      <c r="R725" s="170">
        <v>0</v>
      </c>
      <c r="S725" s="170">
        <f t="shared" si="87"/>
        <v>3113648.54</v>
      </c>
      <c r="T725" s="170">
        <f t="shared" si="88"/>
        <v>627.53663865207488</v>
      </c>
      <c r="U725" s="170">
        <v>4178.12</v>
      </c>
      <c r="V725" s="202">
        <f t="shared" si="86"/>
        <v>3550.5833613479249</v>
      </c>
      <c r="W725" s="202">
        <f t="shared" si="89"/>
        <v>627.53663865207488</v>
      </c>
      <c r="X725" s="202">
        <v>0</v>
      </c>
      <c r="Y725" s="203">
        <v>0</v>
      </c>
      <c r="Z725" s="203">
        <v>0</v>
      </c>
      <c r="AA725" s="203">
        <v>0</v>
      </c>
      <c r="AB725" s="203">
        <v>0</v>
      </c>
      <c r="AC725" s="203">
        <v>0</v>
      </c>
      <c r="AD725" s="203">
        <v>0</v>
      </c>
      <c r="AE725" s="203">
        <v>0</v>
      </c>
      <c r="AF725" s="202">
        <v>0</v>
      </c>
      <c r="AG725" s="203">
        <v>0</v>
      </c>
      <c r="AH725" s="202">
        <v>0</v>
      </c>
      <c r="AI725" s="203">
        <v>0</v>
      </c>
      <c r="AJ725" s="202">
        <v>0</v>
      </c>
      <c r="AK725" s="203">
        <v>0</v>
      </c>
      <c r="AL725" s="203">
        <v>0</v>
      </c>
      <c r="AM725" s="203">
        <v>0</v>
      </c>
      <c r="AN725" s="203"/>
      <c r="AO725" s="203">
        <v>0</v>
      </c>
      <c r="BW725" s="364"/>
      <c r="BX725" s="364"/>
    </row>
    <row r="726" spans="1:76" s="176" customFormat="1" ht="36" customHeight="1" x14ac:dyDescent="0.25">
      <c r="A726" s="176">
        <v>1</v>
      </c>
      <c r="B726" s="171">
        <f>SUBTOTAL(103,$A$552:A726)</f>
        <v>173</v>
      </c>
      <c r="C726" s="172" t="s">
        <v>2439</v>
      </c>
      <c r="D726" s="173">
        <v>1980</v>
      </c>
      <c r="E726" s="173"/>
      <c r="F726" s="174" t="s">
        <v>318</v>
      </c>
      <c r="G726" s="173">
        <v>5</v>
      </c>
      <c r="H726" s="173">
        <v>5</v>
      </c>
      <c r="I726" s="177">
        <v>5220.8</v>
      </c>
      <c r="J726" s="177">
        <v>3874.4</v>
      </c>
      <c r="K726" s="177">
        <v>3874.4</v>
      </c>
      <c r="L726" s="206">
        <v>195</v>
      </c>
      <c r="M726" s="173" t="s">
        <v>265</v>
      </c>
      <c r="N726" s="173" t="s">
        <v>269</v>
      </c>
      <c r="O726" s="175" t="s">
        <v>981</v>
      </c>
      <c r="P726" s="170">
        <v>2994723.58</v>
      </c>
      <c r="Q726" s="170">
        <v>0</v>
      </c>
      <c r="R726" s="170">
        <v>0</v>
      </c>
      <c r="S726" s="170">
        <f t="shared" si="87"/>
        <v>2994723.58</v>
      </c>
      <c r="T726" s="170">
        <f t="shared" si="88"/>
        <v>573.61392506895493</v>
      </c>
      <c r="U726" s="170">
        <v>4178.12</v>
      </c>
      <c r="V726" s="202">
        <f t="shared" ref="V726:V727" si="96">U726-T726</f>
        <v>3604.5060749310451</v>
      </c>
      <c r="W726" s="202">
        <f t="shared" si="89"/>
        <v>573.61392506895493</v>
      </c>
      <c r="X726" s="202">
        <v>0</v>
      </c>
      <c r="Y726" s="203">
        <v>0</v>
      </c>
      <c r="Z726" s="203">
        <v>0</v>
      </c>
      <c r="AA726" s="203">
        <v>0</v>
      </c>
      <c r="AB726" s="203">
        <v>0</v>
      </c>
      <c r="AC726" s="203">
        <v>0</v>
      </c>
      <c r="AD726" s="203">
        <v>0</v>
      </c>
      <c r="AE726" s="203">
        <v>0</v>
      </c>
      <c r="AF726" s="202">
        <v>0</v>
      </c>
      <c r="AG726" s="203">
        <v>0</v>
      </c>
      <c r="AH726" s="202">
        <v>0</v>
      </c>
      <c r="AI726" s="203">
        <v>0</v>
      </c>
      <c r="AJ726" s="202">
        <v>0</v>
      </c>
      <c r="AK726" s="203">
        <v>0</v>
      </c>
      <c r="AL726" s="203">
        <v>0</v>
      </c>
      <c r="AM726" s="203">
        <v>0</v>
      </c>
      <c r="AN726" s="203"/>
      <c r="AO726" s="203">
        <v>0</v>
      </c>
      <c r="BW726" s="364"/>
      <c r="BX726" s="364"/>
    </row>
    <row r="727" spans="1:76" s="176" customFormat="1" ht="36" customHeight="1" x14ac:dyDescent="0.25">
      <c r="A727" s="176">
        <v>1</v>
      </c>
      <c r="B727" s="171">
        <f>SUBTOTAL(103,$A$552:A727)</f>
        <v>174</v>
      </c>
      <c r="C727" s="172" t="s">
        <v>2453</v>
      </c>
      <c r="D727" s="173">
        <v>1961</v>
      </c>
      <c r="E727" s="173"/>
      <c r="F727" s="174" t="s">
        <v>267</v>
      </c>
      <c r="G727" s="173">
        <v>4</v>
      </c>
      <c r="H727" s="173">
        <v>4</v>
      </c>
      <c r="I727" s="177">
        <v>2517.6</v>
      </c>
      <c r="J727" s="177">
        <v>2441.11</v>
      </c>
      <c r="K727" s="177">
        <v>2441.11</v>
      </c>
      <c r="L727" s="206">
        <v>108</v>
      </c>
      <c r="M727" s="173" t="s">
        <v>265</v>
      </c>
      <c r="N727" s="173" t="s">
        <v>269</v>
      </c>
      <c r="O727" s="175" t="s">
        <v>981</v>
      </c>
      <c r="P727" s="170">
        <v>3066798.28</v>
      </c>
      <c r="Q727" s="170">
        <v>0</v>
      </c>
      <c r="R727" s="170">
        <v>0</v>
      </c>
      <c r="S727" s="170">
        <f t="shared" ref="S727" si="97">P727-Q727-R727</f>
        <v>3066798.28</v>
      </c>
      <c r="T727" s="170">
        <f t="shared" ref="T727" si="98">P727/I727</f>
        <v>1218.1435811884335</v>
      </c>
      <c r="U727" s="170">
        <v>4178.12</v>
      </c>
      <c r="V727" s="202">
        <f t="shared" si="96"/>
        <v>2959.9764188115664</v>
      </c>
      <c r="W727" s="202">
        <f t="shared" ref="W727" si="99">T727</f>
        <v>1218.1435811884335</v>
      </c>
      <c r="X727" s="202">
        <v>0</v>
      </c>
      <c r="Y727" s="203">
        <v>0</v>
      </c>
      <c r="Z727" s="203">
        <v>0</v>
      </c>
      <c r="AA727" s="203">
        <v>0</v>
      </c>
      <c r="AB727" s="203">
        <v>0</v>
      </c>
      <c r="AC727" s="203">
        <v>0</v>
      </c>
      <c r="AD727" s="203">
        <v>0</v>
      </c>
      <c r="AE727" s="203">
        <v>0</v>
      </c>
      <c r="AF727" s="202">
        <v>0</v>
      </c>
      <c r="AG727" s="203">
        <v>0</v>
      </c>
      <c r="AH727" s="202">
        <v>0</v>
      </c>
      <c r="AI727" s="203">
        <v>0</v>
      </c>
      <c r="AJ727" s="202">
        <v>0</v>
      </c>
      <c r="AK727" s="203">
        <v>0</v>
      </c>
      <c r="AL727" s="203">
        <v>0</v>
      </c>
      <c r="AM727" s="203">
        <v>0</v>
      </c>
      <c r="AN727" s="203"/>
      <c r="AO727" s="203">
        <v>0</v>
      </c>
      <c r="BW727" s="364"/>
      <c r="BX727" s="364"/>
    </row>
    <row r="728" spans="1:76" s="176" customFormat="1" ht="36" customHeight="1" x14ac:dyDescent="0.25">
      <c r="A728" s="176">
        <v>1</v>
      </c>
      <c r="B728" s="171">
        <f>SUBTOTAL(103,$A$552:A728)</f>
        <v>175</v>
      </c>
      <c r="C728" s="172" t="s">
        <v>2454</v>
      </c>
      <c r="D728" s="173">
        <v>1968</v>
      </c>
      <c r="E728" s="173"/>
      <c r="F728" s="174" t="s">
        <v>267</v>
      </c>
      <c r="G728" s="173">
        <v>5</v>
      </c>
      <c r="H728" s="173">
        <v>6</v>
      </c>
      <c r="I728" s="177">
        <v>4930.09</v>
      </c>
      <c r="J728" s="177">
        <v>4536.6899999999996</v>
      </c>
      <c r="K728" s="177">
        <v>4536.6899999999996</v>
      </c>
      <c r="L728" s="206">
        <v>236</v>
      </c>
      <c r="M728" s="173" t="s">
        <v>265</v>
      </c>
      <c r="N728" s="173" t="s">
        <v>269</v>
      </c>
      <c r="O728" s="175" t="s">
        <v>328</v>
      </c>
      <c r="P728" s="170">
        <v>3121716.24</v>
      </c>
      <c r="Q728" s="170">
        <v>0</v>
      </c>
      <c r="R728" s="170">
        <v>0</v>
      </c>
      <c r="S728" s="170">
        <f t="shared" si="87"/>
        <v>3121716.24</v>
      </c>
      <c r="T728" s="170">
        <f t="shared" si="88"/>
        <v>633.19660290177262</v>
      </c>
      <c r="U728" s="170">
        <v>4178.12</v>
      </c>
      <c r="V728" s="202">
        <f t="shared" si="86"/>
        <v>3544.9233970982273</v>
      </c>
      <c r="W728" s="202">
        <f t="shared" si="89"/>
        <v>633.19660290177262</v>
      </c>
      <c r="X728" s="202">
        <v>0</v>
      </c>
      <c r="Y728" s="203">
        <v>0</v>
      </c>
      <c r="Z728" s="203">
        <v>0</v>
      </c>
      <c r="AA728" s="203">
        <v>0</v>
      </c>
      <c r="AB728" s="203">
        <v>0</v>
      </c>
      <c r="AC728" s="203">
        <v>0</v>
      </c>
      <c r="AD728" s="203">
        <v>0</v>
      </c>
      <c r="AE728" s="203">
        <v>0</v>
      </c>
      <c r="AF728" s="202">
        <v>0</v>
      </c>
      <c r="AG728" s="203">
        <v>0</v>
      </c>
      <c r="AH728" s="202">
        <v>0</v>
      </c>
      <c r="AI728" s="203">
        <v>0</v>
      </c>
      <c r="AJ728" s="202">
        <v>0</v>
      </c>
      <c r="AK728" s="203">
        <v>0</v>
      </c>
      <c r="AL728" s="203">
        <v>0</v>
      </c>
      <c r="AM728" s="203">
        <v>0</v>
      </c>
      <c r="AN728" s="203"/>
      <c r="AO728" s="203">
        <v>0</v>
      </c>
      <c r="BW728" s="364"/>
      <c r="BX728" s="364"/>
    </row>
    <row r="729" spans="1:76" s="176" customFormat="1" ht="36" customHeight="1" x14ac:dyDescent="0.25">
      <c r="A729" s="176">
        <v>1</v>
      </c>
      <c r="B729" s="171">
        <f>SUBTOTAL(103,$A$552:A729)</f>
        <v>176</v>
      </c>
      <c r="C729" s="172" t="s">
        <v>2455</v>
      </c>
      <c r="D729" s="173">
        <v>1985</v>
      </c>
      <c r="E729" s="173"/>
      <c r="F729" s="174" t="s">
        <v>318</v>
      </c>
      <c r="G729" s="173">
        <v>5</v>
      </c>
      <c r="H729" s="173">
        <v>5</v>
      </c>
      <c r="I729" s="177">
        <v>4339.8</v>
      </c>
      <c r="J729" s="177">
        <v>3919.2</v>
      </c>
      <c r="K729" s="177">
        <v>3919.2</v>
      </c>
      <c r="L729" s="206">
        <v>143</v>
      </c>
      <c r="M729" s="173" t="s">
        <v>265</v>
      </c>
      <c r="N729" s="173" t="s">
        <v>269</v>
      </c>
      <c r="O729" s="175" t="s">
        <v>328</v>
      </c>
      <c r="P729" s="170">
        <v>3098617.66</v>
      </c>
      <c r="Q729" s="170">
        <v>0</v>
      </c>
      <c r="R729" s="170">
        <v>0</v>
      </c>
      <c r="S729" s="170">
        <f t="shared" si="87"/>
        <v>3098617.66</v>
      </c>
      <c r="T729" s="170">
        <f t="shared" si="88"/>
        <v>714.00010599566804</v>
      </c>
      <c r="U729" s="170">
        <v>4178.12</v>
      </c>
      <c r="V729" s="202">
        <f t="shared" ref="V729:V734" si="100">U729-T729</f>
        <v>3464.1198940043319</v>
      </c>
      <c r="W729" s="202">
        <f t="shared" si="89"/>
        <v>714.00010599566804</v>
      </c>
      <c r="X729" s="202">
        <v>0</v>
      </c>
      <c r="Y729" s="203">
        <v>0</v>
      </c>
      <c r="Z729" s="203">
        <v>0</v>
      </c>
      <c r="AA729" s="203">
        <v>0</v>
      </c>
      <c r="AB729" s="203">
        <v>0</v>
      </c>
      <c r="AC729" s="203">
        <v>0</v>
      </c>
      <c r="AD729" s="203">
        <v>0</v>
      </c>
      <c r="AE729" s="203">
        <v>0</v>
      </c>
      <c r="AF729" s="202">
        <v>0</v>
      </c>
      <c r="AG729" s="203">
        <v>0</v>
      </c>
      <c r="AH729" s="202">
        <v>0</v>
      </c>
      <c r="AI729" s="203">
        <v>0</v>
      </c>
      <c r="AJ729" s="202">
        <v>0</v>
      </c>
      <c r="AK729" s="203">
        <v>0</v>
      </c>
      <c r="AL729" s="203">
        <v>0</v>
      </c>
      <c r="AM729" s="203">
        <v>0</v>
      </c>
      <c r="AN729" s="203"/>
      <c r="AO729" s="203">
        <v>0</v>
      </c>
      <c r="BW729" s="364"/>
      <c r="BX729" s="364"/>
    </row>
    <row r="730" spans="1:76" s="176" customFormat="1" ht="36" customHeight="1" x14ac:dyDescent="0.25">
      <c r="A730" s="176">
        <v>1</v>
      </c>
      <c r="B730" s="171">
        <f>SUBTOTAL(103,$A$552:A730)</f>
        <v>177</v>
      </c>
      <c r="C730" s="172" t="s">
        <v>806</v>
      </c>
      <c r="D730" s="173">
        <v>1988</v>
      </c>
      <c r="E730" s="173"/>
      <c r="F730" s="174" t="s">
        <v>267</v>
      </c>
      <c r="G730" s="173">
        <v>9</v>
      </c>
      <c r="H730" s="173" t="s">
        <v>312</v>
      </c>
      <c r="I730" s="177">
        <v>5795.4</v>
      </c>
      <c r="J730" s="177">
        <v>5795.4</v>
      </c>
      <c r="K730" s="177">
        <v>5264.2</v>
      </c>
      <c r="L730" s="206">
        <v>304</v>
      </c>
      <c r="M730" s="173" t="s">
        <v>265</v>
      </c>
      <c r="N730" s="173" t="s">
        <v>269</v>
      </c>
      <c r="O730" s="175" t="s">
        <v>981</v>
      </c>
      <c r="P730" s="170">
        <v>6838398.3999999994</v>
      </c>
      <c r="Q730" s="170">
        <v>0</v>
      </c>
      <c r="R730" s="170">
        <v>0</v>
      </c>
      <c r="S730" s="170">
        <v>6400000</v>
      </c>
      <c r="T730" s="170">
        <v>1104.3241191289644</v>
      </c>
      <c r="U730" s="170">
        <v>1272.2849156227353</v>
      </c>
      <c r="V730" s="202">
        <v>167.96079649377089</v>
      </c>
      <c r="W730" s="202">
        <v>1272.2849156227353</v>
      </c>
      <c r="X730" s="202">
        <v>0</v>
      </c>
      <c r="Y730" s="203">
        <v>0</v>
      </c>
      <c r="Z730" s="203">
        <v>0</v>
      </c>
      <c r="AA730" s="203">
        <v>0</v>
      </c>
      <c r="AB730" s="203">
        <v>0</v>
      </c>
      <c r="AC730" s="203">
        <v>3</v>
      </c>
      <c r="AD730" s="202">
        <v>1272.2849156227353</v>
      </c>
      <c r="AE730" s="203">
        <v>0</v>
      </c>
      <c r="AF730" s="202">
        <v>0</v>
      </c>
      <c r="AG730" s="203">
        <v>0</v>
      </c>
      <c r="AH730" s="202">
        <v>0</v>
      </c>
      <c r="AI730" s="203">
        <v>0</v>
      </c>
      <c r="AJ730" s="202">
        <v>0</v>
      </c>
      <c r="AK730" s="203">
        <v>0</v>
      </c>
      <c r="AL730" s="203">
        <v>0</v>
      </c>
      <c r="AM730" s="203">
        <v>0</v>
      </c>
      <c r="AN730" s="203"/>
      <c r="AO730" s="203">
        <v>0</v>
      </c>
    </row>
    <row r="731" spans="1:76" s="176" customFormat="1" ht="36" customHeight="1" x14ac:dyDescent="0.25">
      <c r="A731" s="176">
        <v>1</v>
      </c>
      <c r="B731" s="171">
        <f>SUBTOTAL(103,$A$552:A731)</f>
        <v>178</v>
      </c>
      <c r="C731" s="172" t="s">
        <v>429</v>
      </c>
      <c r="D731" s="173">
        <v>1974</v>
      </c>
      <c r="E731" s="173"/>
      <c r="F731" s="174" t="s">
        <v>267</v>
      </c>
      <c r="G731" s="173">
        <v>9</v>
      </c>
      <c r="H731" s="173" t="s">
        <v>303</v>
      </c>
      <c r="I731" s="177">
        <v>5409.4</v>
      </c>
      <c r="J731" s="177">
        <v>5101.5</v>
      </c>
      <c r="K731" s="177">
        <v>4227.7</v>
      </c>
      <c r="L731" s="206">
        <v>198</v>
      </c>
      <c r="M731" s="173" t="s">
        <v>265</v>
      </c>
      <c r="N731" s="173" t="s">
        <v>269</v>
      </c>
      <c r="O731" s="175" t="s">
        <v>981</v>
      </c>
      <c r="P731" s="170">
        <v>4607265.5999999996</v>
      </c>
      <c r="Q731" s="170">
        <v>0</v>
      </c>
      <c r="R731" s="170">
        <v>0</v>
      </c>
      <c r="S731" s="170">
        <v>4431631.53</v>
      </c>
      <c r="T731" s="170">
        <v>819.2464099530448</v>
      </c>
      <c r="U731" s="170">
        <v>908.71446001404968</v>
      </c>
      <c r="V731" s="202">
        <v>89.468050061004874</v>
      </c>
      <c r="W731" s="202">
        <v>908.71446001404968</v>
      </c>
      <c r="X731" s="202">
        <v>0</v>
      </c>
      <c r="Y731" s="203">
        <v>0</v>
      </c>
      <c r="Z731" s="203">
        <v>0</v>
      </c>
      <c r="AA731" s="203">
        <v>0</v>
      </c>
      <c r="AB731" s="203">
        <v>0</v>
      </c>
      <c r="AC731" s="203">
        <v>2</v>
      </c>
      <c r="AD731" s="202">
        <v>908.71446001404968</v>
      </c>
      <c r="AE731" s="203">
        <v>0</v>
      </c>
      <c r="AF731" s="202">
        <v>0</v>
      </c>
      <c r="AG731" s="203">
        <v>0</v>
      </c>
      <c r="AH731" s="202">
        <v>0</v>
      </c>
      <c r="AI731" s="203">
        <v>0</v>
      </c>
      <c r="AJ731" s="202">
        <v>0</v>
      </c>
      <c r="AK731" s="203">
        <v>0</v>
      </c>
      <c r="AL731" s="203">
        <v>0</v>
      </c>
      <c r="AM731" s="203">
        <v>0</v>
      </c>
      <c r="AN731" s="203"/>
      <c r="AO731" s="203">
        <v>0</v>
      </c>
    </row>
    <row r="732" spans="1:76" s="176" customFormat="1" ht="36" customHeight="1" x14ac:dyDescent="0.25">
      <c r="A732" s="176">
        <v>1</v>
      </c>
      <c r="B732" s="171">
        <f>SUBTOTAL(103,$A$552:A732)</f>
        <v>179</v>
      </c>
      <c r="C732" s="172" t="s">
        <v>2641</v>
      </c>
      <c r="D732" s="173">
        <v>1996</v>
      </c>
      <c r="E732" s="173"/>
      <c r="F732" s="174" t="s">
        <v>2656</v>
      </c>
      <c r="G732" s="173" t="s">
        <v>357</v>
      </c>
      <c r="H732" s="173">
        <v>1</v>
      </c>
      <c r="I732" s="177">
        <v>3077.8</v>
      </c>
      <c r="J732" s="177">
        <v>2755.2</v>
      </c>
      <c r="K732" s="177">
        <v>2755.2</v>
      </c>
      <c r="L732" s="206">
        <v>101</v>
      </c>
      <c r="M732" s="173" t="s">
        <v>265</v>
      </c>
      <c r="N732" s="173" t="s">
        <v>269</v>
      </c>
      <c r="O732" s="175" t="s">
        <v>322</v>
      </c>
      <c r="P732" s="170">
        <v>2356132.7999999998</v>
      </c>
      <c r="Q732" s="170">
        <v>0</v>
      </c>
      <c r="R732" s="170">
        <v>0</v>
      </c>
      <c r="S732" s="170">
        <f t="shared" ref="S732:S734" si="101">P732-Q732-R732</f>
        <v>2356132.7999999998</v>
      </c>
      <c r="T732" s="170">
        <f t="shared" ref="T732:T734" si="102">P732/I732</f>
        <v>765.52498537916688</v>
      </c>
      <c r="U732" s="170">
        <v>798.55741113782562</v>
      </c>
      <c r="V732" s="202">
        <f t="shared" si="100"/>
        <v>33.032425758658746</v>
      </c>
      <c r="W732" s="202">
        <f t="shared" ref="W732:W734" si="103">T732</f>
        <v>765.52498537916688</v>
      </c>
      <c r="X732" s="202">
        <v>0</v>
      </c>
      <c r="Y732" s="203">
        <v>0</v>
      </c>
      <c r="Z732" s="203">
        <v>0</v>
      </c>
      <c r="AA732" s="203">
        <v>0</v>
      </c>
      <c r="AB732" s="203">
        <v>0</v>
      </c>
      <c r="AC732" s="203">
        <v>0</v>
      </c>
      <c r="AD732" s="203">
        <v>0</v>
      </c>
      <c r="AE732" s="203">
        <v>0</v>
      </c>
      <c r="AF732" s="202">
        <v>0</v>
      </c>
      <c r="AG732" s="203">
        <v>0</v>
      </c>
      <c r="AH732" s="202">
        <v>0</v>
      </c>
      <c r="AI732" s="203">
        <v>0</v>
      </c>
      <c r="AJ732" s="202">
        <v>0</v>
      </c>
      <c r="AK732" s="203">
        <v>0</v>
      </c>
      <c r="AL732" s="203">
        <v>0</v>
      </c>
      <c r="AM732" s="203">
        <v>0</v>
      </c>
      <c r="AN732" s="203"/>
      <c r="AO732" s="203">
        <v>0</v>
      </c>
      <c r="BW732" s="364"/>
      <c r="BX732" s="364"/>
    </row>
    <row r="733" spans="1:76" s="176" customFormat="1" ht="36" customHeight="1" x14ac:dyDescent="0.25">
      <c r="A733" s="176">
        <v>1</v>
      </c>
      <c r="B733" s="171">
        <f>SUBTOTAL(103,$A$552:A733)</f>
        <v>180</v>
      </c>
      <c r="C733" s="172" t="s">
        <v>2642</v>
      </c>
      <c r="D733" s="173">
        <v>1996</v>
      </c>
      <c r="E733" s="173"/>
      <c r="F733" s="174" t="s">
        <v>2656</v>
      </c>
      <c r="G733" s="173" t="s">
        <v>357</v>
      </c>
      <c r="H733" s="173">
        <v>2</v>
      </c>
      <c r="I733" s="177">
        <v>5535.7</v>
      </c>
      <c r="J733" s="177">
        <v>5530.52</v>
      </c>
      <c r="K733" s="177">
        <v>5530.52</v>
      </c>
      <c r="L733" s="206">
        <v>217</v>
      </c>
      <c r="M733" s="173" t="s">
        <v>265</v>
      </c>
      <c r="N733" s="173" t="s">
        <v>269</v>
      </c>
      <c r="O733" s="175" t="s">
        <v>322</v>
      </c>
      <c r="P733" s="170">
        <v>4612265.5999999996</v>
      </c>
      <c r="Q733" s="170">
        <v>0</v>
      </c>
      <c r="R733" s="170">
        <v>0</v>
      </c>
      <c r="S733" s="170">
        <f t="shared" si="101"/>
        <v>4612265.5999999996</v>
      </c>
      <c r="T733" s="170">
        <f t="shared" si="102"/>
        <v>833.1856133822281</v>
      </c>
      <c r="U733" s="170">
        <v>887.98164640424886</v>
      </c>
      <c r="V733" s="202">
        <f t="shared" si="100"/>
        <v>54.796033022020765</v>
      </c>
      <c r="W733" s="202">
        <f t="shared" si="103"/>
        <v>833.1856133822281</v>
      </c>
      <c r="X733" s="202">
        <v>0</v>
      </c>
      <c r="Y733" s="203">
        <v>0</v>
      </c>
      <c r="Z733" s="203">
        <v>0</v>
      </c>
      <c r="AA733" s="203">
        <v>0</v>
      </c>
      <c r="AB733" s="203">
        <v>0</v>
      </c>
      <c r="AC733" s="203">
        <v>0</v>
      </c>
      <c r="AD733" s="203">
        <v>0</v>
      </c>
      <c r="AE733" s="203">
        <v>0</v>
      </c>
      <c r="AF733" s="202">
        <v>0</v>
      </c>
      <c r="AG733" s="203">
        <v>0</v>
      </c>
      <c r="AH733" s="202">
        <v>0</v>
      </c>
      <c r="AI733" s="203">
        <v>0</v>
      </c>
      <c r="AJ733" s="202">
        <v>0</v>
      </c>
      <c r="AK733" s="203">
        <v>0</v>
      </c>
      <c r="AL733" s="203">
        <v>0</v>
      </c>
      <c r="AM733" s="203">
        <v>0</v>
      </c>
      <c r="AN733" s="203"/>
      <c r="AO733" s="203">
        <v>0</v>
      </c>
      <c r="BW733" s="364"/>
      <c r="BX733" s="364"/>
    </row>
    <row r="734" spans="1:76" s="176" customFormat="1" ht="36" customHeight="1" x14ac:dyDescent="0.25">
      <c r="A734" s="176">
        <v>1</v>
      </c>
      <c r="B734" s="171">
        <f>SUBTOTAL(103,$A$552:A734)</f>
        <v>181</v>
      </c>
      <c r="C734" s="172" t="s">
        <v>2643</v>
      </c>
      <c r="D734" s="173">
        <v>1996</v>
      </c>
      <c r="E734" s="173"/>
      <c r="F734" s="174" t="s">
        <v>318</v>
      </c>
      <c r="G734" s="173" t="s">
        <v>357</v>
      </c>
      <c r="H734" s="173" t="s">
        <v>308</v>
      </c>
      <c r="I734" s="177">
        <v>8578.7000000000007</v>
      </c>
      <c r="J734" s="177">
        <v>8578</v>
      </c>
      <c r="K734" s="177">
        <v>7723</v>
      </c>
      <c r="L734" s="206" t="s">
        <v>2657</v>
      </c>
      <c r="M734" s="173" t="s">
        <v>265</v>
      </c>
      <c r="N734" s="173" t="s">
        <v>269</v>
      </c>
      <c r="O734" s="175" t="s">
        <v>1343</v>
      </c>
      <c r="P734" s="170">
        <v>7037297.8600000003</v>
      </c>
      <c r="Q734" s="170">
        <v>0</v>
      </c>
      <c r="R734" s="170">
        <v>0</v>
      </c>
      <c r="S734" s="170">
        <f t="shared" si="101"/>
        <v>7037297.8600000003</v>
      </c>
      <c r="T734" s="170">
        <f t="shared" si="102"/>
        <v>820.32217701982813</v>
      </c>
      <c r="U734" s="170">
        <v>831.44066117243869</v>
      </c>
      <c r="V734" s="202">
        <f t="shared" si="100"/>
        <v>11.118484152610563</v>
      </c>
      <c r="W734" s="202">
        <f t="shared" si="103"/>
        <v>820.32217701982813</v>
      </c>
      <c r="X734" s="202">
        <v>0</v>
      </c>
      <c r="Y734" s="203">
        <v>0</v>
      </c>
      <c r="Z734" s="203">
        <v>0</v>
      </c>
      <c r="AA734" s="203">
        <v>0</v>
      </c>
      <c r="AB734" s="203">
        <v>0</v>
      </c>
      <c r="AC734" s="203">
        <v>0</v>
      </c>
      <c r="AD734" s="203">
        <v>0</v>
      </c>
      <c r="AE734" s="203">
        <v>0</v>
      </c>
      <c r="AF734" s="202">
        <v>0</v>
      </c>
      <c r="AG734" s="203">
        <v>0</v>
      </c>
      <c r="AH734" s="202">
        <v>0</v>
      </c>
      <c r="AI734" s="203">
        <v>0</v>
      </c>
      <c r="AJ734" s="202">
        <v>0</v>
      </c>
      <c r="AK734" s="203">
        <v>0</v>
      </c>
      <c r="AL734" s="203">
        <v>0</v>
      </c>
      <c r="AM734" s="203">
        <v>0</v>
      </c>
      <c r="AN734" s="203"/>
      <c r="AO734" s="203">
        <v>0</v>
      </c>
      <c r="BW734" s="364"/>
      <c r="BX734" s="364"/>
    </row>
    <row r="735" spans="1:76" s="176" customFormat="1" ht="36" customHeight="1" x14ac:dyDescent="0.25">
      <c r="B735" s="172" t="s">
        <v>752</v>
      </c>
      <c r="C735" s="172"/>
      <c r="D735" s="173" t="s">
        <v>882</v>
      </c>
      <c r="E735" s="173" t="s">
        <v>882</v>
      </c>
      <c r="F735" s="173" t="s">
        <v>882</v>
      </c>
      <c r="G735" s="173" t="s">
        <v>882</v>
      </c>
      <c r="H735" s="173" t="s">
        <v>882</v>
      </c>
      <c r="I735" s="177">
        <f>SUM(I736:I796)</f>
        <v>419649.55999999994</v>
      </c>
      <c r="J735" s="177">
        <f>SUM(J736:J796)</f>
        <v>393534.34999999992</v>
      </c>
      <c r="K735" s="177">
        <f>SUM(K736:K796)</f>
        <v>321316.64999999991</v>
      </c>
      <c r="L735" s="357">
        <f>SUM(L736:L796)</f>
        <v>4613</v>
      </c>
      <c r="M735" s="173" t="s">
        <v>882</v>
      </c>
      <c r="N735" s="173" t="s">
        <v>882</v>
      </c>
      <c r="O735" s="175" t="s">
        <v>882</v>
      </c>
      <c r="P735" s="177">
        <v>413498075.70999992</v>
      </c>
      <c r="Q735" s="177">
        <f>SUM(Q736:Q796)</f>
        <v>9536000</v>
      </c>
      <c r="R735" s="177">
        <f>SUM(R736:R796)</f>
        <v>0</v>
      </c>
      <c r="S735" s="177">
        <f>SUM(S736:S796)</f>
        <v>403962075.70999998</v>
      </c>
      <c r="T735" s="170">
        <f t="shared" ref="T735:T836" si="104">P735/I735</f>
        <v>985.3413779583135</v>
      </c>
      <c r="U735" s="170">
        <f>MAX(U736:U796)</f>
        <v>12698.032164701432</v>
      </c>
      <c r="V735" s="202">
        <f t="shared" ref="V735:V835" si="105">U735-T735</f>
        <v>11712.690786743118</v>
      </c>
      <c r="W735" s="202"/>
      <c r="X735" s="202"/>
      <c r="Y735" s="203"/>
      <c r="Z735" s="203"/>
      <c r="AA735" s="203"/>
      <c r="AB735" s="203"/>
      <c r="AC735" s="203"/>
      <c r="AD735" s="203"/>
      <c r="AE735" s="203"/>
      <c r="AF735" s="203"/>
      <c r="AG735" s="203"/>
      <c r="AH735" s="203"/>
      <c r="AI735" s="203"/>
      <c r="AJ735" s="203"/>
      <c r="AK735" s="203"/>
      <c r="AL735" s="203"/>
      <c r="AM735" s="203"/>
      <c r="AN735" s="203"/>
      <c r="AO735" s="203"/>
    </row>
    <row r="736" spans="1:76" s="176" customFormat="1" ht="36" customHeight="1" x14ac:dyDescent="0.25">
      <c r="A736" s="176">
        <v>1</v>
      </c>
      <c r="B736" s="171">
        <f>SUBTOTAL(103,$A$552:A736)</f>
        <v>182</v>
      </c>
      <c r="C736" s="172" t="s">
        <v>765</v>
      </c>
      <c r="D736" s="173">
        <v>1959</v>
      </c>
      <c r="E736" s="173"/>
      <c r="F736" s="174" t="s">
        <v>336</v>
      </c>
      <c r="G736" s="173">
        <v>3</v>
      </c>
      <c r="H736" s="173" t="s">
        <v>303</v>
      </c>
      <c r="I736" s="177">
        <v>1267.5</v>
      </c>
      <c r="J736" s="177">
        <v>1160</v>
      </c>
      <c r="K736" s="177">
        <v>785.9</v>
      </c>
      <c r="L736" s="206">
        <v>31</v>
      </c>
      <c r="M736" s="173" t="s">
        <v>265</v>
      </c>
      <c r="N736" s="173" t="s">
        <v>266</v>
      </c>
      <c r="O736" s="175" t="s">
        <v>268</v>
      </c>
      <c r="P736" s="170">
        <v>4471618.72</v>
      </c>
      <c r="Q736" s="170">
        <v>0</v>
      </c>
      <c r="R736" s="170">
        <v>0</v>
      </c>
      <c r="S736" s="170">
        <f t="shared" ref="S736:S762" si="106">P736-Q736-R736</f>
        <v>4471618.72</v>
      </c>
      <c r="T736" s="170">
        <f t="shared" si="104"/>
        <v>3527.904315581854</v>
      </c>
      <c r="U736" s="170">
        <v>3802.2239053254443</v>
      </c>
      <c r="V736" s="202">
        <f t="shared" si="105"/>
        <v>274.31958974359031</v>
      </c>
      <c r="W736" s="202">
        <f t="shared" ref="W736:W744" si="107">X736+Y736+Z736+AA736+AB736+AD736+AF736+AH736+AJ736+AL736+AN736+AO736</f>
        <v>3396.3297041420115</v>
      </c>
      <c r="X736" s="202">
        <v>0</v>
      </c>
      <c r="Y736" s="203">
        <v>0</v>
      </c>
      <c r="Z736" s="203">
        <v>0</v>
      </c>
      <c r="AA736" s="203">
        <v>0</v>
      </c>
      <c r="AB736" s="203">
        <v>0</v>
      </c>
      <c r="AC736" s="203">
        <v>0</v>
      </c>
      <c r="AD736" s="203">
        <v>0</v>
      </c>
      <c r="AE736" s="203">
        <v>690</v>
      </c>
      <c r="AF736" s="202">
        <f>6238.91*AE736/I736</f>
        <v>3396.3297041420115</v>
      </c>
      <c r="AG736" s="203">
        <v>0</v>
      </c>
      <c r="AH736" s="202">
        <v>0</v>
      </c>
      <c r="AI736" s="203">
        <v>0</v>
      </c>
      <c r="AJ736" s="202">
        <v>0</v>
      </c>
      <c r="AK736" s="203">
        <v>0</v>
      </c>
      <c r="AL736" s="203">
        <v>0</v>
      </c>
      <c r="AM736" s="203">
        <v>0</v>
      </c>
      <c r="AN736" s="203"/>
      <c r="AO736" s="203">
        <v>0</v>
      </c>
    </row>
    <row r="737" spans="1:41" s="176" customFormat="1" ht="36" customHeight="1" x14ac:dyDescent="0.25">
      <c r="A737" s="176">
        <v>1</v>
      </c>
      <c r="B737" s="171">
        <f>SUBTOTAL(103,$A$552:A737)</f>
        <v>183</v>
      </c>
      <c r="C737" s="172" t="s">
        <v>767</v>
      </c>
      <c r="D737" s="173">
        <v>1993</v>
      </c>
      <c r="E737" s="173"/>
      <c r="F737" s="174" t="s">
        <v>318</v>
      </c>
      <c r="G737" s="173">
        <v>9</v>
      </c>
      <c r="H737" s="173" t="s">
        <v>308</v>
      </c>
      <c r="I737" s="177">
        <v>11047.1</v>
      </c>
      <c r="J737" s="177">
        <v>7851.2</v>
      </c>
      <c r="K737" s="177">
        <v>7851.2</v>
      </c>
      <c r="L737" s="206">
        <v>267</v>
      </c>
      <c r="M737" s="173" t="s">
        <v>265</v>
      </c>
      <c r="N737" s="173" t="s">
        <v>269</v>
      </c>
      <c r="O737" s="175" t="s">
        <v>799</v>
      </c>
      <c r="P737" s="170">
        <v>6290060.6799999997</v>
      </c>
      <c r="Q737" s="170">
        <v>0</v>
      </c>
      <c r="R737" s="170">
        <v>0</v>
      </c>
      <c r="S737" s="170">
        <f t="shared" si="106"/>
        <v>6290060.6799999997</v>
      </c>
      <c r="T737" s="170">
        <f t="shared" si="104"/>
        <v>569.38569217260635</v>
      </c>
      <c r="U737" s="170">
        <v>889.93491504557755</v>
      </c>
      <c r="V737" s="202">
        <f t="shared" si="105"/>
        <v>320.5492228729712</v>
      </c>
      <c r="W737" s="202">
        <f t="shared" si="107"/>
        <v>889.93491504557755</v>
      </c>
      <c r="X737" s="202">
        <v>0</v>
      </c>
      <c r="Y737" s="203">
        <v>0</v>
      </c>
      <c r="Z737" s="203">
        <v>0</v>
      </c>
      <c r="AA737" s="203">
        <v>0</v>
      </c>
      <c r="AB737" s="203">
        <v>0</v>
      </c>
      <c r="AC737" s="203">
        <v>4</v>
      </c>
      <c r="AD737" s="202">
        <f>2457800*AC737/I737</f>
        <v>889.93491504557755</v>
      </c>
      <c r="AE737" s="203">
        <v>0</v>
      </c>
      <c r="AF737" s="202">
        <v>0</v>
      </c>
      <c r="AG737" s="203">
        <v>0</v>
      </c>
      <c r="AH737" s="202">
        <v>0</v>
      </c>
      <c r="AI737" s="203">
        <v>0</v>
      </c>
      <c r="AJ737" s="202">
        <v>0</v>
      </c>
      <c r="AK737" s="203">
        <v>0</v>
      </c>
      <c r="AL737" s="203">
        <v>0</v>
      </c>
      <c r="AM737" s="203">
        <v>0</v>
      </c>
      <c r="AN737" s="203"/>
      <c r="AO737" s="203">
        <v>0</v>
      </c>
    </row>
    <row r="738" spans="1:41" s="176" customFormat="1" ht="36" customHeight="1" x14ac:dyDescent="0.25">
      <c r="A738" s="176">
        <v>1</v>
      </c>
      <c r="B738" s="171">
        <f>SUBTOTAL(103,$A$552:A738)</f>
        <v>184</v>
      </c>
      <c r="C738" s="172" t="s">
        <v>777</v>
      </c>
      <c r="D738" s="173">
        <v>1991</v>
      </c>
      <c r="E738" s="173"/>
      <c r="F738" s="174" t="s">
        <v>318</v>
      </c>
      <c r="G738" s="173">
        <v>9</v>
      </c>
      <c r="H738" s="173" t="s">
        <v>308</v>
      </c>
      <c r="I738" s="177">
        <v>10990.1</v>
      </c>
      <c r="J738" s="177">
        <v>7793.3</v>
      </c>
      <c r="K738" s="177">
        <v>7793.3</v>
      </c>
      <c r="L738" s="206">
        <v>318</v>
      </c>
      <c r="M738" s="173" t="s">
        <v>265</v>
      </c>
      <c r="N738" s="173" t="s">
        <v>269</v>
      </c>
      <c r="O738" s="175" t="s">
        <v>799</v>
      </c>
      <c r="P738" s="170">
        <v>8753825.4100000001</v>
      </c>
      <c r="Q738" s="170">
        <v>4768000</v>
      </c>
      <c r="R738" s="170">
        <v>0</v>
      </c>
      <c r="S738" s="170">
        <f t="shared" si="106"/>
        <v>3985825.41</v>
      </c>
      <c r="T738" s="170">
        <f t="shared" si="104"/>
        <v>796.51917725953354</v>
      </c>
      <c r="U738" s="170">
        <v>894.55055004049098</v>
      </c>
      <c r="V738" s="202">
        <f t="shared" si="105"/>
        <v>98.03137278095744</v>
      </c>
      <c r="W738" s="202">
        <f t="shared" si="107"/>
        <v>894.55055004049098</v>
      </c>
      <c r="X738" s="202">
        <v>0</v>
      </c>
      <c r="Y738" s="203">
        <v>0</v>
      </c>
      <c r="Z738" s="203">
        <v>0</v>
      </c>
      <c r="AA738" s="203">
        <v>0</v>
      </c>
      <c r="AB738" s="203">
        <v>0</v>
      </c>
      <c r="AC738" s="203">
        <v>4</v>
      </c>
      <c r="AD738" s="202">
        <f>2457800*AC738/I738</f>
        <v>894.55055004049098</v>
      </c>
      <c r="AE738" s="203">
        <v>0</v>
      </c>
      <c r="AF738" s="202">
        <v>0</v>
      </c>
      <c r="AG738" s="203">
        <v>0</v>
      </c>
      <c r="AH738" s="202">
        <v>0</v>
      </c>
      <c r="AI738" s="203">
        <v>0</v>
      </c>
      <c r="AJ738" s="202">
        <v>0</v>
      </c>
      <c r="AK738" s="203">
        <v>0</v>
      </c>
      <c r="AL738" s="203">
        <v>0</v>
      </c>
      <c r="AM738" s="203">
        <v>0</v>
      </c>
      <c r="AN738" s="203"/>
      <c r="AO738" s="203">
        <v>0</v>
      </c>
    </row>
    <row r="739" spans="1:41" s="176" customFormat="1" ht="36" customHeight="1" x14ac:dyDescent="0.25">
      <c r="A739" s="176">
        <v>1</v>
      </c>
      <c r="B739" s="171">
        <f>SUBTOTAL(103,$A$552:A739)</f>
        <v>185</v>
      </c>
      <c r="C739" s="172" t="s">
        <v>1065</v>
      </c>
      <c r="D739" s="173">
        <v>1960</v>
      </c>
      <c r="E739" s="173"/>
      <c r="F739" s="174" t="s">
        <v>267</v>
      </c>
      <c r="G739" s="173">
        <v>3</v>
      </c>
      <c r="H739" s="173" t="s">
        <v>303</v>
      </c>
      <c r="I739" s="177">
        <v>1377.9</v>
      </c>
      <c r="J739" s="177">
        <v>966.6</v>
      </c>
      <c r="K739" s="177">
        <v>764.1</v>
      </c>
      <c r="L739" s="206">
        <v>28</v>
      </c>
      <c r="M739" s="173" t="s">
        <v>265</v>
      </c>
      <c r="N739" s="173" t="s">
        <v>266</v>
      </c>
      <c r="O739" s="175" t="s">
        <v>268</v>
      </c>
      <c r="P739" s="170">
        <v>2932000</v>
      </c>
      <c r="Q739" s="170">
        <v>0</v>
      </c>
      <c r="R739" s="170">
        <v>0</v>
      </c>
      <c r="S739" s="170">
        <f t="shared" si="106"/>
        <v>2932000</v>
      </c>
      <c r="T739" s="170">
        <f t="shared" si="104"/>
        <v>2127.8757529573986</v>
      </c>
      <c r="U739" s="170">
        <v>2756.0437622468971</v>
      </c>
      <c r="V739" s="202">
        <f t="shared" si="105"/>
        <v>628.16800928949851</v>
      </c>
      <c r="W739" s="202">
        <f t="shared" si="107"/>
        <v>2671.4252848537626</v>
      </c>
      <c r="X739" s="202">
        <v>0</v>
      </c>
      <c r="Y739" s="203">
        <v>0</v>
      </c>
      <c r="Z739" s="203">
        <v>0</v>
      </c>
      <c r="AA739" s="203">
        <v>0</v>
      </c>
      <c r="AB739" s="203">
        <v>0</v>
      </c>
      <c r="AC739" s="203">
        <v>0</v>
      </c>
      <c r="AD739" s="203">
        <v>0</v>
      </c>
      <c r="AE739" s="203">
        <v>590</v>
      </c>
      <c r="AF739" s="202">
        <f>6238.91*AE739/I739</f>
        <v>2671.4252848537626</v>
      </c>
      <c r="AG739" s="203">
        <v>0</v>
      </c>
      <c r="AH739" s="202">
        <v>0</v>
      </c>
      <c r="AI739" s="203">
        <v>0</v>
      </c>
      <c r="AJ739" s="202">
        <v>0</v>
      </c>
      <c r="AK739" s="203">
        <v>0</v>
      </c>
      <c r="AL739" s="203">
        <v>0</v>
      </c>
      <c r="AM739" s="203">
        <v>0</v>
      </c>
      <c r="AN739" s="203"/>
      <c r="AO739" s="203">
        <v>0</v>
      </c>
    </row>
    <row r="740" spans="1:41" s="176" customFormat="1" ht="36" customHeight="1" x14ac:dyDescent="0.25">
      <c r="A740" s="176">
        <v>1</v>
      </c>
      <c r="B740" s="171">
        <f>SUBTOTAL(103,$A$552:A740)</f>
        <v>186</v>
      </c>
      <c r="C740" s="172" t="s">
        <v>770</v>
      </c>
      <c r="D740" s="173">
        <v>1966</v>
      </c>
      <c r="E740" s="173"/>
      <c r="F740" s="174" t="s">
        <v>267</v>
      </c>
      <c r="G740" s="173">
        <v>4</v>
      </c>
      <c r="H740" s="173" t="s">
        <v>308</v>
      </c>
      <c r="I740" s="177">
        <v>3436.5</v>
      </c>
      <c r="J740" s="177">
        <v>2673</v>
      </c>
      <c r="K740" s="177">
        <v>2483.9</v>
      </c>
      <c r="L740" s="206">
        <v>109</v>
      </c>
      <c r="M740" s="173" t="s">
        <v>265</v>
      </c>
      <c r="N740" s="173" t="s">
        <v>269</v>
      </c>
      <c r="O740" s="175" t="s">
        <v>795</v>
      </c>
      <c r="P740" s="170">
        <v>7434649.2800000003</v>
      </c>
      <c r="Q740" s="170">
        <v>0</v>
      </c>
      <c r="R740" s="170">
        <v>0</v>
      </c>
      <c r="S740" s="170">
        <f t="shared" si="106"/>
        <v>7434649.2800000003</v>
      </c>
      <c r="T740" s="170">
        <f t="shared" si="104"/>
        <v>2163.4364265968284</v>
      </c>
      <c r="U740" s="170">
        <v>2345.4491721227992</v>
      </c>
      <c r="V740" s="202">
        <f t="shared" si="105"/>
        <v>182.01274552597079</v>
      </c>
      <c r="W740" s="202">
        <f t="shared" si="107"/>
        <v>2095.0682787720061</v>
      </c>
      <c r="X740" s="202">
        <v>0</v>
      </c>
      <c r="Y740" s="203">
        <v>0</v>
      </c>
      <c r="Z740" s="203">
        <v>0</v>
      </c>
      <c r="AA740" s="203">
        <v>0</v>
      </c>
      <c r="AB740" s="203">
        <v>0</v>
      </c>
      <c r="AC740" s="203">
        <v>0</v>
      </c>
      <c r="AD740" s="203">
        <v>0</v>
      </c>
      <c r="AE740" s="203">
        <v>1154</v>
      </c>
      <c r="AF740" s="202">
        <f>6238.91*AE740/I740</f>
        <v>2095.0682787720061</v>
      </c>
      <c r="AG740" s="203">
        <v>0</v>
      </c>
      <c r="AH740" s="202">
        <v>0</v>
      </c>
      <c r="AI740" s="203">
        <v>0</v>
      </c>
      <c r="AJ740" s="202">
        <v>0</v>
      </c>
      <c r="AK740" s="203">
        <v>0</v>
      </c>
      <c r="AL740" s="203">
        <v>0</v>
      </c>
      <c r="AM740" s="203">
        <v>0</v>
      </c>
      <c r="AN740" s="203"/>
      <c r="AO740" s="203">
        <v>0</v>
      </c>
    </row>
    <row r="741" spans="1:41" s="176" customFormat="1" ht="36" customHeight="1" x14ac:dyDescent="0.25">
      <c r="A741" s="176">
        <v>1</v>
      </c>
      <c r="B741" s="171">
        <f>SUBTOTAL(103,$A$552:A741)</f>
        <v>187</v>
      </c>
      <c r="C741" s="172" t="s">
        <v>1589</v>
      </c>
      <c r="D741" s="173">
        <v>1980</v>
      </c>
      <c r="E741" s="173"/>
      <c r="F741" s="174" t="s">
        <v>267</v>
      </c>
      <c r="G741" s="173">
        <v>5</v>
      </c>
      <c r="H741" s="173" t="s">
        <v>304</v>
      </c>
      <c r="I741" s="177">
        <v>2427.5</v>
      </c>
      <c r="J741" s="177">
        <v>2065.6999999999998</v>
      </c>
      <c r="K741" s="177">
        <v>2065.6999999999998</v>
      </c>
      <c r="L741" s="206">
        <v>58</v>
      </c>
      <c r="M741" s="173" t="s">
        <v>265</v>
      </c>
      <c r="N741" s="173" t="s">
        <v>266</v>
      </c>
      <c r="O741" s="175" t="s">
        <v>268</v>
      </c>
      <c r="P741" s="170">
        <v>3890000</v>
      </c>
      <c r="Q741" s="170">
        <v>0</v>
      </c>
      <c r="R741" s="170">
        <v>0</v>
      </c>
      <c r="S741" s="170">
        <f t="shared" si="106"/>
        <v>3890000</v>
      </c>
      <c r="T741" s="170">
        <f t="shared" si="104"/>
        <v>1602.4716786817714</v>
      </c>
      <c r="U741" s="170">
        <v>2062.8714067971164</v>
      </c>
      <c r="V741" s="202">
        <f t="shared" si="105"/>
        <v>460.39972811534494</v>
      </c>
      <c r="W741" s="202">
        <f t="shared" si="107"/>
        <v>1999.5353161688979</v>
      </c>
      <c r="X741" s="202">
        <v>0</v>
      </c>
      <c r="Y741" s="203">
        <v>0</v>
      </c>
      <c r="Z741" s="203">
        <v>0</v>
      </c>
      <c r="AA741" s="203">
        <v>0</v>
      </c>
      <c r="AB741" s="203">
        <v>0</v>
      </c>
      <c r="AC741" s="203">
        <v>0</v>
      </c>
      <c r="AD741" s="203">
        <v>0</v>
      </c>
      <c r="AE741" s="203">
        <v>778</v>
      </c>
      <c r="AF741" s="202">
        <f>6238.91*AE741/I741</f>
        <v>1999.5353161688979</v>
      </c>
      <c r="AG741" s="203">
        <v>0</v>
      </c>
      <c r="AH741" s="202">
        <v>0</v>
      </c>
      <c r="AI741" s="203">
        <v>0</v>
      </c>
      <c r="AJ741" s="202">
        <v>0</v>
      </c>
      <c r="AK741" s="203">
        <v>0</v>
      </c>
      <c r="AL741" s="203">
        <v>0</v>
      </c>
      <c r="AM741" s="203">
        <v>0</v>
      </c>
      <c r="AN741" s="203"/>
      <c r="AO741" s="203">
        <v>0</v>
      </c>
    </row>
    <row r="742" spans="1:41" s="176" customFormat="1" ht="36" customHeight="1" x14ac:dyDescent="0.25">
      <c r="A742" s="176">
        <v>1</v>
      </c>
      <c r="B742" s="171">
        <f>SUBTOTAL(103,$A$552:A742)</f>
        <v>188</v>
      </c>
      <c r="C742" s="172" t="s">
        <v>1157</v>
      </c>
      <c r="D742" s="173">
        <v>1937</v>
      </c>
      <c r="E742" s="173"/>
      <c r="F742" s="174" t="s">
        <v>267</v>
      </c>
      <c r="G742" s="173" t="s">
        <v>308</v>
      </c>
      <c r="H742" s="173" t="s">
        <v>312</v>
      </c>
      <c r="I742" s="170">
        <v>1585.9</v>
      </c>
      <c r="J742" s="170">
        <v>1585.9</v>
      </c>
      <c r="K742" s="170">
        <v>1465.1</v>
      </c>
      <c r="L742" s="206">
        <v>36</v>
      </c>
      <c r="M742" s="173" t="s">
        <v>265</v>
      </c>
      <c r="N742" s="173" t="s">
        <v>266</v>
      </c>
      <c r="O742" s="175" t="s">
        <v>268</v>
      </c>
      <c r="P742" s="170">
        <v>7809146.6200000001</v>
      </c>
      <c r="Q742" s="170">
        <v>0</v>
      </c>
      <c r="R742" s="170">
        <v>0</v>
      </c>
      <c r="S742" s="170">
        <f t="shared" si="106"/>
        <v>7809146.6200000001</v>
      </c>
      <c r="T742" s="170">
        <f t="shared" si="104"/>
        <v>4924.1103600479219</v>
      </c>
      <c r="U742" s="170">
        <v>12698.032164701432</v>
      </c>
      <c r="V742" s="202">
        <f t="shared" si="105"/>
        <v>7773.9218046535098</v>
      </c>
      <c r="W742" s="202">
        <f t="shared" si="107"/>
        <v>12120.693789015701</v>
      </c>
      <c r="X742" s="202">
        <v>0</v>
      </c>
      <c r="Y742" s="203">
        <v>0</v>
      </c>
      <c r="Z742" s="203">
        <v>0</v>
      </c>
      <c r="AA742" s="203">
        <v>0</v>
      </c>
      <c r="AB742" s="203">
        <v>0</v>
      </c>
      <c r="AC742" s="203">
        <v>0</v>
      </c>
      <c r="AD742" s="203">
        <v>0</v>
      </c>
      <c r="AE742" s="203">
        <v>627</v>
      </c>
      <c r="AF742" s="202">
        <f>6238.91*AE742/I742</f>
        <v>2466.6098556024967</v>
      </c>
      <c r="AG742" s="203">
        <v>0</v>
      </c>
      <c r="AH742" s="202">
        <v>0</v>
      </c>
      <c r="AI742" s="203">
        <v>2058.1</v>
      </c>
      <c r="AJ742" s="202">
        <f>7439.1*AI742/I742</f>
        <v>9654.0839334132033</v>
      </c>
      <c r="AK742" s="203">
        <v>0</v>
      </c>
      <c r="AL742" s="203">
        <v>0</v>
      </c>
      <c r="AM742" s="203">
        <v>0</v>
      </c>
      <c r="AN742" s="203"/>
      <c r="AO742" s="203">
        <v>0</v>
      </c>
    </row>
    <row r="743" spans="1:41" s="176" customFormat="1" ht="36" customHeight="1" x14ac:dyDescent="0.25">
      <c r="A743" s="176">
        <v>1</v>
      </c>
      <c r="B743" s="171">
        <f>SUBTOTAL(103,$A$552:A743)</f>
        <v>189</v>
      </c>
      <c r="C743" s="172" t="s">
        <v>762</v>
      </c>
      <c r="D743" s="173">
        <v>1962</v>
      </c>
      <c r="E743" s="173"/>
      <c r="F743" s="174" t="s">
        <v>267</v>
      </c>
      <c r="G743" s="173">
        <v>6</v>
      </c>
      <c r="H743" s="173" t="s">
        <v>351</v>
      </c>
      <c r="I743" s="170">
        <v>5489.1</v>
      </c>
      <c r="J743" s="170">
        <v>4500.5</v>
      </c>
      <c r="K743" s="170">
        <v>4154.3</v>
      </c>
      <c r="L743" s="206">
        <v>130</v>
      </c>
      <c r="M743" s="173" t="s">
        <v>265</v>
      </c>
      <c r="N743" s="173" t="s">
        <v>269</v>
      </c>
      <c r="O743" s="175" t="s">
        <v>798</v>
      </c>
      <c r="P743" s="170">
        <v>5986097.9500000002</v>
      </c>
      <c r="Q743" s="170">
        <v>0</v>
      </c>
      <c r="R743" s="170">
        <v>0</v>
      </c>
      <c r="S743" s="170">
        <f t="shared" si="106"/>
        <v>5986097.9500000002</v>
      </c>
      <c r="T743" s="170">
        <f t="shared" si="104"/>
        <v>1090.5427028110255</v>
      </c>
      <c r="U743" s="170">
        <v>1493.8950319724543</v>
      </c>
      <c r="V743" s="202">
        <f t="shared" si="105"/>
        <v>403.35232916142877</v>
      </c>
      <c r="W743" s="202">
        <f t="shared" si="107"/>
        <v>1499.4820272357945</v>
      </c>
      <c r="X743" s="202">
        <v>0</v>
      </c>
      <c r="Y743" s="203">
        <v>0</v>
      </c>
      <c r="Z743" s="203">
        <v>0</v>
      </c>
      <c r="AA743" s="203">
        <v>0</v>
      </c>
      <c r="AB743" s="203">
        <v>0</v>
      </c>
      <c r="AC743" s="203">
        <v>0</v>
      </c>
      <c r="AD743" s="203">
        <v>0</v>
      </c>
      <c r="AE743" s="203">
        <v>1319.27</v>
      </c>
      <c r="AF743" s="202">
        <f>6238.91*AE743/I743</f>
        <v>1499.4820272357945</v>
      </c>
      <c r="AG743" s="203">
        <v>0</v>
      </c>
      <c r="AH743" s="202">
        <v>0</v>
      </c>
      <c r="AI743" s="203">
        <v>0</v>
      </c>
      <c r="AJ743" s="202">
        <v>0</v>
      </c>
      <c r="AK743" s="203">
        <v>0</v>
      </c>
      <c r="AL743" s="203">
        <v>0</v>
      </c>
      <c r="AM743" s="203">
        <v>0</v>
      </c>
      <c r="AN743" s="203"/>
      <c r="AO743" s="203">
        <v>0</v>
      </c>
    </row>
    <row r="744" spans="1:41" s="176" customFormat="1" ht="36" customHeight="1" x14ac:dyDescent="0.25">
      <c r="A744" s="176">
        <v>1</v>
      </c>
      <c r="B744" s="171">
        <f>SUBTOTAL(103,$A$552:A744)</f>
        <v>190</v>
      </c>
      <c r="C744" s="172" t="s">
        <v>1154</v>
      </c>
      <c r="D744" s="173">
        <v>1937</v>
      </c>
      <c r="E744" s="173"/>
      <c r="F744" s="174" t="s">
        <v>267</v>
      </c>
      <c r="G744" s="173" t="s">
        <v>308</v>
      </c>
      <c r="H744" s="173" t="s">
        <v>308</v>
      </c>
      <c r="I744" s="170">
        <v>2626</v>
      </c>
      <c r="J744" s="170">
        <v>2536</v>
      </c>
      <c r="K744" s="170">
        <v>2536</v>
      </c>
      <c r="L744" s="206">
        <v>96</v>
      </c>
      <c r="M744" s="173" t="s">
        <v>265</v>
      </c>
      <c r="N744" s="173" t="s">
        <v>269</v>
      </c>
      <c r="O744" s="175" t="s">
        <v>802</v>
      </c>
      <c r="P744" s="170">
        <v>2332950.83</v>
      </c>
      <c r="Q744" s="170">
        <v>0</v>
      </c>
      <c r="R744" s="170">
        <v>0</v>
      </c>
      <c r="S744" s="170">
        <f t="shared" si="106"/>
        <v>2332950.83</v>
      </c>
      <c r="T744" s="170">
        <f t="shared" si="104"/>
        <v>888.40473343488202</v>
      </c>
      <c r="U744" s="170">
        <v>3925.04</v>
      </c>
      <c r="V744" s="202">
        <f t="shared" si="105"/>
        <v>3036.6352665651179</v>
      </c>
      <c r="W744" s="202">
        <f t="shared" si="107"/>
        <v>3546.19</v>
      </c>
      <c r="X744" s="202">
        <v>101.55</v>
      </c>
      <c r="Y744" s="203">
        <v>0</v>
      </c>
      <c r="Z744" s="203">
        <v>3259.66</v>
      </c>
      <c r="AA744" s="203">
        <v>184.98</v>
      </c>
      <c r="AB744" s="203">
        <v>0</v>
      </c>
      <c r="AC744" s="203">
        <v>0</v>
      </c>
      <c r="AD744" s="203">
        <v>0</v>
      </c>
      <c r="AE744" s="203">
        <v>0</v>
      </c>
      <c r="AF744" s="202">
        <v>0</v>
      </c>
      <c r="AG744" s="203">
        <v>0</v>
      </c>
      <c r="AH744" s="202">
        <v>0</v>
      </c>
      <c r="AI744" s="203">
        <v>0</v>
      </c>
      <c r="AJ744" s="202">
        <v>0</v>
      </c>
      <c r="AK744" s="203">
        <v>0</v>
      </c>
      <c r="AL744" s="203">
        <v>0</v>
      </c>
      <c r="AM744" s="203">
        <v>0</v>
      </c>
      <c r="AN744" s="203"/>
      <c r="AO744" s="203">
        <v>0</v>
      </c>
    </row>
    <row r="745" spans="1:41" s="176" customFormat="1" ht="36" customHeight="1" x14ac:dyDescent="0.25">
      <c r="A745" s="176">
        <v>1</v>
      </c>
      <c r="B745" s="171">
        <f>SUBTOTAL(103,$A$552:A745)</f>
        <v>191</v>
      </c>
      <c r="C745" s="172" t="s">
        <v>753</v>
      </c>
      <c r="D745" s="173">
        <v>1960</v>
      </c>
      <c r="E745" s="173"/>
      <c r="F745" s="174" t="s">
        <v>267</v>
      </c>
      <c r="G745" s="173">
        <v>4</v>
      </c>
      <c r="H745" s="173" t="s">
        <v>312</v>
      </c>
      <c r="I745" s="177">
        <v>2116.5</v>
      </c>
      <c r="J745" s="177">
        <v>1931.2</v>
      </c>
      <c r="K745" s="177">
        <v>1680.5</v>
      </c>
      <c r="L745" s="206">
        <v>73</v>
      </c>
      <c r="M745" s="173" t="s">
        <v>265</v>
      </c>
      <c r="N745" s="173" t="s">
        <v>269</v>
      </c>
      <c r="O745" s="175" t="s">
        <v>793</v>
      </c>
      <c r="P745" s="170">
        <v>7947350.3199999994</v>
      </c>
      <c r="Q745" s="170">
        <v>0</v>
      </c>
      <c r="R745" s="170">
        <v>0</v>
      </c>
      <c r="S745" s="170">
        <f>P745-Q745-R745</f>
        <v>7947350.3199999994</v>
      </c>
      <c r="T745" s="170">
        <f t="shared" si="104"/>
        <v>3754.9493597921091</v>
      </c>
      <c r="U745" s="170">
        <v>4927.7666902905748</v>
      </c>
      <c r="V745" s="202">
        <f>U745-T745</f>
        <v>1172.8173304984657</v>
      </c>
      <c r="W745" s="202">
        <f>T745</f>
        <v>3754.9493597921091</v>
      </c>
      <c r="X745" s="202">
        <v>0</v>
      </c>
      <c r="Y745" s="203">
        <v>0</v>
      </c>
      <c r="Z745" s="203">
        <v>0</v>
      </c>
      <c r="AA745" s="203">
        <v>0</v>
      </c>
      <c r="AB745" s="203">
        <v>0</v>
      </c>
      <c r="AC745" s="203">
        <v>0</v>
      </c>
      <c r="AD745" s="203">
        <v>0</v>
      </c>
      <c r="AE745" s="203">
        <v>0</v>
      </c>
      <c r="AF745" s="202">
        <v>0</v>
      </c>
      <c r="AG745" s="203">
        <v>0</v>
      </c>
      <c r="AH745" s="202">
        <v>0</v>
      </c>
      <c r="AI745" s="203">
        <v>0</v>
      </c>
      <c r="AJ745" s="202">
        <v>0</v>
      </c>
      <c r="AK745" s="203">
        <v>0</v>
      </c>
      <c r="AL745" s="203">
        <v>0</v>
      </c>
      <c r="AM745" s="203">
        <v>0</v>
      </c>
      <c r="AN745" s="203"/>
      <c r="AO745" s="203">
        <v>0</v>
      </c>
    </row>
    <row r="746" spans="1:41" s="176" customFormat="1" ht="36" customHeight="1" x14ac:dyDescent="0.25">
      <c r="A746" s="176">
        <v>1</v>
      </c>
      <c r="B746" s="171">
        <f>SUBTOTAL(103,$A$552:A746)</f>
        <v>192</v>
      </c>
      <c r="C746" s="172" t="s">
        <v>755</v>
      </c>
      <c r="D746" s="173">
        <v>1961</v>
      </c>
      <c r="E746" s="173"/>
      <c r="F746" s="174" t="s">
        <v>267</v>
      </c>
      <c r="G746" s="173">
        <v>2</v>
      </c>
      <c r="H746" s="173" t="s">
        <v>304</v>
      </c>
      <c r="I746" s="177">
        <v>296.39999999999998</v>
      </c>
      <c r="J746" s="177">
        <v>275.5</v>
      </c>
      <c r="K746" s="177">
        <v>275.5</v>
      </c>
      <c r="L746" s="206">
        <v>8</v>
      </c>
      <c r="M746" s="173" t="s">
        <v>265</v>
      </c>
      <c r="N746" s="173" t="s">
        <v>269</v>
      </c>
      <c r="O746" s="175" t="s">
        <v>794</v>
      </c>
      <c r="P746" s="170">
        <v>1201122</v>
      </c>
      <c r="Q746" s="170">
        <v>0</v>
      </c>
      <c r="R746" s="170">
        <v>0</v>
      </c>
      <c r="S746" s="170">
        <f>P746-Q746-R746</f>
        <v>1201122</v>
      </c>
      <c r="T746" s="170">
        <f t="shared" si="104"/>
        <v>4052.3684210526317</v>
      </c>
      <c r="U746" s="170">
        <v>5754.657388663968</v>
      </c>
      <c r="V746" s="202">
        <f>U746-T746</f>
        <v>1702.2889676113364</v>
      </c>
      <c r="W746" s="202">
        <f>T746</f>
        <v>4052.3684210526317</v>
      </c>
      <c r="X746" s="202">
        <v>0</v>
      </c>
      <c r="Y746" s="203">
        <v>0</v>
      </c>
      <c r="Z746" s="203">
        <v>0</v>
      </c>
      <c r="AA746" s="203">
        <v>0</v>
      </c>
      <c r="AB746" s="203">
        <v>0</v>
      </c>
      <c r="AC746" s="203">
        <v>0</v>
      </c>
      <c r="AD746" s="203">
        <v>0</v>
      </c>
      <c r="AE746" s="203">
        <v>0</v>
      </c>
      <c r="AF746" s="202">
        <v>0</v>
      </c>
      <c r="AG746" s="203">
        <v>0</v>
      </c>
      <c r="AH746" s="202">
        <v>0</v>
      </c>
      <c r="AI746" s="203">
        <v>0</v>
      </c>
      <c r="AJ746" s="202">
        <v>0</v>
      </c>
      <c r="AK746" s="203">
        <v>0</v>
      </c>
      <c r="AL746" s="203">
        <v>0</v>
      </c>
      <c r="AM746" s="203">
        <v>0</v>
      </c>
      <c r="AN746" s="203"/>
      <c r="AO746" s="203">
        <v>0</v>
      </c>
    </row>
    <row r="747" spans="1:41" s="176" customFormat="1" ht="36" customHeight="1" x14ac:dyDescent="0.25">
      <c r="A747" s="176">
        <v>1</v>
      </c>
      <c r="B747" s="171">
        <f>SUBTOTAL(103,$A$552:A747)</f>
        <v>193</v>
      </c>
      <c r="C747" s="172" t="s">
        <v>760</v>
      </c>
      <c r="D747" s="173">
        <v>1937</v>
      </c>
      <c r="E747" s="173"/>
      <c r="F747" s="174" t="s">
        <v>267</v>
      </c>
      <c r="G747" s="173">
        <v>3</v>
      </c>
      <c r="H747" s="173" t="s">
        <v>308</v>
      </c>
      <c r="I747" s="177">
        <v>2718</v>
      </c>
      <c r="J747" s="177">
        <v>2039</v>
      </c>
      <c r="K747" s="177">
        <v>2039</v>
      </c>
      <c r="L747" s="206">
        <v>62</v>
      </c>
      <c r="M747" s="173" t="s">
        <v>265</v>
      </c>
      <c r="N747" s="173" t="s">
        <v>269</v>
      </c>
      <c r="O747" s="175" t="s">
        <v>797</v>
      </c>
      <c r="P747" s="170">
        <v>9310459.7000000011</v>
      </c>
      <c r="Q747" s="170">
        <v>0</v>
      </c>
      <c r="R747" s="170">
        <v>0</v>
      </c>
      <c r="S747" s="170">
        <f t="shared" si="106"/>
        <v>9310459.7000000011</v>
      </c>
      <c r="T747" s="170">
        <f t="shared" si="104"/>
        <v>3425.4818616629877</v>
      </c>
      <c r="U747" s="170">
        <v>4735.5</v>
      </c>
      <c r="V747" s="202">
        <f t="shared" si="105"/>
        <v>1310.0181383370123</v>
      </c>
      <c r="W747" s="202">
        <f t="shared" ref="W747:W762" si="108">T747</f>
        <v>3425.4818616629877</v>
      </c>
      <c r="X747" s="202">
        <v>0</v>
      </c>
      <c r="Y747" s="203">
        <v>0</v>
      </c>
      <c r="Z747" s="203">
        <v>0</v>
      </c>
      <c r="AA747" s="203">
        <v>0</v>
      </c>
      <c r="AB747" s="203">
        <v>0</v>
      </c>
      <c r="AC747" s="203">
        <v>0</v>
      </c>
      <c r="AD747" s="203">
        <v>0</v>
      </c>
      <c r="AE747" s="203">
        <v>0</v>
      </c>
      <c r="AF747" s="202">
        <v>0</v>
      </c>
      <c r="AG747" s="203">
        <v>0</v>
      </c>
      <c r="AH747" s="202">
        <v>0</v>
      </c>
      <c r="AI747" s="203">
        <v>0</v>
      </c>
      <c r="AJ747" s="202">
        <v>0</v>
      </c>
      <c r="AK747" s="203">
        <v>0</v>
      </c>
      <c r="AL747" s="203">
        <v>0</v>
      </c>
      <c r="AM747" s="203">
        <v>0</v>
      </c>
      <c r="AN747" s="203"/>
      <c r="AO747" s="203">
        <v>0</v>
      </c>
    </row>
    <row r="748" spans="1:41" s="176" customFormat="1" ht="36" customHeight="1" x14ac:dyDescent="0.25">
      <c r="A748" s="176">
        <v>1</v>
      </c>
      <c r="B748" s="171">
        <f>SUBTOTAL(103,$A$552:A748)</f>
        <v>194</v>
      </c>
      <c r="C748" s="172" t="s">
        <v>763</v>
      </c>
      <c r="D748" s="173">
        <v>1962</v>
      </c>
      <c r="E748" s="173"/>
      <c r="F748" s="174" t="s">
        <v>267</v>
      </c>
      <c r="G748" s="173">
        <v>4</v>
      </c>
      <c r="H748" s="173" t="s">
        <v>312</v>
      </c>
      <c r="I748" s="177">
        <v>2946.2</v>
      </c>
      <c r="J748" s="177">
        <v>1967.3</v>
      </c>
      <c r="K748" s="177">
        <v>1810.2</v>
      </c>
      <c r="L748" s="206">
        <v>95</v>
      </c>
      <c r="M748" s="173" t="s">
        <v>265</v>
      </c>
      <c r="N748" s="173" t="s">
        <v>269</v>
      </c>
      <c r="O748" s="175" t="s">
        <v>795</v>
      </c>
      <c r="P748" s="170">
        <v>4670502.53</v>
      </c>
      <c r="Q748" s="170">
        <v>0</v>
      </c>
      <c r="R748" s="170">
        <v>0</v>
      </c>
      <c r="S748" s="170">
        <f t="shared" si="106"/>
        <v>4670502.53</v>
      </c>
      <c r="T748" s="170">
        <f t="shared" si="104"/>
        <v>1585.2632306021317</v>
      </c>
      <c r="U748" s="170">
        <v>2359.4638517412259</v>
      </c>
      <c r="V748" s="202">
        <f t="shared" si="105"/>
        <v>774.20062113909421</v>
      </c>
      <c r="W748" s="202">
        <f t="shared" si="108"/>
        <v>1585.2632306021317</v>
      </c>
      <c r="X748" s="202">
        <v>0</v>
      </c>
      <c r="Y748" s="203">
        <v>0</v>
      </c>
      <c r="Z748" s="203">
        <v>0</v>
      </c>
      <c r="AA748" s="203">
        <v>0</v>
      </c>
      <c r="AB748" s="203">
        <v>0</v>
      </c>
      <c r="AC748" s="203">
        <v>0</v>
      </c>
      <c r="AD748" s="203">
        <v>0</v>
      </c>
      <c r="AE748" s="203">
        <v>0</v>
      </c>
      <c r="AF748" s="202">
        <v>0</v>
      </c>
      <c r="AG748" s="203">
        <v>0</v>
      </c>
      <c r="AH748" s="202">
        <v>0</v>
      </c>
      <c r="AI748" s="203">
        <v>0</v>
      </c>
      <c r="AJ748" s="202">
        <v>0</v>
      </c>
      <c r="AK748" s="203">
        <v>0</v>
      </c>
      <c r="AL748" s="203">
        <v>0</v>
      </c>
      <c r="AM748" s="203">
        <v>0</v>
      </c>
      <c r="AN748" s="203"/>
      <c r="AO748" s="203">
        <v>0</v>
      </c>
    </row>
    <row r="749" spans="1:41" s="176" customFormat="1" ht="36" customHeight="1" x14ac:dyDescent="0.25">
      <c r="A749" s="176">
        <v>1</v>
      </c>
      <c r="B749" s="171">
        <f>SUBTOTAL(103,$A$552:A749)</f>
        <v>195</v>
      </c>
      <c r="C749" s="172" t="s">
        <v>1156</v>
      </c>
      <c r="D749" s="173">
        <v>1965</v>
      </c>
      <c r="E749" s="173"/>
      <c r="F749" s="174" t="s">
        <v>267</v>
      </c>
      <c r="G749" s="173">
        <v>4</v>
      </c>
      <c r="H749" s="173" t="s">
        <v>303</v>
      </c>
      <c r="I749" s="177">
        <v>819</v>
      </c>
      <c r="J749" s="177">
        <v>819</v>
      </c>
      <c r="K749" s="177">
        <v>819</v>
      </c>
      <c r="L749" s="206">
        <v>55</v>
      </c>
      <c r="M749" s="173" t="s">
        <v>265</v>
      </c>
      <c r="N749" s="173" t="s">
        <v>269</v>
      </c>
      <c r="O749" s="175" t="s">
        <v>797</v>
      </c>
      <c r="P749" s="170">
        <v>494528.3</v>
      </c>
      <c r="Q749" s="170">
        <v>0</v>
      </c>
      <c r="R749" s="170">
        <v>0</v>
      </c>
      <c r="S749" s="170">
        <f t="shared" si="106"/>
        <v>494528.3</v>
      </c>
      <c r="T749" s="170">
        <f t="shared" si="104"/>
        <v>603.81965811965813</v>
      </c>
      <c r="U749" s="170">
        <v>810.46</v>
      </c>
      <c r="V749" s="202">
        <f t="shared" si="105"/>
        <v>206.64034188034191</v>
      </c>
      <c r="W749" s="202">
        <f t="shared" si="108"/>
        <v>603.81965811965813</v>
      </c>
      <c r="X749" s="202">
        <v>0</v>
      </c>
      <c r="Y749" s="203">
        <v>0</v>
      </c>
      <c r="Z749" s="203">
        <v>0</v>
      </c>
      <c r="AA749" s="203">
        <v>0</v>
      </c>
      <c r="AB749" s="203">
        <v>0</v>
      </c>
      <c r="AC749" s="203">
        <v>0</v>
      </c>
      <c r="AD749" s="203">
        <v>0</v>
      </c>
      <c r="AE749" s="203">
        <v>0</v>
      </c>
      <c r="AF749" s="202">
        <v>0</v>
      </c>
      <c r="AG749" s="203">
        <v>0</v>
      </c>
      <c r="AH749" s="202">
        <v>0</v>
      </c>
      <c r="AI749" s="203">
        <v>0</v>
      </c>
      <c r="AJ749" s="202">
        <v>0</v>
      </c>
      <c r="AK749" s="203">
        <v>0</v>
      </c>
      <c r="AL749" s="203">
        <v>0</v>
      </c>
      <c r="AM749" s="203">
        <v>0</v>
      </c>
      <c r="AN749" s="203"/>
      <c r="AO749" s="203">
        <v>0</v>
      </c>
    </row>
    <row r="750" spans="1:41" s="176" customFormat="1" ht="36" customHeight="1" x14ac:dyDescent="0.25">
      <c r="A750" s="176">
        <v>1</v>
      </c>
      <c r="B750" s="171">
        <f>SUBTOTAL(103,$A$552:A750)</f>
        <v>196</v>
      </c>
      <c r="C750" s="172" t="s">
        <v>1267</v>
      </c>
      <c r="D750" s="173">
        <v>1931</v>
      </c>
      <c r="E750" s="173"/>
      <c r="F750" s="174" t="s">
        <v>267</v>
      </c>
      <c r="G750" s="173">
        <v>4</v>
      </c>
      <c r="H750" s="173" t="s">
        <v>370</v>
      </c>
      <c r="I750" s="177">
        <v>4408.1000000000004</v>
      </c>
      <c r="J750" s="177">
        <v>4408.1000000000004</v>
      </c>
      <c r="K750" s="177">
        <v>2703.21</v>
      </c>
      <c r="L750" s="206">
        <v>109</v>
      </c>
      <c r="M750" s="173" t="s">
        <v>265</v>
      </c>
      <c r="N750" s="173" t="s">
        <v>269</v>
      </c>
      <c r="O750" s="175" t="s">
        <v>1344</v>
      </c>
      <c r="P750" s="170">
        <v>6222564.71</v>
      </c>
      <c r="Q750" s="170">
        <v>0</v>
      </c>
      <c r="R750" s="170">
        <v>0</v>
      </c>
      <c r="S750" s="170">
        <f t="shared" si="106"/>
        <v>6222564.71</v>
      </c>
      <c r="T750" s="170">
        <f t="shared" si="104"/>
        <v>1411.6205871010184</v>
      </c>
      <c r="U750" s="170">
        <v>2261.4807510492046</v>
      </c>
      <c r="V750" s="202">
        <f t="shared" si="105"/>
        <v>849.86016394818625</v>
      </c>
      <c r="W750" s="202">
        <f t="shared" si="108"/>
        <v>1411.6205871010184</v>
      </c>
      <c r="X750" s="202">
        <v>0</v>
      </c>
      <c r="Y750" s="203">
        <v>0</v>
      </c>
      <c r="Z750" s="203">
        <v>0</v>
      </c>
      <c r="AA750" s="203">
        <v>0</v>
      </c>
      <c r="AB750" s="203">
        <v>0</v>
      </c>
      <c r="AC750" s="203">
        <v>0</v>
      </c>
      <c r="AD750" s="203">
        <v>0</v>
      </c>
      <c r="AE750" s="203">
        <v>0</v>
      </c>
      <c r="AF750" s="202">
        <v>0</v>
      </c>
      <c r="AG750" s="203">
        <v>0</v>
      </c>
      <c r="AH750" s="202">
        <v>0</v>
      </c>
      <c r="AI750" s="203">
        <v>0</v>
      </c>
      <c r="AJ750" s="202">
        <v>0</v>
      </c>
      <c r="AK750" s="203">
        <v>0</v>
      </c>
      <c r="AL750" s="203">
        <v>0</v>
      </c>
      <c r="AM750" s="203">
        <v>0</v>
      </c>
      <c r="AN750" s="203"/>
      <c r="AO750" s="203">
        <v>0</v>
      </c>
    </row>
    <row r="751" spans="1:41" s="176" customFormat="1" ht="36" customHeight="1" x14ac:dyDescent="0.25">
      <c r="A751" s="176">
        <v>1</v>
      </c>
      <c r="B751" s="171">
        <f>SUBTOTAL(103,$A$552:A751)</f>
        <v>197</v>
      </c>
      <c r="C751" s="172" t="s">
        <v>1658</v>
      </c>
      <c r="D751" s="173">
        <v>1955</v>
      </c>
      <c r="E751" s="173"/>
      <c r="F751" s="174" t="s">
        <v>267</v>
      </c>
      <c r="G751" s="173">
        <v>3</v>
      </c>
      <c r="H751" s="173" t="s">
        <v>308</v>
      </c>
      <c r="I751" s="177">
        <v>2958.2</v>
      </c>
      <c r="J751" s="177">
        <v>2271</v>
      </c>
      <c r="K751" s="177">
        <v>1836.6</v>
      </c>
      <c r="L751" s="206">
        <v>72</v>
      </c>
      <c r="M751" s="173" t="s">
        <v>265</v>
      </c>
      <c r="N751" s="173" t="s">
        <v>269</v>
      </c>
      <c r="O751" s="175" t="s">
        <v>1288</v>
      </c>
      <c r="P751" s="170">
        <v>213150</v>
      </c>
      <c r="Q751" s="170">
        <v>0</v>
      </c>
      <c r="R751" s="170">
        <v>0</v>
      </c>
      <c r="S751" s="170">
        <f t="shared" si="106"/>
        <v>213150</v>
      </c>
      <c r="T751" s="170">
        <f t="shared" si="104"/>
        <v>72.05395172740181</v>
      </c>
      <c r="U751" s="170">
        <v>712.1</v>
      </c>
      <c r="V751" s="202">
        <f t="shared" si="105"/>
        <v>640.04604827259823</v>
      </c>
      <c r="W751" s="202">
        <f t="shared" si="108"/>
        <v>72.05395172740181</v>
      </c>
      <c r="X751" s="202">
        <v>0</v>
      </c>
      <c r="Y751" s="203">
        <v>0</v>
      </c>
      <c r="Z751" s="203">
        <v>0</v>
      </c>
      <c r="AA751" s="203">
        <v>0</v>
      </c>
      <c r="AB751" s="203">
        <v>0</v>
      </c>
      <c r="AC751" s="203">
        <v>0</v>
      </c>
      <c r="AD751" s="203">
        <v>0</v>
      </c>
      <c r="AE751" s="203">
        <v>0</v>
      </c>
      <c r="AF751" s="202">
        <v>0</v>
      </c>
      <c r="AG751" s="203">
        <v>0</v>
      </c>
      <c r="AH751" s="202">
        <v>0</v>
      </c>
      <c r="AI751" s="203">
        <v>0</v>
      </c>
      <c r="AJ751" s="202">
        <v>0</v>
      </c>
      <c r="AK751" s="203">
        <v>0</v>
      </c>
      <c r="AL751" s="203">
        <v>0</v>
      </c>
      <c r="AM751" s="203">
        <v>0</v>
      </c>
      <c r="AN751" s="203"/>
      <c r="AO751" s="203">
        <v>0</v>
      </c>
    </row>
    <row r="752" spans="1:41" s="176" customFormat="1" ht="36" customHeight="1" x14ac:dyDescent="0.25">
      <c r="A752" s="176">
        <v>1</v>
      </c>
      <c r="B752" s="171">
        <f>SUBTOTAL(103,$A$552:A752)</f>
        <v>198</v>
      </c>
      <c r="C752" s="172" t="s">
        <v>764</v>
      </c>
      <c r="D752" s="173">
        <v>1930</v>
      </c>
      <c r="E752" s="173"/>
      <c r="F752" s="174" t="s">
        <v>267</v>
      </c>
      <c r="G752" s="173">
        <v>4</v>
      </c>
      <c r="H752" s="173" t="s">
        <v>303</v>
      </c>
      <c r="I752" s="177">
        <v>3000</v>
      </c>
      <c r="J752" s="177">
        <v>2823.84</v>
      </c>
      <c r="K752" s="177">
        <v>2823.84</v>
      </c>
      <c r="L752" s="206">
        <v>98</v>
      </c>
      <c r="M752" s="173" t="s">
        <v>265</v>
      </c>
      <c r="N752" s="173" t="s">
        <v>266</v>
      </c>
      <c r="O752" s="175" t="s">
        <v>268</v>
      </c>
      <c r="P752" s="170">
        <v>8021093.6299999999</v>
      </c>
      <c r="Q752" s="170">
        <v>0</v>
      </c>
      <c r="R752" s="170">
        <v>0</v>
      </c>
      <c r="S752" s="170">
        <f t="shared" si="106"/>
        <v>8021093.6299999999</v>
      </c>
      <c r="T752" s="170">
        <f t="shared" si="104"/>
        <v>2673.6978766666666</v>
      </c>
      <c r="U752" s="170">
        <v>3762.4672090000004</v>
      </c>
      <c r="V752" s="202">
        <f t="shared" si="105"/>
        <v>1088.7693323333338</v>
      </c>
      <c r="W752" s="202">
        <f t="shared" si="108"/>
        <v>2673.6978766666666</v>
      </c>
      <c r="X752" s="202">
        <v>0</v>
      </c>
      <c r="Y752" s="203">
        <v>0</v>
      </c>
      <c r="Z752" s="203">
        <v>0</v>
      </c>
      <c r="AA752" s="203">
        <v>0</v>
      </c>
      <c r="AB752" s="203">
        <v>0</v>
      </c>
      <c r="AC752" s="203">
        <v>0</v>
      </c>
      <c r="AD752" s="203">
        <v>0</v>
      </c>
      <c r="AE752" s="203">
        <v>0</v>
      </c>
      <c r="AF752" s="202">
        <v>0</v>
      </c>
      <c r="AG752" s="203">
        <v>0</v>
      </c>
      <c r="AH752" s="202">
        <v>0</v>
      </c>
      <c r="AI752" s="203">
        <v>0</v>
      </c>
      <c r="AJ752" s="202">
        <v>0</v>
      </c>
      <c r="AK752" s="203">
        <v>0</v>
      </c>
      <c r="AL752" s="203">
        <v>0</v>
      </c>
      <c r="AM752" s="203">
        <v>0</v>
      </c>
      <c r="AN752" s="203"/>
      <c r="AO752" s="203">
        <v>0</v>
      </c>
    </row>
    <row r="753" spans="1:41" s="176" customFormat="1" ht="36" customHeight="1" x14ac:dyDescent="0.25">
      <c r="A753" s="176">
        <v>1</v>
      </c>
      <c r="B753" s="171">
        <f>SUBTOTAL(103,$A$552:A753)</f>
        <v>199</v>
      </c>
      <c r="C753" s="172" t="s">
        <v>1919</v>
      </c>
      <c r="D753" s="173">
        <v>1989</v>
      </c>
      <c r="E753" s="173"/>
      <c r="F753" s="174" t="s">
        <v>318</v>
      </c>
      <c r="G753" s="173">
        <v>9</v>
      </c>
      <c r="H753" s="173" t="s">
        <v>303</v>
      </c>
      <c r="I753" s="177">
        <v>4406.3999999999996</v>
      </c>
      <c r="J753" s="177">
        <v>3895.4</v>
      </c>
      <c r="K753" s="177">
        <v>3895.4</v>
      </c>
      <c r="L753" s="206">
        <v>125</v>
      </c>
      <c r="M753" s="173" t="s">
        <v>265</v>
      </c>
      <c r="N753" s="173" t="s">
        <v>269</v>
      </c>
      <c r="O753" s="175" t="s">
        <v>793</v>
      </c>
      <c r="P753" s="170">
        <v>3991925.58</v>
      </c>
      <c r="Q753" s="170">
        <v>2384000</v>
      </c>
      <c r="R753" s="170">
        <v>0</v>
      </c>
      <c r="S753" s="170">
        <f t="shared" si="106"/>
        <v>1607925.58</v>
      </c>
      <c r="T753" s="170">
        <f t="shared" si="104"/>
        <v>905.93808551198265</v>
      </c>
      <c r="U753" s="170">
        <v>1115.559186637618</v>
      </c>
      <c r="V753" s="202">
        <f t="shared" si="105"/>
        <v>209.62110112563539</v>
      </c>
      <c r="W753" s="202">
        <f t="shared" si="108"/>
        <v>905.93808551198265</v>
      </c>
      <c r="X753" s="202">
        <v>0</v>
      </c>
      <c r="Y753" s="203">
        <v>0</v>
      </c>
      <c r="Z753" s="203">
        <v>0</v>
      </c>
      <c r="AA753" s="203">
        <v>0</v>
      </c>
      <c r="AB753" s="203">
        <v>0</v>
      </c>
      <c r="AC753" s="203">
        <v>0</v>
      </c>
      <c r="AD753" s="203">
        <v>0</v>
      </c>
      <c r="AE753" s="203">
        <v>0</v>
      </c>
      <c r="AF753" s="202">
        <v>0</v>
      </c>
      <c r="AG753" s="203">
        <v>0</v>
      </c>
      <c r="AH753" s="202">
        <v>0</v>
      </c>
      <c r="AI753" s="203">
        <v>0</v>
      </c>
      <c r="AJ753" s="202">
        <v>0</v>
      </c>
      <c r="AK753" s="203">
        <v>0</v>
      </c>
      <c r="AL753" s="203">
        <v>0</v>
      </c>
      <c r="AM753" s="203">
        <v>0</v>
      </c>
      <c r="AN753" s="203"/>
      <c r="AO753" s="203">
        <v>0</v>
      </c>
    </row>
    <row r="754" spans="1:41" s="176" customFormat="1" ht="36" customHeight="1" x14ac:dyDescent="0.25">
      <c r="A754" s="176">
        <v>1</v>
      </c>
      <c r="B754" s="171">
        <f>SUBTOTAL(103,$A$552:A754)</f>
        <v>200</v>
      </c>
      <c r="C754" s="172" t="s">
        <v>1918</v>
      </c>
      <c r="D754" s="173">
        <v>1995</v>
      </c>
      <c r="E754" s="173"/>
      <c r="F754" s="174" t="s">
        <v>318</v>
      </c>
      <c r="G754" s="173">
        <v>9</v>
      </c>
      <c r="H754" s="173" t="s">
        <v>303</v>
      </c>
      <c r="I754" s="177">
        <v>5022.6000000000004</v>
      </c>
      <c r="J754" s="177">
        <v>3902.5</v>
      </c>
      <c r="K754" s="177">
        <v>3902.5</v>
      </c>
      <c r="L754" s="206">
        <v>111</v>
      </c>
      <c r="M754" s="173" t="s">
        <v>265</v>
      </c>
      <c r="N754" s="173" t="s">
        <v>269</v>
      </c>
      <c r="O754" s="175" t="s">
        <v>1663</v>
      </c>
      <c r="P754" s="170">
        <v>3990381.01</v>
      </c>
      <c r="Q754" s="170">
        <v>2384000</v>
      </c>
      <c r="R754" s="170">
        <v>0</v>
      </c>
      <c r="S754" s="170">
        <f t="shared" si="106"/>
        <v>1606381.0099999998</v>
      </c>
      <c r="T754" s="170">
        <f t="shared" si="104"/>
        <v>794.48512921594386</v>
      </c>
      <c r="U754" s="170">
        <v>978.69629275673947</v>
      </c>
      <c r="V754" s="202">
        <f t="shared" si="105"/>
        <v>184.21116354079561</v>
      </c>
      <c r="W754" s="202">
        <f t="shared" si="108"/>
        <v>794.48512921594386</v>
      </c>
      <c r="X754" s="202">
        <v>0</v>
      </c>
      <c r="Y754" s="203">
        <v>0</v>
      </c>
      <c r="Z754" s="203">
        <v>0</v>
      </c>
      <c r="AA754" s="203">
        <v>0</v>
      </c>
      <c r="AB754" s="203">
        <v>0</v>
      </c>
      <c r="AC754" s="203">
        <v>0</v>
      </c>
      <c r="AD754" s="203">
        <v>0</v>
      </c>
      <c r="AE754" s="203">
        <v>0</v>
      </c>
      <c r="AF754" s="202">
        <v>0</v>
      </c>
      <c r="AG754" s="203">
        <v>0</v>
      </c>
      <c r="AH754" s="202">
        <v>0</v>
      </c>
      <c r="AI754" s="203">
        <v>0</v>
      </c>
      <c r="AJ754" s="202">
        <v>0</v>
      </c>
      <c r="AK754" s="203">
        <v>0</v>
      </c>
      <c r="AL754" s="203">
        <v>0</v>
      </c>
      <c r="AM754" s="203">
        <v>0</v>
      </c>
      <c r="AN754" s="203"/>
      <c r="AO754" s="203">
        <v>0</v>
      </c>
    </row>
    <row r="755" spans="1:41" s="176" customFormat="1" ht="36" customHeight="1" x14ac:dyDescent="0.25">
      <c r="A755" s="176">
        <v>1</v>
      </c>
      <c r="B755" s="171">
        <f>SUBTOTAL(103,$A$552:A755)</f>
        <v>201</v>
      </c>
      <c r="C755" s="172" t="s">
        <v>2285</v>
      </c>
      <c r="D755" s="173">
        <v>1980</v>
      </c>
      <c r="E755" s="173"/>
      <c r="F755" s="174" t="s">
        <v>318</v>
      </c>
      <c r="G755" s="173">
        <v>9</v>
      </c>
      <c r="H755" s="173">
        <v>2</v>
      </c>
      <c r="I755" s="177">
        <v>3931.7</v>
      </c>
      <c r="J755" s="177">
        <v>3931.7</v>
      </c>
      <c r="K755" s="177">
        <v>2282.6999999999998</v>
      </c>
      <c r="L755" s="206">
        <v>141</v>
      </c>
      <c r="M755" s="173" t="s">
        <v>265</v>
      </c>
      <c r="N755" s="173" t="s">
        <v>269</v>
      </c>
      <c r="O755" s="175" t="s">
        <v>2415</v>
      </c>
      <c r="P755" s="170">
        <v>4609267.26</v>
      </c>
      <c r="Q755" s="170">
        <v>0</v>
      </c>
      <c r="R755" s="170">
        <v>0</v>
      </c>
      <c r="S755" s="170">
        <f t="shared" si="106"/>
        <v>4609267.26</v>
      </c>
      <c r="T755" s="170">
        <f t="shared" si="104"/>
        <v>1172.3344253122059</v>
      </c>
      <c r="U755" s="170">
        <v>1250.247984332477</v>
      </c>
      <c r="V755" s="202">
        <f t="shared" si="105"/>
        <v>77.913559020271123</v>
      </c>
      <c r="W755" s="202">
        <f t="shared" si="108"/>
        <v>1172.3344253122059</v>
      </c>
      <c r="X755" s="202">
        <v>0</v>
      </c>
      <c r="Y755" s="203">
        <v>0</v>
      </c>
      <c r="Z755" s="203">
        <v>0</v>
      </c>
      <c r="AA755" s="203">
        <v>0</v>
      </c>
      <c r="AB755" s="203">
        <v>0</v>
      </c>
      <c r="AC755" s="203">
        <v>0</v>
      </c>
      <c r="AD755" s="203">
        <v>0</v>
      </c>
      <c r="AE755" s="203">
        <v>0</v>
      </c>
      <c r="AF755" s="202">
        <v>0</v>
      </c>
      <c r="AG755" s="203">
        <v>0</v>
      </c>
      <c r="AH755" s="202">
        <v>0</v>
      </c>
      <c r="AI755" s="203">
        <v>0</v>
      </c>
      <c r="AJ755" s="202">
        <v>0</v>
      </c>
      <c r="AK755" s="203">
        <v>0</v>
      </c>
      <c r="AL755" s="203">
        <v>0</v>
      </c>
      <c r="AM755" s="203">
        <v>0</v>
      </c>
      <c r="AN755" s="203"/>
      <c r="AO755" s="203">
        <v>0</v>
      </c>
    </row>
    <row r="756" spans="1:41" s="176" customFormat="1" ht="36" customHeight="1" x14ac:dyDescent="0.25">
      <c r="A756" s="176">
        <v>1</v>
      </c>
      <c r="B756" s="171">
        <f>SUBTOTAL(103,$A$552:A756)</f>
        <v>202</v>
      </c>
      <c r="C756" s="172" t="s">
        <v>2286</v>
      </c>
      <c r="D756" s="173">
        <v>1961</v>
      </c>
      <c r="E756" s="173"/>
      <c r="F756" s="174" t="s">
        <v>267</v>
      </c>
      <c r="G756" s="173">
        <v>2</v>
      </c>
      <c r="H756" s="173">
        <v>1</v>
      </c>
      <c r="I756" s="177">
        <v>283.5</v>
      </c>
      <c r="J756" s="177">
        <v>283.5</v>
      </c>
      <c r="K756" s="177">
        <v>283.5</v>
      </c>
      <c r="L756" s="206">
        <v>10</v>
      </c>
      <c r="M756" s="173" t="s">
        <v>265</v>
      </c>
      <c r="N756" s="173" t="s">
        <v>269</v>
      </c>
      <c r="O756" s="175" t="s">
        <v>1288</v>
      </c>
      <c r="P756" s="170">
        <v>1924373.2000000002</v>
      </c>
      <c r="Q756" s="170">
        <v>0</v>
      </c>
      <c r="R756" s="170">
        <v>0</v>
      </c>
      <c r="S756" s="170">
        <f t="shared" si="106"/>
        <v>1924373.2000000002</v>
      </c>
      <c r="T756" s="170">
        <f t="shared" si="104"/>
        <v>6787.9125220458563</v>
      </c>
      <c r="U756" s="170">
        <v>8627.447619047618</v>
      </c>
      <c r="V756" s="202">
        <f t="shared" si="105"/>
        <v>1839.5350970017616</v>
      </c>
      <c r="W756" s="202">
        <f t="shared" si="108"/>
        <v>6787.9125220458563</v>
      </c>
      <c r="X756" s="202">
        <v>0</v>
      </c>
      <c r="Y756" s="203">
        <v>0</v>
      </c>
      <c r="Z756" s="203">
        <v>0</v>
      </c>
      <c r="AA756" s="203">
        <v>0</v>
      </c>
      <c r="AB756" s="203">
        <v>0</v>
      </c>
      <c r="AC756" s="203">
        <v>0</v>
      </c>
      <c r="AD756" s="203">
        <v>0</v>
      </c>
      <c r="AE756" s="203">
        <v>0</v>
      </c>
      <c r="AF756" s="202">
        <v>0</v>
      </c>
      <c r="AG756" s="203">
        <v>0</v>
      </c>
      <c r="AH756" s="202">
        <v>0</v>
      </c>
      <c r="AI756" s="203">
        <v>0</v>
      </c>
      <c r="AJ756" s="202">
        <v>0</v>
      </c>
      <c r="AK756" s="203">
        <v>0</v>
      </c>
      <c r="AL756" s="203">
        <v>0</v>
      </c>
      <c r="AM756" s="203">
        <v>0</v>
      </c>
      <c r="AN756" s="203"/>
      <c r="AO756" s="203">
        <v>0</v>
      </c>
    </row>
    <row r="757" spans="1:41" s="176" customFormat="1" ht="36" customHeight="1" x14ac:dyDescent="0.25">
      <c r="A757" s="176">
        <v>1</v>
      </c>
      <c r="B757" s="171">
        <f>SUBTOTAL(103,$A$552:A757)</f>
        <v>203</v>
      </c>
      <c r="C757" s="172" t="s">
        <v>2301</v>
      </c>
      <c r="D757" s="173">
        <v>1988</v>
      </c>
      <c r="E757" s="173"/>
      <c r="F757" s="174" t="s">
        <v>318</v>
      </c>
      <c r="G757" s="173">
        <v>9</v>
      </c>
      <c r="H757" s="173" t="s">
        <v>312</v>
      </c>
      <c r="I757" s="177">
        <v>6638.3</v>
      </c>
      <c r="J757" s="177">
        <v>5898.1</v>
      </c>
      <c r="K757" s="177">
        <v>5898.1</v>
      </c>
      <c r="L757" s="206">
        <v>226</v>
      </c>
      <c r="M757" s="173" t="s">
        <v>265</v>
      </c>
      <c r="N757" s="173" t="s">
        <v>269</v>
      </c>
      <c r="O757" s="175" t="s">
        <v>2416</v>
      </c>
      <c r="P757" s="170">
        <v>6575151.8499999996</v>
      </c>
      <c r="Q757" s="170">
        <v>0</v>
      </c>
      <c r="R757" s="170">
        <v>0</v>
      </c>
      <c r="S757" s="170">
        <f t="shared" si="106"/>
        <v>6575151.8499999996</v>
      </c>
      <c r="T757" s="170">
        <f t="shared" si="104"/>
        <v>990.4873009656086</v>
      </c>
      <c r="U757" s="170">
        <v>1110.7361824563518</v>
      </c>
      <c r="V757" s="202">
        <f t="shared" si="105"/>
        <v>120.2488814907432</v>
      </c>
      <c r="W757" s="202">
        <f t="shared" si="108"/>
        <v>990.4873009656086</v>
      </c>
      <c r="X757" s="202">
        <v>0</v>
      </c>
      <c r="Y757" s="203">
        <v>0</v>
      </c>
      <c r="Z757" s="203">
        <v>0</v>
      </c>
      <c r="AA757" s="203">
        <v>0</v>
      </c>
      <c r="AB757" s="203">
        <v>0</v>
      </c>
      <c r="AC757" s="203">
        <v>0</v>
      </c>
      <c r="AD757" s="203">
        <v>0</v>
      </c>
      <c r="AE757" s="203">
        <v>0</v>
      </c>
      <c r="AF757" s="202">
        <v>0</v>
      </c>
      <c r="AG757" s="203">
        <v>0</v>
      </c>
      <c r="AH757" s="202">
        <v>0</v>
      </c>
      <c r="AI757" s="203">
        <v>0</v>
      </c>
      <c r="AJ757" s="202">
        <v>0</v>
      </c>
      <c r="AK757" s="203">
        <v>0</v>
      </c>
      <c r="AL757" s="203">
        <v>0</v>
      </c>
      <c r="AM757" s="203">
        <v>0</v>
      </c>
      <c r="AN757" s="203"/>
      <c r="AO757" s="203">
        <v>0</v>
      </c>
    </row>
    <row r="758" spans="1:41" s="176" customFormat="1" ht="36" customHeight="1" x14ac:dyDescent="0.25">
      <c r="A758" s="176">
        <v>1</v>
      </c>
      <c r="B758" s="171">
        <f>SUBTOTAL(103,$A$552:A758)</f>
        <v>204</v>
      </c>
      <c r="C758" s="172" t="s">
        <v>2076</v>
      </c>
      <c r="D758" s="173">
        <v>1990</v>
      </c>
      <c r="E758" s="173"/>
      <c r="F758" s="174" t="s">
        <v>318</v>
      </c>
      <c r="G758" s="173">
        <v>9</v>
      </c>
      <c r="H758" s="173" t="s">
        <v>2417</v>
      </c>
      <c r="I758" s="177">
        <v>28464.2</v>
      </c>
      <c r="J758" s="177">
        <v>22228.1</v>
      </c>
      <c r="K758" s="177">
        <v>22102.2</v>
      </c>
      <c r="L758" s="206">
        <v>895</v>
      </c>
      <c r="M758" s="173" t="s">
        <v>265</v>
      </c>
      <c r="N758" s="173" t="s">
        <v>269</v>
      </c>
      <c r="O758" s="175" t="s">
        <v>1663</v>
      </c>
      <c r="P758" s="170">
        <v>21744439.34</v>
      </c>
      <c r="Q758" s="170">
        <v>0</v>
      </c>
      <c r="R758" s="170">
        <v>0</v>
      </c>
      <c r="S758" s="170">
        <f t="shared" si="106"/>
        <v>21744439.34</v>
      </c>
      <c r="T758" s="170">
        <f t="shared" si="104"/>
        <v>763.92237758306919</v>
      </c>
      <c r="U758" s="170">
        <v>863.47060518124522</v>
      </c>
      <c r="V758" s="202">
        <f t="shared" si="105"/>
        <v>99.548227598176027</v>
      </c>
      <c r="W758" s="202">
        <f t="shared" si="108"/>
        <v>763.92237758306919</v>
      </c>
      <c r="X758" s="202">
        <v>0</v>
      </c>
      <c r="Y758" s="203">
        <v>0</v>
      </c>
      <c r="Z758" s="203">
        <v>0</v>
      </c>
      <c r="AA758" s="203">
        <v>0</v>
      </c>
      <c r="AB758" s="203">
        <v>0</v>
      </c>
      <c r="AC758" s="203">
        <v>0</v>
      </c>
      <c r="AD758" s="203">
        <v>0</v>
      </c>
      <c r="AE758" s="203">
        <v>0</v>
      </c>
      <c r="AF758" s="202">
        <v>0</v>
      </c>
      <c r="AG758" s="203">
        <v>0</v>
      </c>
      <c r="AH758" s="202">
        <v>0</v>
      </c>
      <c r="AI758" s="203">
        <v>0</v>
      </c>
      <c r="AJ758" s="202">
        <v>0</v>
      </c>
      <c r="AK758" s="203">
        <v>0</v>
      </c>
      <c r="AL758" s="203">
        <v>0</v>
      </c>
      <c r="AM758" s="203">
        <v>0</v>
      </c>
      <c r="AN758" s="203"/>
      <c r="AO758" s="203">
        <v>0</v>
      </c>
    </row>
    <row r="759" spans="1:41" s="176" customFormat="1" ht="36" customHeight="1" x14ac:dyDescent="0.25">
      <c r="A759" s="176">
        <v>1</v>
      </c>
      <c r="B759" s="171">
        <f>SUBTOTAL(103,$A$552:A759)</f>
        <v>205</v>
      </c>
      <c r="C759" s="172" t="s">
        <v>2302</v>
      </c>
      <c r="D759" s="173">
        <v>1990</v>
      </c>
      <c r="E759" s="173"/>
      <c r="F759" s="174" t="s">
        <v>318</v>
      </c>
      <c r="G759" s="173">
        <v>9</v>
      </c>
      <c r="H759" s="173" t="s">
        <v>303</v>
      </c>
      <c r="I759" s="177">
        <v>4344</v>
      </c>
      <c r="J759" s="177">
        <v>3864.2</v>
      </c>
      <c r="K759" s="177">
        <v>3864.2</v>
      </c>
      <c r="L759" s="206">
        <v>169</v>
      </c>
      <c r="M759" s="173" t="s">
        <v>265</v>
      </c>
      <c r="N759" s="173" t="s">
        <v>269</v>
      </c>
      <c r="O759" s="175" t="s">
        <v>2416</v>
      </c>
      <c r="P759" s="170">
        <v>4423085.49</v>
      </c>
      <c r="Q759" s="170">
        <v>0</v>
      </c>
      <c r="R759" s="170">
        <v>0</v>
      </c>
      <c r="S759" s="170">
        <f t="shared" si="106"/>
        <v>4423085.49</v>
      </c>
      <c r="T759" s="170">
        <f t="shared" si="104"/>
        <v>1018.2056837016576</v>
      </c>
      <c r="U759" s="170">
        <v>1131.5837937384899</v>
      </c>
      <c r="V759" s="202">
        <f t="shared" si="105"/>
        <v>113.37811003683237</v>
      </c>
      <c r="W759" s="202">
        <f t="shared" si="108"/>
        <v>1018.2056837016576</v>
      </c>
      <c r="X759" s="202">
        <v>0</v>
      </c>
      <c r="Y759" s="203">
        <v>0</v>
      </c>
      <c r="Z759" s="203">
        <v>0</v>
      </c>
      <c r="AA759" s="203">
        <v>0</v>
      </c>
      <c r="AB759" s="203">
        <v>0</v>
      </c>
      <c r="AC759" s="203">
        <v>0</v>
      </c>
      <c r="AD759" s="203">
        <v>0</v>
      </c>
      <c r="AE759" s="203">
        <v>0</v>
      </c>
      <c r="AF759" s="202">
        <v>0</v>
      </c>
      <c r="AG759" s="203">
        <v>0</v>
      </c>
      <c r="AH759" s="202">
        <v>0</v>
      </c>
      <c r="AI759" s="203">
        <v>0</v>
      </c>
      <c r="AJ759" s="202">
        <v>0</v>
      </c>
      <c r="AK759" s="203">
        <v>0</v>
      </c>
      <c r="AL759" s="203">
        <v>0</v>
      </c>
      <c r="AM759" s="203">
        <v>0</v>
      </c>
      <c r="AN759" s="203"/>
      <c r="AO759" s="203">
        <v>0</v>
      </c>
    </row>
    <row r="760" spans="1:41" s="176" customFormat="1" ht="36" customHeight="1" x14ac:dyDescent="0.25">
      <c r="A760" s="176">
        <v>1</v>
      </c>
      <c r="B760" s="171">
        <f>SUBTOTAL(103,$A$552:A760)</f>
        <v>206</v>
      </c>
      <c r="C760" s="172" t="s">
        <v>2303</v>
      </c>
      <c r="D760" s="173">
        <v>1989</v>
      </c>
      <c r="E760" s="173"/>
      <c r="F760" s="174" t="s">
        <v>318</v>
      </c>
      <c r="G760" s="173">
        <v>9</v>
      </c>
      <c r="H760" s="173" t="s">
        <v>303</v>
      </c>
      <c r="I760" s="177">
        <v>4374.3</v>
      </c>
      <c r="J760" s="177">
        <v>3893.6</v>
      </c>
      <c r="K760" s="177">
        <v>3893.6</v>
      </c>
      <c r="L760" s="206">
        <v>153</v>
      </c>
      <c r="M760" s="173" t="s">
        <v>265</v>
      </c>
      <c r="N760" s="173" t="s">
        <v>269</v>
      </c>
      <c r="O760" s="175" t="s">
        <v>2416</v>
      </c>
      <c r="P760" s="170">
        <v>4410181.0600000005</v>
      </c>
      <c r="Q760" s="170">
        <v>0</v>
      </c>
      <c r="R760" s="170">
        <v>0</v>
      </c>
      <c r="S760" s="170">
        <f t="shared" si="106"/>
        <v>4410181.0600000005</v>
      </c>
      <c r="T760" s="170">
        <f t="shared" si="104"/>
        <v>1008.2026975744691</v>
      </c>
      <c r="U760" s="170">
        <v>1123.7455135678852</v>
      </c>
      <c r="V760" s="202">
        <f t="shared" si="105"/>
        <v>115.54281599341607</v>
      </c>
      <c r="W760" s="202">
        <f t="shared" si="108"/>
        <v>1008.2026975744691</v>
      </c>
      <c r="X760" s="202">
        <v>0</v>
      </c>
      <c r="Y760" s="203">
        <v>0</v>
      </c>
      <c r="Z760" s="203">
        <v>0</v>
      </c>
      <c r="AA760" s="203">
        <v>0</v>
      </c>
      <c r="AB760" s="203">
        <v>0</v>
      </c>
      <c r="AC760" s="203">
        <v>0</v>
      </c>
      <c r="AD760" s="203">
        <v>0</v>
      </c>
      <c r="AE760" s="203">
        <v>0</v>
      </c>
      <c r="AF760" s="202">
        <v>0</v>
      </c>
      <c r="AG760" s="203">
        <v>0</v>
      </c>
      <c r="AH760" s="202">
        <v>0</v>
      </c>
      <c r="AI760" s="203">
        <v>0</v>
      </c>
      <c r="AJ760" s="202">
        <v>0</v>
      </c>
      <c r="AK760" s="203">
        <v>0</v>
      </c>
      <c r="AL760" s="203">
        <v>0</v>
      </c>
      <c r="AM760" s="203">
        <v>0</v>
      </c>
      <c r="AN760" s="203"/>
      <c r="AO760" s="203">
        <v>0</v>
      </c>
    </row>
    <row r="761" spans="1:41" s="176" customFormat="1" ht="36" customHeight="1" x14ac:dyDescent="0.25">
      <c r="A761" s="176">
        <v>1</v>
      </c>
      <c r="B761" s="171">
        <f>SUBTOTAL(103,$A$552:A761)</f>
        <v>207</v>
      </c>
      <c r="C761" s="172" t="s">
        <v>2304</v>
      </c>
      <c r="D761" s="173">
        <v>1988</v>
      </c>
      <c r="E761" s="173"/>
      <c r="F761" s="174" t="s">
        <v>318</v>
      </c>
      <c r="G761" s="173">
        <v>9</v>
      </c>
      <c r="H761" s="173" t="s">
        <v>303</v>
      </c>
      <c r="I761" s="177">
        <v>4376.2</v>
      </c>
      <c r="J761" s="177">
        <v>4376.2</v>
      </c>
      <c r="K761" s="177">
        <v>2308.1999999999998</v>
      </c>
      <c r="L761" s="206">
        <v>146</v>
      </c>
      <c r="M761" s="173" t="s">
        <v>265</v>
      </c>
      <c r="N761" s="173" t="s">
        <v>269</v>
      </c>
      <c r="O761" s="175" t="s">
        <v>2415</v>
      </c>
      <c r="P761" s="170">
        <v>4410362.0900000008</v>
      </c>
      <c r="Q761" s="170">
        <v>0</v>
      </c>
      <c r="R761" s="170">
        <v>0</v>
      </c>
      <c r="S761" s="170">
        <f t="shared" si="106"/>
        <v>4410362.0900000008</v>
      </c>
      <c r="T761" s="170">
        <f t="shared" si="104"/>
        <v>1007.80633654769</v>
      </c>
      <c r="U761" s="170">
        <v>1123.2576207668753</v>
      </c>
      <c r="V761" s="202">
        <f t="shared" si="105"/>
        <v>115.45128421918537</v>
      </c>
      <c r="W761" s="202">
        <f t="shared" si="108"/>
        <v>1007.80633654769</v>
      </c>
      <c r="X761" s="202">
        <v>0</v>
      </c>
      <c r="Y761" s="203">
        <v>0</v>
      </c>
      <c r="Z761" s="203">
        <v>0</v>
      </c>
      <c r="AA761" s="203">
        <v>0</v>
      </c>
      <c r="AB761" s="203">
        <v>0</v>
      </c>
      <c r="AC761" s="203">
        <v>0</v>
      </c>
      <c r="AD761" s="203">
        <v>0</v>
      </c>
      <c r="AE761" s="203">
        <v>0</v>
      </c>
      <c r="AF761" s="202">
        <v>0</v>
      </c>
      <c r="AG761" s="203">
        <v>0</v>
      </c>
      <c r="AH761" s="202">
        <v>0</v>
      </c>
      <c r="AI761" s="203">
        <v>0</v>
      </c>
      <c r="AJ761" s="202">
        <v>0</v>
      </c>
      <c r="AK761" s="203">
        <v>0</v>
      </c>
      <c r="AL761" s="203">
        <v>0</v>
      </c>
      <c r="AM761" s="203">
        <v>0</v>
      </c>
      <c r="AN761" s="203"/>
      <c r="AO761" s="203">
        <v>0</v>
      </c>
    </row>
    <row r="762" spans="1:41" s="176" customFormat="1" ht="36" customHeight="1" x14ac:dyDescent="0.25">
      <c r="A762" s="176">
        <v>1</v>
      </c>
      <c r="B762" s="171">
        <f>SUBTOTAL(103,$A$552:A762)</f>
        <v>208</v>
      </c>
      <c r="C762" s="172" t="s">
        <v>2305</v>
      </c>
      <c r="D762" s="173">
        <v>1987</v>
      </c>
      <c r="E762" s="173"/>
      <c r="F762" s="174" t="s">
        <v>318</v>
      </c>
      <c r="G762" s="173">
        <v>9</v>
      </c>
      <c r="H762" s="173" t="s">
        <v>308</v>
      </c>
      <c r="I762" s="177">
        <v>7835.6</v>
      </c>
      <c r="J762" s="177">
        <v>7835.6</v>
      </c>
      <c r="K762" s="177">
        <v>4668.3</v>
      </c>
      <c r="L762" s="206">
        <v>336</v>
      </c>
      <c r="M762" s="173" t="s">
        <v>265</v>
      </c>
      <c r="N762" s="173" t="s">
        <v>269</v>
      </c>
      <c r="O762" s="175" t="s">
        <v>2415</v>
      </c>
      <c r="P762" s="170">
        <v>8729536.8900000006</v>
      </c>
      <c r="Q762" s="170">
        <v>0</v>
      </c>
      <c r="R762" s="170">
        <v>0</v>
      </c>
      <c r="S762" s="170">
        <f t="shared" si="106"/>
        <v>8729536.8900000006</v>
      </c>
      <c r="T762" s="170">
        <f t="shared" si="104"/>
        <v>1114.0865906886518</v>
      </c>
      <c r="U762" s="170">
        <v>1254.6837510847924</v>
      </c>
      <c r="V762" s="202">
        <f t="shared" si="105"/>
        <v>140.59716039614068</v>
      </c>
      <c r="W762" s="202">
        <f t="shared" si="108"/>
        <v>1114.0865906886518</v>
      </c>
      <c r="X762" s="202">
        <v>0</v>
      </c>
      <c r="Y762" s="203">
        <v>0</v>
      </c>
      <c r="Z762" s="203">
        <v>0</v>
      </c>
      <c r="AA762" s="203">
        <v>0</v>
      </c>
      <c r="AB762" s="203">
        <v>0</v>
      </c>
      <c r="AC762" s="203">
        <v>0</v>
      </c>
      <c r="AD762" s="203">
        <v>0</v>
      </c>
      <c r="AE762" s="203">
        <v>0</v>
      </c>
      <c r="AF762" s="202">
        <v>0</v>
      </c>
      <c r="AG762" s="203">
        <v>0</v>
      </c>
      <c r="AH762" s="202">
        <v>0</v>
      </c>
      <c r="AI762" s="203">
        <v>0</v>
      </c>
      <c r="AJ762" s="202">
        <v>0</v>
      </c>
      <c r="AK762" s="203">
        <v>0</v>
      </c>
      <c r="AL762" s="203">
        <v>0</v>
      </c>
      <c r="AM762" s="203">
        <v>0</v>
      </c>
      <c r="AN762" s="203"/>
      <c r="AO762" s="203">
        <v>0</v>
      </c>
    </row>
    <row r="763" spans="1:41" s="176" customFormat="1" ht="36" customHeight="1" x14ac:dyDescent="0.25">
      <c r="A763" s="176">
        <v>1</v>
      </c>
      <c r="B763" s="171">
        <f>SUBTOTAL(103,$A$552:A763)</f>
        <v>209</v>
      </c>
      <c r="C763" s="172" t="s">
        <v>2306</v>
      </c>
      <c r="D763" s="173">
        <v>1988</v>
      </c>
      <c r="E763" s="173"/>
      <c r="F763" s="174" t="s">
        <v>318</v>
      </c>
      <c r="G763" s="173">
        <v>9</v>
      </c>
      <c r="H763" s="173" t="s">
        <v>303</v>
      </c>
      <c r="I763" s="177">
        <v>3934.5</v>
      </c>
      <c r="J763" s="177">
        <v>3934.5</v>
      </c>
      <c r="K763" s="177">
        <v>2323.1</v>
      </c>
      <c r="L763" s="206">
        <v>164</v>
      </c>
      <c r="M763" s="173" t="s">
        <v>265</v>
      </c>
      <c r="N763" s="173" t="s">
        <v>269</v>
      </c>
      <c r="O763" s="175" t="s">
        <v>2415</v>
      </c>
      <c r="P763" s="170">
        <v>4411301.99</v>
      </c>
      <c r="Q763" s="170">
        <v>0</v>
      </c>
      <c r="R763" s="170">
        <v>0</v>
      </c>
      <c r="S763" s="170">
        <f t="shared" ref="S763:S792" si="109">P763-Q763-R763</f>
        <v>4411301.99</v>
      </c>
      <c r="T763" s="170">
        <f t="shared" ref="T763:T792" si="110">P763/I763</f>
        <v>1121.1849002414538</v>
      </c>
      <c r="U763" s="170">
        <v>1249.3582411996442</v>
      </c>
      <c r="V763" s="202">
        <f t="shared" ref="V763:V792" si="111">U763-T763</f>
        <v>128.17334095819047</v>
      </c>
      <c r="W763" s="202">
        <f t="shared" ref="W763:W792" si="112">T763</f>
        <v>1121.1849002414538</v>
      </c>
      <c r="X763" s="202">
        <v>0</v>
      </c>
      <c r="Y763" s="203">
        <v>0</v>
      </c>
      <c r="Z763" s="203">
        <v>0</v>
      </c>
      <c r="AA763" s="203">
        <v>0</v>
      </c>
      <c r="AB763" s="203">
        <v>0</v>
      </c>
      <c r="AC763" s="203">
        <v>0</v>
      </c>
      <c r="AD763" s="203">
        <v>0</v>
      </c>
      <c r="AE763" s="203">
        <v>0</v>
      </c>
      <c r="AF763" s="202">
        <v>0</v>
      </c>
      <c r="AG763" s="203">
        <v>0</v>
      </c>
      <c r="AH763" s="202">
        <v>0</v>
      </c>
      <c r="AI763" s="203">
        <v>0</v>
      </c>
      <c r="AJ763" s="202">
        <v>0</v>
      </c>
      <c r="AK763" s="203">
        <v>0</v>
      </c>
      <c r="AL763" s="203">
        <v>0</v>
      </c>
      <c r="AM763" s="203">
        <v>0</v>
      </c>
      <c r="AN763" s="203"/>
      <c r="AO763" s="203">
        <v>0</v>
      </c>
    </row>
    <row r="764" spans="1:41" s="176" customFormat="1" ht="36" customHeight="1" x14ac:dyDescent="0.25">
      <c r="A764" s="176">
        <v>1</v>
      </c>
      <c r="B764" s="171">
        <f>SUBTOTAL(103,$A$552:A764)</f>
        <v>210</v>
      </c>
      <c r="C764" s="172" t="s">
        <v>2616</v>
      </c>
      <c r="D764" s="173">
        <v>1994</v>
      </c>
      <c r="E764" s="173"/>
      <c r="F764" s="174" t="s">
        <v>318</v>
      </c>
      <c r="G764" s="173" t="s">
        <v>357</v>
      </c>
      <c r="H764" s="173" t="s">
        <v>312</v>
      </c>
      <c r="I764" s="177">
        <v>7509.8</v>
      </c>
      <c r="J764" s="177">
        <v>7509.8</v>
      </c>
      <c r="K764" s="177">
        <v>5873.7</v>
      </c>
      <c r="L764" s="206" t="s">
        <v>2658</v>
      </c>
      <c r="M764" s="173" t="s">
        <v>265</v>
      </c>
      <c r="N764" s="173" t="s">
        <v>269</v>
      </c>
      <c r="O764" s="175" t="s">
        <v>2422</v>
      </c>
      <c r="P764" s="170">
        <v>7047297.8600000003</v>
      </c>
      <c r="Q764" s="170">
        <v>0</v>
      </c>
      <c r="R764" s="170">
        <v>0</v>
      </c>
      <c r="S764" s="170">
        <f t="shared" si="109"/>
        <v>7047297.8600000003</v>
      </c>
      <c r="T764" s="170">
        <f t="shared" si="110"/>
        <v>938.41352099922767</v>
      </c>
      <c r="U764" s="170">
        <f t="shared" ref="U764:U781" si="113">T764</f>
        <v>938.41352099922767</v>
      </c>
      <c r="V764" s="202">
        <f t="shared" si="111"/>
        <v>0</v>
      </c>
      <c r="W764" s="202">
        <f t="shared" si="112"/>
        <v>938.41352099922767</v>
      </c>
      <c r="X764" s="202">
        <v>0</v>
      </c>
      <c r="Y764" s="203">
        <v>0</v>
      </c>
      <c r="Z764" s="203">
        <v>0</v>
      </c>
      <c r="AA764" s="203">
        <v>0</v>
      </c>
      <c r="AB764" s="203">
        <v>0</v>
      </c>
      <c r="AC764" s="203">
        <v>0</v>
      </c>
      <c r="AD764" s="203">
        <v>0</v>
      </c>
      <c r="AE764" s="203">
        <v>0</v>
      </c>
      <c r="AF764" s="202">
        <v>0</v>
      </c>
      <c r="AG764" s="203">
        <v>0</v>
      </c>
      <c r="AH764" s="202">
        <v>0</v>
      </c>
      <c r="AI764" s="203">
        <v>0</v>
      </c>
      <c r="AJ764" s="202">
        <v>0</v>
      </c>
      <c r="AK764" s="203">
        <v>0</v>
      </c>
      <c r="AL764" s="203">
        <v>0</v>
      </c>
      <c r="AM764" s="203">
        <v>0</v>
      </c>
      <c r="AN764" s="203"/>
      <c r="AO764" s="203">
        <v>0</v>
      </c>
    </row>
    <row r="765" spans="1:41" s="176" customFormat="1" ht="36" customHeight="1" x14ac:dyDescent="0.25">
      <c r="A765" s="176">
        <v>1</v>
      </c>
      <c r="B765" s="171">
        <f>SUBTOTAL(103,$A$552:A765)</f>
        <v>211</v>
      </c>
      <c r="C765" s="172" t="s">
        <v>2617</v>
      </c>
      <c r="D765" s="173">
        <v>1995</v>
      </c>
      <c r="E765" s="173"/>
      <c r="F765" s="174" t="s">
        <v>318</v>
      </c>
      <c r="G765" s="173" t="s">
        <v>357</v>
      </c>
      <c r="H765" s="173" t="s">
        <v>303</v>
      </c>
      <c r="I765" s="177">
        <v>4981.6000000000004</v>
      </c>
      <c r="J765" s="177">
        <v>4981.6000000000004</v>
      </c>
      <c r="K765" s="177">
        <v>3855.3</v>
      </c>
      <c r="L765" s="206" t="s">
        <v>2659</v>
      </c>
      <c r="M765" s="173" t="s">
        <v>265</v>
      </c>
      <c r="N765" s="173" t="s">
        <v>269</v>
      </c>
      <c r="O765" s="175" t="s">
        <v>2422</v>
      </c>
      <c r="P765" s="170">
        <v>4738198.57</v>
      </c>
      <c r="Q765" s="170">
        <v>0</v>
      </c>
      <c r="R765" s="170">
        <v>0</v>
      </c>
      <c r="S765" s="170">
        <f t="shared" si="109"/>
        <v>4738198.57</v>
      </c>
      <c r="T765" s="170">
        <f t="shared" si="110"/>
        <v>951.13990886462182</v>
      </c>
      <c r="U765" s="170">
        <f t="shared" si="113"/>
        <v>951.13990886462182</v>
      </c>
      <c r="V765" s="202">
        <f t="shared" si="111"/>
        <v>0</v>
      </c>
      <c r="W765" s="202">
        <f t="shared" si="112"/>
        <v>951.13990886462182</v>
      </c>
      <c r="X765" s="202">
        <v>0</v>
      </c>
      <c r="Y765" s="203">
        <v>0</v>
      </c>
      <c r="Z765" s="203">
        <v>0</v>
      </c>
      <c r="AA765" s="203">
        <v>0</v>
      </c>
      <c r="AB765" s="203">
        <v>0</v>
      </c>
      <c r="AC765" s="203">
        <v>0</v>
      </c>
      <c r="AD765" s="203">
        <v>0</v>
      </c>
      <c r="AE765" s="203">
        <v>0</v>
      </c>
      <c r="AF765" s="202">
        <v>0</v>
      </c>
      <c r="AG765" s="203">
        <v>0</v>
      </c>
      <c r="AH765" s="202">
        <v>0</v>
      </c>
      <c r="AI765" s="203">
        <v>0</v>
      </c>
      <c r="AJ765" s="202">
        <v>0</v>
      </c>
      <c r="AK765" s="203">
        <v>0</v>
      </c>
      <c r="AL765" s="203">
        <v>0</v>
      </c>
      <c r="AM765" s="203">
        <v>0</v>
      </c>
      <c r="AN765" s="203"/>
      <c r="AO765" s="203">
        <v>0</v>
      </c>
    </row>
    <row r="766" spans="1:41" s="176" customFormat="1" ht="36" customHeight="1" x14ac:dyDescent="0.25">
      <c r="A766" s="176">
        <v>1</v>
      </c>
      <c r="B766" s="171">
        <f>SUBTOTAL(103,$A$552:A766)</f>
        <v>212</v>
      </c>
      <c r="C766" s="172" t="s">
        <v>2618</v>
      </c>
      <c r="D766" s="173">
        <v>1994</v>
      </c>
      <c r="E766" s="173"/>
      <c r="F766" s="174" t="s">
        <v>318</v>
      </c>
      <c r="G766" s="173" t="s">
        <v>357</v>
      </c>
      <c r="H766" s="173" t="s">
        <v>303</v>
      </c>
      <c r="I766" s="177">
        <v>4945.1000000000004</v>
      </c>
      <c r="J766" s="177">
        <v>4945.1000000000004</v>
      </c>
      <c r="K766" s="177">
        <v>3847</v>
      </c>
      <c r="L766" s="206" t="s">
        <v>2660</v>
      </c>
      <c r="M766" s="173" t="s">
        <v>265</v>
      </c>
      <c r="N766" s="173" t="s">
        <v>269</v>
      </c>
      <c r="O766" s="175" t="s">
        <v>2422</v>
      </c>
      <c r="P766" s="170">
        <v>4738198.57</v>
      </c>
      <c r="Q766" s="170">
        <v>0</v>
      </c>
      <c r="R766" s="170">
        <v>0</v>
      </c>
      <c r="S766" s="170">
        <f t="shared" si="109"/>
        <v>4738198.57</v>
      </c>
      <c r="T766" s="170">
        <f t="shared" si="110"/>
        <v>958.16031425047015</v>
      </c>
      <c r="U766" s="170">
        <f t="shared" si="113"/>
        <v>958.16031425047015</v>
      </c>
      <c r="V766" s="202">
        <f t="shared" si="111"/>
        <v>0</v>
      </c>
      <c r="W766" s="202">
        <f t="shared" si="112"/>
        <v>958.16031425047015</v>
      </c>
      <c r="X766" s="202">
        <v>0</v>
      </c>
      <c r="Y766" s="203">
        <v>0</v>
      </c>
      <c r="Z766" s="203">
        <v>0</v>
      </c>
      <c r="AA766" s="203">
        <v>0</v>
      </c>
      <c r="AB766" s="203">
        <v>0</v>
      </c>
      <c r="AC766" s="203">
        <v>0</v>
      </c>
      <c r="AD766" s="203">
        <v>0</v>
      </c>
      <c r="AE766" s="203">
        <v>0</v>
      </c>
      <c r="AF766" s="202">
        <v>0</v>
      </c>
      <c r="AG766" s="203">
        <v>0</v>
      </c>
      <c r="AH766" s="202">
        <v>0</v>
      </c>
      <c r="AI766" s="203">
        <v>0</v>
      </c>
      <c r="AJ766" s="202">
        <v>0</v>
      </c>
      <c r="AK766" s="203">
        <v>0</v>
      </c>
      <c r="AL766" s="203">
        <v>0</v>
      </c>
      <c r="AM766" s="203">
        <v>0</v>
      </c>
      <c r="AN766" s="203"/>
      <c r="AO766" s="203">
        <v>0</v>
      </c>
    </row>
    <row r="767" spans="1:41" s="176" customFormat="1" ht="36" customHeight="1" x14ac:dyDescent="0.25">
      <c r="A767" s="176">
        <v>1</v>
      </c>
      <c r="B767" s="171">
        <f>SUBTOTAL(103,$A$552:A767)</f>
        <v>213</v>
      </c>
      <c r="C767" s="172" t="s">
        <v>2619</v>
      </c>
      <c r="D767" s="173">
        <v>1989</v>
      </c>
      <c r="E767" s="173"/>
      <c r="F767" s="174" t="s">
        <v>318</v>
      </c>
      <c r="G767" s="173" t="s">
        <v>357</v>
      </c>
      <c r="H767" s="173">
        <v>12</v>
      </c>
      <c r="I767" s="177">
        <v>33058.300000000003</v>
      </c>
      <c r="J767" s="177">
        <v>32003.25</v>
      </c>
      <c r="K767" s="177">
        <v>22816.2</v>
      </c>
      <c r="L767" s="206" t="s">
        <v>2661</v>
      </c>
      <c r="M767" s="173" t="s">
        <v>265</v>
      </c>
      <c r="N767" s="173" t="s">
        <v>269</v>
      </c>
      <c r="O767" s="175" t="s">
        <v>2662</v>
      </c>
      <c r="P767" s="170">
        <v>20640027.629999999</v>
      </c>
      <c r="Q767" s="170">
        <v>0</v>
      </c>
      <c r="R767" s="170">
        <v>0</v>
      </c>
      <c r="S767" s="170">
        <f t="shared" si="109"/>
        <v>20640027.629999999</v>
      </c>
      <c r="T767" s="170">
        <f t="shared" si="110"/>
        <v>624.35236022420986</v>
      </c>
      <c r="U767" s="170">
        <f t="shared" si="113"/>
        <v>624.35236022420986</v>
      </c>
      <c r="V767" s="202">
        <f t="shared" si="111"/>
        <v>0</v>
      </c>
      <c r="W767" s="202">
        <f t="shared" si="112"/>
        <v>624.35236022420986</v>
      </c>
      <c r="X767" s="202">
        <v>0</v>
      </c>
      <c r="Y767" s="203">
        <v>0</v>
      </c>
      <c r="Z767" s="203">
        <v>0</v>
      </c>
      <c r="AA767" s="203">
        <v>0</v>
      </c>
      <c r="AB767" s="203">
        <v>0</v>
      </c>
      <c r="AC767" s="203">
        <v>0</v>
      </c>
      <c r="AD767" s="203">
        <v>0</v>
      </c>
      <c r="AE767" s="203">
        <v>0</v>
      </c>
      <c r="AF767" s="202">
        <v>0</v>
      </c>
      <c r="AG767" s="203">
        <v>0</v>
      </c>
      <c r="AH767" s="202">
        <v>0</v>
      </c>
      <c r="AI767" s="203">
        <v>0</v>
      </c>
      <c r="AJ767" s="202">
        <v>0</v>
      </c>
      <c r="AK767" s="203">
        <v>0</v>
      </c>
      <c r="AL767" s="203">
        <v>0</v>
      </c>
      <c r="AM767" s="203">
        <v>0</v>
      </c>
      <c r="AN767" s="203"/>
      <c r="AO767" s="203">
        <v>0</v>
      </c>
    </row>
    <row r="768" spans="1:41" s="176" customFormat="1" ht="36" customHeight="1" x14ac:dyDescent="0.25">
      <c r="A768" s="176">
        <v>1</v>
      </c>
      <c r="B768" s="171">
        <f>SUBTOTAL(103,$A$552:A768)</f>
        <v>214</v>
      </c>
      <c r="C768" s="172" t="s">
        <v>2620</v>
      </c>
      <c r="D768" s="173">
        <v>1991</v>
      </c>
      <c r="E768" s="173"/>
      <c r="F768" s="174" t="s">
        <v>318</v>
      </c>
      <c r="G768" s="173" t="s">
        <v>357</v>
      </c>
      <c r="H768" s="173" t="s">
        <v>312</v>
      </c>
      <c r="I768" s="177">
        <v>7550.6</v>
      </c>
      <c r="J768" s="177">
        <v>7550.6</v>
      </c>
      <c r="K768" s="177">
        <v>5871.8</v>
      </c>
      <c r="L768" s="206" t="s">
        <v>2663</v>
      </c>
      <c r="M768" s="173" t="s">
        <v>265</v>
      </c>
      <c r="N768" s="173" t="s">
        <v>269</v>
      </c>
      <c r="O768" s="175" t="s">
        <v>2422</v>
      </c>
      <c r="P768" s="170">
        <v>7047297.8600000003</v>
      </c>
      <c r="Q768" s="170">
        <v>0</v>
      </c>
      <c r="R768" s="170">
        <v>0</v>
      </c>
      <c r="S768" s="170">
        <f t="shared" si="109"/>
        <v>7047297.8600000003</v>
      </c>
      <c r="T768" s="170">
        <f t="shared" si="110"/>
        <v>933.34276216459614</v>
      </c>
      <c r="U768" s="170">
        <f t="shared" si="113"/>
        <v>933.34276216459614</v>
      </c>
      <c r="V768" s="202">
        <f t="shared" si="111"/>
        <v>0</v>
      </c>
      <c r="W768" s="202">
        <f t="shared" si="112"/>
        <v>933.34276216459614</v>
      </c>
      <c r="X768" s="202">
        <v>0</v>
      </c>
      <c r="Y768" s="203">
        <v>0</v>
      </c>
      <c r="Z768" s="203">
        <v>0</v>
      </c>
      <c r="AA768" s="203">
        <v>0</v>
      </c>
      <c r="AB768" s="203">
        <v>0</v>
      </c>
      <c r="AC768" s="203">
        <v>0</v>
      </c>
      <c r="AD768" s="203">
        <v>0</v>
      </c>
      <c r="AE768" s="203">
        <v>0</v>
      </c>
      <c r="AF768" s="202">
        <v>0</v>
      </c>
      <c r="AG768" s="203">
        <v>0</v>
      </c>
      <c r="AH768" s="202">
        <v>0</v>
      </c>
      <c r="AI768" s="203">
        <v>0</v>
      </c>
      <c r="AJ768" s="202">
        <v>0</v>
      </c>
      <c r="AK768" s="203">
        <v>0</v>
      </c>
      <c r="AL768" s="203">
        <v>0</v>
      </c>
      <c r="AM768" s="203">
        <v>0</v>
      </c>
      <c r="AN768" s="203"/>
      <c r="AO768" s="203">
        <v>0</v>
      </c>
    </row>
    <row r="769" spans="1:41" s="176" customFormat="1" ht="36" customHeight="1" x14ac:dyDescent="0.25">
      <c r="A769" s="176">
        <v>1</v>
      </c>
      <c r="B769" s="171">
        <f>SUBTOTAL(103,$A$552:A769)</f>
        <v>215</v>
      </c>
      <c r="C769" s="172" t="s">
        <v>2621</v>
      </c>
      <c r="D769" s="173">
        <v>1984</v>
      </c>
      <c r="E769" s="173"/>
      <c r="F769" s="174" t="s">
        <v>318</v>
      </c>
      <c r="G769" s="173" t="s">
        <v>357</v>
      </c>
      <c r="H769" s="173" t="s">
        <v>312</v>
      </c>
      <c r="I769" s="177">
        <v>8008.7</v>
      </c>
      <c r="J769" s="177">
        <v>8008.3</v>
      </c>
      <c r="K769" s="177">
        <v>6267.8</v>
      </c>
      <c r="L769" s="206" t="s">
        <v>2664</v>
      </c>
      <c r="M769" s="173" t="s">
        <v>265</v>
      </c>
      <c r="N769" s="173" t="s">
        <v>269</v>
      </c>
      <c r="O769" s="175" t="s">
        <v>2422</v>
      </c>
      <c r="P769" s="170">
        <v>6858398.4000000004</v>
      </c>
      <c r="Q769" s="170">
        <v>0</v>
      </c>
      <c r="R769" s="170">
        <v>0</v>
      </c>
      <c r="S769" s="170">
        <f t="shared" si="109"/>
        <v>6858398.4000000004</v>
      </c>
      <c r="T769" s="170">
        <f t="shared" si="110"/>
        <v>856.36849925705803</v>
      </c>
      <c r="U769" s="170">
        <f t="shared" si="113"/>
        <v>856.36849925705803</v>
      </c>
      <c r="V769" s="202">
        <f t="shared" si="111"/>
        <v>0</v>
      </c>
      <c r="W769" s="202">
        <f t="shared" si="112"/>
        <v>856.36849925705803</v>
      </c>
      <c r="X769" s="202">
        <v>0</v>
      </c>
      <c r="Y769" s="203">
        <v>0</v>
      </c>
      <c r="Z769" s="203">
        <v>0</v>
      </c>
      <c r="AA769" s="203">
        <v>0</v>
      </c>
      <c r="AB769" s="203">
        <v>0</v>
      </c>
      <c r="AC769" s="203">
        <v>0</v>
      </c>
      <c r="AD769" s="203">
        <v>0</v>
      </c>
      <c r="AE769" s="203">
        <v>0</v>
      </c>
      <c r="AF769" s="202">
        <v>0</v>
      </c>
      <c r="AG769" s="203">
        <v>0</v>
      </c>
      <c r="AH769" s="202">
        <v>0</v>
      </c>
      <c r="AI769" s="203">
        <v>0</v>
      </c>
      <c r="AJ769" s="202">
        <v>0</v>
      </c>
      <c r="AK769" s="203">
        <v>0</v>
      </c>
      <c r="AL769" s="203">
        <v>0</v>
      </c>
      <c r="AM769" s="203">
        <v>0</v>
      </c>
      <c r="AN769" s="203"/>
      <c r="AO769" s="203">
        <v>0</v>
      </c>
    </row>
    <row r="770" spans="1:41" s="176" customFormat="1" ht="36" customHeight="1" x14ac:dyDescent="0.25">
      <c r="A770" s="176">
        <v>1</v>
      </c>
      <c r="B770" s="171">
        <f>SUBTOTAL(103,$A$552:A770)</f>
        <v>216</v>
      </c>
      <c r="C770" s="172" t="s">
        <v>2622</v>
      </c>
      <c r="D770" s="173">
        <v>1983</v>
      </c>
      <c r="E770" s="173"/>
      <c r="F770" s="174" t="s">
        <v>318</v>
      </c>
      <c r="G770" s="173" t="s">
        <v>357</v>
      </c>
      <c r="H770" s="173" t="s">
        <v>308</v>
      </c>
      <c r="I770" s="177">
        <v>9628.9</v>
      </c>
      <c r="J770" s="177">
        <v>9628.9</v>
      </c>
      <c r="K770" s="177">
        <v>7113.7</v>
      </c>
      <c r="L770" s="206" t="s">
        <v>2665</v>
      </c>
      <c r="M770" s="173" t="s">
        <v>265</v>
      </c>
      <c r="N770" s="173" t="s">
        <v>269</v>
      </c>
      <c r="O770" s="175" t="s">
        <v>2666</v>
      </c>
      <c r="P770" s="170">
        <v>6858398.4000000004</v>
      </c>
      <c r="Q770" s="170">
        <v>0</v>
      </c>
      <c r="R770" s="170">
        <v>0</v>
      </c>
      <c r="S770" s="170">
        <f t="shared" si="109"/>
        <v>6858398.4000000004</v>
      </c>
      <c r="T770" s="170">
        <f t="shared" si="110"/>
        <v>712.27226370613471</v>
      </c>
      <c r="U770" s="170">
        <f t="shared" si="113"/>
        <v>712.27226370613471</v>
      </c>
      <c r="V770" s="202">
        <f t="shared" si="111"/>
        <v>0</v>
      </c>
      <c r="W770" s="202">
        <f t="shared" si="112"/>
        <v>712.27226370613471</v>
      </c>
      <c r="X770" s="202">
        <v>0</v>
      </c>
      <c r="Y770" s="203">
        <v>0</v>
      </c>
      <c r="Z770" s="203">
        <v>0</v>
      </c>
      <c r="AA770" s="203">
        <v>0</v>
      </c>
      <c r="AB770" s="203">
        <v>0</v>
      </c>
      <c r="AC770" s="203">
        <v>0</v>
      </c>
      <c r="AD770" s="203">
        <v>0</v>
      </c>
      <c r="AE770" s="203">
        <v>0</v>
      </c>
      <c r="AF770" s="202">
        <v>0</v>
      </c>
      <c r="AG770" s="203">
        <v>0</v>
      </c>
      <c r="AH770" s="202">
        <v>0</v>
      </c>
      <c r="AI770" s="203">
        <v>0</v>
      </c>
      <c r="AJ770" s="202">
        <v>0</v>
      </c>
      <c r="AK770" s="203">
        <v>0</v>
      </c>
      <c r="AL770" s="203">
        <v>0</v>
      </c>
      <c r="AM770" s="203">
        <v>0</v>
      </c>
      <c r="AN770" s="203"/>
      <c r="AO770" s="203">
        <v>0</v>
      </c>
    </row>
    <row r="771" spans="1:41" s="176" customFormat="1" ht="36" customHeight="1" x14ac:dyDescent="0.25">
      <c r="A771" s="176">
        <v>1</v>
      </c>
      <c r="B771" s="171">
        <f>SUBTOTAL(103,$A$552:A771)</f>
        <v>217</v>
      </c>
      <c r="C771" s="172" t="s">
        <v>2623</v>
      </c>
      <c r="D771" s="173">
        <v>1982</v>
      </c>
      <c r="E771" s="173"/>
      <c r="F771" s="174" t="s">
        <v>318</v>
      </c>
      <c r="G771" s="173" t="s">
        <v>357</v>
      </c>
      <c r="H771" s="173" t="s">
        <v>308</v>
      </c>
      <c r="I771" s="177">
        <v>9581.2999999999993</v>
      </c>
      <c r="J771" s="177">
        <v>9581.2999999999993</v>
      </c>
      <c r="K771" s="177">
        <v>7107.6</v>
      </c>
      <c r="L771" s="206" t="s">
        <v>2667</v>
      </c>
      <c r="M771" s="173" t="s">
        <v>265</v>
      </c>
      <c r="N771" s="173" t="s">
        <v>269</v>
      </c>
      <c r="O771" s="175" t="s">
        <v>2668</v>
      </c>
      <c r="P771" s="170">
        <v>9094531.1999999993</v>
      </c>
      <c r="Q771" s="170">
        <v>0</v>
      </c>
      <c r="R771" s="170">
        <v>0</v>
      </c>
      <c r="S771" s="170">
        <f t="shared" si="109"/>
        <v>9094531.1999999993</v>
      </c>
      <c r="T771" s="170">
        <f t="shared" si="110"/>
        <v>949.19595461993674</v>
      </c>
      <c r="U771" s="170">
        <f t="shared" si="113"/>
        <v>949.19595461993674</v>
      </c>
      <c r="V771" s="202">
        <f t="shared" si="111"/>
        <v>0</v>
      </c>
      <c r="W771" s="202">
        <f t="shared" si="112"/>
        <v>949.19595461993674</v>
      </c>
      <c r="X771" s="202">
        <v>0</v>
      </c>
      <c r="Y771" s="203">
        <v>0</v>
      </c>
      <c r="Z771" s="203">
        <v>0</v>
      </c>
      <c r="AA771" s="203">
        <v>0</v>
      </c>
      <c r="AB771" s="203">
        <v>0</v>
      </c>
      <c r="AC771" s="203">
        <v>0</v>
      </c>
      <c r="AD771" s="203">
        <v>0</v>
      </c>
      <c r="AE771" s="203">
        <v>0</v>
      </c>
      <c r="AF771" s="202">
        <v>0</v>
      </c>
      <c r="AG771" s="203">
        <v>0</v>
      </c>
      <c r="AH771" s="202">
        <v>0</v>
      </c>
      <c r="AI771" s="203">
        <v>0</v>
      </c>
      <c r="AJ771" s="202">
        <v>0</v>
      </c>
      <c r="AK771" s="203">
        <v>0</v>
      </c>
      <c r="AL771" s="203">
        <v>0</v>
      </c>
      <c r="AM771" s="203">
        <v>0</v>
      </c>
      <c r="AN771" s="203"/>
      <c r="AO771" s="203">
        <v>0</v>
      </c>
    </row>
    <row r="772" spans="1:41" s="176" customFormat="1" ht="36" customHeight="1" x14ac:dyDescent="0.25">
      <c r="A772" s="176">
        <v>1</v>
      </c>
      <c r="B772" s="171">
        <f>SUBTOTAL(103,$A$552:A772)</f>
        <v>218</v>
      </c>
      <c r="C772" s="172" t="s">
        <v>2624</v>
      </c>
      <c r="D772" s="173">
        <v>1983</v>
      </c>
      <c r="E772" s="173"/>
      <c r="F772" s="174" t="s">
        <v>318</v>
      </c>
      <c r="G772" s="173" t="s">
        <v>357</v>
      </c>
      <c r="H772" s="173" t="s">
        <v>303</v>
      </c>
      <c r="I772" s="177">
        <v>4949.49</v>
      </c>
      <c r="J772" s="177">
        <v>4949.49</v>
      </c>
      <c r="K772" s="177">
        <v>3860.1</v>
      </c>
      <c r="L772" s="206" t="s">
        <v>2669</v>
      </c>
      <c r="M772" s="173" t="s">
        <v>265</v>
      </c>
      <c r="N772" s="173" t="s">
        <v>269</v>
      </c>
      <c r="O772" s="175" t="s">
        <v>2666</v>
      </c>
      <c r="P772" s="170">
        <v>4612265.5999999996</v>
      </c>
      <c r="Q772" s="170">
        <v>0</v>
      </c>
      <c r="R772" s="170">
        <v>0</v>
      </c>
      <c r="S772" s="170">
        <f t="shared" ref="S772:S779" si="114">P772-Q772-R772</f>
        <v>4612265.5999999996</v>
      </c>
      <c r="T772" s="170">
        <f t="shared" ref="T772:T779" si="115">P772/I772</f>
        <v>931.86683880561429</v>
      </c>
      <c r="U772" s="170">
        <f t="shared" si="113"/>
        <v>931.86683880561429</v>
      </c>
      <c r="V772" s="202">
        <f t="shared" ref="V772:V779" si="116">U772-T772</f>
        <v>0</v>
      </c>
      <c r="W772" s="202">
        <f t="shared" ref="W772:W779" si="117">T772</f>
        <v>931.86683880561429</v>
      </c>
      <c r="X772" s="202">
        <v>0</v>
      </c>
      <c r="Y772" s="203">
        <v>0</v>
      </c>
      <c r="Z772" s="203">
        <v>0</v>
      </c>
      <c r="AA772" s="203">
        <v>0</v>
      </c>
      <c r="AB772" s="203">
        <v>0</v>
      </c>
      <c r="AC772" s="203">
        <v>0</v>
      </c>
      <c r="AD772" s="203">
        <v>0</v>
      </c>
      <c r="AE772" s="203">
        <v>0</v>
      </c>
      <c r="AF772" s="202">
        <v>0</v>
      </c>
      <c r="AG772" s="203">
        <v>0</v>
      </c>
      <c r="AH772" s="202">
        <v>0</v>
      </c>
      <c r="AI772" s="203">
        <v>0</v>
      </c>
      <c r="AJ772" s="202">
        <v>0</v>
      </c>
      <c r="AK772" s="203">
        <v>0</v>
      </c>
      <c r="AL772" s="203">
        <v>0</v>
      </c>
      <c r="AM772" s="203">
        <v>0</v>
      </c>
      <c r="AN772" s="203"/>
      <c r="AO772" s="203">
        <v>0</v>
      </c>
    </row>
    <row r="773" spans="1:41" s="176" customFormat="1" ht="36" customHeight="1" x14ac:dyDescent="0.25">
      <c r="A773" s="176">
        <v>1</v>
      </c>
      <c r="B773" s="171">
        <f>SUBTOTAL(103,$A$552:A773)</f>
        <v>219</v>
      </c>
      <c r="C773" s="172" t="s">
        <v>2625</v>
      </c>
      <c r="D773" s="173">
        <v>1982</v>
      </c>
      <c r="E773" s="173"/>
      <c r="F773" s="174" t="s">
        <v>318</v>
      </c>
      <c r="G773" s="173" t="s">
        <v>357</v>
      </c>
      <c r="H773" s="173" t="s">
        <v>303</v>
      </c>
      <c r="I773" s="177">
        <v>4951.76</v>
      </c>
      <c r="J773" s="177">
        <v>4951.76</v>
      </c>
      <c r="K773" s="177">
        <v>3868.4</v>
      </c>
      <c r="L773" s="206" t="s">
        <v>2670</v>
      </c>
      <c r="M773" s="173" t="s">
        <v>265</v>
      </c>
      <c r="N773" s="173" t="s">
        <v>269</v>
      </c>
      <c r="O773" s="175" t="s">
        <v>2666</v>
      </c>
      <c r="P773" s="170">
        <v>4612265.5999999996</v>
      </c>
      <c r="Q773" s="170">
        <v>0</v>
      </c>
      <c r="R773" s="170">
        <v>0</v>
      </c>
      <c r="S773" s="170">
        <f t="shared" si="114"/>
        <v>4612265.5999999996</v>
      </c>
      <c r="T773" s="170">
        <f t="shared" si="115"/>
        <v>931.43964974069809</v>
      </c>
      <c r="U773" s="170">
        <f t="shared" si="113"/>
        <v>931.43964974069809</v>
      </c>
      <c r="V773" s="202">
        <f t="shared" si="116"/>
        <v>0</v>
      </c>
      <c r="W773" s="202">
        <f t="shared" si="117"/>
        <v>931.43964974069809</v>
      </c>
      <c r="X773" s="202">
        <v>0</v>
      </c>
      <c r="Y773" s="203">
        <v>0</v>
      </c>
      <c r="Z773" s="203">
        <v>0</v>
      </c>
      <c r="AA773" s="203">
        <v>0</v>
      </c>
      <c r="AB773" s="203">
        <v>0</v>
      </c>
      <c r="AC773" s="203">
        <v>0</v>
      </c>
      <c r="AD773" s="203">
        <v>0</v>
      </c>
      <c r="AE773" s="203">
        <v>0</v>
      </c>
      <c r="AF773" s="202">
        <v>0</v>
      </c>
      <c r="AG773" s="203">
        <v>0</v>
      </c>
      <c r="AH773" s="202">
        <v>0</v>
      </c>
      <c r="AI773" s="203">
        <v>0</v>
      </c>
      <c r="AJ773" s="202">
        <v>0</v>
      </c>
      <c r="AK773" s="203">
        <v>0</v>
      </c>
      <c r="AL773" s="203">
        <v>0</v>
      </c>
      <c r="AM773" s="203">
        <v>0</v>
      </c>
      <c r="AN773" s="203"/>
      <c r="AO773" s="203">
        <v>0</v>
      </c>
    </row>
    <row r="774" spans="1:41" s="176" customFormat="1" ht="36" customHeight="1" x14ac:dyDescent="0.25">
      <c r="A774" s="176">
        <v>1</v>
      </c>
      <c r="B774" s="171">
        <f>SUBTOTAL(103,$A$552:A774)</f>
        <v>220</v>
      </c>
      <c r="C774" s="172" t="s">
        <v>1795</v>
      </c>
      <c r="D774" s="173">
        <v>1984</v>
      </c>
      <c r="E774" s="173"/>
      <c r="F774" s="174" t="s">
        <v>318</v>
      </c>
      <c r="G774" s="173" t="s">
        <v>357</v>
      </c>
      <c r="H774" s="173" t="s">
        <v>308</v>
      </c>
      <c r="I774" s="177">
        <v>9011.44</v>
      </c>
      <c r="J774" s="177">
        <v>9011.44</v>
      </c>
      <c r="K774" s="177">
        <v>6852.4</v>
      </c>
      <c r="L774" s="206" t="s">
        <v>2671</v>
      </c>
      <c r="M774" s="173" t="s">
        <v>265</v>
      </c>
      <c r="N774" s="173" t="s">
        <v>269</v>
      </c>
      <c r="O774" s="175" t="s">
        <v>2666</v>
      </c>
      <c r="P774" s="170">
        <v>6858398.4000000004</v>
      </c>
      <c r="Q774" s="170">
        <v>0</v>
      </c>
      <c r="R774" s="170">
        <v>0</v>
      </c>
      <c r="S774" s="170">
        <f t="shared" si="114"/>
        <v>6858398.4000000004</v>
      </c>
      <c r="T774" s="170">
        <f t="shared" si="115"/>
        <v>761.07685342187267</v>
      </c>
      <c r="U774" s="170">
        <f t="shared" si="113"/>
        <v>761.07685342187267</v>
      </c>
      <c r="V774" s="202">
        <f t="shared" si="116"/>
        <v>0</v>
      </c>
      <c r="W774" s="202">
        <f t="shared" si="117"/>
        <v>761.07685342187267</v>
      </c>
      <c r="X774" s="202">
        <v>0</v>
      </c>
      <c r="Y774" s="203">
        <v>0</v>
      </c>
      <c r="Z774" s="203">
        <v>0</v>
      </c>
      <c r="AA774" s="203">
        <v>0</v>
      </c>
      <c r="AB774" s="203">
        <v>0</v>
      </c>
      <c r="AC774" s="203">
        <v>0</v>
      </c>
      <c r="AD774" s="203">
        <v>0</v>
      </c>
      <c r="AE774" s="203">
        <v>0</v>
      </c>
      <c r="AF774" s="202">
        <v>0</v>
      </c>
      <c r="AG774" s="203">
        <v>0</v>
      </c>
      <c r="AH774" s="202">
        <v>0</v>
      </c>
      <c r="AI774" s="203">
        <v>0</v>
      </c>
      <c r="AJ774" s="202">
        <v>0</v>
      </c>
      <c r="AK774" s="203">
        <v>0</v>
      </c>
      <c r="AL774" s="203">
        <v>0</v>
      </c>
      <c r="AM774" s="203">
        <v>0</v>
      </c>
      <c r="AN774" s="203"/>
      <c r="AO774" s="203">
        <v>0</v>
      </c>
    </row>
    <row r="775" spans="1:41" s="176" customFormat="1" ht="36" customHeight="1" x14ac:dyDescent="0.25">
      <c r="A775" s="176">
        <v>1</v>
      </c>
      <c r="B775" s="171">
        <f>SUBTOTAL(103,$A$552:A775)</f>
        <v>221</v>
      </c>
      <c r="C775" s="172" t="s">
        <v>2626</v>
      </c>
      <c r="D775" s="173">
        <v>1986</v>
      </c>
      <c r="E775" s="173"/>
      <c r="F775" s="174" t="s">
        <v>318</v>
      </c>
      <c r="G775" s="173" t="s">
        <v>357</v>
      </c>
      <c r="H775" s="173" t="s">
        <v>308</v>
      </c>
      <c r="I775" s="177">
        <v>8922.0400000000009</v>
      </c>
      <c r="J775" s="177">
        <v>8922.0400000000009</v>
      </c>
      <c r="K775" s="177">
        <v>6888</v>
      </c>
      <c r="L775" s="206" t="s">
        <v>2672</v>
      </c>
      <c r="M775" s="173" t="s">
        <v>265</v>
      </c>
      <c r="N775" s="173" t="s">
        <v>269</v>
      </c>
      <c r="O775" s="175" t="s">
        <v>2666</v>
      </c>
      <c r="P775" s="170">
        <v>9094531.1999999993</v>
      </c>
      <c r="Q775" s="170">
        <v>0</v>
      </c>
      <c r="R775" s="170">
        <v>0</v>
      </c>
      <c r="S775" s="170">
        <f t="shared" si="114"/>
        <v>9094531.1999999993</v>
      </c>
      <c r="T775" s="170">
        <f t="shared" si="115"/>
        <v>1019.3331569910018</v>
      </c>
      <c r="U775" s="170">
        <f t="shared" si="113"/>
        <v>1019.3331569910018</v>
      </c>
      <c r="V775" s="202">
        <f t="shared" si="116"/>
        <v>0</v>
      </c>
      <c r="W775" s="202">
        <f t="shared" si="117"/>
        <v>1019.3331569910018</v>
      </c>
      <c r="X775" s="202">
        <v>0</v>
      </c>
      <c r="Y775" s="203">
        <v>0</v>
      </c>
      <c r="Z775" s="203">
        <v>0</v>
      </c>
      <c r="AA775" s="203">
        <v>0</v>
      </c>
      <c r="AB775" s="203">
        <v>0</v>
      </c>
      <c r="AC775" s="203">
        <v>0</v>
      </c>
      <c r="AD775" s="203">
        <v>0</v>
      </c>
      <c r="AE775" s="203">
        <v>0</v>
      </c>
      <c r="AF775" s="202">
        <v>0</v>
      </c>
      <c r="AG775" s="203">
        <v>0</v>
      </c>
      <c r="AH775" s="202">
        <v>0</v>
      </c>
      <c r="AI775" s="203">
        <v>0</v>
      </c>
      <c r="AJ775" s="202">
        <v>0</v>
      </c>
      <c r="AK775" s="203">
        <v>0</v>
      </c>
      <c r="AL775" s="203">
        <v>0</v>
      </c>
      <c r="AM775" s="203">
        <v>0</v>
      </c>
      <c r="AN775" s="203"/>
      <c r="AO775" s="203">
        <v>0</v>
      </c>
    </row>
    <row r="776" spans="1:41" s="176" customFormat="1" ht="36" customHeight="1" x14ac:dyDescent="0.25">
      <c r="A776" s="176">
        <v>1</v>
      </c>
      <c r="B776" s="171">
        <f>SUBTOTAL(103,$A$552:A776)</f>
        <v>222</v>
      </c>
      <c r="C776" s="172" t="s">
        <v>2526</v>
      </c>
      <c r="D776" s="173">
        <v>1983</v>
      </c>
      <c r="E776" s="173"/>
      <c r="F776" s="174" t="s">
        <v>318</v>
      </c>
      <c r="G776" s="173" t="s">
        <v>357</v>
      </c>
      <c r="H776" s="173" t="s">
        <v>308</v>
      </c>
      <c r="I776" s="177">
        <v>8995.5400000000009</v>
      </c>
      <c r="J776" s="177">
        <v>8995.5400000000009</v>
      </c>
      <c r="K776" s="177">
        <v>6957.5</v>
      </c>
      <c r="L776" s="206" t="s">
        <v>2673</v>
      </c>
      <c r="M776" s="173" t="s">
        <v>265</v>
      </c>
      <c r="N776" s="173" t="s">
        <v>269</v>
      </c>
      <c r="O776" s="175" t="s">
        <v>2666</v>
      </c>
      <c r="P776" s="170">
        <v>6858398.4000000004</v>
      </c>
      <c r="Q776" s="170">
        <v>0</v>
      </c>
      <c r="R776" s="170">
        <v>0</v>
      </c>
      <c r="S776" s="170">
        <f t="shared" si="114"/>
        <v>6858398.4000000004</v>
      </c>
      <c r="T776" s="170">
        <f t="shared" si="115"/>
        <v>762.4220891686324</v>
      </c>
      <c r="U776" s="170">
        <f t="shared" si="113"/>
        <v>762.4220891686324</v>
      </c>
      <c r="V776" s="202">
        <f t="shared" si="116"/>
        <v>0</v>
      </c>
      <c r="W776" s="202">
        <f t="shared" si="117"/>
        <v>762.4220891686324</v>
      </c>
      <c r="X776" s="202">
        <v>0</v>
      </c>
      <c r="Y776" s="203">
        <v>0</v>
      </c>
      <c r="Z776" s="203">
        <v>0</v>
      </c>
      <c r="AA776" s="203">
        <v>0</v>
      </c>
      <c r="AB776" s="203">
        <v>0</v>
      </c>
      <c r="AC776" s="203">
        <v>0</v>
      </c>
      <c r="AD776" s="203">
        <v>0</v>
      </c>
      <c r="AE776" s="203">
        <v>0</v>
      </c>
      <c r="AF776" s="202">
        <v>0</v>
      </c>
      <c r="AG776" s="203">
        <v>0</v>
      </c>
      <c r="AH776" s="202">
        <v>0</v>
      </c>
      <c r="AI776" s="203">
        <v>0</v>
      </c>
      <c r="AJ776" s="202">
        <v>0</v>
      </c>
      <c r="AK776" s="203">
        <v>0</v>
      </c>
      <c r="AL776" s="203">
        <v>0</v>
      </c>
      <c r="AM776" s="203">
        <v>0</v>
      </c>
      <c r="AN776" s="203"/>
      <c r="AO776" s="203">
        <v>0</v>
      </c>
    </row>
    <row r="777" spans="1:41" s="176" customFormat="1" ht="36" customHeight="1" x14ac:dyDescent="0.25">
      <c r="A777" s="176">
        <v>1</v>
      </c>
      <c r="B777" s="171">
        <f>SUBTOTAL(103,$A$552:A777)</f>
        <v>223</v>
      </c>
      <c r="C777" s="172" t="s">
        <v>2627</v>
      </c>
      <c r="D777" s="173">
        <v>1990</v>
      </c>
      <c r="E777" s="173"/>
      <c r="F777" s="174" t="s">
        <v>318</v>
      </c>
      <c r="G777" s="173" t="s">
        <v>357</v>
      </c>
      <c r="H777" s="173" t="s">
        <v>351</v>
      </c>
      <c r="I777" s="177">
        <v>12418.1</v>
      </c>
      <c r="J777" s="177">
        <v>12414.2</v>
      </c>
      <c r="K777" s="177">
        <v>9746.7999999999993</v>
      </c>
      <c r="L777" s="206" t="s">
        <v>2674</v>
      </c>
      <c r="M777" s="173" t="s">
        <v>265</v>
      </c>
      <c r="N777" s="173" t="s">
        <v>269</v>
      </c>
      <c r="O777" s="175" t="s">
        <v>2422</v>
      </c>
      <c r="P777" s="170">
        <v>11675496.43</v>
      </c>
      <c r="Q777" s="170">
        <v>0</v>
      </c>
      <c r="R777" s="170">
        <v>0</v>
      </c>
      <c r="S777" s="170">
        <f t="shared" si="114"/>
        <v>11675496.43</v>
      </c>
      <c r="T777" s="170">
        <f t="shared" si="115"/>
        <v>940.1999041721358</v>
      </c>
      <c r="U777" s="170">
        <f t="shared" si="113"/>
        <v>940.1999041721358</v>
      </c>
      <c r="V777" s="202">
        <f t="shared" si="116"/>
        <v>0</v>
      </c>
      <c r="W777" s="202">
        <f t="shared" si="117"/>
        <v>940.1999041721358</v>
      </c>
      <c r="X777" s="202">
        <v>0</v>
      </c>
      <c r="Y777" s="203">
        <v>0</v>
      </c>
      <c r="Z777" s="203">
        <v>0</v>
      </c>
      <c r="AA777" s="203">
        <v>0</v>
      </c>
      <c r="AB777" s="203">
        <v>0</v>
      </c>
      <c r="AC777" s="203">
        <v>0</v>
      </c>
      <c r="AD777" s="203">
        <v>0</v>
      </c>
      <c r="AE777" s="203">
        <v>0</v>
      </c>
      <c r="AF777" s="202">
        <v>0</v>
      </c>
      <c r="AG777" s="203">
        <v>0</v>
      </c>
      <c r="AH777" s="202">
        <v>0</v>
      </c>
      <c r="AI777" s="203">
        <v>0</v>
      </c>
      <c r="AJ777" s="202">
        <v>0</v>
      </c>
      <c r="AK777" s="203">
        <v>0</v>
      </c>
      <c r="AL777" s="203">
        <v>0</v>
      </c>
      <c r="AM777" s="203">
        <v>0</v>
      </c>
      <c r="AN777" s="203"/>
      <c r="AO777" s="203">
        <v>0</v>
      </c>
    </row>
    <row r="778" spans="1:41" s="176" customFormat="1" ht="36" customHeight="1" x14ac:dyDescent="0.25">
      <c r="A778" s="176">
        <v>1</v>
      </c>
      <c r="B778" s="171">
        <f>SUBTOTAL(103,$A$552:A778)</f>
        <v>224</v>
      </c>
      <c r="C778" s="172" t="s">
        <v>2628</v>
      </c>
      <c r="D778" s="173">
        <v>1993</v>
      </c>
      <c r="E778" s="173"/>
      <c r="F778" s="174" t="s">
        <v>318</v>
      </c>
      <c r="G778" s="173" t="s">
        <v>357</v>
      </c>
      <c r="H778" s="173" t="s">
        <v>308</v>
      </c>
      <c r="I778" s="177">
        <v>10031.700000000001</v>
      </c>
      <c r="J778" s="177">
        <v>8599.4</v>
      </c>
      <c r="K778" s="177">
        <v>5931.8</v>
      </c>
      <c r="L778" s="206" t="s">
        <v>2675</v>
      </c>
      <c r="M778" s="173" t="s">
        <v>265</v>
      </c>
      <c r="N778" s="173" t="s">
        <v>269</v>
      </c>
      <c r="O778" s="175" t="s">
        <v>2422</v>
      </c>
      <c r="P778" s="170">
        <v>9356397.1500000004</v>
      </c>
      <c r="Q778" s="170">
        <v>0</v>
      </c>
      <c r="R778" s="170">
        <v>0</v>
      </c>
      <c r="S778" s="170">
        <f t="shared" si="114"/>
        <v>9356397.1500000004</v>
      </c>
      <c r="T778" s="170">
        <f t="shared" si="115"/>
        <v>932.68310954274943</v>
      </c>
      <c r="U778" s="170">
        <f t="shared" si="113"/>
        <v>932.68310954274943</v>
      </c>
      <c r="V778" s="202">
        <f t="shared" si="116"/>
        <v>0</v>
      </c>
      <c r="W778" s="202">
        <f t="shared" si="117"/>
        <v>932.68310954274943</v>
      </c>
      <c r="X778" s="202">
        <v>0</v>
      </c>
      <c r="Y778" s="203">
        <v>0</v>
      </c>
      <c r="Z778" s="203">
        <v>0</v>
      </c>
      <c r="AA778" s="203">
        <v>0</v>
      </c>
      <c r="AB778" s="203">
        <v>0</v>
      </c>
      <c r="AC778" s="203">
        <v>0</v>
      </c>
      <c r="AD778" s="203">
        <v>0</v>
      </c>
      <c r="AE778" s="203">
        <v>0</v>
      </c>
      <c r="AF778" s="202">
        <v>0</v>
      </c>
      <c r="AG778" s="203">
        <v>0</v>
      </c>
      <c r="AH778" s="202">
        <v>0</v>
      </c>
      <c r="AI778" s="203">
        <v>0</v>
      </c>
      <c r="AJ778" s="202">
        <v>0</v>
      </c>
      <c r="AK778" s="203">
        <v>0</v>
      </c>
      <c r="AL778" s="203">
        <v>0</v>
      </c>
      <c r="AM778" s="203">
        <v>0</v>
      </c>
      <c r="AN778" s="203"/>
      <c r="AO778" s="203">
        <v>0</v>
      </c>
    </row>
    <row r="779" spans="1:41" s="176" customFormat="1" ht="36" customHeight="1" x14ac:dyDescent="0.25">
      <c r="A779" s="176">
        <v>1</v>
      </c>
      <c r="B779" s="171">
        <f>SUBTOTAL(103,$A$552:A779)</f>
        <v>225</v>
      </c>
      <c r="C779" s="172" t="s">
        <v>2629</v>
      </c>
      <c r="D779" s="173">
        <v>1993</v>
      </c>
      <c r="E779" s="173"/>
      <c r="F779" s="174" t="s">
        <v>318</v>
      </c>
      <c r="G779" s="173" t="s">
        <v>357</v>
      </c>
      <c r="H779" s="173" t="s">
        <v>312</v>
      </c>
      <c r="I779" s="177">
        <v>8599.4</v>
      </c>
      <c r="J779" s="177">
        <v>8599.4</v>
      </c>
      <c r="K779" s="177">
        <v>5931.8</v>
      </c>
      <c r="L779" s="206" t="s">
        <v>2676</v>
      </c>
      <c r="M779" s="173" t="s">
        <v>265</v>
      </c>
      <c r="N779" s="173" t="s">
        <v>269</v>
      </c>
      <c r="O779" s="175" t="s">
        <v>2677</v>
      </c>
      <c r="P779" s="170">
        <v>8024951.5800000001</v>
      </c>
      <c r="Q779" s="170">
        <v>0</v>
      </c>
      <c r="R779" s="170">
        <v>0</v>
      </c>
      <c r="S779" s="170">
        <f t="shared" si="114"/>
        <v>8024951.5800000001</v>
      </c>
      <c r="T779" s="170">
        <f t="shared" si="115"/>
        <v>933.19901155894604</v>
      </c>
      <c r="U779" s="170">
        <f t="shared" si="113"/>
        <v>933.19901155894604</v>
      </c>
      <c r="V779" s="202">
        <f t="shared" si="116"/>
        <v>0</v>
      </c>
      <c r="W779" s="202">
        <f t="shared" si="117"/>
        <v>933.19901155894604</v>
      </c>
      <c r="X779" s="202">
        <v>0</v>
      </c>
      <c r="Y779" s="203">
        <v>0</v>
      </c>
      <c r="Z779" s="203">
        <v>0</v>
      </c>
      <c r="AA779" s="203">
        <v>0</v>
      </c>
      <c r="AB779" s="203">
        <v>0</v>
      </c>
      <c r="AC779" s="203">
        <v>0</v>
      </c>
      <c r="AD779" s="203">
        <v>0</v>
      </c>
      <c r="AE779" s="203">
        <v>0</v>
      </c>
      <c r="AF779" s="202">
        <v>0</v>
      </c>
      <c r="AG779" s="203">
        <v>0</v>
      </c>
      <c r="AH779" s="202">
        <v>0</v>
      </c>
      <c r="AI779" s="203">
        <v>0</v>
      </c>
      <c r="AJ779" s="202">
        <v>0</v>
      </c>
      <c r="AK779" s="203">
        <v>0</v>
      </c>
      <c r="AL779" s="203">
        <v>0</v>
      </c>
      <c r="AM779" s="203">
        <v>0</v>
      </c>
      <c r="AN779" s="203"/>
      <c r="AO779" s="203">
        <v>0</v>
      </c>
    </row>
    <row r="780" spans="1:41" s="176" customFormat="1" ht="36" customHeight="1" x14ac:dyDescent="0.25">
      <c r="A780" s="176">
        <v>1</v>
      </c>
      <c r="B780" s="171">
        <f>SUBTOTAL(103,$A$552:A780)</f>
        <v>226</v>
      </c>
      <c r="C780" s="172" t="s">
        <v>2630</v>
      </c>
      <c r="D780" s="173">
        <v>1983</v>
      </c>
      <c r="E780" s="173"/>
      <c r="F780" s="174" t="s">
        <v>2656</v>
      </c>
      <c r="G780" s="173" t="s">
        <v>357</v>
      </c>
      <c r="H780" s="173">
        <v>1</v>
      </c>
      <c r="I780" s="177">
        <v>4378.03</v>
      </c>
      <c r="J780" s="177">
        <v>4378.03</v>
      </c>
      <c r="K780" s="177">
        <v>3117.3</v>
      </c>
      <c r="L780" s="206" t="s">
        <v>2678</v>
      </c>
      <c r="M780" s="173" t="s">
        <v>265</v>
      </c>
      <c r="N780" s="173" t="s">
        <v>269</v>
      </c>
      <c r="O780" s="175" t="s">
        <v>2662</v>
      </c>
      <c r="P780" s="170">
        <v>2366132.7999999998</v>
      </c>
      <c r="Q780" s="170">
        <v>0</v>
      </c>
      <c r="R780" s="170">
        <v>0</v>
      </c>
      <c r="S780" s="170">
        <f t="shared" ref="S780:S789" si="118">P780-Q780-R780</f>
        <v>2366132.7999999998</v>
      </c>
      <c r="T780" s="170">
        <f t="shared" ref="T780:T789" si="119">P780/I780</f>
        <v>540.45604986717774</v>
      </c>
      <c r="U780" s="170">
        <f t="shared" si="113"/>
        <v>540.45604986717774</v>
      </c>
      <c r="V780" s="202">
        <f t="shared" ref="V780:V789" si="120">U780-T780</f>
        <v>0</v>
      </c>
      <c r="W780" s="202">
        <f t="shared" ref="W780:W789" si="121">T780</f>
        <v>540.45604986717774</v>
      </c>
      <c r="X780" s="202">
        <v>0</v>
      </c>
      <c r="Y780" s="203">
        <v>0</v>
      </c>
      <c r="Z780" s="203">
        <v>0</v>
      </c>
      <c r="AA780" s="203">
        <v>0</v>
      </c>
      <c r="AB780" s="203">
        <v>0</v>
      </c>
      <c r="AC780" s="203">
        <v>0</v>
      </c>
      <c r="AD780" s="203">
        <v>0</v>
      </c>
      <c r="AE780" s="203">
        <v>0</v>
      </c>
      <c r="AF780" s="202">
        <v>0</v>
      </c>
      <c r="AG780" s="203">
        <v>0</v>
      </c>
      <c r="AH780" s="202">
        <v>0</v>
      </c>
      <c r="AI780" s="203">
        <v>0</v>
      </c>
      <c r="AJ780" s="202">
        <v>0</v>
      </c>
      <c r="AK780" s="203">
        <v>0</v>
      </c>
      <c r="AL780" s="203">
        <v>0</v>
      </c>
      <c r="AM780" s="203">
        <v>0</v>
      </c>
      <c r="AN780" s="203"/>
      <c r="AO780" s="203">
        <v>0</v>
      </c>
    </row>
    <row r="781" spans="1:41" s="176" customFormat="1" ht="36" customHeight="1" x14ac:dyDescent="0.25">
      <c r="A781" s="176">
        <v>1</v>
      </c>
      <c r="B781" s="171">
        <f>SUBTOTAL(103,$A$552:A781)</f>
        <v>227</v>
      </c>
      <c r="C781" s="172" t="s">
        <v>2631</v>
      </c>
      <c r="D781" s="173">
        <v>1993</v>
      </c>
      <c r="E781" s="173"/>
      <c r="F781" s="174" t="s">
        <v>318</v>
      </c>
      <c r="G781" s="173" t="s">
        <v>357</v>
      </c>
      <c r="H781" s="173" t="s">
        <v>303</v>
      </c>
      <c r="I781" s="177">
        <v>4345.8</v>
      </c>
      <c r="J781" s="177">
        <v>4345.8</v>
      </c>
      <c r="K781" s="177">
        <v>3869.1</v>
      </c>
      <c r="L781" s="206" t="s">
        <v>2679</v>
      </c>
      <c r="M781" s="173" t="s">
        <v>265</v>
      </c>
      <c r="N781" s="173" t="s">
        <v>269</v>
      </c>
      <c r="O781" s="175" t="s">
        <v>2668</v>
      </c>
      <c r="P781" s="170">
        <v>4738198.57</v>
      </c>
      <c r="Q781" s="170">
        <v>0</v>
      </c>
      <c r="R781" s="170">
        <v>0</v>
      </c>
      <c r="S781" s="170">
        <f t="shared" si="118"/>
        <v>4738198.57</v>
      </c>
      <c r="T781" s="170">
        <f t="shared" si="119"/>
        <v>1090.2937479865618</v>
      </c>
      <c r="U781" s="170">
        <f t="shared" si="113"/>
        <v>1090.2937479865618</v>
      </c>
      <c r="V781" s="202">
        <f t="shared" si="120"/>
        <v>0</v>
      </c>
      <c r="W781" s="202">
        <f t="shared" si="121"/>
        <v>1090.2937479865618</v>
      </c>
      <c r="X781" s="202">
        <v>0</v>
      </c>
      <c r="Y781" s="203">
        <v>0</v>
      </c>
      <c r="Z781" s="203">
        <v>0</v>
      </c>
      <c r="AA781" s="203">
        <v>0</v>
      </c>
      <c r="AB781" s="203">
        <v>0</v>
      </c>
      <c r="AC781" s="203">
        <v>0</v>
      </c>
      <c r="AD781" s="203">
        <v>0</v>
      </c>
      <c r="AE781" s="203">
        <v>0</v>
      </c>
      <c r="AF781" s="202">
        <v>0</v>
      </c>
      <c r="AG781" s="203">
        <v>0</v>
      </c>
      <c r="AH781" s="202">
        <v>0</v>
      </c>
      <c r="AI781" s="203">
        <v>0</v>
      </c>
      <c r="AJ781" s="202">
        <v>0</v>
      </c>
      <c r="AK781" s="203">
        <v>0</v>
      </c>
      <c r="AL781" s="203">
        <v>0</v>
      </c>
      <c r="AM781" s="203">
        <v>0</v>
      </c>
      <c r="AN781" s="203"/>
      <c r="AO781" s="203">
        <v>0</v>
      </c>
    </row>
    <row r="782" spans="1:41" s="183" customFormat="1" ht="36" customHeight="1" x14ac:dyDescent="0.25">
      <c r="A782" s="183">
        <v>1</v>
      </c>
      <c r="B782" s="171">
        <f>SUBTOTAL(103,$A$552:A782)</f>
        <v>228</v>
      </c>
      <c r="C782" s="178" t="s">
        <v>2420</v>
      </c>
      <c r="D782" s="179">
        <v>1988</v>
      </c>
      <c r="E782" s="179"/>
      <c r="F782" s="174" t="s">
        <v>318</v>
      </c>
      <c r="G782" s="179">
        <v>9</v>
      </c>
      <c r="H782" s="179">
        <v>2</v>
      </c>
      <c r="I782" s="180">
        <v>4409.1000000000004</v>
      </c>
      <c r="J782" s="180">
        <v>3904.2</v>
      </c>
      <c r="K782" s="180">
        <v>3904.2</v>
      </c>
      <c r="L782" s="207">
        <v>164</v>
      </c>
      <c r="M782" s="179" t="s">
        <v>265</v>
      </c>
      <c r="N782" s="179" t="s">
        <v>269</v>
      </c>
      <c r="O782" s="181" t="s">
        <v>1885</v>
      </c>
      <c r="P782" s="182">
        <v>4718198.57</v>
      </c>
      <c r="Q782" s="182">
        <v>0</v>
      </c>
      <c r="R782" s="182">
        <v>0</v>
      </c>
      <c r="S782" s="182">
        <f t="shared" si="118"/>
        <v>4718198.57</v>
      </c>
      <c r="T782" s="182">
        <f t="shared" si="119"/>
        <v>1070.1046857635345</v>
      </c>
      <c r="U782" s="170">
        <v>1114.8760518019549</v>
      </c>
      <c r="V782" s="204">
        <f t="shared" si="120"/>
        <v>44.77136603842041</v>
      </c>
      <c r="W782" s="204">
        <f t="shared" ref="W782:W783" si="122">X782+Y782+Z782+AA782+AB782+AD782+AF782+AH782+AJ782+AL782+AN782+AO782</f>
        <v>2897.2280567462744</v>
      </c>
      <c r="X782" s="204">
        <v>0</v>
      </c>
      <c r="Y782" s="205">
        <v>0</v>
      </c>
      <c r="Z782" s="205">
        <v>0</v>
      </c>
      <c r="AA782" s="205">
        <v>0</v>
      </c>
      <c r="AB782" s="205">
        <v>0</v>
      </c>
      <c r="AC782" s="205">
        <v>0</v>
      </c>
      <c r="AD782" s="205">
        <v>0</v>
      </c>
      <c r="AE782" s="205">
        <v>2047.5</v>
      </c>
      <c r="AF782" s="204">
        <f t="shared" ref="AF782" si="123">6238.91*AE782/I782</f>
        <v>2897.2280567462744</v>
      </c>
      <c r="AG782" s="205">
        <v>0</v>
      </c>
      <c r="AH782" s="204">
        <v>0</v>
      </c>
      <c r="AI782" s="205">
        <v>0</v>
      </c>
      <c r="AJ782" s="204">
        <v>0</v>
      </c>
      <c r="AK782" s="205">
        <v>0</v>
      </c>
      <c r="AL782" s="205">
        <v>0</v>
      </c>
      <c r="AM782" s="205">
        <v>0</v>
      </c>
      <c r="AN782" s="205"/>
      <c r="AO782" s="205">
        <v>0</v>
      </c>
    </row>
    <row r="783" spans="1:41" s="183" customFormat="1" ht="36" customHeight="1" x14ac:dyDescent="0.25">
      <c r="A783" s="183">
        <v>1</v>
      </c>
      <c r="B783" s="171">
        <f>SUBTOTAL(103,$A$552:A783)</f>
        <v>229</v>
      </c>
      <c r="C783" s="178" t="s">
        <v>2421</v>
      </c>
      <c r="D783" s="179">
        <v>1989</v>
      </c>
      <c r="E783" s="179"/>
      <c r="F783" s="174" t="s">
        <v>267</v>
      </c>
      <c r="G783" s="179">
        <v>9</v>
      </c>
      <c r="H783" s="179">
        <v>2</v>
      </c>
      <c r="I783" s="180">
        <v>5092.8</v>
      </c>
      <c r="J783" s="180">
        <v>3984.1</v>
      </c>
      <c r="K783" s="180">
        <v>3984.1</v>
      </c>
      <c r="L783" s="207">
        <v>155</v>
      </c>
      <c r="M783" s="179" t="s">
        <v>265</v>
      </c>
      <c r="N783" s="179" t="s">
        <v>269</v>
      </c>
      <c r="O783" s="181" t="s">
        <v>2422</v>
      </c>
      <c r="P783" s="182">
        <v>4718198.57</v>
      </c>
      <c r="Q783" s="182">
        <v>0</v>
      </c>
      <c r="R783" s="182">
        <v>0</v>
      </c>
      <c r="S783" s="182">
        <f t="shared" si="118"/>
        <v>4718198.57</v>
      </c>
      <c r="T783" s="182">
        <f t="shared" si="119"/>
        <v>926.44489671693373</v>
      </c>
      <c r="U783" s="170">
        <v>965.20578071002194</v>
      </c>
      <c r="V783" s="204">
        <f t="shared" si="120"/>
        <v>38.760883993088214</v>
      </c>
      <c r="W783" s="204">
        <f t="shared" si="122"/>
        <v>465.51716148287773</v>
      </c>
      <c r="X783" s="204">
        <v>0</v>
      </c>
      <c r="Y783" s="205">
        <v>0</v>
      </c>
      <c r="Z783" s="205">
        <v>0</v>
      </c>
      <c r="AA783" s="205">
        <v>0</v>
      </c>
      <c r="AB783" s="205">
        <v>0</v>
      </c>
      <c r="AC783" s="205">
        <v>0</v>
      </c>
      <c r="AD783" s="205">
        <v>0</v>
      </c>
      <c r="AE783" s="205">
        <v>380</v>
      </c>
      <c r="AF783" s="204">
        <f>6238.91*AE783/I783</f>
        <v>465.51716148287773</v>
      </c>
      <c r="AG783" s="205">
        <v>0</v>
      </c>
      <c r="AH783" s="204">
        <v>0</v>
      </c>
      <c r="AI783" s="205">
        <v>0</v>
      </c>
      <c r="AJ783" s="204">
        <v>0</v>
      </c>
      <c r="AK783" s="205">
        <v>0</v>
      </c>
      <c r="AL783" s="205">
        <v>0</v>
      </c>
      <c r="AM783" s="205">
        <v>0</v>
      </c>
      <c r="AN783" s="205"/>
      <c r="AO783" s="205">
        <v>0</v>
      </c>
    </row>
    <row r="784" spans="1:41" s="176" customFormat="1" ht="36" customHeight="1" x14ac:dyDescent="0.25">
      <c r="A784" s="176">
        <v>1</v>
      </c>
      <c r="B784" s="171">
        <f>SUBTOTAL(103,$A$552:A784)</f>
        <v>230</v>
      </c>
      <c r="C784" s="172" t="s">
        <v>2113</v>
      </c>
      <c r="D784" s="173">
        <v>1979</v>
      </c>
      <c r="E784" s="173" t="s">
        <v>1516</v>
      </c>
      <c r="F784" s="174" t="s">
        <v>318</v>
      </c>
      <c r="G784" s="173" t="s">
        <v>357</v>
      </c>
      <c r="H784" s="173">
        <v>4</v>
      </c>
      <c r="I784" s="177">
        <v>8810.4</v>
      </c>
      <c r="J784" s="177">
        <v>8733.6</v>
      </c>
      <c r="K784" s="177">
        <v>7873.9</v>
      </c>
      <c r="L784" s="206" t="s">
        <v>2680</v>
      </c>
      <c r="M784" s="173" t="s">
        <v>265</v>
      </c>
      <c r="N784" s="173" t="s">
        <v>341</v>
      </c>
      <c r="O784" s="175" t="s">
        <v>2681</v>
      </c>
      <c r="P784" s="170">
        <v>9104531.1999999993</v>
      </c>
      <c r="Q784" s="170">
        <v>0</v>
      </c>
      <c r="R784" s="170">
        <v>0</v>
      </c>
      <c r="S784" s="170">
        <f t="shared" si="118"/>
        <v>9104531.1999999993</v>
      </c>
      <c r="T784" s="170">
        <f t="shared" si="119"/>
        <v>1033.3845455370924</v>
      </c>
      <c r="U784" s="170">
        <f t="shared" ref="U784:U790" si="124">T784</f>
        <v>1033.3845455370924</v>
      </c>
      <c r="V784" s="202">
        <f t="shared" si="120"/>
        <v>0</v>
      </c>
      <c r="W784" s="202">
        <f t="shared" si="121"/>
        <v>1033.3845455370924</v>
      </c>
      <c r="X784" s="202">
        <v>0</v>
      </c>
      <c r="Y784" s="203">
        <v>0</v>
      </c>
      <c r="Z784" s="203">
        <v>0</v>
      </c>
      <c r="AA784" s="203">
        <v>0</v>
      </c>
      <c r="AB784" s="203">
        <v>0</v>
      </c>
      <c r="AC784" s="203">
        <v>0</v>
      </c>
      <c r="AD784" s="203">
        <v>0</v>
      </c>
      <c r="AE784" s="203">
        <v>0</v>
      </c>
      <c r="AF784" s="202">
        <v>0</v>
      </c>
      <c r="AG784" s="203">
        <v>0</v>
      </c>
      <c r="AH784" s="202">
        <v>0</v>
      </c>
      <c r="AI784" s="203">
        <v>0</v>
      </c>
      <c r="AJ784" s="202">
        <v>0</v>
      </c>
      <c r="AK784" s="203">
        <v>0</v>
      </c>
      <c r="AL784" s="203">
        <v>0</v>
      </c>
      <c r="AM784" s="203">
        <v>0</v>
      </c>
      <c r="AN784" s="203"/>
      <c r="AO784" s="203">
        <v>0</v>
      </c>
    </row>
    <row r="785" spans="1:41" s="176" customFormat="1" ht="36" customHeight="1" x14ac:dyDescent="0.25">
      <c r="A785" s="176">
        <v>1</v>
      </c>
      <c r="B785" s="171">
        <f>SUBTOTAL(103,$A$552:A785)</f>
        <v>231</v>
      </c>
      <c r="C785" s="172" t="s">
        <v>2532</v>
      </c>
      <c r="D785" s="173">
        <v>1981</v>
      </c>
      <c r="E785" s="173"/>
      <c r="F785" s="174" t="s">
        <v>318</v>
      </c>
      <c r="G785" s="173" t="s">
        <v>357</v>
      </c>
      <c r="H785" s="173" t="s">
        <v>308</v>
      </c>
      <c r="I785" s="177">
        <v>8841</v>
      </c>
      <c r="J785" s="177">
        <v>8841</v>
      </c>
      <c r="K785" s="177">
        <v>7877.4</v>
      </c>
      <c r="L785" s="206" t="s">
        <v>2682</v>
      </c>
      <c r="M785" s="173" t="s">
        <v>265</v>
      </c>
      <c r="N785" s="173" t="s">
        <v>341</v>
      </c>
      <c r="O785" s="175" t="s">
        <v>2683</v>
      </c>
      <c r="P785" s="170">
        <v>9104531.1999999993</v>
      </c>
      <c r="Q785" s="170">
        <v>0</v>
      </c>
      <c r="R785" s="170">
        <v>0</v>
      </c>
      <c r="S785" s="170">
        <f t="shared" si="118"/>
        <v>9104531.1999999993</v>
      </c>
      <c r="T785" s="170">
        <f t="shared" si="119"/>
        <v>1029.8078497907475</v>
      </c>
      <c r="U785" s="170">
        <f t="shared" si="124"/>
        <v>1029.8078497907475</v>
      </c>
      <c r="V785" s="202">
        <f t="shared" si="120"/>
        <v>0</v>
      </c>
      <c r="W785" s="202">
        <f t="shared" si="121"/>
        <v>1029.8078497907475</v>
      </c>
      <c r="X785" s="202">
        <v>0</v>
      </c>
      <c r="Y785" s="203">
        <v>0</v>
      </c>
      <c r="Z785" s="203">
        <v>0</v>
      </c>
      <c r="AA785" s="203">
        <v>0</v>
      </c>
      <c r="AB785" s="203">
        <v>0</v>
      </c>
      <c r="AC785" s="203">
        <v>0</v>
      </c>
      <c r="AD785" s="203">
        <v>0</v>
      </c>
      <c r="AE785" s="203">
        <v>0</v>
      </c>
      <c r="AF785" s="202">
        <v>0</v>
      </c>
      <c r="AG785" s="203">
        <v>0</v>
      </c>
      <c r="AH785" s="202">
        <v>0</v>
      </c>
      <c r="AI785" s="203">
        <v>0</v>
      </c>
      <c r="AJ785" s="202">
        <v>0</v>
      </c>
      <c r="AK785" s="203">
        <v>0</v>
      </c>
      <c r="AL785" s="203">
        <v>0</v>
      </c>
      <c r="AM785" s="203">
        <v>0</v>
      </c>
      <c r="AN785" s="203"/>
      <c r="AO785" s="203">
        <v>0</v>
      </c>
    </row>
    <row r="786" spans="1:41" s="176" customFormat="1" ht="36" customHeight="1" x14ac:dyDescent="0.25">
      <c r="A786" s="176">
        <v>1</v>
      </c>
      <c r="B786" s="171">
        <f>SUBTOTAL(103,$A$552:A786)</f>
        <v>232</v>
      </c>
      <c r="C786" s="172" t="s">
        <v>1805</v>
      </c>
      <c r="D786" s="173">
        <v>1989</v>
      </c>
      <c r="E786" s="173"/>
      <c r="F786" s="174" t="s">
        <v>318</v>
      </c>
      <c r="G786" s="173" t="s">
        <v>357</v>
      </c>
      <c r="H786" s="173">
        <v>6</v>
      </c>
      <c r="I786" s="177">
        <v>13187.7</v>
      </c>
      <c r="J786" s="177">
        <v>13187.7</v>
      </c>
      <c r="K786" s="177">
        <v>10718.6</v>
      </c>
      <c r="L786" s="206" t="s">
        <v>2684</v>
      </c>
      <c r="M786" s="173" t="s">
        <v>265</v>
      </c>
      <c r="N786" s="173" t="s">
        <v>298</v>
      </c>
      <c r="O786" s="175" t="s">
        <v>2685</v>
      </c>
      <c r="P786" s="170">
        <v>13974595.720000001</v>
      </c>
      <c r="Q786" s="170">
        <v>0</v>
      </c>
      <c r="R786" s="170">
        <v>0</v>
      </c>
      <c r="S786" s="170">
        <f t="shared" si="118"/>
        <v>13974595.720000001</v>
      </c>
      <c r="T786" s="170">
        <f t="shared" si="119"/>
        <v>1059.6689126989543</v>
      </c>
      <c r="U786" s="170">
        <f t="shared" si="124"/>
        <v>1059.6689126989543</v>
      </c>
      <c r="V786" s="202">
        <f t="shared" si="120"/>
        <v>0</v>
      </c>
      <c r="W786" s="202">
        <f t="shared" si="121"/>
        <v>1059.6689126989543</v>
      </c>
      <c r="X786" s="202">
        <v>0</v>
      </c>
      <c r="Y786" s="203">
        <v>0</v>
      </c>
      <c r="Z786" s="203">
        <v>0</v>
      </c>
      <c r="AA786" s="203">
        <v>0</v>
      </c>
      <c r="AB786" s="203">
        <v>0</v>
      </c>
      <c r="AC786" s="203">
        <v>0</v>
      </c>
      <c r="AD786" s="203">
        <v>0</v>
      </c>
      <c r="AE786" s="203">
        <v>0</v>
      </c>
      <c r="AF786" s="202">
        <v>0</v>
      </c>
      <c r="AG786" s="203">
        <v>0</v>
      </c>
      <c r="AH786" s="202">
        <v>0</v>
      </c>
      <c r="AI786" s="203">
        <v>0</v>
      </c>
      <c r="AJ786" s="202">
        <v>0</v>
      </c>
      <c r="AK786" s="203">
        <v>0</v>
      </c>
      <c r="AL786" s="203">
        <v>0</v>
      </c>
      <c r="AM786" s="203">
        <v>0</v>
      </c>
      <c r="AN786" s="203"/>
      <c r="AO786" s="203">
        <v>0</v>
      </c>
    </row>
    <row r="787" spans="1:41" s="176" customFormat="1" ht="36" customHeight="1" x14ac:dyDescent="0.25">
      <c r="A787" s="176">
        <v>1</v>
      </c>
      <c r="B787" s="171">
        <f>SUBTOTAL(103,$A$552:A787)</f>
        <v>233</v>
      </c>
      <c r="C787" s="172" t="s">
        <v>2632</v>
      </c>
      <c r="D787" s="173">
        <v>1995</v>
      </c>
      <c r="E787" s="173"/>
      <c r="F787" s="174" t="s">
        <v>318</v>
      </c>
      <c r="G787" s="173" t="s">
        <v>357</v>
      </c>
      <c r="H787" s="173">
        <v>2</v>
      </c>
      <c r="I787" s="177">
        <v>5399.54</v>
      </c>
      <c r="J787" s="177">
        <v>5399.54</v>
      </c>
      <c r="K787" s="177">
        <v>3926.7</v>
      </c>
      <c r="L787" s="206" t="s">
        <v>2686</v>
      </c>
      <c r="M787" s="173" t="s">
        <v>265</v>
      </c>
      <c r="N787" s="173" t="s">
        <v>269</v>
      </c>
      <c r="O787" s="175" t="s">
        <v>2662</v>
      </c>
      <c r="P787" s="170">
        <v>4738198.57</v>
      </c>
      <c r="Q787" s="170">
        <v>0</v>
      </c>
      <c r="R787" s="170">
        <v>0</v>
      </c>
      <c r="S787" s="170">
        <f t="shared" si="118"/>
        <v>4738198.57</v>
      </c>
      <c r="T787" s="170">
        <f t="shared" si="119"/>
        <v>877.51893124229105</v>
      </c>
      <c r="U787" s="170">
        <f t="shared" si="124"/>
        <v>877.51893124229105</v>
      </c>
      <c r="V787" s="202">
        <f t="shared" si="120"/>
        <v>0</v>
      </c>
      <c r="W787" s="202">
        <f t="shared" si="121"/>
        <v>877.51893124229105</v>
      </c>
      <c r="X787" s="202">
        <v>0</v>
      </c>
      <c r="Y787" s="203">
        <v>0</v>
      </c>
      <c r="Z787" s="203">
        <v>0</v>
      </c>
      <c r="AA787" s="203">
        <v>0</v>
      </c>
      <c r="AB787" s="203">
        <v>0</v>
      </c>
      <c r="AC787" s="203">
        <v>0</v>
      </c>
      <c r="AD787" s="203">
        <v>0</v>
      </c>
      <c r="AE787" s="203">
        <v>0</v>
      </c>
      <c r="AF787" s="202">
        <v>0</v>
      </c>
      <c r="AG787" s="203">
        <v>0</v>
      </c>
      <c r="AH787" s="202">
        <v>0</v>
      </c>
      <c r="AI787" s="203">
        <v>0</v>
      </c>
      <c r="AJ787" s="202">
        <v>0</v>
      </c>
      <c r="AK787" s="203">
        <v>0</v>
      </c>
      <c r="AL787" s="203">
        <v>0</v>
      </c>
      <c r="AM787" s="203">
        <v>0</v>
      </c>
      <c r="AN787" s="203"/>
      <c r="AO787" s="203">
        <v>0</v>
      </c>
    </row>
    <row r="788" spans="1:41" s="176" customFormat="1" ht="36" customHeight="1" x14ac:dyDescent="0.25">
      <c r="A788" s="176">
        <v>1</v>
      </c>
      <c r="B788" s="171">
        <f>SUBTOTAL(103,$A$552:A788)</f>
        <v>234</v>
      </c>
      <c r="C788" s="172" t="s">
        <v>2633</v>
      </c>
      <c r="D788" s="173">
        <v>1986</v>
      </c>
      <c r="E788" s="173" t="s">
        <v>2687</v>
      </c>
      <c r="F788" s="174" t="s">
        <v>318</v>
      </c>
      <c r="G788" s="173" t="s">
        <v>357</v>
      </c>
      <c r="H788" s="173" t="s">
        <v>308</v>
      </c>
      <c r="I788" s="177">
        <v>8758.7999999999993</v>
      </c>
      <c r="J788" s="177">
        <v>8758.8000000000011</v>
      </c>
      <c r="K788" s="177">
        <v>7796.6</v>
      </c>
      <c r="L788" s="206" t="s">
        <v>2688</v>
      </c>
      <c r="M788" s="173" t="s">
        <v>265</v>
      </c>
      <c r="N788" s="173" t="s">
        <v>269</v>
      </c>
      <c r="O788" s="175" t="s">
        <v>2689</v>
      </c>
      <c r="P788" s="170">
        <v>9356397.1500000004</v>
      </c>
      <c r="Q788" s="170">
        <v>0</v>
      </c>
      <c r="R788" s="170">
        <v>0</v>
      </c>
      <c r="S788" s="170">
        <f t="shared" si="118"/>
        <v>9356397.1500000004</v>
      </c>
      <c r="T788" s="170">
        <f t="shared" si="119"/>
        <v>1068.2281990683657</v>
      </c>
      <c r="U788" s="170">
        <f t="shared" si="124"/>
        <v>1068.2281990683657</v>
      </c>
      <c r="V788" s="202">
        <f t="shared" si="120"/>
        <v>0</v>
      </c>
      <c r="W788" s="202">
        <f t="shared" si="121"/>
        <v>1068.2281990683657</v>
      </c>
      <c r="X788" s="202">
        <v>0</v>
      </c>
      <c r="Y788" s="203">
        <v>0</v>
      </c>
      <c r="Z788" s="203">
        <v>0</v>
      </c>
      <c r="AA788" s="203">
        <v>0</v>
      </c>
      <c r="AB788" s="203">
        <v>0</v>
      </c>
      <c r="AC788" s="203">
        <v>0</v>
      </c>
      <c r="AD788" s="203">
        <v>0</v>
      </c>
      <c r="AE788" s="203">
        <v>0</v>
      </c>
      <c r="AF788" s="202">
        <v>0</v>
      </c>
      <c r="AG788" s="203">
        <v>0</v>
      </c>
      <c r="AH788" s="202">
        <v>0</v>
      </c>
      <c r="AI788" s="203">
        <v>0</v>
      </c>
      <c r="AJ788" s="202">
        <v>0</v>
      </c>
      <c r="AK788" s="203">
        <v>0</v>
      </c>
      <c r="AL788" s="203">
        <v>0</v>
      </c>
      <c r="AM788" s="203">
        <v>0</v>
      </c>
      <c r="AN788" s="203"/>
      <c r="AO788" s="203">
        <v>0</v>
      </c>
    </row>
    <row r="789" spans="1:41" s="176" customFormat="1" ht="36" customHeight="1" x14ac:dyDescent="0.25">
      <c r="A789" s="176">
        <v>1</v>
      </c>
      <c r="B789" s="171">
        <f>SUBTOTAL(103,$A$552:A789)</f>
        <v>235</v>
      </c>
      <c r="C789" s="172" t="s">
        <v>2634</v>
      </c>
      <c r="D789" s="173">
        <v>1992</v>
      </c>
      <c r="E789" s="173"/>
      <c r="F789" s="174" t="s">
        <v>318</v>
      </c>
      <c r="G789" s="173" t="s">
        <v>357</v>
      </c>
      <c r="H789" s="173">
        <v>3</v>
      </c>
      <c r="I789" s="177">
        <v>7999.52</v>
      </c>
      <c r="J789" s="177">
        <v>7999.52</v>
      </c>
      <c r="K789" s="177">
        <v>5812.1</v>
      </c>
      <c r="L789" s="206" t="s">
        <v>2690</v>
      </c>
      <c r="M789" s="173" t="s">
        <v>265</v>
      </c>
      <c r="N789" s="173" t="s">
        <v>269</v>
      </c>
      <c r="O789" s="175" t="s">
        <v>2662</v>
      </c>
      <c r="P789" s="170">
        <v>4738198.57</v>
      </c>
      <c r="Q789" s="170">
        <v>0</v>
      </c>
      <c r="R789" s="170">
        <v>0</v>
      </c>
      <c r="S789" s="170">
        <f t="shared" si="118"/>
        <v>4738198.57</v>
      </c>
      <c r="T789" s="170">
        <f t="shared" si="119"/>
        <v>592.31035987159225</v>
      </c>
      <c r="U789" s="170">
        <f t="shared" si="124"/>
        <v>592.31035987159225</v>
      </c>
      <c r="V789" s="202">
        <f t="shared" si="120"/>
        <v>0</v>
      </c>
      <c r="W789" s="202">
        <f t="shared" si="121"/>
        <v>592.31035987159225</v>
      </c>
      <c r="X789" s="202">
        <v>0</v>
      </c>
      <c r="Y789" s="203">
        <v>0</v>
      </c>
      <c r="Z789" s="203">
        <v>0</v>
      </c>
      <c r="AA789" s="203">
        <v>0</v>
      </c>
      <c r="AB789" s="203">
        <v>0</v>
      </c>
      <c r="AC789" s="203">
        <v>0</v>
      </c>
      <c r="AD789" s="203">
        <v>0</v>
      </c>
      <c r="AE789" s="203">
        <v>0</v>
      </c>
      <c r="AF789" s="202">
        <v>0</v>
      </c>
      <c r="AG789" s="203">
        <v>0</v>
      </c>
      <c r="AH789" s="202">
        <v>0</v>
      </c>
      <c r="AI789" s="203">
        <v>0</v>
      </c>
      <c r="AJ789" s="202">
        <v>0</v>
      </c>
      <c r="AK789" s="203">
        <v>0</v>
      </c>
      <c r="AL789" s="203">
        <v>0</v>
      </c>
      <c r="AM789" s="203">
        <v>0</v>
      </c>
      <c r="AN789" s="203"/>
      <c r="AO789" s="203">
        <v>0</v>
      </c>
    </row>
    <row r="790" spans="1:41" s="176" customFormat="1" ht="36" customHeight="1" x14ac:dyDescent="0.25">
      <c r="A790" s="176">
        <v>1</v>
      </c>
      <c r="B790" s="171">
        <f>SUBTOTAL(103,$A$552:A790)</f>
        <v>236</v>
      </c>
      <c r="C790" s="172" t="s">
        <v>2635</v>
      </c>
      <c r="D790" s="173">
        <v>1983</v>
      </c>
      <c r="E790" s="173"/>
      <c r="F790" s="174" t="s">
        <v>2656</v>
      </c>
      <c r="G790" s="173" t="s">
        <v>357</v>
      </c>
      <c r="H790" s="173">
        <v>4</v>
      </c>
      <c r="I790" s="177">
        <v>8717.5</v>
      </c>
      <c r="J790" s="177">
        <v>8684.7999999999993</v>
      </c>
      <c r="K790" s="177">
        <v>7756.3</v>
      </c>
      <c r="L790" s="206" t="s">
        <v>2688</v>
      </c>
      <c r="M790" s="173" t="s">
        <v>265</v>
      </c>
      <c r="N790" s="173" t="s">
        <v>269</v>
      </c>
      <c r="O790" s="175" t="s">
        <v>2662</v>
      </c>
      <c r="P790" s="170">
        <v>9104531.1999999993</v>
      </c>
      <c r="Q790" s="170">
        <v>0</v>
      </c>
      <c r="R790" s="170">
        <v>0</v>
      </c>
      <c r="S790" s="170">
        <f t="shared" si="109"/>
        <v>9104531.1999999993</v>
      </c>
      <c r="T790" s="170">
        <f t="shared" si="110"/>
        <v>1044.3970404359047</v>
      </c>
      <c r="U790" s="170">
        <f t="shared" si="124"/>
        <v>1044.3970404359047</v>
      </c>
      <c r="V790" s="202">
        <f t="shared" si="111"/>
        <v>0</v>
      </c>
      <c r="W790" s="202">
        <f t="shared" si="112"/>
        <v>1044.3970404359047</v>
      </c>
      <c r="X790" s="202">
        <v>0</v>
      </c>
      <c r="Y790" s="203">
        <v>0</v>
      </c>
      <c r="Z790" s="203">
        <v>0</v>
      </c>
      <c r="AA790" s="203">
        <v>0</v>
      </c>
      <c r="AB790" s="203">
        <v>0</v>
      </c>
      <c r="AC790" s="203">
        <v>0</v>
      </c>
      <c r="AD790" s="203">
        <v>0</v>
      </c>
      <c r="AE790" s="203">
        <v>0</v>
      </c>
      <c r="AF790" s="202">
        <v>0</v>
      </c>
      <c r="AG790" s="203">
        <v>0</v>
      </c>
      <c r="AH790" s="202">
        <v>0</v>
      </c>
      <c r="AI790" s="203">
        <v>0</v>
      </c>
      <c r="AJ790" s="202">
        <v>0</v>
      </c>
      <c r="AK790" s="203">
        <v>0</v>
      </c>
      <c r="AL790" s="203">
        <v>0</v>
      </c>
      <c r="AM790" s="203">
        <v>0</v>
      </c>
      <c r="AN790" s="203"/>
      <c r="AO790" s="203">
        <v>0</v>
      </c>
    </row>
    <row r="791" spans="1:41" s="183" customFormat="1" ht="36" customHeight="1" x14ac:dyDescent="0.25">
      <c r="A791" s="183">
        <v>1</v>
      </c>
      <c r="B791" s="171">
        <f>SUBTOTAL(103,$A$552:A791)</f>
        <v>237</v>
      </c>
      <c r="C791" s="178" t="s">
        <v>2139</v>
      </c>
      <c r="D791" s="179">
        <v>1989</v>
      </c>
      <c r="E791" s="179"/>
      <c r="F791" s="174" t="s">
        <v>318</v>
      </c>
      <c r="G791" s="179">
        <v>9</v>
      </c>
      <c r="H791" s="179">
        <v>2</v>
      </c>
      <c r="I791" s="180">
        <v>4433.1000000000004</v>
      </c>
      <c r="J791" s="180">
        <v>3943.6</v>
      </c>
      <c r="K791" s="180">
        <v>3943.6</v>
      </c>
      <c r="L791" s="207">
        <v>173</v>
      </c>
      <c r="M791" s="179" t="s">
        <v>265</v>
      </c>
      <c r="N791" s="179" t="s">
        <v>269</v>
      </c>
      <c r="O791" s="181" t="s">
        <v>2415</v>
      </c>
      <c r="P791" s="182">
        <v>4718198.57</v>
      </c>
      <c r="Q791" s="182">
        <v>0</v>
      </c>
      <c r="R791" s="182">
        <v>0</v>
      </c>
      <c r="S791" s="182">
        <f t="shared" si="109"/>
        <v>4718198.57</v>
      </c>
      <c r="T791" s="182">
        <f t="shared" si="110"/>
        <v>1064.3113329272969</v>
      </c>
      <c r="U791" s="170">
        <v>1108.8403149037918</v>
      </c>
      <c r="V791" s="204">
        <f t="shared" si="111"/>
        <v>44.528981976494833</v>
      </c>
      <c r="W791" s="204">
        <f t="shared" ref="W791" si="125">X791+Y791+Z791+AA791+AB791+AD791+AF791+AH791+AJ791+AL791+AN791+AO791</f>
        <v>604.10908844826417</v>
      </c>
      <c r="X791" s="204">
        <v>0</v>
      </c>
      <c r="Y791" s="205">
        <v>0</v>
      </c>
      <c r="Z791" s="205">
        <v>0</v>
      </c>
      <c r="AA791" s="205">
        <v>0</v>
      </c>
      <c r="AB791" s="205">
        <v>0</v>
      </c>
      <c r="AC791" s="205">
        <v>0</v>
      </c>
      <c r="AD791" s="205">
        <v>0</v>
      </c>
      <c r="AE791" s="205">
        <v>0</v>
      </c>
      <c r="AF791" s="204">
        <v>0</v>
      </c>
      <c r="AG791" s="205">
        <v>0</v>
      </c>
      <c r="AH791" s="204">
        <v>0</v>
      </c>
      <c r="AI791" s="205">
        <v>360</v>
      </c>
      <c r="AJ791" s="204">
        <f>7439.1*AI791/I791</f>
        <v>604.10908844826417</v>
      </c>
      <c r="AK791" s="205">
        <v>0</v>
      </c>
      <c r="AL791" s="205">
        <v>0</v>
      </c>
      <c r="AM791" s="205">
        <v>0</v>
      </c>
      <c r="AN791" s="205"/>
      <c r="AO791" s="205">
        <v>0</v>
      </c>
    </row>
    <row r="792" spans="1:41" s="176" customFormat="1" ht="36" customHeight="1" x14ac:dyDescent="0.25">
      <c r="A792" s="176">
        <v>1</v>
      </c>
      <c r="B792" s="171">
        <f>SUBTOTAL(103,$A$552:A792)</f>
        <v>238</v>
      </c>
      <c r="C792" s="172" t="s">
        <v>2636</v>
      </c>
      <c r="D792" s="173">
        <v>1995</v>
      </c>
      <c r="E792" s="173"/>
      <c r="F792" s="174" t="s">
        <v>318</v>
      </c>
      <c r="G792" s="173" t="s">
        <v>357</v>
      </c>
      <c r="H792" s="173" t="s">
        <v>312</v>
      </c>
      <c r="I792" s="177">
        <v>6546.6</v>
      </c>
      <c r="J792" s="177">
        <v>6546.6</v>
      </c>
      <c r="K792" s="177">
        <v>5802.2</v>
      </c>
      <c r="L792" s="206" t="s">
        <v>2691</v>
      </c>
      <c r="M792" s="173" t="s">
        <v>265</v>
      </c>
      <c r="N792" s="173" t="s">
        <v>269</v>
      </c>
      <c r="O792" s="175" t="s">
        <v>2689</v>
      </c>
      <c r="P792" s="170">
        <v>7047297.8600000003</v>
      </c>
      <c r="Q792" s="170">
        <v>0</v>
      </c>
      <c r="R792" s="170">
        <v>0</v>
      </c>
      <c r="S792" s="170">
        <f t="shared" si="109"/>
        <v>7047297.8600000003</v>
      </c>
      <c r="T792" s="170">
        <f t="shared" si="110"/>
        <v>1076.4821220175359</v>
      </c>
      <c r="U792" s="170">
        <f t="shared" ref="U792:U796" si="126">T792</f>
        <v>1076.4821220175359</v>
      </c>
      <c r="V792" s="202">
        <f t="shared" si="111"/>
        <v>0</v>
      </c>
      <c r="W792" s="202">
        <f t="shared" si="112"/>
        <v>1076.4821220175359</v>
      </c>
      <c r="X792" s="202">
        <v>0</v>
      </c>
      <c r="Y792" s="203">
        <v>0</v>
      </c>
      <c r="Z792" s="203">
        <v>0</v>
      </c>
      <c r="AA792" s="203">
        <v>0</v>
      </c>
      <c r="AB792" s="203">
        <v>0</v>
      </c>
      <c r="AC792" s="203">
        <v>0</v>
      </c>
      <c r="AD792" s="203">
        <v>0</v>
      </c>
      <c r="AE792" s="203">
        <v>0</v>
      </c>
      <c r="AF792" s="202">
        <v>0</v>
      </c>
      <c r="AG792" s="203">
        <v>0</v>
      </c>
      <c r="AH792" s="202">
        <v>0</v>
      </c>
      <c r="AI792" s="203">
        <v>0</v>
      </c>
      <c r="AJ792" s="202">
        <v>0</v>
      </c>
      <c r="AK792" s="203">
        <v>0</v>
      </c>
      <c r="AL792" s="203">
        <v>0</v>
      </c>
      <c r="AM792" s="203">
        <v>0</v>
      </c>
      <c r="AN792" s="203"/>
      <c r="AO792" s="203">
        <v>0</v>
      </c>
    </row>
    <row r="793" spans="1:41" s="176" customFormat="1" ht="36" customHeight="1" x14ac:dyDescent="0.25">
      <c r="A793" s="176">
        <v>1</v>
      </c>
      <c r="B793" s="171">
        <f>SUBTOTAL(103,$A$552:A793)</f>
        <v>239</v>
      </c>
      <c r="C793" s="172" t="s">
        <v>2637</v>
      </c>
      <c r="D793" s="173">
        <v>1994</v>
      </c>
      <c r="E793" s="173"/>
      <c r="F793" s="174" t="s">
        <v>318</v>
      </c>
      <c r="G793" s="173" t="s">
        <v>357</v>
      </c>
      <c r="H793" s="173" t="s">
        <v>303</v>
      </c>
      <c r="I793" s="177">
        <v>4979.8999999999996</v>
      </c>
      <c r="J793" s="177">
        <v>4979.8999999999996</v>
      </c>
      <c r="K793" s="177">
        <v>3884.9</v>
      </c>
      <c r="L793" s="206" t="s">
        <v>2692</v>
      </c>
      <c r="M793" s="173" t="s">
        <v>265</v>
      </c>
      <c r="N793" s="173" t="s">
        <v>269</v>
      </c>
      <c r="O793" s="175" t="s">
        <v>2422</v>
      </c>
      <c r="P793" s="170">
        <v>4738198.57</v>
      </c>
      <c r="Q793" s="170">
        <v>0</v>
      </c>
      <c r="R793" s="170">
        <v>0</v>
      </c>
      <c r="S793" s="170">
        <f t="shared" ref="S793:S794" si="127">P793-Q793-R793</f>
        <v>4738198.57</v>
      </c>
      <c r="T793" s="170">
        <f t="shared" ref="T793:T794" si="128">P793/I793</f>
        <v>951.46460169882937</v>
      </c>
      <c r="U793" s="170">
        <f t="shared" si="126"/>
        <v>951.46460169882937</v>
      </c>
      <c r="V793" s="202">
        <f t="shared" ref="V793:V794" si="129">U793-T793</f>
        <v>0</v>
      </c>
      <c r="W793" s="202">
        <f t="shared" ref="W793:W794" si="130">T793</f>
        <v>951.46460169882937</v>
      </c>
      <c r="X793" s="202">
        <v>0</v>
      </c>
      <c r="Y793" s="203">
        <v>0</v>
      </c>
      <c r="Z793" s="203">
        <v>0</v>
      </c>
      <c r="AA793" s="203">
        <v>0</v>
      </c>
      <c r="AB793" s="203">
        <v>0</v>
      </c>
      <c r="AC793" s="203">
        <v>0</v>
      </c>
      <c r="AD793" s="203">
        <v>0</v>
      </c>
      <c r="AE793" s="203">
        <v>0</v>
      </c>
      <c r="AF793" s="202">
        <v>0</v>
      </c>
      <c r="AG793" s="203">
        <v>0</v>
      </c>
      <c r="AH793" s="202">
        <v>0</v>
      </c>
      <c r="AI793" s="203">
        <v>0</v>
      </c>
      <c r="AJ793" s="202">
        <v>0</v>
      </c>
      <c r="AK793" s="203">
        <v>0</v>
      </c>
      <c r="AL793" s="203">
        <v>0</v>
      </c>
      <c r="AM793" s="203">
        <v>0</v>
      </c>
      <c r="AN793" s="203"/>
      <c r="AO793" s="203">
        <v>0</v>
      </c>
    </row>
    <row r="794" spans="1:41" s="176" customFormat="1" ht="36" customHeight="1" x14ac:dyDescent="0.25">
      <c r="A794" s="176">
        <v>1</v>
      </c>
      <c r="B794" s="171">
        <f>SUBTOTAL(103,$A$552:A794)</f>
        <v>240</v>
      </c>
      <c r="C794" s="172" t="s">
        <v>2638</v>
      </c>
      <c r="D794" s="173">
        <v>1995</v>
      </c>
      <c r="E794" s="173"/>
      <c r="F794" s="174" t="s">
        <v>318</v>
      </c>
      <c r="G794" s="173" t="s">
        <v>357</v>
      </c>
      <c r="H794" s="173" t="s">
        <v>2251</v>
      </c>
      <c r="I794" s="177">
        <v>17475.599999999999</v>
      </c>
      <c r="J794" s="177">
        <v>17475.599999999999</v>
      </c>
      <c r="K794" s="177">
        <v>13470.3</v>
      </c>
      <c r="L794" s="206" t="s">
        <v>2693</v>
      </c>
      <c r="M794" s="173" t="s">
        <v>265</v>
      </c>
      <c r="N794" s="173" t="s">
        <v>269</v>
      </c>
      <c r="O794" s="175" t="s">
        <v>2422</v>
      </c>
      <c r="P794" s="170">
        <v>16293695.01</v>
      </c>
      <c r="Q794" s="170">
        <v>0</v>
      </c>
      <c r="R794" s="170">
        <v>0</v>
      </c>
      <c r="S794" s="170">
        <f t="shared" si="127"/>
        <v>16293695.01</v>
      </c>
      <c r="T794" s="170">
        <f t="shared" si="128"/>
        <v>932.3682740506764</v>
      </c>
      <c r="U794" s="170">
        <f t="shared" si="126"/>
        <v>932.3682740506764</v>
      </c>
      <c r="V794" s="202">
        <f t="shared" si="129"/>
        <v>0</v>
      </c>
      <c r="W794" s="202">
        <f t="shared" si="130"/>
        <v>932.3682740506764</v>
      </c>
      <c r="X794" s="202">
        <v>0</v>
      </c>
      <c r="Y794" s="203">
        <v>0</v>
      </c>
      <c r="Z794" s="203">
        <v>0</v>
      </c>
      <c r="AA794" s="203">
        <v>0</v>
      </c>
      <c r="AB794" s="203">
        <v>0</v>
      </c>
      <c r="AC794" s="203">
        <v>0</v>
      </c>
      <c r="AD794" s="203">
        <v>0</v>
      </c>
      <c r="AE794" s="203">
        <v>0</v>
      </c>
      <c r="AF794" s="202">
        <v>0</v>
      </c>
      <c r="AG794" s="203">
        <v>0</v>
      </c>
      <c r="AH794" s="202">
        <v>0</v>
      </c>
      <c r="AI794" s="203">
        <v>0</v>
      </c>
      <c r="AJ794" s="202">
        <v>0</v>
      </c>
      <c r="AK794" s="203">
        <v>0</v>
      </c>
      <c r="AL794" s="203">
        <v>0</v>
      </c>
      <c r="AM794" s="203">
        <v>0</v>
      </c>
      <c r="AN794" s="203"/>
      <c r="AO794" s="203">
        <v>0</v>
      </c>
    </row>
    <row r="795" spans="1:41" s="176" customFormat="1" ht="36" customHeight="1" x14ac:dyDescent="0.25">
      <c r="A795" s="176">
        <v>1</v>
      </c>
      <c r="B795" s="171">
        <f>SUBTOTAL(103,$A$552:A795)</f>
        <v>241</v>
      </c>
      <c r="C795" s="172" t="s">
        <v>2639</v>
      </c>
      <c r="D795" s="173">
        <v>1995</v>
      </c>
      <c r="E795" s="173"/>
      <c r="F795" s="174" t="s">
        <v>318</v>
      </c>
      <c r="G795" s="173" t="s">
        <v>357</v>
      </c>
      <c r="H795" s="173" t="s">
        <v>312</v>
      </c>
      <c r="I795" s="177">
        <v>7478.1</v>
      </c>
      <c r="J795" s="177">
        <v>7478.1</v>
      </c>
      <c r="K795" s="177">
        <v>5774.8</v>
      </c>
      <c r="L795" s="206" t="s">
        <v>2694</v>
      </c>
      <c r="M795" s="173" t="s">
        <v>265</v>
      </c>
      <c r="N795" s="173" t="s">
        <v>269</v>
      </c>
      <c r="O795" s="175" t="s">
        <v>2422</v>
      </c>
      <c r="P795" s="170">
        <v>7047297.8600000003</v>
      </c>
      <c r="Q795" s="170">
        <v>0</v>
      </c>
      <c r="R795" s="170">
        <v>0</v>
      </c>
      <c r="S795" s="170">
        <f t="shared" ref="S795:S796" si="131">P795-Q795-R795</f>
        <v>7047297.8600000003</v>
      </c>
      <c r="T795" s="170">
        <f t="shared" ref="T795:T796" si="132">P795/I795</f>
        <v>942.39149784036056</v>
      </c>
      <c r="U795" s="170">
        <f t="shared" si="126"/>
        <v>942.39149784036056</v>
      </c>
      <c r="V795" s="202">
        <f t="shared" ref="V795:V796" si="133">U795-T795</f>
        <v>0</v>
      </c>
      <c r="W795" s="202">
        <f t="shared" ref="W795:W796" si="134">T795</f>
        <v>942.39149784036056</v>
      </c>
      <c r="X795" s="202">
        <v>0</v>
      </c>
      <c r="Y795" s="203">
        <v>0</v>
      </c>
      <c r="Z795" s="203">
        <v>0</v>
      </c>
      <c r="AA795" s="203">
        <v>0</v>
      </c>
      <c r="AB795" s="203">
        <v>0</v>
      </c>
      <c r="AC795" s="203">
        <v>0</v>
      </c>
      <c r="AD795" s="203">
        <v>0</v>
      </c>
      <c r="AE795" s="203">
        <v>0</v>
      </c>
      <c r="AF795" s="202">
        <v>0</v>
      </c>
      <c r="AG795" s="203">
        <v>0</v>
      </c>
      <c r="AH795" s="202">
        <v>0</v>
      </c>
      <c r="AI795" s="203">
        <v>0</v>
      </c>
      <c r="AJ795" s="202">
        <v>0</v>
      </c>
      <c r="AK795" s="203">
        <v>0</v>
      </c>
      <c r="AL795" s="203">
        <v>0</v>
      </c>
      <c r="AM795" s="203">
        <v>0</v>
      </c>
      <c r="AN795" s="203"/>
      <c r="AO795" s="203">
        <v>0</v>
      </c>
    </row>
    <row r="796" spans="1:41" s="176" customFormat="1" ht="36" customHeight="1" x14ac:dyDescent="0.25">
      <c r="A796" s="176">
        <v>1</v>
      </c>
      <c r="B796" s="171">
        <f>SUBTOTAL(103,$A$552:A796)</f>
        <v>242</v>
      </c>
      <c r="C796" s="172" t="s">
        <v>2640</v>
      </c>
      <c r="D796" s="173">
        <v>1992</v>
      </c>
      <c r="E796" s="173"/>
      <c r="F796" s="174" t="s">
        <v>318</v>
      </c>
      <c r="G796" s="173" t="s">
        <v>357</v>
      </c>
      <c r="H796" s="173" t="s">
        <v>351</v>
      </c>
      <c r="I796" s="177">
        <v>12531</v>
      </c>
      <c r="J796" s="177">
        <v>12530.8</v>
      </c>
      <c r="K796" s="177">
        <v>9705.5</v>
      </c>
      <c r="L796" s="206" t="s">
        <v>2695</v>
      </c>
      <c r="M796" s="173" t="s">
        <v>265</v>
      </c>
      <c r="N796" s="173" t="s">
        <v>269</v>
      </c>
      <c r="O796" s="175" t="s">
        <v>2422</v>
      </c>
      <c r="P796" s="170">
        <v>11675496.43</v>
      </c>
      <c r="Q796" s="170">
        <v>0</v>
      </c>
      <c r="R796" s="170">
        <v>0</v>
      </c>
      <c r="S796" s="170">
        <f t="shared" si="131"/>
        <v>11675496.43</v>
      </c>
      <c r="T796" s="170">
        <f t="shared" si="132"/>
        <v>931.72902641449207</v>
      </c>
      <c r="U796" s="170">
        <f t="shared" si="126"/>
        <v>931.72902641449207</v>
      </c>
      <c r="V796" s="202">
        <f t="shared" si="133"/>
        <v>0</v>
      </c>
      <c r="W796" s="202">
        <f t="shared" si="134"/>
        <v>931.72902641449207</v>
      </c>
      <c r="X796" s="202">
        <v>0</v>
      </c>
      <c r="Y796" s="203">
        <v>0</v>
      </c>
      <c r="Z796" s="203">
        <v>0</v>
      </c>
      <c r="AA796" s="203">
        <v>0</v>
      </c>
      <c r="AB796" s="203">
        <v>0</v>
      </c>
      <c r="AC796" s="203">
        <v>0</v>
      </c>
      <c r="AD796" s="203">
        <v>0</v>
      </c>
      <c r="AE796" s="203">
        <v>0</v>
      </c>
      <c r="AF796" s="202">
        <v>0</v>
      </c>
      <c r="AG796" s="203">
        <v>0</v>
      </c>
      <c r="AH796" s="202">
        <v>0</v>
      </c>
      <c r="AI796" s="203">
        <v>0</v>
      </c>
      <c r="AJ796" s="202">
        <v>0</v>
      </c>
      <c r="AK796" s="203">
        <v>0</v>
      </c>
      <c r="AL796" s="203">
        <v>0</v>
      </c>
      <c r="AM796" s="203">
        <v>0</v>
      </c>
      <c r="AN796" s="203"/>
      <c r="AO796" s="203">
        <v>0</v>
      </c>
    </row>
    <row r="797" spans="1:41" s="176" customFormat="1" ht="36" customHeight="1" x14ac:dyDescent="0.25">
      <c r="B797" s="172" t="s">
        <v>750</v>
      </c>
      <c r="C797" s="359"/>
      <c r="D797" s="173" t="s">
        <v>882</v>
      </c>
      <c r="E797" s="173" t="s">
        <v>882</v>
      </c>
      <c r="F797" s="173" t="s">
        <v>882</v>
      </c>
      <c r="G797" s="173" t="s">
        <v>882</v>
      </c>
      <c r="H797" s="173" t="s">
        <v>882</v>
      </c>
      <c r="I797" s="177">
        <f>SUM(I798:I814)</f>
        <v>136982.40000000002</v>
      </c>
      <c r="J797" s="177">
        <f>SUM(J798:J814)</f>
        <v>119449.40000000002</v>
      </c>
      <c r="K797" s="177">
        <f>SUM(K798:K814)</f>
        <v>113743.60000000002</v>
      </c>
      <c r="L797" s="357">
        <f>SUM(L798:L814)</f>
        <v>3712</v>
      </c>
      <c r="M797" s="173" t="s">
        <v>882</v>
      </c>
      <c r="N797" s="173" t="s">
        <v>882</v>
      </c>
      <c r="O797" s="175" t="s">
        <v>882</v>
      </c>
      <c r="P797" s="177">
        <v>146860060.34</v>
      </c>
      <c r="Q797" s="177">
        <f>SUM(Q798:Q814)</f>
        <v>4146432</v>
      </c>
      <c r="R797" s="177">
        <f>SUM(R798:R814)</f>
        <v>0</v>
      </c>
      <c r="S797" s="177">
        <f>SUM(S798:S814)</f>
        <v>142713628.34</v>
      </c>
      <c r="T797" s="170">
        <f t="shared" si="104"/>
        <v>1072.1089741455835</v>
      </c>
      <c r="U797" s="170">
        <f>MAX(U798:U814)</f>
        <v>5506.3531291305089</v>
      </c>
      <c r="V797" s="202">
        <f t="shared" si="105"/>
        <v>4434.2441549849254</v>
      </c>
      <c r="W797" s="202"/>
      <c r="X797" s="202"/>
      <c r="Y797" s="203"/>
      <c r="Z797" s="203"/>
      <c r="AA797" s="203"/>
      <c r="AB797" s="203"/>
      <c r="AC797" s="203"/>
      <c r="AD797" s="203"/>
      <c r="AE797" s="203"/>
      <c r="AF797" s="203"/>
      <c r="AG797" s="203"/>
      <c r="AH797" s="203"/>
      <c r="AI797" s="203"/>
      <c r="AJ797" s="203"/>
      <c r="AK797" s="203"/>
      <c r="AL797" s="203"/>
      <c r="AM797" s="203"/>
      <c r="AN797" s="203"/>
      <c r="AO797" s="203"/>
    </row>
    <row r="798" spans="1:41" s="176" customFormat="1" ht="36" customHeight="1" x14ac:dyDescent="0.25">
      <c r="A798" s="176">
        <v>1</v>
      </c>
      <c r="B798" s="171">
        <f>SUBTOTAL(103,$A$552:A798)</f>
        <v>243</v>
      </c>
      <c r="C798" s="172" t="s">
        <v>380</v>
      </c>
      <c r="D798" s="173">
        <v>1982</v>
      </c>
      <c r="E798" s="173">
        <v>2015</v>
      </c>
      <c r="F798" s="174" t="s">
        <v>318</v>
      </c>
      <c r="G798" s="173">
        <v>9</v>
      </c>
      <c r="H798" s="173" t="s">
        <v>308</v>
      </c>
      <c r="I798" s="177">
        <v>8597.2000000000007</v>
      </c>
      <c r="J798" s="177">
        <v>7716.3</v>
      </c>
      <c r="K798" s="177">
        <v>7660.3</v>
      </c>
      <c r="L798" s="206">
        <v>370</v>
      </c>
      <c r="M798" s="173" t="s">
        <v>265</v>
      </c>
      <c r="N798" s="173" t="s">
        <v>269</v>
      </c>
      <c r="O798" s="175" t="s">
        <v>319</v>
      </c>
      <c r="P798" s="170">
        <v>6784672.5999999996</v>
      </c>
      <c r="Q798" s="170">
        <v>4146432</v>
      </c>
      <c r="R798" s="170">
        <v>0</v>
      </c>
      <c r="S798" s="170">
        <f t="shared" ref="S798:S814" si="135">P798-Q798-R798</f>
        <v>2638240.5999999996</v>
      </c>
      <c r="T798" s="170">
        <f t="shared" si="104"/>
        <v>789.17235844228344</v>
      </c>
      <c r="U798" s="170">
        <v>1143.5351044526124</v>
      </c>
      <c r="V798" s="202">
        <f t="shared" si="105"/>
        <v>354.36274601032892</v>
      </c>
      <c r="W798" s="202">
        <f t="shared" ref="W798:W805" si="136">X798+Y798+Z798+AA798+AB798+AD798+AF798+AH798+AJ798+AL798+AN798+AO798</f>
        <v>1143.5351044526124</v>
      </c>
      <c r="X798" s="202">
        <v>0</v>
      </c>
      <c r="Y798" s="203">
        <v>0</v>
      </c>
      <c r="Z798" s="203">
        <v>0</v>
      </c>
      <c r="AA798" s="203">
        <v>0</v>
      </c>
      <c r="AB798" s="203">
        <v>0</v>
      </c>
      <c r="AC798" s="203">
        <v>4</v>
      </c>
      <c r="AD798" s="202">
        <f>2457800*AC798/I798</f>
        <v>1143.5351044526124</v>
      </c>
      <c r="AE798" s="203">
        <v>0</v>
      </c>
      <c r="AF798" s="202">
        <v>0</v>
      </c>
      <c r="AG798" s="203">
        <v>0</v>
      </c>
      <c r="AH798" s="202">
        <v>0</v>
      </c>
      <c r="AI798" s="203">
        <v>0</v>
      </c>
      <c r="AJ798" s="202">
        <v>0</v>
      </c>
      <c r="AK798" s="203">
        <v>0</v>
      </c>
      <c r="AL798" s="203">
        <v>0</v>
      </c>
      <c r="AM798" s="203">
        <v>0</v>
      </c>
      <c r="AN798" s="203"/>
      <c r="AO798" s="203">
        <v>0</v>
      </c>
    </row>
    <row r="799" spans="1:41" s="176" customFormat="1" ht="36" customHeight="1" x14ac:dyDescent="0.25">
      <c r="A799" s="176">
        <v>1</v>
      </c>
      <c r="B799" s="171">
        <f>SUBTOTAL(103,$A$552:A799)</f>
        <v>244</v>
      </c>
      <c r="C799" s="172" t="s">
        <v>1641</v>
      </c>
      <c r="D799" s="173">
        <v>1981</v>
      </c>
      <c r="E799" s="173">
        <v>2015</v>
      </c>
      <c r="F799" s="174" t="s">
        <v>318</v>
      </c>
      <c r="G799" s="173">
        <v>5</v>
      </c>
      <c r="H799" s="173" t="s">
        <v>351</v>
      </c>
      <c r="I799" s="177">
        <v>3965.2</v>
      </c>
      <c r="J799" s="177">
        <v>3485.8</v>
      </c>
      <c r="K799" s="177">
        <v>3424</v>
      </c>
      <c r="L799" s="206">
        <v>178</v>
      </c>
      <c r="M799" s="173" t="s">
        <v>265</v>
      </c>
      <c r="N799" s="173" t="s">
        <v>269</v>
      </c>
      <c r="O799" s="175" t="s">
        <v>320</v>
      </c>
      <c r="P799" s="170">
        <v>7152713.7700000005</v>
      </c>
      <c r="Q799" s="170">
        <v>0</v>
      </c>
      <c r="R799" s="170">
        <v>0</v>
      </c>
      <c r="S799" s="170">
        <f t="shared" si="135"/>
        <v>7152713.7700000005</v>
      </c>
      <c r="T799" s="170">
        <f t="shared" si="104"/>
        <v>1803.8721300312723</v>
      </c>
      <c r="U799" s="170">
        <v>4998.25</v>
      </c>
      <c r="V799" s="202">
        <f t="shared" si="105"/>
        <v>3194.3778699687277</v>
      </c>
      <c r="W799" s="202">
        <f t="shared" si="136"/>
        <v>4586.9399999999996</v>
      </c>
      <c r="X799" s="202">
        <v>101.55</v>
      </c>
      <c r="Y799" s="203">
        <v>245.44</v>
      </c>
      <c r="Z799" s="203">
        <v>3259.66</v>
      </c>
      <c r="AA799" s="203">
        <v>184.98</v>
      </c>
      <c r="AB799" s="203">
        <v>795.31</v>
      </c>
      <c r="AC799" s="203">
        <v>0</v>
      </c>
      <c r="AD799" s="203">
        <v>0</v>
      </c>
      <c r="AE799" s="203">
        <v>0</v>
      </c>
      <c r="AF799" s="202">
        <v>0</v>
      </c>
      <c r="AG799" s="203">
        <v>0</v>
      </c>
      <c r="AH799" s="202">
        <v>0</v>
      </c>
      <c r="AI799" s="203">
        <v>0</v>
      </c>
      <c r="AJ799" s="202">
        <v>0</v>
      </c>
      <c r="AK799" s="203">
        <v>0</v>
      </c>
      <c r="AL799" s="203">
        <v>0</v>
      </c>
      <c r="AM799" s="203">
        <v>0</v>
      </c>
      <c r="AN799" s="203"/>
      <c r="AO799" s="203">
        <v>0</v>
      </c>
    </row>
    <row r="800" spans="1:41" s="176" customFormat="1" ht="36" customHeight="1" x14ac:dyDescent="0.25">
      <c r="A800" s="176">
        <v>1</v>
      </c>
      <c r="B800" s="171">
        <f>SUBTOTAL(103,$A$552:A800)</f>
        <v>245</v>
      </c>
      <c r="C800" s="172" t="s">
        <v>381</v>
      </c>
      <c r="D800" s="173">
        <v>1973</v>
      </c>
      <c r="E800" s="173">
        <v>2017</v>
      </c>
      <c r="F800" s="174" t="s">
        <v>318</v>
      </c>
      <c r="G800" s="173">
        <v>5</v>
      </c>
      <c r="H800" s="173" t="s">
        <v>351</v>
      </c>
      <c r="I800" s="177">
        <v>3822.6</v>
      </c>
      <c r="J800" s="177">
        <v>3360.4</v>
      </c>
      <c r="K800" s="177">
        <v>3360.4</v>
      </c>
      <c r="L800" s="206">
        <v>155</v>
      </c>
      <c r="M800" s="173" t="s">
        <v>265</v>
      </c>
      <c r="N800" s="173" t="s">
        <v>269</v>
      </c>
      <c r="O800" s="175" t="s">
        <v>320</v>
      </c>
      <c r="P800" s="170">
        <v>5582003.7400000002</v>
      </c>
      <c r="Q800" s="170">
        <v>0</v>
      </c>
      <c r="R800" s="170">
        <v>0</v>
      </c>
      <c r="S800" s="170">
        <f t="shared" si="135"/>
        <v>5582003.7400000002</v>
      </c>
      <c r="T800" s="170">
        <f t="shared" si="104"/>
        <v>1460.2636268508345</v>
      </c>
      <c r="U800" s="170">
        <v>5055.7957173128234</v>
      </c>
      <c r="V800" s="202">
        <f>U800-T800</f>
        <v>3595.5320904619889</v>
      </c>
      <c r="W800" s="202">
        <f>X800+Y800+Z800+AA800+AB800+AD800+AF800+AH800+AJ800+AL800+AN800+AO800</f>
        <v>5055.7957173128234</v>
      </c>
      <c r="X800" s="202">
        <v>0</v>
      </c>
      <c r="Y800" s="203">
        <v>0</v>
      </c>
      <c r="Z800" s="203">
        <v>0</v>
      </c>
      <c r="AA800" s="203">
        <v>0</v>
      </c>
      <c r="AB800" s="203">
        <v>0</v>
      </c>
      <c r="AC800" s="203">
        <v>0</v>
      </c>
      <c r="AD800" s="203">
        <v>0</v>
      </c>
      <c r="AE800" s="203">
        <v>0</v>
      </c>
      <c r="AF800" s="202">
        <v>0</v>
      </c>
      <c r="AG800" s="203">
        <v>0</v>
      </c>
      <c r="AH800" s="202">
        <v>0</v>
      </c>
      <c r="AI800" s="203">
        <v>2476.9</v>
      </c>
      <c r="AJ800" s="202">
        <f>7802.61*AI800/I800</f>
        <v>5055.7957173128234</v>
      </c>
      <c r="AK800" s="203">
        <v>0</v>
      </c>
      <c r="AL800" s="203">
        <v>0</v>
      </c>
      <c r="AM800" s="203">
        <v>0</v>
      </c>
      <c r="AN800" s="203"/>
      <c r="AO800" s="203">
        <v>0</v>
      </c>
    </row>
    <row r="801" spans="1:41" s="176" customFormat="1" ht="36" customHeight="1" x14ac:dyDescent="0.25">
      <c r="A801" s="176">
        <v>1</v>
      </c>
      <c r="B801" s="171">
        <f>SUBTOTAL(103,$A$552:A801)</f>
        <v>246</v>
      </c>
      <c r="C801" s="172" t="s">
        <v>1164</v>
      </c>
      <c r="D801" s="173">
        <v>1979</v>
      </c>
      <c r="E801" s="173">
        <v>2016</v>
      </c>
      <c r="F801" s="174" t="s">
        <v>318</v>
      </c>
      <c r="G801" s="173">
        <v>9</v>
      </c>
      <c r="H801" s="173" t="s">
        <v>308</v>
      </c>
      <c r="I801" s="170">
        <v>7590.3</v>
      </c>
      <c r="J801" s="170">
        <v>7004.9</v>
      </c>
      <c r="K801" s="170">
        <v>6957</v>
      </c>
      <c r="L801" s="206">
        <v>363</v>
      </c>
      <c r="M801" s="173" t="s">
        <v>265</v>
      </c>
      <c r="N801" s="173" t="s">
        <v>269</v>
      </c>
      <c r="O801" s="175" t="s">
        <v>319</v>
      </c>
      <c r="P801" s="170">
        <v>15094900.449999999</v>
      </c>
      <c r="Q801" s="170">
        <v>0</v>
      </c>
      <c r="R801" s="170">
        <v>0</v>
      </c>
      <c r="S801" s="170">
        <f t="shared" si="135"/>
        <v>15094900.449999999</v>
      </c>
      <c r="T801" s="170">
        <f t="shared" si="104"/>
        <v>1988.7093329644413</v>
      </c>
      <c r="U801" s="170">
        <v>4998.25</v>
      </c>
      <c r="V801" s="202">
        <f>U801-T801</f>
        <v>3009.5406670355587</v>
      </c>
      <c r="W801" s="202">
        <f>X801+Y801+Z801+AA801+AB801+AD801+AF801+AH801+AJ801+AL801+AN801+AO801</f>
        <v>3791.6299999999997</v>
      </c>
      <c r="X801" s="202">
        <v>101.55</v>
      </c>
      <c r="Y801" s="203">
        <v>245.44</v>
      </c>
      <c r="Z801" s="203">
        <v>3259.66</v>
      </c>
      <c r="AA801" s="203">
        <v>184.98</v>
      </c>
      <c r="AB801" s="203">
        <v>0</v>
      </c>
      <c r="AC801" s="203">
        <v>0</v>
      </c>
      <c r="AD801" s="203">
        <v>0</v>
      </c>
      <c r="AE801" s="203">
        <v>0</v>
      </c>
      <c r="AF801" s="202">
        <v>0</v>
      </c>
      <c r="AG801" s="203">
        <v>0</v>
      </c>
      <c r="AH801" s="202">
        <v>0</v>
      </c>
      <c r="AI801" s="203">
        <v>0</v>
      </c>
      <c r="AJ801" s="202">
        <v>0</v>
      </c>
      <c r="AK801" s="203">
        <v>0</v>
      </c>
      <c r="AL801" s="203">
        <v>0</v>
      </c>
      <c r="AM801" s="203">
        <v>0</v>
      </c>
      <c r="AN801" s="203"/>
      <c r="AO801" s="203">
        <v>0</v>
      </c>
    </row>
    <row r="802" spans="1:41" s="176" customFormat="1" ht="36" customHeight="1" x14ac:dyDescent="0.25">
      <c r="A802" s="176">
        <v>1</v>
      </c>
      <c r="B802" s="171">
        <f>SUBTOTAL(103,$A$552:A802)</f>
        <v>247</v>
      </c>
      <c r="C802" s="172" t="s">
        <v>379</v>
      </c>
      <c r="D802" s="173">
        <v>1995</v>
      </c>
      <c r="E802" s="173">
        <v>2015</v>
      </c>
      <c r="F802" s="174" t="s">
        <v>311</v>
      </c>
      <c r="G802" s="173">
        <v>9</v>
      </c>
      <c r="H802" s="173" t="s">
        <v>351</v>
      </c>
      <c r="I802" s="177">
        <v>12180.7</v>
      </c>
      <c r="J802" s="177">
        <v>10849.3</v>
      </c>
      <c r="K802" s="177">
        <v>10849.3</v>
      </c>
      <c r="L802" s="206">
        <v>500</v>
      </c>
      <c r="M802" s="173" t="s">
        <v>265</v>
      </c>
      <c r="N802" s="173" t="s">
        <v>269</v>
      </c>
      <c r="O802" s="175" t="s">
        <v>319</v>
      </c>
      <c r="P802" s="170">
        <v>14320790.300000001</v>
      </c>
      <c r="Q802" s="170">
        <v>0</v>
      </c>
      <c r="R802" s="170">
        <v>0</v>
      </c>
      <c r="S802" s="170">
        <f t="shared" si="135"/>
        <v>14320790.300000001</v>
      </c>
      <c r="T802" s="170">
        <f t="shared" si="104"/>
        <v>1175.6951817219044</v>
      </c>
      <c r="U802" s="170">
        <v>5506.3531291305089</v>
      </c>
      <c r="V802" s="202">
        <f t="shared" si="105"/>
        <v>4330.6579474086047</v>
      </c>
      <c r="W802" s="202">
        <f t="shared" si="136"/>
        <v>1586.6316967826149</v>
      </c>
      <c r="X802" s="202">
        <v>0</v>
      </c>
      <c r="Y802" s="203">
        <v>0</v>
      </c>
      <c r="Z802" s="203">
        <v>0</v>
      </c>
      <c r="AA802" s="203">
        <v>0</v>
      </c>
      <c r="AB802" s="203">
        <v>0</v>
      </c>
      <c r="AC802" s="203">
        <v>0</v>
      </c>
      <c r="AD802" s="203">
        <v>0</v>
      </c>
      <c r="AE802" s="203">
        <v>0</v>
      </c>
      <c r="AF802" s="202">
        <v>0</v>
      </c>
      <c r="AG802" s="203">
        <v>0</v>
      </c>
      <c r="AH802" s="202">
        <v>0</v>
      </c>
      <c r="AI802" s="203">
        <v>2476.9</v>
      </c>
      <c r="AJ802" s="202">
        <f>7802.61*AI802/I802</f>
        <v>1586.6316967826149</v>
      </c>
      <c r="AK802" s="203">
        <v>0</v>
      </c>
      <c r="AL802" s="203">
        <v>0</v>
      </c>
      <c r="AM802" s="203">
        <v>0</v>
      </c>
      <c r="AN802" s="203"/>
      <c r="AO802" s="203">
        <v>0</v>
      </c>
    </row>
    <row r="803" spans="1:41" s="176" customFormat="1" ht="36" customHeight="1" x14ac:dyDescent="0.25">
      <c r="A803" s="176">
        <v>1</v>
      </c>
      <c r="B803" s="171">
        <f>SUBTOTAL(103,$A$552:A803)</f>
        <v>248</v>
      </c>
      <c r="C803" s="172" t="s">
        <v>1165</v>
      </c>
      <c r="D803" s="173">
        <v>1985</v>
      </c>
      <c r="E803" s="173">
        <v>2018</v>
      </c>
      <c r="F803" s="174" t="s">
        <v>267</v>
      </c>
      <c r="G803" s="173">
        <v>9</v>
      </c>
      <c r="H803" s="173" t="s">
        <v>304</v>
      </c>
      <c r="I803" s="170">
        <v>5367.9</v>
      </c>
      <c r="J803" s="170">
        <v>4145.6000000000004</v>
      </c>
      <c r="K803" s="170">
        <v>3643.5</v>
      </c>
      <c r="L803" s="206">
        <v>300</v>
      </c>
      <c r="M803" s="173" t="s">
        <v>265</v>
      </c>
      <c r="N803" s="173" t="s">
        <v>269</v>
      </c>
      <c r="O803" s="175" t="s">
        <v>1336</v>
      </c>
      <c r="P803" s="170">
        <v>3601876.7</v>
      </c>
      <c r="Q803" s="170">
        <v>0</v>
      </c>
      <c r="R803" s="170">
        <v>0</v>
      </c>
      <c r="S803" s="170">
        <f t="shared" si="135"/>
        <v>3601876.7</v>
      </c>
      <c r="T803" s="170">
        <f t="shared" si="104"/>
        <v>671.00294342294012</v>
      </c>
      <c r="U803" s="170">
        <v>915.73986102572712</v>
      </c>
      <c r="V803" s="202">
        <f t="shared" si="105"/>
        <v>244.736917602787</v>
      </c>
      <c r="W803" s="202">
        <f t="shared" si="136"/>
        <v>3791.6299999999997</v>
      </c>
      <c r="X803" s="202">
        <v>101.55</v>
      </c>
      <c r="Y803" s="203">
        <v>245.44</v>
      </c>
      <c r="Z803" s="203">
        <v>3259.66</v>
      </c>
      <c r="AA803" s="203">
        <v>184.98</v>
      </c>
      <c r="AB803" s="203">
        <v>0</v>
      </c>
      <c r="AC803" s="203">
        <v>0</v>
      </c>
      <c r="AD803" s="203">
        <v>0</v>
      </c>
      <c r="AE803" s="203">
        <v>0</v>
      </c>
      <c r="AF803" s="202">
        <v>0</v>
      </c>
      <c r="AG803" s="203">
        <v>0</v>
      </c>
      <c r="AH803" s="202">
        <v>0</v>
      </c>
      <c r="AI803" s="203">
        <v>0</v>
      </c>
      <c r="AJ803" s="202">
        <v>0</v>
      </c>
      <c r="AK803" s="203">
        <v>0</v>
      </c>
      <c r="AL803" s="203">
        <v>0</v>
      </c>
      <c r="AM803" s="203">
        <v>0</v>
      </c>
      <c r="AN803" s="203"/>
      <c r="AO803" s="203">
        <v>0</v>
      </c>
    </row>
    <row r="804" spans="1:41" s="176" customFormat="1" ht="36" customHeight="1" x14ac:dyDescent="0.25">
      <c r="A804" s="176">
        <v>1</v>
      </c>
      <c r="B804" s="171">
        <f>SUBTOTAL(103,$A$552:A804)</f>
        <v>249</v>
      </c>
      <c r="C804" s="172" t="s">
        <v>1931</v>
      </c>
      <c r="D804" s="173">
        <v>1975</v>
      </c>
      <c r="E804" s="173"/>
      <c r="F804" s="174" t="s">
        <v>318</v>
      </c>
      <c r="G804" s="173" t="s">
        <v>351</v>
      </c>
      <c r="H804" s="173" t="s">
        <v>351</v>
      </c>
      <c r="I804" s="170">
        <v>5911.9</v>
      </c>
      <c r="J804" s="170">
        <v>3394.8</v>
      </c>
      <c r="K804" s="170">
        <v>3394.8</v>
      </c>
      <c r="L804" s="206">
        <v>170</v>
      </c>
      <c r="M804" s="173" t="s">
        <v>265</v>
      </c>
      <c r="N804" s="173" t="s">
        <v>269</v>
      </c>
      <c r="O804" s="175" t="s">
        <v>319</v>
      </c>
      <c r="P804" s="170">
        <v>6012472.5700000003</v>
      </c>
      <c r="Q804" s="170">
        <v>0</v>
      </c>
      <c r="R804" s="170">
        <v>0</v>
      </c>
      <c r="S804" s="170">
        <f t="shared" si="135"/>
        <v>6012472.5700000003</v>
      </c>
      <c r="T804" s="170">
        <f t="shared" si="104"/>
        <v>1017.0118861956394</v>
      </c>
      <c r="U804" s="170">
        <v>3295.4442580219556</v>
      </c>
      <c r="V804" s="202">
        <f t="shared" si="105"/>
        <v>2278.4323718263163</v>
      </c>
      <c r="W804" s="202">
        <f t="shared" si="136"/>
        <v>11345.123489910182</v>
      </c>
      <c r="X804" s="202">
        <v>0</v>
      </c>
      <c r="Y804" s="203">
        <v>0</v>
      </c>
      <c r="Z804" s="203">
        <v>0</v>
      </c>
      <c r="AA804" s="203">
        <v>0</v>
      </c>
      <c r="AB804" s="203">
        <v>0</v>
      </c>
      <c r="AC804" s="203">
        <v>0</v>
      </c>
      <c r="AD804" s="203">
        <v>0</v>
      </c>
      <c r="AE804" s="203">
        <v>0</v>
      </c>
      <c r="AF804" s="202">
        <v>0</v>
      </c>
      <c r="AG804" s="203">
        <v>0</v>
      </c>
      <c r="AH804" s="202">
        <v>0</v>
      </c>
      <c r="AI804" s="203">
        <v>8596</v>
      </c>
      <c r="AJ804" s="202">
        <f>7802.61*AI804/I804</f>
        <v>11345.123489910182</v>
      </c>
      <c r="AK804" s="203">
        <v>0</v>
      </c>
      <c r="AL804" s="203">
        <v>0</v>
      </c>
      <c r="AM804" s="203">
        <v>0</v>
      </c>
      <c r="AN804" s="203"/>
      <c r="AO804" s="203">
        <v>0</v>
      </c>
    </row>
    <row r="805" spans="1:41" s="176" customFormat="1" ht="36" customHeight="1" x14ac:dyDescent="0.25">
      <c r="A805" s="176">
        <v>1</v>
      </c>
      <c r="B805" s="171">
        <f>SUBTOTAL(103,$A$552:A805)</f>
        <v>250</v>
      </c>
      <c r="C805" s="172" t="s">
        <v>2300</v>
      </c>
      <c r="D805" s="173">
        <v>2004</v>
      </c>
      <c r="E805" s="173"/>
      <c r="F805" s="174" t="s">
        <v>318</v>
      </c>
      <c r="G805" s="173" t="s">
        <v>351</v>
      </c>
      <c r="H805" s="173" t="s">
        <v>351</v>
      </c>
      <c r="I805" s="170">
        <v>6988.9</v>
      </c>
      <c r="J805" s="170">
        <v>6308.3</v>
      </c>
      <c r="K805" s="170">
        <v>6308.3</v>
      </c>
      <c r="L805" s="206">
        <v>305</v>
      </c>
      <c r="M805" s="173" t="s">
        <v>265</v>
      </c>
      <c r="N805" s="173" t="s">
        <v>269</v>
      </c>
      <c r="O805" s="175" t="s">
        <v>319</v>
      </c>
      <c r="P805" s="170">
        <v>8567836.1099999994</v>
      </c>
      <c r="Q805" s="170">
        <v>0</v>
      </c>
      <c r="R805" s="170">
        <v>0</v>
      </c>
      <c r="S805" s="170">
        <f t="shared" si="135"/>
        <v>8567836.1099999994</v>
      </c>
      <c r="T805" s="170">
        <f t="shared" si="104"/>
        <v>1225.9205468671751</v>
      </c>
      <c r="U805" s="170">
        <v>1978.2321166421038</v>
      </c>
      <c r="V805" s="202">
        <f t="shared" si="105"/>
        <v>752.31156977492878</v>
      </c>
      <c r="W805" s="202">
        <f t="shared" si="136"/>
        <v>9596.822899168681</v>
      </c>
      <c r="X805" s="202">
        <v>0</v>
      </c>
      <c r="Y805" s="203">
        <v>0</v>
      </c>
      <c r="Z805" s="203">
        <v>0</v>
      </c>
      <c r="AA805" s="203">
        <v>0</v>
      </c>
      <c r="AB805" s="203">
        <v>0</v>
      </c>
      <c r="AC805" s="203">
        <v>0</v>
      </c>
      <c r="AD805" s="203">
        <v>0</v>
      </c>
      <c r="AE805" s="203">
        <v>0</v>
      </c>
      <c r="AF805" s="202">
        <v>0</v>
      </c>
      <c r="AG805" s="203">
        <v>0</v>
      </c>
      <c r="AH805" s="202">
        <v>0</v>
      </c>
      <c r="AI805" s="203">
        <v>8596</v>
      </c>
      <c r="AJ805" s="202">
        <f>7802.61*AI805/I805</f>
        <v>9596.822899168681</v>
      </c>
      <c r="AK805" s="203">
        <v>0</v>
      </c>
      <c r="AL805" s="203">
        <v>0</v>
      </c>
      <c r="AM805" s="203">
        <v>0</v>
      </c>
      <c r="AN805" s="203"/>
      <c r="AO805" s="203">
        <v>0</v>
      </c>
    </row>
    <row r="806" spans="1:41" s="176" customFormat="1" ht="36" customHeight="1" x14ac:dyDescent="0.25">
      <c r="A806" s="176">
        <v>1</v>
      </c>
      <c r="B806" s="171">
        <f>SUBTOTAL(103,$A$552:A806)</f>
        <v>251</v>
      </c>
      <c r="C806" s="172" t="s">
        <v>1454</v>
      </c>
      <c r="D806" s="173">
        <v>1981</v>
      </c>
      <c r="E806" s="173"/>
      <c r="F806" s="174" t="s">
        <v>318</v>
      </c>
      <c r="G806" s="173">
        <v>9</v>
      </c>
      <c r="H806" s="173" t="s">
        <v>308</v>
      </c>
      <c r="I806" s="177">
        <v>8719.1</v>
      </c>
      <c r="J806" s="177">
        <v>7825</v>
      </c>
      <c r="K806" s="177">
        <v>7825</v>
      </c>
      <c r="L806" s="206">
        <v>380</v>
      </c>
      <c r="M806" s="173" t="s">
        <v>265</v>
      </c>
      <c r="N806" s="173" t="s">
        <v>269</v>
      </c>
      <c r="O806" s="175" t="s">
        <v>319</v>
      </c>
      <c r="P806" s="170">
        <v>9035816.6699999999</v>
      </c>
      <c r="Q806" s="170">
        <v>0</v>
      </c>
      <c r="R806" s="170">
        <v>0</v>
      </c>
      <c r="S806" s="170">
        <f t="shared" si="135"/>
        <v>9035816.6699999999</v>
      </c>
      <c r="T806" s="170">
        <f t="shared" si="104"/>
        <v>1036.3244681217097</v>
      </c>
      <c r="U806" s="170">
        <v>1127.547567982934</v>
      </c>
      <c r="V806" s="202">
        <f t="shared" ref="V806:V814" si="137">U806-T806</f>
        <v>91.223099861224227</v>
      </c>
      <c r="W806" s="202">
        <f t="shared" ref="W806:W814" si="138">T806</f>
        <v>1036.3244681217097</v>
      </c>
      <c r="X806" s="202">
        <v>0</v>
      </c>
      <c r="Y806" s="203">
        <v>0</v>
      </c>
      <c r="Z806" s="203">
        <v>0</v>
      </c>
      <c r="AA806" s="203">
        <v>0</v>
      </c>
      <c r="AB806" s="203">
        <v>0</v>
      </c>
      <c r="AC806" s="203">
        <v>0</v>
      </c>
      <c r="AD806" s="203">
        <v>0</v>
      </c>
      <c r="AE806" s="203">
        <v>0</v>
      </c>
      <c r="AF806" s="202">
        <v>0</v>
      </c>
      <c r="AG806" s="203">
        <v>0</v>
      </c>
      <c r="AH806" s="202">
        <v>0</v>
      </c>
      <c r="AI806" s="203">
        <v>0</v>
      </c>
      <c r="AJ806" s="202">
        <v>0</v>
      </c>
      <c r="AK806" s="203">
        <v>0</v>
      </c>
      <c r="AL806" s="203">
        <v>0</v>
      </c>
      <c r="AM806" s="203">
        <v>0</v>
      </c>
      <c r="AN806" s="203"/>
      <c r="AO806" s="203">
        <v>0</v>
      </c>
    </row>
    <row r="807" spans="1:41" s="176" customFormat="1" ht="36" customHeight="1" x14ac:dyDescent="0.25">
      <c r="A807" s="176">
        <v>1</v>
      </c>
      <c r="B807" s="171">
        <f>SUBTOTAL(103,$A$552:A807)</f>
        <v>252</v>
      </c>
      <c r="C807" s="172" t="s">
        <v>1455</v>
      </c>
      <c r="D807" s="173">
        <v>1983</v>
      </c>
      <c r="E807" s="173"/>
      <c r="F807" s="174" t="s">
        <v>318</v>
      </c>
      <c r="G807" s="173">
        <v>9</v>
      </c>
      <c r="H807" s="173" t="s">
        <v>308</v>
      </c>
      <c r="I807" s="177">
        <v>8604</v>
      </c>
      <c r="J807" s="177">
        <v>7732.2</v>
      </c>
      <c r="K807" s="177">
        <v>7732.2</v>
      </c>
      <c r="L807" s="206">
        <v>380</v>
      </c>
      <c r="M807" s="173" t="s">
        <v>265</v>
      </c>
      <c r="N807" s="173" t="s">
        <v>269</v>
      </c>
      <c r="O807" s="175" t="s">
        <v>319</v>
      </c>
      <c r="P807" s="170">
        <v>9035790.4899999984</v>
      </c>
      <c r="Q807" s="170">
        <v>0</v>
      </c>
      <c r="R807" s="170">
        <v>0</v>
      </c>
      <c r="S807" s="170">
        <f t="shared" si="135"/>
        <v>9035790.4899999984</v>
      </c>
      <c r="T807" s="170">
        <f t="shared" si="104"/>
        <v>1050.1848547187353</v>
      </c>
      <c r="U807" s="170">
        <v>1142.6313342631333</v>
      </c>
      <c r="V807" s="202">
        <f t="shared" si="137"/>
        <v>92.446479544398017</v>
      </c>
      <c r="W807" s="202">
        <f t="shared" si="138"/>
        <v>1050.1848547187353</v>
      </c>
      <c r="X807" s="202">
        <v>0</v>
      </c>
      <c r="Y807" s="203">
        <v>0</v>
      </c>
      <c r="Z807" s="203">
        <v>0</v>
      </c>
      <c r="AA807" s="203">
        <v>0</v>
      </c>
      <c r="AB807" s="203">
        <v>0</v>
      </c>
      <c r="AC807" s="203">
        <v>0</v>
      </c>
      <c r="AD807" s="203">
        <v>0</v>
      </c>
      <c r="AE807" s="203">
        <v>0</v>
      </c>
      <c r="AF807" s="202">
        <v>0</v>
      </c>
      <c r="AG807" s="203">
        <v>0</v>
      </c>
      <c r="AH807" s="202">
        <v>0</v>
      </c>
      <c r="AI807" s="203">
        <v>0</v>
      </c>
      <c r="AJ807" s="202">
        <v>0</v>
      </c>
      <c r="AK807" s="203">
        <v>0</v>
      </c>
      <c r="AL807" s="203">
        <v>0</v>
      </c>
      <c r="AM807" s="203">
        <v>0</v>
      </c>
      <c r="AN807" s="203"/>
      <c r="AO807" s="203">
        <v>0</v>
      </c>
    </row>
    <row r="808" spans="1:41" s="176" customFormat="1" ht="36" customHeight="1" x14ac:dyDescent="0.25">
      <c r="A808" s="176">
        <v>1</v>
      </c>
      <c r="B808" s="171">
        <f>SUBTOTAL(103,$A$552:A808)</f>
        <v>253</v>
      </c>
      <c r="C808" s="172" t="s">
        <v>2270</v>
      </c>
      <c r="D808" s="173">
        <v>1984</v>
      </c>
      <c r="E808" s="173"/>
      <c r="F808" s="174" t="s">
        <v>318</v>
      </c>
      <c r="G808" s="173">
        <v>9</v>
      </c>
      <c r="H808" s="173" t="s">
        <v>312</v>
      </c>
      <c r="I808" s="177">
        <v>9052.5</v>
      </c>
      <c r="J808" s="177">
        <v>5819.6</v>
      </c>
      <c r="K808" s="177">
        <v>5819.6</v>
      </c>
      <c r="L808" s="206">
        <v>262</v>
      </c>
      <c r="M808" s="173" t="s">
        <v>265</v>
      </c>
      <c r="N808" s="173" t="s">
        <v>269</v>
      </c>
      <c r="O808" s="175" t="s">
        <v>319</v>
      </c>
      <c r="P808" s="170">
        <v>6799891.0399999991</v>
      </c>
      <c r="Q808" s="170">
        <v>0</v>
      </c>
      <c r="R808" s="170">
        <v>0</v>
      </c>
      <c r="S808" s="170">
        <f t="shared" si="135"/>
        <v>6799891.0399999991</v>
      </c>
      <c r="T808" s="170">
        <f t="shared" si="104"/>
        <v>751.16167246616942</v>
      </c>
      <c r="U808" s="170">
        <v>814.51532725766367</v>
      </c>
      <c r="V808" s="202">
        <f t="shared" si="137"/>
        <v>63.35365479149425</v>
      </c>
      <c r="W808" s="202">
        <f t="shared" si="138"/>
        <v>751.16167246616942</v>
      </c>
      <c r="X808" s="202">
        <v>0</v>
      </c>
      <c r="Y808" s="203">
        <v>0</v>
      </c>
      <c r="Z808" s="203">
        <v>0</v>
      </c>
      <c r="AA808" s="203">
        <v>0</v>
      </c>
      <c r="AB808" s="203">
        <v>0</v>
      </c>
      <c r="AC808" s="203">
        <v>0</v>
      </c>
      <c r="AD808" s="203">
        <v>0</v>
      </c>
      <c r="AE808" s="203">
        <v>0</v>
      </c>
      <c r="AF808" s="202">
        <v>0</v>
      </c>
      <c r="AG808" s="203">
        <v>0</v>
      </c>
      <c r="AH808" s="202">
        <v>0</v>
      </c>
      <c r="AI808" s="203">
        <v>0</v>
      </c>
      <c r="AJ808" s="202">
        <v>0</v>
      </c>
      <c r="AK808" s="203">
        <v>0</v>
      </c>
      <c r="AL808" s="203">
        <v>0</v>
      </c>
      <c r="AM808" s="203">
        <v>0</v>
      </c>
      <c r="AN808" s="203"/>
      <c r="AO808" s="203">
        <v>0</v>
      </c>
    </row>
    <row r="809" spans="1:41" s="176" customFormat="1" ht="36" customHeight="1" x14ac:dyDescent="0.25">
      <c r="A809" s="176">
        <v>1</v>
      </c>
      <c r="B809" s="171">
        <f>SUBTOTAL(103,$A$552:A809)</f>
        <v>254</v>
      </c>
      <c r="C809" s="172" t="s">
        <v>2307</v>
      </c>
      <c r="D809" s="173">
        <v>1986</v>
      </c>
      <c r="E809" s="173"/>
      <c r="F809" s="174" t="s">
        <v>318</v>
      </c>
      <c r="G809" s="173">
        <v>9</v>
      </c>
      <c r="H809" s="173" t="s">
        <v>308</v>
      </c>
      <c r="I809" s="177">
        <v>8634</v>
      </c>
      <c r="J809" s="177">
        <v>7746.5</v>
      </c>
      <c r="K809" s="177">
        <v>7730.1</v>
      </c>
      <c r="L809" s="206">
        <v>349</v>
      </c>
      <c r="M809" s="173" t="s">
        <v>265</v>
      </c>
      <c r="N809" s="173" t="s">
        <v>269</v>
      </c>
      <c r="O809" s="175" t="s">
        <v>319</v>
      </c>
      <c r="P809" s="170">
        <v>9035938.7899999991</v>
      </c>
      <c r="Q809" s="170">
        <v>0</v>
      </c>
      <c r="R809" s="170">
        <v>0</v>
      </c>
      <c r="S809" s="170">
        <f t="shared" ref="S809:S812" si="139">P809-Q809-R809</f>
        <v>9035938.7899999991</v>
      </c>
      <c r="T809" s="170">
        <f t="shared" ref="T809:T812" si="140">P809/I809</f>
        <v>1046.5530217743803</v>
      </c>
      <c r="U809" s="170">
        <v>1138.6611072504054</v>
      </c>
      <c r="V809" s="202">
        <f t="shared" si="137"/>
        <v>92.108085476025053</v>
      </c>
      <c r="W809" s="202">
        <f t="shared" si="138"/>
        <v>1046.5530217743803</v>
      </c>
      <c r="X809" s="202">
        <v>0</v>
      </c>
      <c r="Y809" s="203">
        <v>0</v>
      </c>
      <c r="Z809" s="203">
        <v>0</v>
      </c>
      <c r="AA809" s="203">
        <v>0</v>
      </c>
      <c r="AB809" s="203">
        <v>0</v>
      </c>
      <c r="AC809" s="203">
        <v>0</v>
      </c>
      <c r="AD809" s="203">
        <v>0</v>
      </c>
      <c r="AE809" s="203">
        <v>0</v>
      </c>
      <c r="AF809" s="202">
        <v>0</v>
      </c>
      <c r="AG809" s="203">
        <v>0</v>
      </c>
      <c r="AH809" s="202">
        <v>0</v>
      </c>
      <c r="AI809" s="203">
        <v>0</v>
      </c>
      <c r="AJ809" s="202">
        <v>0</v>
      </c>
      <c r="AK809" s="203">
        <v>0</v>
      </c>
      <c r="AL809" s="203">
        <v>0</v>
      </c>
      <c r="AM809" s="203">
        <v>0</v>
      </c>
      <c r="AN809" s="203"/>
      <c r="AO809" s="203">
        <v>0</v>
      </c>
    </row>
    <row r="810" spans="1:41" s="176" customFormat="1" ht="36" customHeight="1" x14ac:dyDescent="0.25">
      <c r="A810" s="176">
        <v>1</v>
      </c>
      <c r="B810" s="171">
        <f>SUBTOTAL(103,$A$552:A810)</f>
        <v>255</v>
      </c>
      <c r="C810" s="172" t="s">
        <v>2644</v>
      </c>
      <c r="D810" s="173">
        <v>1983</v>
      </c>
      <c r="E810" s="173"/>
      <c r="F810" s="174" t="s">
        <v>318</v>
      </c>
      <c r="G810" s="173" t="s">
        <v>2254</v>
      </c>
      <c r="H810" s="173">
        <v>3</v>
      </c>
      <c r="I810" s="177">
        <v>9222.1</v>
      </c>
      <c r="J810" s="177">
        <v>9222.1</v>
      </c>
      <c r="K810" s="177">
        <v>8177.3</v>
      </c>
      <c r="L810" s="206" t="s">
        <v>2651</v>
      </c>
      <c r="M810" s="173" t="s">
        <v>265</v>
      </c>
      <c r="N810" s="173" t="s">
        <v>269</v>
      </c>
      <c r="O810" s="175" t="s">
        <v>319</v>
      </c>
      <c r="P810" s="170">
        <v>16185630.710000001</v>
      </c>
      <c r="Q810" s="170">
        <v>0</v>
      </c>
      <c r="R810" s="170">
        <v>0</v>
      </c>
      <c r="S810" s="170">
        <f t="shared" si="139"/>
        <v>16185630.710000001</v>
      </c>
      <c r="T810" s="170">
        <f t="shared" si="140"/>
        <v>1755.0916504917536</v>
      </c>
      <c r="U810" s="170">
        <f t="shared" ref="U810:U814" si="141">T810</f>
        <v>1755.0916504917536</v>
      </c>
      <c r="V810" s="202">
        <f t="shared" si="137"/>
        <v>0</v>
      </c>
      <c r="W810" s="202">
        <f t="shared" si="138"/>
        <v>1755.0916504917536</v>
      </c>
      <c r="X810" s="202">
        <v>0</v>
      </c>
      <c r="Y810" s="203">
        <v>0</v>
      </c>
      <c r="Z810" s="203">
        <v>0</v>
      </c>
      <c r="AA810" s="203">
        <v>0</v>
      </c>
      <c r="AB810" s="203">
        <v>0</v>
      </c>
      <c r="AC810" s="203">
        <v>0</v>
      </c>
      <c r="AD810" s="203">
        <v>0</v>
      </c>
      <c r="AE810" s="203">
        <v>0</v>
      </c>
      <c r="AF810" s="202">
        <v>0</v>
      </c>
      <c r="AG810" s="203">
        <v>0</v>
      </c>
      <c r="AH810" s="202">
        <v>0</v>
      </c>
      <c r="AI810" s="203">
        <v>0</v>
      </c>
      <c r="AJ810" s="202">
        <v>0</v>
      </c>
      <c r="AK810" s="203">
        <v>0</v>
      </c>
      <c r="AL810" s="203">
        <v>0</v>
      </c>
      <c r="AM810" s="203">
        <v>0</v>
      </c>
      <c r="AN810" s="203"/>
      <c r="AO810" s="203">
        <v>0</v>
      </c>
    </row>
    <row r="811" spans="1:41" s="176" customFormat="1" ht="36" customHeight="1" x14ac:dyDescent="0.25">
      <c r="A811" s="176">
        <v>1</v>
      </c>
      <c r="B811" s="171">
        <f>SUBTOTAL(103,$A$552:A811)</f>
        <v>256</v>
      </c>
      <c r="C811" s="172" t="s">
        <v>2645</v>
      </c>
      <c r="D811" s="173">
        <v>1996</v>
      </c>
      <c r="E811" s="173" t="s">
        <v>1516</v>
      </c>
      <c r="F811" s="174" t="s">
        <v>318</v>
      </c>
      <c r="G811" s="173" t="s">
        <v>357</v>
      </c>
      <c r="H811" s="173">
        <v>3</v>
      </c>
      <c r="I811" s="177">
        <v>10830</v>
      </c>
      <c r="J811" s="177">
        <v>7342.6</v>
      </c>
      <c r="K811" s="177">
        <v>6528.8</v>
      </c>
      <c r="L811" s="206" t="s">
        <v>2652</v>
      </c>
      <c r="M811" s="173" t="s">
        <v>265</v>
      </c>
      <c r="N811" s="173" t="s">
        <v>269</v>
      </c>
      <c r="O811" s="175" t="s">
        <v>319</v>
      </c>
      <c r="P811" s="170">
        <v>2356132.7999999998</v>
      </c>
      <c r="Q811" s="170">
        <v>0</v>
      </c>
      <c r="R811" s="170">
        <v>0</v>
      </c>
      <c r="S811" s="170">
        <f t="shared" si="139"/>
        <v>2356132.7999999998</v>
      </c>
      <c r="T811" s="170">
        <f t="shared" si="140"/>
        <v>217.55612188365649</v>
      </c>
      <c r="U811" s="170">
        <f t="shared" si="141"/>
        <v>217.55612188365649</v>
      </c>
      <c r="V811" s="202">
        <f t="shared" si="137"/>
        <v>0</v>
      </c>
      <c r="W811" s="202">
        <f t="shared" si="138"/>
        <v>217.55612188365649</v>
      </c>
      <c r="X811" s="202">
        <v>0</v>
      </c>
      <c r="Y811" s="203">
        <v>0</v>
      </c>
      <c r="Z811" s="203">
        <v>0</v>
      </c>
      <c r="AA811" s="203">
        <v>0</v>
      </c>
      <c r="AB811" s="203">
        <v>0</v>
      </c>
      <c r="AC811" s="203">
        <v>0</v>
      </c>
      <c r="AD811" s="203">
        <v>0</v>
      </c>
      <c r="AE811" s="203">
        <v>0</v>
      </c>
      <c r="AF811" s="202">
        <v>0</v>
      </c>
      <c r="AG811" s="203">
        <v>0</v>
      </c>
      <c r="AH811" s="202">
        <v>0</v>
      </c>
      <c r="AI811" s="203">
        <v>0</v>
      </c>
      <c r="AJ811" s="202">
        <v>0</v>
      </c>
      <c r="AK811" s="203">
        <v>0</v>
      </c>
      <c r="AL811" s="203">
        <v>0</v>
      </c>
      <c r="AM811" s="203">
        <v>0</v>
      </c>
      <c r="AN811" s="203"/>
      <c r="AO811" s="203">
        <v>0</v>
      </c>
    </row>
    <row r="812" spans="1:41" s="176" customFormat="1" ht="36" customHeight="1" x14ac:dyDescent="0.25">
      <c r="A812" s="176">
        <v>1</v>
      </c>
      <c r="B812" s="171">
        <f>SUBTOTAL(103,$A$552:A812)</f>
        <v>257</v>
      </c>
      <c r="C812" s="172" t="s">
        <v>2646</v>
      </c>
      <c r="D812" s="173">
        <v>1995</v>
      </c>
      <c r="E812" s="173" t="s">
        <v>1516</v>
      </c>
      <c r="F812" s="174" t="s">
        <v>318</v>
      </c>
      <c r="G812" s="173" t="s">
        <v>357</v>
      </c>
      <c r="H812" s="173">
        <v>5</v>
      </c>
      <c r="I812" s="177">
        <v>12058.8</v>
      </c>
      <c r="J812" s="177">
        <v>12058.800000000001</v>
      </c>
      <c r="K812" s="177">
        <v>10739.7</v>
      </c>
      <c r="L812" s="206" t="s">
        <v>2653</v>
      </c>
      <c r="M812" s="173" t="s">
        <v>265</v>
      </c>
      <c r="N812" s="173" t="s">
        <v>269</v>
      </c>
      <c r="O812" s="175" t="s">
        <v>319</v>
      </c>
      <c r="P812" s="170">
        <v>11380664</v>
      </c>
      <c r="Q812" s="170">
        <v>0</v>
      </c>
      <c r="R812" s="170">
        <v>0</v>
      </c>
      <c r="S812" s="170">
        <f t="shared" si="139"/>
        <v>11380664</v>
      </c>
      <c r="T812" s="170">
        <f t="shared" si="140"/>
        <v>943.76422197896977</v>
      </c>
      <c r="U812" s="170">
        <f t="shared" si="141"/>
        <v>943.76422197896977</v>
      </c>
      <c r="V812" s="202">
        <f t="shared" si="137"/>
        <v>0</v>
      </c>
      <c r="W812" s="202">
        <f t="shared" si="138"/>
        <v>943.76422197896977</v>
      </c>
      <c r="X812" s="202">
        <v>0</v>
      </c>
      <c r="Y812" s="203">
        <v>0</v>
      </c>
      <c r="Z812" s="203">
        <v>0</v>
      </c>
      <c r="AA812" s="203">
        <v>0</v>
      </c>
      <c r="AB812" s="203">
        <v>0</v>
      </c>
      <c r="AC812" s="203">
        <v>0</v>
      </c>
      <c r="AD812" s="203">
        <v>0</v>
      </c>
      <c r="AE812" s="203">
        <v>0</v>
      </c>
      <c r="AF812" s="202">
        <v>0</v>
      </c>
      <c r="AG812" s="203">
        <v>0</v>
      </c>
      <c r="AH812" s="202">
        <v>0</v>
      </c>
      <c r="AI812" s="203">
        <v>0</v>
      </c>
      <c r="AJ812" s="202">
        <v>0</v>
      </c>
      <c r="AK812" s="203">
        <v>0</v>
      </c>
      <c r="AL812" s="203">
        <v>0</v>
      </c>
      <c r="AM812" s="203">
        <v>0</v>
      </c>
      <c r="AN812" s="203"/>
      <c r="AO812" s="203">
        <v>0</v>
      </c>
    </row>
    <row r="813" spans="1:41" s="176" customFormat="1" ht="36" customHeight="1" x14ac:dyDescent="0.25">
      <c r="A813" s="176">
        <v>1</v>
      </c>
      <c r="B813" s="171">
        <f>SUBTOTAL(103,$A$552:A813)</f>
        <v>258</v>
      </c>
      <c r="C813" s="172" t="s">
        <v>2647</v>
      </c>
      <c r="D813" s="173">
        <v>1987</v>
      </c>
      <c r="E813" s="173"/>
      <c r="F813" s="174" t="s">
        <v>318</v>
      </c>
      <c r="G813" s="173" t="s">
        <v>357</v>
      </c>
      <c r="H813" s="173">
        <v>4</v>
      </c>
      <c r="I813" s="177">
        <v>8661.7999999999993</v>
      </c>
      <c r="J813" s="177">
        <v>8661.7999999999993</v>
      </c>
      <c r="K813" s="177">
        <v>7775</v>
      </c>
      <c r="L813" s="206" t="s">
        <v>2654</v>
      </c>
      <c r="M813" s="173" t="s">
        <v>265</v>
      </c>
      <c r="N813" s="173" t="s">
        <v>269</v>
      </c>
      <c r="O813" s="175" t="s">
        <v>319</v>
      </c>
      <c r="P813" s="170">
        <v>9074531.1999999993</v>
      </c>
      <c r="Q813" s="170">
        <v>0</v>
      </c>
      <c r="R813" s="170">
        <v>0</v>
      </c>
      <c r="S813" s="170">
        <f t="shared" ref="S813" si="142">P813-Q813-R813</f>
        <v>9074531.1999999993</v>
      </c>
      <c r="T813" s="170">
        <f t="shared" ref="T813" si="143">P813/I813</f>
        <v>1047.6495878454825</v>
      </c>
      <c r="U813" s="170">
        <f t="shared" si="141"/>
        <v>1047.6495878454825</v>
      </c>
      <c r="V813" s="202">
        <f t="shared" si="137"/>
        <v>0</v>
      </c>
      <c r="W813" s="202">
        <f t="shared" si="138"/>
        <v>1047.6495878454825</v>
      </c>
      <c r="X813" s="202">
        <v>0</v>
      </c>
      <c r="Y813" s="203">
        <v>0</v>
      </c>
      <c r="Z813" s="203">
        <v>0</v>
      </c>
      <c r="AA813" s="203">
        <v>0</v>
      </c>
      <c r="AB813" s="203">
        <v>0</v>
      </c>
      <c r="AC813" s="203">
        <v>0</v>
      </c>
      <c r="AD813" s="203">
        <v>0</v>
      </c>
      <c r="AE813" s="203">
        <v>0</v>
      </c>
      <c r="AF813" s="202">
        <v>0</v>
      </c>
      <c r="AG813" s="203">
        <v>0</v>
      </c>
      <c r="AH813" s="202">
        <v>0</v>
      </c>
      <c r="AI813" s="203">
        <v>0</v>
      </c>
      <c r="AJ813" s="202">
        <v>0</v>
      </c>
      <c r="AK813" s="203">
        <v>0</v>
      </c>
      <c r="AL813" s="203">
        <v>0</v>
      </c>
      <c r="AM813" s="203">
        <v>0</v>
      </c>
      <c r="AN813" s="203"/>
      <c r="AO813" s="203">
        <v>0</v>
      </c>
    </row>
    <row r="814" spans="1:41" s="176" customFormat="1" ht="36" customHeight="1" x14ac:dyDescent="0.25">
      <c r="A814" s="176">
        <v>1</v>
      </c>
      <c r="B814" s="171">
        <f>SUBTOTAL(103,$A$552:A814)</f>
        <v>259</v>
      </c>
      <c r="C814" s="172" t="s">
        <v>2648</v>
      </c>
      <c r="D814" s="173">
        <v>1993</v>
      </c>
      <c r="E814" s="173"/>
      <c r="F814" s="174" t="s">
        <v>318</v>
      </c>
      <c r="G814" s="173" t="s">
        <v>357</v>
      </c>
      <c r="H814" s="173">
        <v>3</v>
      </c>
      <c r="I814" s="177">
        <v>6775.4000000000005</v>
      </c>
      <c r="J814" s="177">
        <v>6775.4000000000005</v>
      </c>
      <c r="K814" s="177">
        <v>5818.3</v>
      </c>
      <c r="L814" s="206" t="s">
        <v>2655</v>
      </c>
      <c r="M814" s="173" t="s">
        <v>265</v>
      </c>
      <c r="N814" s="173" t="s">
        <v>269</v>
      </c>
      <c r="O814" s="175" t="s">
        <v>319</v>
      </c>
      <c r="P814" s="170">
        <v>6838398.3999999994</v>
      </c>
      <c r="Q814" s="170">
        <v>0</v>
      </c>
      <c r="R814" s="170">
        <v>0</v>
      </c>
      <c r="S814" s="170">
        <f t="shared" si="135"/>
        <v>6838398.3999999994</v>
      </c>
      <c r="T814" s="170">
        <f t="shared" si="104"/>
        <v>1009.2981078607903</v>
      </c>
      <c r="U814" s="170">
        <f t="shared" si="141"/>
        <v>1009.2981078607903</v>
      </c>
      <c r="V814" s="202">
        <f t="shared" si="137"/>
        <v>0</v>
      </c>
      <c r="W814" s="202">
        <f t="shared" si="138"/>
        <v>1009.2981078607903</v>
      </c>
      <c r="X814" s="202">
        <v>0</v>
      </c>
      <c r="Y814" s="203">
        <v>0</v>
      </c>
      <c r="Z814" s="203">
        <v>0</v>
      </c>
      <c r="AA814" s="203">
        <v>0</v>
      </c>
      <c r="AB814" s="203">
        <v>0</v>
      </c>
      <c r="AC814" s="203">
        <v>0</v>
      </c>
      <c r="AD814" s="203">
        <v>0</v>
      </c>
      <c r="AE814" s="203">
        <v>0</v>
      </c>
      <c r="AF814" s="202">
        <v>0</v>
      </c>
      <c r="AG814" s="203">
        <v>0</v>
      </c>
      <c r="AH814" s="202">
        <v>0</v>
      </c>
      <c r="AI814" s="203">
        <v>0</v>
      </c>
      <c r="AJ814" s="202">
        <v>0</v>
      </c>
      <c r="AK814" s="203">
        <v>0</v>
      </c>
      <c r="AL814" s="203">
        <v>0</v>
      </c>
      <c r="AM814" s="203">
        <v>0</v>
      </c>
      <c r="AN814" s="203"/>
      <c r="AO814" s="203">
        <v>0</v>
      </c>
    </row>
    <row r="815" spans="1:41" s="176" customFormat="1" ht="36" customHeight="1" x14ac:dyDescent="0.25">
      <c r="B815" s="172" t="s">
        <v>807</v>
      </c>
      <c r="C815" s="359"/>
      <c r="D815" s="173" t="s">
        <v>882</v>
      </c>
      <c r="E815" s="173" t="s">
        <v>882</v>
      </c>
      <c r="F815" s="173" t="s">
        <v>882</v>
      </c>
      <c r="G815" s="173" t="s">
        <v>882</v>
      </c>
      <c r="H815" s="173" t="s">
        <v>882</v>
      </c>
      <c r="I815" s="177">
        <f>SUM(I816:I841)</f>
        <v>53937.16</v>
      </c>
      <c r="J815" s="177">
        <f>SUM(J816:J841)</f>
        <v>41040.6</v>
      </c>
      <c r="K815" s="177">
        <f>SUM(K816:K841)</f>
        <v>40044.11</v>
      </c>
      <c r="L815" s="357">
        <f>SUM(L816:L841)</f>
        <v>2174</v>
      </c>
      <c r="M815" s="173" t="s">
        <v>882</v>
      </c>
      <c r="N815" s="173" t="s">
        <v>882</v>
      </c>
      <c r="O815" s="175" t="s">
        <v>882</v>
      </c>
      <c r="P815" s="177">
        <v>107004610.82000004</v>
      </c>
      <c r="Q815" s="177">
        <f>SUM(Q816:Q841)</f>
        <v>0</v>
      </c>
      <c r="R815" s="177">
        <f>SUM(R816:R841)</f>
        <v>0</v>
      </c>
      <c r="S815" s="177">
        <f>SUM(S816:S841)</f>
        <v>107004610.82000004</v>
      </c>
      <c r="T815" s="170">
        <f t="shared" si="104"/>
        <v>1983.8755103160795</v>
      </c>
      <c r="U815" s="170">
        <f>MAX(U816:U841)</f>
        <v>9856.9208221492281</v>
      </c>
      <c r="V815" s="202">
        <f t="shared" si="105"/>
        <v>7873.0453118331488</v>
      </c>
      <c r="W815" s="202"/>
      <c r="X815" s="202"/>
      <c r="Y815" s="203"/>
      <c r="Z815" s="203"/>
      <c r="AA815" s="203"/>
      <c r="AB815" s="203"/>
      <c r="AC815" s="203"/>
      <c r="AD815" s="203"/>
      <c r="AE815" s="203"/>
      <c r="AF815" s="203"/>
      <c r="AG815" s="203"/>
      <c r="AH815" s="203"/>
      <c r="AI815" s="203"/>
      <c r="AJ815" s="203"/>
      <c r="AK815" s="203"/>
      <c r="AL815" s="203"/>
      <c r="AM815" s="203"/>
      <c r="AN815" s="203"/>
      <c r="AO815" s="203"/>
    </row>
    <row r="816" spans="1:41" s="176" customFormat="1" ht="36" customHeight="1" x14ac:dyDescent="0.25">
      <c r="A816" s="176">
        <v>1</v>
      </c>
      <c r="B816" s="171">
        <f>SUBTOTAL(103,$A$552:A816)</f>
        <v>260</v>
      </c>
      <c r="C816" s="172" t="s">
        <v>602</v>
      </c>
      <c r="D816" s="173">
        <v>1966</v>
      </c>
      <c r="E816" s="173"/>
      <c r="F816" s="174" t="s">
        <v>267</v>
      </c>
      <c r="G816" s="173">
        <v>5</v>
      </c>
      <c r="H816" s="173" t="s">
        <v>312</v>
      </c>
      <c r="I816" s="177">
        <v>4109.6000000000004</v>
      </c>
      <c r="J816" s="177">
        <v>2516.14</v>
      </c>
      <c r="K816" s="177">
        <v>2269.44</v>
      </c>
      <c r="L816" s="206">
        <v>105</v>
      </c>
      <c r="M816" s="173" t="s">
        <v>265</v>
      </c>
      <c r="N816" s="173" t="s">
        <v>269</v>
      </c>
      <c r="O816" s="175" t="s">
        <v>1069</v>
      </c>
      <c r="P816" s="170">
        <v>4305622.5199999996</v>
      </c>
      <c r="Q816" s="170">
        <v>0</v>
      </c>
      <c r="R816" s="170">
        <v>0</v>
      </c>
      <c r="S816" s="170">
        <f t="shared" ref="S816:S841" si="144">P816-Q816-R816</f>
        <v>4305622.5199999996</v>
      </c>
      <c r="T816" s="170">
        <f t="shared" si="104"/>
        <v>1047.6986860035038</v>
      </c>
      <c r="U816" s="170">
        <v>1210.6866094023746</v>
      </c>
      <c r="V816" s="202">
        <f t="shared" si="105"/>
        <v>162.98792339887086</v>
      </c>
      <c r="W816" s="202">
        <f t="shared" ref="W816:W841" si="145">X816+Y816+Z816+AA816+AB816+AD816+AF816+AH816+AJ816+AL816+AN816+AO816</f>
        <v>1173.5150452598791</v>
      </c>
      <c r="X816" s="202">
        <v>0</v>
      </c>
      <c r="Y816" s="203">
        <v>0</v>
      </c>
      <c r="Z816" s="203">
        <v>0</v>
      </c>
      <c r="AA816" s="203">
        <v>0</v>
      </c>
      <c r="AB816" s="203">
        <v>0</v>
      </c>
      <c r="AC816" s="203">
        <v>0</v>
      </c>
      <c r="AD816" s="203">
        <v>0</v>
      </c>
      <c r="AE816" s="203">
        <v>773</v>
      </c>
      <c r="AF816" s="202">
        <f t="shared" ref="AF816:AF824" si="146">6238.91*AE816/I816</f>
        <v>1173.5150452598791</v>
      </c>
      <c r="AG816" s="203">
        <v>0</v>
      </c>
      <c r="AH816" s="202">
        <v>0</v>
      </c>
      <c r="AI816" s="203">
        <v>0</v>
      </c>
      <c r="AJ816" s="202">
        <v>0</v>
      </c>
      <c r="AK816" s="203">
        <v>0</v>
      </c>
      <c r="AL816" s="203">
        <v>0</v>
      </c>
      <c r="AM816" s="203">
        <v>0</v>
      </c>
      <c r="AN816" s="203"/>
      <c r="AO816" s="203">
        <v>0</v>
      </c>
    </row>
    <row r="817" spans="1:41" s="176" customFormat="1" ht="36" customHeight="1" x14ac:dyDescent="0.25">
      <c r="A817" s="176">
        <v>1</v>
      </c>
      <c r="B817" s="171">
        <f>SUBTOTAL(103,$A$552:A817)</f>
        <v>261</v>
      </c>
      <c r="C817" s="172" t="s">
        <v>603</v>
      </c>
      <c r="D817" s="173">
        <v>1965</v>
      </c>
      <c r="E817" s="173"/>
      <c r="F817" s="174" t="s">
        <v>267</v>
      </c>
      <c r="G817" s="173" t="s">
        <v>351</v>
      </c>
      <c r="H817" s="173" t="s">
        <v>308</v>
      </c>
      <c r="I817" s="177">
        <v>4233.3599999999997</v>
      </c>
      <c r="J817" s="177">
        <v>3105.6</v>
      </c>
      <c r="K817" s="177">
        <v>3105.6</v>
      </c>
      <c r="L817" s="206">
        <v>208</v>
      </c>
      <c r="M817" s="173" t="s">
        <v>265</v>
      </c>
      <c r="N817" s="173" t="s">
        <v>269</v>
      </c>
      <c r="O817" s="175" t="s">
        <v>698</v>
      </c>
      <c r="P817" s="170">
        <v>5849319.5699999994</v>
      </c>
      <c r="Q817" s="170">
        <v>0</v>
      </c>
      <c r="R817" s="170">
        <v>0</v>
      </c>
      <c r="S817" s="170">
        <f t="shared" si="144"/>
        <v>5849319.5699999994</v>
      </c>
      <c r="T817" s="170">
        <f t="shared" si="104"/>
        <v>1381.7203285333635</v>
      </c>
      <c r="U817" s="170">
        <v>1596.4521089630932</v>
      </c>
      <c r="V817" s="202">
        <f t="shared" si="105"/>
        <v>214.73178042972972</v>
      </c>
      <c r="W817" s="202">
        <f t="shared" si="145"/>
        <v>1547.4364334712852</v>
      </c>
      <c r="X817" s="202">
        <v>0</v>
      </c>
      <c r="Y817" s="203">
        <v>0</v>
      </c>
      <c r="Z817" s="203">
        <v>0</v>
      </c>
      <c r="AA817" s="203">
        <v>0</v>
      </c>
      <c r="AB817" s="203">
        <v>0</v>
      </c>
      <c r="AC817" s="203">
        <v>0</v>
      </c>
      <c r="AD817" s="203">
        <v>0</v>
      </c>
      <c r="AE817" s="203">
        <v>1050</v>
      </c>
      <c r="AF817" s="202">
        <f t="shared" si="146"/>
        <v>1547.4364334712852</v>
      </c>
      <c r="AG817" s="203">
        <v>0</v>
      </c>
      <c r="AH817" s="202">
        <v>0</v>
      </c>
      <c r="AI817" s="203">
        <v>0</v>
      </c>
      <c r="AJ817" s="202">
        <v>0</v>
      </c>
      <c r="AK817" s="203">
        <v>0</v>
      </c>
      <c r="AL817" s="203">
        <v>0</v>
      </c>
      <c r="AM817" s="203">
        <v>0</v>
      </c>
      <c r="AN817" s="203"/>
      <c r="AO817" s="203">
        <v>0</v>
      </c>
    </row>
    <row r="818" spans="1:41" s="176" customFormat="1" ht="36" customHeight="1" x14ac:dyDescent="0.25">
      <c r="A818" s="176">
        <v>1</v>
      </c>
      <c r="B818" s="171">
        <f>SUBTOTAL(103,$A$552:A818)</f>
        <v>262</v>
      </c>
      <c r="C818" s="172" t="s">
        <v>604</v>
      </c>
      <c r="D818" s="173">
        <v>1964</v>
      </c>
      <c r="E818" s="173"/>
      <c r="F818" s="174" t="s">
        <v>267</v>
      </c>
      <c r="G818" s="173" t="s">
        <v>308</v>
      </c>
      <c r="H818" s="173" t="s">
        <v>308</v>
      </c>
      <c r="I818" s="177">
        <v>3054.2</v>
      </c>
      <c r="J818" s="177">
        <v>2812.7</v>
      </c>
      <c r="K818" s="177">
        <v>2812.7</v>
      </c>
      <c r="L818" s="206">
        <v>156</v>
      </c>
      <c r="M818" s="173" t="s">
        <v>265</v>
      </c>
      <c r="N818" s="173" t="s">
        <v>269</v>
      </c>
      <c r="O818" s="175" t="s">
        <v>698</v>
      </c>
      <c r="P818" s="170">
        <v>4691039.5599999996</v>
      </c>
      <c r="Q818" s="170">
        <v>0</v>
      </c>
      <c r="R818" s="170">
        <v>0</v>
      </c>
      <c r="S818" s="170">
        <f t="shared" si="144"/>
        <v>4691039.5599999996</v>
      </c>
      <c r="T818" s="170">
        <f t="shared" si="104"/>
        <v>1535.9307052583326</v>
      </c>
      <c r="U818" s="170">
        <v>1991.5267009364154</v>
      </c>
      <c r="V818" s="202">
        <f t="shared" si="105"/>
        <v>455.59599567808277</v>
      </c>
      <c r="W818" s="202">
        <f t="shared" si="145"/>
        <v>1930.3810981599111</v>
      </c>
      <c r="X818" s="202">
        <v>0</v>
      </c>
      <c r="Y818" s="203">
        <v>0</v>
      </c>
      <c r="Z818" s="203">
        <v>0</v>
      </c>
      <c r="AA818" s="203">
        <v>0</v>
      </c>
      <c r="AB818" s="203">
        <v>0</v>
      </c>
      <c r="AC818" s="203">
        <v>0</v>
      </c>
      <c r="AD818" s="203">
        <v>0</v>
      </c>
      <c r="AE818" s="203">
        <v>945</v>
      </c>
      <c r="AF818" s="202">
        <f t="shared" si="146"/>
        <v>1930.3810981599111</v>
      </c>
      <c r="AG818" s="203">
        <v>0</v>
      </c>
      <c r="AH818" s="202">
        <v>0</v>
      </c>
      <c r="AI818" s="203">
        <v>0</v>
      </c>
      <c r="AJ818" s="202">
        <v>0</v>
      </c>
      <c r="AK818" s="203">
        <v>0</v>
      </c>
      <c r="AL818" s="203">
        <v>0</v>
      </c>
      <c r="AM818" s="203">
        <v>0</v>
      </c>
      <c r="AN818" s="203"/>
      <c r="AO818" s="203">
        <v>0</v>
      </c>
    </row>
    <row r="819" spans="1:41" s="176" customFormat="1" ht="36" customHeight="1" x14ac:dyDescent="0.25">
      <c r="A819" s="176">
        <v>1</v>
      </c>
      <c r="B819" s="171">
        <f>SUBTOTAL(103,$A$552:A819)</f>
        <v>263</v>
      </c>
      <c r="C819" s="172" t="s">
        <v>608</v>
      </c>
      <c r="D819" s="173">
        <v>1955</v>
      </c>
      <c r="E819" s="173"/>
      <c r="F819" s="174" t="s">
        <v>267</v>
      </c>
      <c r="G819" s="173">
        <v>2</v>
      </c>
      <c r="H819" s="173">
        <v>1</v>
      </c>
      <c r="I819" s="177">
        <v>424.9</v>
      </c>
      <c r="J819" s="177">
        <v>343.85</v>
      </c>
      <c r="K819" s="177">
        <v>248.25</v>
      </c>
      <c r="L819" s="206">
        <v>21</v>
      </c>
      <c r="M819" s="173" t="s">
        <v>265</v>
      </c>
      <c r="N819" s="173" t="s">
        <v>266</v>
      </c>
      <c r="O819" s="175" t="s">
        <v>268</v>
      </c>
      <c r="P819" s="170">
        <v>2741969.48</v>
      </c>
      <c r="Q819" s="170">
        <v>0</v>
      </c>
      <c r="R819" s="170">
        <v>0</v>
      </c>
      <c r="S819" s="170">
        <f t="shared" si="144"/>
        <v>2741969.48</v>
      </c>
      <c r="T819" s="170">
        <f t="shared" si="104"/>
        <v>6453.2112967757121</v>
      </c>
      <c r="U819" s="170">
        <v>9846.4215109437519</v>
      </c>
      <c r="V819" s="202">
        <f t="shared" si="105"/>
        <v>3393.2102141680398</v>
      </c>
      <c r="W819" s="202">
        <f t="shared" si="145"/>
        <v>9544.108025417745</v>
      </c>
      <c r="X819" s="202">
        <v>0</v>
      </c>
      <c r="Y819" s="203">
        <v>0</v>
      </c>
      <c r="Z819" s="203">
        <v>0</v>
      </c>
      <c r="AA819" s="203">
        <v>0</v>
      </c>
      <c r="AB819" s="203">
        <v>0</v>
      </c>
      <c r="AC819" s="203">
        <v>0</v>
      </c>
      <c r="AD819" s="203">
        <v>0</v>
      </c>
      <c r="AE819" s="203">
        <v>650</v>
      </c>
      <c r="AF819" s="202">
        <f t="shared" si="146"/>
        <v>9544.108025417745</v>
      </c>
      <c r="AG819" s="203">
        <v>0</v>
      </c>
      <c r="AH819" s="202">
        <v>0</v>
      </c>
      <c r="AI819" s="203">
        <v>0</v>
      </c>
      <c r="AJ819" s="202">
        <v>0</v>
      </c>
      <c r="AK819" s="203">
        <v>0</v>
      </c>
      <c r="AL819" s="203">
        <v>0</v>
      </c>
      <c r="AM819" s="203">
        <v>0</v>
      </c>
      <c r="AN819" s="203"/>
      <c r="AO819" s="203">
        <v>0</v>
      </c>
    </row>
    <row r="820" spans="1:41" s="176" customFormat="1" ht="36" customHeight="1" x14ac:dyDescent="0.25">
      <c r="A820" s="176">
        <v>1</v>
      </c>
      <c r="B820" s="171">
        <f>SUBTOTAL(103,$A$552:A820)</f>
        <v>264</v>
      </c>
      <c r="C820" s="172" t="s">
        <v>609</v>
      </c>
      <c r="D820" s="173">
        <v>1977</v>
      </c>
      <c r="E820" s="173"/>
      <c r="F820" s="174" t="s">
        <v>267</v>
      </c>
      <c r="G820" s="173">
        <v>5</v>
      </c>
      <c r="H820" s="173" t="s">
        <v>370</v>
      </c>
      <c r="I820" s="177">
        <v>4398.3999999999996</v>
      </c>
      <c r="J820" s="177">
        <v>3962.5</v>
      </c>
      <c r="K820" s="177">
        <v>3962.5</v>
      </c>
      <c r="L820" s="206">
        <v>234</v>
      </c>
      <c r="M820" s="173" t="s">
        <v>265</v>
      </c>
      <c r="N820" s="173" t="s">
        <v>269</v>
      </c>
      <c r="O820" s="175" t="s">
        <v>1072</v>
      </c>
      <c r="P820" s="170">
        <v>5694080.6399999997</v>
      </c>
      <c r="Q820" s="170">
        <v>0</v>
      </c>
      <c r="R820" s="170">
        <v>0</v>
      </c>
      <c r="S820" s="170">
        <f t="shared" si="144"/>
        <v>5694080.6399999997</v>
      </c>
      <c r="T820" s="170">
        <f t="shared" si="104"/>
        <v>1294.5799927246271</v>
      </c>
      <c r="U820" s="170">
        <v>1521.9150600218263</v>
      </c>
      <c r="V820" s="202">
        <f t="shared" si="105"/>
        <v>227.3350672971992</v>
      </c>
      <c r="W820" s="202">
        <f t="shared" si="145"/>
        <v>1475.1878865041833</v>
      </c>
      <c r="X820" s="202">
        <v>0</v>
      </c>
      <c r="Y820" s="203">
        <v>0</v>
      </c>
      <c r="Z820" s="203">
        <v>0</v>
      </c>
      <c r="AA820" s="203">
        <v>0</v>
      </c>
      <c r="AB820" s="203">
        <v>0</v>
      </c>
      <c r="AC820" s="203">
        <v>0</v>
      </c>
      <c r="AD820" s="203">
        <v>0</v>
      </c>
      <c r="AE820" s="203">
        <v>1040</v>
      </c>
      <c r="AF820" s="202">
        <f t="shared" si="146"/>
        <v>1475.1878865041833</v>
      </c>
      <c r="AG820" s="203">
        <v>0</v>
      </c>
      <c r="AH820" s="202">
        <v>0</v>
      </c>
      <c r="AI820" s="203">
        <v>0</v>
      </c>
      <c r="AJ820" s="202">
        <v>0</v>
      </c>
      <c r="AK820" s="203">
        <v>0</v>
      </c>
      <c r="AL820" s="203">
        <v>0</v>
      </c>
      <c r="AM820" s="203">
        <v>0</v>
      </c>
      <c r="AN820" s="203"/>
      <c r="AO820" s="203">
        <v>0</v>
      </c>
    </row>
    <row r="821" spans="1:41" s="176" customFormat="1" ht="36" customHeight="1" x14ac:dyDescent="0.25">
      <c r="A821" s="176">
        <v>1</v>
      </c>
      <c r="B821" s="171">
        <f>SUBTOTAL(103,$A$552:A821)</f>
        <v>265</v>
      </c>
      <c r="C821" s="172" t="s">
        <v>607</v>
      </c>
      <c r="D821" s="173">
        <v>2001</v>
      </c>
      <c r="E821" s="173"/>
      <c r="F821" s="174" t="s">
        <v>311</v>
      </c>
      <c r="G821" s="173" t="s">
        <v>351</v>
      </c>
      <c r="H821" s="173" t="s">
        <v>303</v>
      </c>
      <c r="I821" s="177">
        <v>4008</v>
      </c>
      <c r="J821" s="177">
        <v>2472.3000000000002</v>
      </c>
      <c r="K821" s="177">
        <v>2472.3000000000002</v>
      </c>
      <c r="L821" s="206">
        <v>92</v>
      </c>
      <c r="M821" s="173" t="s">
        <v>265</v>
      </c>
      <c r="N821" s="173" t="s">
        <v>269</v>
      </c>
      <c r="O821" s="175" t="s">
        <v>1069</v>
      </c>
      <c r="P821" s="170">
        <v>4861949.2</v>
      </c>
      <c r="Q821" s="170">
        <v>0</v>
      </c>
      <c r="R821" s="170">
        <v>0</v>
      </c>
      <c r="S821" s="170">
        <f t="shared" si="144"/>
        <v>4861949.2</v>
      </c>
      <c r="T821" s="170">
        <f t="shared" si="104"/>
        <v>1213.0611776447106</v>
      </c>
      <c r="U821" s="170">
        <v>1504.7476571856287</v>
      </c>
      <c r="V821" s="202">
        <f t="shared" si="105"/>
        <v>291.68647954091807</v>
      </c>
      <c r="W821" s="202">
        <f t="shared" si="145"/>
        <v>1458.5475723552895</v>
      </c>
      <c r="X821" s="202">
        <v>0</v>
      </c>
      <c r="Y821" s="203">
        <v>0</v>
      </c>
      <c r="Z821" s="203">
        <v>0</v>
      </c>
      <c r="AA821" s="203">
        <v>0</v>
      </c>
      <c r="AB821" s="203">
        <v>0</v>
      </c>
      <c r="AC821" s="203">
        <v>0</v>
      </c>
      <c r="AD821" s="203">
        <v>0</v>
      </c>
      <c r="AE821" s="203">
        <v>937</v>
      </c>
      <c r="AF821" s="202">
        <f t="shared" si="146"/>
        <v>1458.5475723552895</v>
      </c>
      <c r="AG821" s="203">
        <v>0</v>
      </c>
      <c r="AH821" s="202">
        <v>0</v>
      </c>
      <c r="AI821" s="203">
        <v>0</v>
      </c>
      <c r="AJ821" s="202">
        <v>0</v>
      </c>
      <c r="AK821" s="203">
        <v>0</v>
      </c>
      <c r="AL821" s="203">
        <v>0</v>
      </c>
      <c r="AM821" s="203">
        <v>0</v>
      </c>
      <c r="AN821" s="203"/>
      <c r="AO821" s="203">
        <v>0</v>
      </c>
    </row>
    <row r="822" spans="1:41" s="176" customFormat="1" ht="36" customHeight="1" x14ac:dyDescent="0.25">
      <c r="A822" s="176">
        <v>1</v>
      </c>
      <c r="B822" s="171">
        <f>SUBTOTAL(103,$A$552:A822)</f>
        <v>266</v>
      </c>
      <c r="C822" s="172" t="s">
        <v>599</v>
      </c>
      <c r="D822" s="173">
        <v>1960</v>
      </c>
      <c r="E822" s="173"/>
      <c r="F822" s="174" t="s">
        <v>267</v>
      </c>
      <c r="G822" s="173">
        <v>2</v>
      </c>
      <c r="H822" s="173" t="s">
        <v>303</v>
      </c>
      <c r="I822" s="177">
        <v>676.9</v>
      </c>
      <c r="J822" s="177">
        <v>629.70000000000005</v>
      </c>
      <c r="K822" s="177">
        <v>629.70000000000005</v>
      </c>
      <c r="L822" s="206">
        <v>34</v>
      </c>
      <c r="M822" s="173" t="s">
        <v>265</v>
      </c>
      <c r="N822" s="173" t="s">
        <v>269</v>
      </c>
      <c r="O822" s="175" t="s">
        <v>696</v>
      </c>
      <c r="P822" s="170">
        <v>2842926.96</v>
      </c>
      <c r="Q822" s="170">
        <v>0</v>
      </c>
      <c r="R822" s="170">
        <v>0</v>
      </c>
      <c r="S822" s="170">
        <f t="shared" si="144"/>
        <v>2842926.96</v>
      </c>
      <c r="T822" s="170">
        <f t="shared" si="104"/>
        <v>4199.9216427832771</v>
      </c>
      <c r="U822" s="170">
        <v>5321.1437258088345</v>
      </c>
      <c r="V822" s="202">
        <f t="shared" si="105"/>
        <v>1121.2220830255574</v>
      </c>
      <c r="W822" s="202">
        <f t="shared" si="145"/>
        <v>5157.7692953168862</v>
      </c>
      <c r="X822" s="202">
        <v>0</v>
      </c>
      <c r="Y822" s="203">
        <v>0</v>
      </c>
      <c r="Z822" s="203">
        <v>0</v>
      </c>
      <c r="AA822" s="203">
        <v>0</v>
      </c>
      <c r="AB822" s="203">
        <v>0</v>
      </c>
      <c r="AC822" s="203">
        <v>0</v>
      </c>
      <c r="AD822" s="203">
        <v>0</v>
      </c>
      <c r="AE822" s="203">
        <v>559.6</v>
      </c>
      <c r="AF822" s="202">
        <f t="shared" si="146"/>
        <v>5157.7692953168862</v>
      </c>
      <c r="AG822" s="203">
        <v>0</v>
      </c>
      <c r="AH822" s="202">
        <v>0</v>
      </c>
      <c r="AI822" s="203">
        <v>0</v>
      </c>
      <c r="AJ822" s="202">
        <v>0</v>
      </c>
      <c r="AK822" s="203">
        <v>0</v>
      </c>
      <c r="AL822" s="203">
        <v>0</v>
      </c>
      <c r="AM822" s="203">
        <v>0</v>
      </c>
      <c r="AN822" s="203"/>
      <c r="AO822" s="203">
        <v>0</v>
      </c>
    </row>
    <row r="823" spans="1:41" s="176" customFormat="1" ht="36" customHeight="1" x14ac:dyDescent="0.25">
      <c r="A823" s="176">
        <v>1</v>
      </c>
      <c r="B823" s="171">
        <f>SUBTOTAL(103,$A$552:A823)</f>
        <v>267</v>
      </c>
      <c r="C823" s="172" t="s">
        <v>613</v>
      </c>
      <c r="D823" s="173">
        <v>1959</v>
      </c>
      <c r="E823" s="173"/>
      <c r="F823" s="174" t="s">
        <v>267</v>
      </c>
      <c r="G823" s="173" t="s">
        <v>312</v>
      </c>
      <c r="H823" s="173" t="s">
        <v>304</v>
      </c>
      <c r="I823" s="177">
        <v>1671.6</v>
      </c>
      <c r="J823" s="177">
        <v>1327.3</v>
      </c>
      <c r="K823" s="177">
        <v>1327.3</v>
      </c>
      <c r="L823" s="206">
        <v>138</v>
      </c>
      <c r="M823" s="173" t="s">
        <v>265</v>
      </c>
      <c r="N823" s="173" t="s">
        <v>283</v>
      </c>
      <c r="O823" s="175" t="s">
        <v>268</v>
      </c>
      <c r="P823" s="170">
        <v>4893264.82</v>
      </c>
      <c r="Q823" s="170">
        <v>0</v>
      </c>
      <c r="R823" s="170">
        <v>0</v>
      </c>
      <c r="S823" s="170">
        <f t="shared" si="144"/>
        <v>4893264.82</v>
      </c>
      <c r="T823" s="170">
        <f t="shared" si="104"/>
        <v>2927.2941014596795</v>
      </c>
      <c r="U823" s="170">
        <v>3631.0407932519743</v>
      </c>
      <c r="V823" s="202">
        <f t="shared" si="105"/>
        <v>703.74669179229477</v>
      </c>
      <c r="W823" s="202">
        <f t="shared" si="145"/>
        <v>3519.557388131132</v>
      </c>
      <c r="X823" s="202">
        <v>0</v>
      </c>
      <c r="Y823" s="203">
        <v>0</v>
      </c>
      <c r="Z823" s="203">
        <v>0</v>
      </c>
      <c r="AA823" s="203">
        <v>0</v>
      </c>
      <c r="AB823" s="203">
        <v>0</v>
      </c>
      <c r="AC823" s="203">
        <v>0</v>
      </c>
      <c r="AD823" s="203">
        <v>0</v>
      </c>
      <c r="AE823" s="203">
        <v>943</v>
      </c>
      <c r="AF823" s="202">
        <f t="shared" si="146"/>
        <v>3519.557388131132</v>
      </c>
      <c r="AG823" s="203">
        <v>0</v>
      </c>
      <c r="AH823" s="202">
        <v>0</v>
      </c>
      <c r="AI823" s="203">
        <v>0</v>
      </c>
      <c r="AJ823" s="202">
        <v>0</v>
      </c>
      <c r="AK823" s="203">
        <v>0</v>
      </c>
      <c r="AL823" s="203">
        <v>0</v>
      </c>
      <c r="AM823" s="203">
        <v>0</v>
      </c>
      <c r="AN823" s="203"/>
      <c r="AO823" s="203">
        <v>0</v>
      </c>
    </row>
    <row r="824" spans="1:41" s="176" customFormat="1" ht="36" customHeight="1" x14ac:dyDescent="0.25">
      <c r="A824" s="176">
        <v>1</v>
      </c>
      <c r="B824" s="171">
        <f>SUBTOTAL(103,$A$552:A824)</f>
        <v>268</v>
      </c>
      <c r="C824" s="172" t="s">
        <v>612</v>
      </c>
      <c r="D824" s="173">
        <v>1956</v>
      </c>
      <c r="E824" s="173"/>
      <c r="F824" s="174" t="s">
        <v>267</v>
      </c>
      <c r="G824" s="173">
        <v>2</v>
      </c>
      <c r="H824" s="173">
        <v>1</v>
      </c>
      <c r="I824" s="177">
        <v>418.2</v>
      </c>
      <c r="J824" s="177">
        <v>378.1</v>
      </c>
      <c r="K824" s="177">
        <v>378.1</v>
      </c>
      <c r="L824" s="206">
        <v>21</v>
      </c>
      <c r="M824" s="173" t="s">
        <v>265</v>
      </c>
      <c r="N824" s="173" t="s">
        <v>266</v>
      </c>
      <c r="O824" s="175" t="s">
        <v>268</v>
      </c>
      <c r="P824" s="170">
        <v>2680854.0299999998</v>
      </c>
      <c r="Q824" s="170">
        <v>0</v>
      </c>
      <c r="R824" s="170">
        <v>0</v>
      </c>
      <c r="S824" s="170">
        <f t="shared" si="144"/>
        <v>2680854.0299999998</v>
      </c>
      <c r="T824" s="170">
        <f t="shared" si="104"/>
        <v>6410.459182209469</v>
      </c>
      <c r="U824" s="170">
        <v>8157.2474892395985</v>
      </c>
      <c r="V824" s="202">
        <f t="shared" si="105"/>
        <v>1746.7883070301295</v>
      </c>
      <c r="W824" s="202">
        <f t="shared" si="145"/>
        <v>7906.7965088474411</v>
      </c>
      <c r="X824" s="202">
        <v>0</v>
      </c>
      <c r="Y824" s="203">
        <v>0</v>
      </c>
      <c r="Z824" s="203">
        <v>0</v>
      </c>
      <c r="AA824" s="203">
        <v>0</v>
      </c>
      <c r="AB824" s="203">
        <v>0</v>
      </c>
      <c r="AC824" s="203">
        <v>0</v>
      </c>
      <c r="AD824" s="203">
        <v>0</v>
      </c>
      <c r="AE824" s="203">
        <v>530</v>
      </c>
      <c r="AF824" s="202">
        <f t="shared" si="146"/>
        <v>7906.7965088474411</v>
      </c>
      <c r="AG824" s="203">
        <v>0</v>
      </c>
      <c r="AH824" s="202">
        <v>0</v>
      </c>
      <c r="AI824" s="203">
        <v>0</v>
      </c>
      <c r="AJ824" s="202">
        <v>0</v>
      </c>
      <c r="AK824" s="203">
        <v>0</v>
      </c>
      <c r="AL824" s="203">
        <v>0</v>
      </c>
      <c r="AM824" s="203">
        <v>0</v>
      </c>
      <c r="AN824" s="203"/>
      <c r="AO824" s="203">
        <v>0</v>
      </c>
    </row>
    <row r="825" spans="1:41" s="176" customFormat="1" ht="36" customHeight="1" x14ac:dyDescent="0.25">
      <c r="A825" s="176">
        <v>1</v>
      </c>
      <c r="B825" s="171">
        <f>SUBTOTAL(103,$A$552:A825)</f>
        <v>269</v>
      </c>
      <c r="C825" s="172" t="s">
        <v>617</v>
      </c>
      <c r="D825" s="173">
        <v>1994</v>
      </c>
      <c r="E825" s="173"/>
      <c r="F825" s="174" t="s">
        <v>267</v>
      </c>
      <c r="G825" s="173">
        <v>9</v>
      </c>
      <c r="H825" s="173" t="s">
        <v>304</v>
      </c>
      <c r="I825" s="177">
        <v>2814.2</v>
      </c>
      <c r="J825" s="177">
        <v>2472.3000000000002</v>
      </c>
      <c r="K825" s="177">
        <v>2197.6999999999998</v>
      </c>
      <c r="L825" s="206">
        <v>95</v>
      </c>
      <c r="M825" s="173" t="s">
        <v>265</v>
      </c>
      <c r="N825" s="173" t="s">
        <v>269</v>
      </c>
      <c r="O825" s="175" t="s">
        <v>696</v>
      </c>
      <c r="P825" s="170">
        <v>1806134.26</v>
      </c>
      <c r="Q825" s="170">
        <v>0</v>
      </c>
      <c r="R825" s="170">
        <v>0</v>
      </c>
      <c r="S825" s="170">
        <f t="shared" si="144"/>
        <v>1806134.26</v>
      </c>
      <c r="T825" s="170">
        <f t="shared" si="104"/>
        <v>641.79314192310426</v>
      </c>
      <c r="U825" s="170">
        <v>873.35654893042431</v>
      </c>
      <c r="V825" s="202">
        <f t="shared" si="105"/>
        <v>231.56340700732005</v>
      </c>
      <c r="W825" s="202">
        <f t="shared" si="145"/>
        <v>873.35654893042431</v>
      </c>
      <c r="X825" s="202">
        <v>0</v>
      </c>
      <c r="Y825" s="203">
        <v>0</v>
      </c>
      <c r="Z825" s="203">
        <v>0</v>
      </c>
      <c r="AA825" s="203">
        <v>0</v>
      </c>
      <c r="AB825" s="203">
        <v>0</v>
      </c>
      <c r="AC825" s="203">
        <v>1</v>
      </c>
      <c r="AD825" s="202">
        <f>2457800*AC825/I825</f>
        <v>873.35654893042431</v>
      </c>
      <c r="AE825" s="203">
        <v>0</v>
      </c>
      <c r="AF825" s="202">
        <v>0</v>
      </c>
      <c r="AG825" s="203">
        <v>0</v>
      </c>
      <c r="AH825" s="202">
        <v>0</v>
      </c>
      <c r="AI825" s="203">
        <v>0</v>
      </c>
      <c r="AJ825" s="202">
        <v>0</v>
      </c>
      <c r="AK825" s="203">
        <v>0</v>
      </c>
      <c r="AL825" s="203">
        <v>0</v>
      </c>
      <c r="AM825" s="203">
        <v>0</v>
      </c>
      <c r="AN825" s="203"/>
      <c r="AO825" s="203">
        <v>0</v>
      </c>
    </row>
    <row r="826" spans="1:41" s="176" customFormat="1" ht="36" customHeight="1" x14ac:dyDescent="0.25">
      <c r="A826" s="176">
        <v>1</v>
      </c>
      <c r="B826" s="171">
        <f>SUBTOTAL(103,$A$552:A826)</f>
        <v>270</v>
      </c>
      <c r="C826" s="172" t="s">
        <v>624</v>
      </c>
      <c r="D826" s="173">
        <v>1972</v>
      </c>
      <c r="E826" s="173"/>
      <c r="F826" s="174" t="s">
        <v>267</v>
      </c>
      <c r="G826" s="173" t="s">
        <v>351</v>
      </c>
      <c r="H826" s="173" t="s">
        <v>308</v>
      </c>
      <c r="I826" s="177">
        <v>2806.29</v>
      </c>
      <c r="J826" s="177">
        <v>2806.29</v>
      </c>
      <c r="K826" s="177">
        <v>2806.29</v>
      </c>
      <c r="L826" s="206">
        <v>150</v>
      </c>
      <c r="M826" s="173" t="s">
        <v>265</v>
      </c>
      <c r="N826" s="173" t="s">
        <v>283</v>
      </c>
      <c r="O826" s="175" t="s">
        <v>268</v>
      </c>
      <c r="P826" s="170">
        <v>5435521.2799999993</v>
      </c>
      <c r="Q826" s="170">
        <v>0</v>
      </c>
      <c r="R826" s="170">
        <v>0</v>
      </c>
      <c r="S826" s="170">
        <f t="shared" si="144"/>
        <v>5435521.2799999993</v>
      </c>
      <c r="T826" s="170">
        <f t="shared" si="104"/>
        <v>1936.9064779477528</v>
      </c>
      <c r="U826" s="170">
        <v>2522.9691158077035</v>
      </c>
      <c r="V826" s="202">
        <f t="shared" si="105"/>
        <v>586.06263785995066</v>
      </c>
      <c r="W826" s="202">
        <f t="shared" si="145"/>
        <v>2445.5067010180701</v>
      </c>
      <c r="X826" s="202">
        <v>0</v>
      </c>
      <c r="Y826" s="203">
        <v>0</v>
      </c>
      <c r="Z826" s="203">
        <v>0</v>
      </c>
      <c r="AA826" s="203">
        <v>0</v>
      </c>
      <c r="AB826" s="203">
        <v>0</v>
      </c>
      <c r="AC826" s="203">
        <v>0</v>
      </c>
      <c r="AD826" s="203">
        <v>0</v>
      </c>
      <c r="AE826" s="203">
        <v>1100</v>
      </c>
      <c r="AF826" s="202">
        <f t="shared" ref="AF826:AF838" si="147">6238.91*AE826/I826</f>
        <v>2445.5067010180701</v>
      </c>
      <c r="AG826" s="203">
        <v>0</v>
      </c>
      <c r="AH826" s="202">
        <v>0</v>
      </c>
      <c r="AI826" s="203">
        <v>0</v>
      </c>
      <c r="AJ826" s="202">
        <v>0</v>
      </c>
      <c r="AK826" s="203">
        <v>0</v>
      </c>
      <c r="AL826" s="203">
        <v>0</v>
      </c>
      <c r="AM826" s="203">
        <v>0</v>
      </c>
      <c r="AN826" s="203"/>
      <c r="AO826" s="203">
        <v>0</v>
      </c>
    </row>
    <row r="827" spans="1:41" s="176" customFormat="1" ht="36" customHeight="1" x14ac:dyDescent="0.25">
      <c r="A827" s="176">
        <v>1</v>
      </c>
      <c r="B827" s="171">
        <f>SUBTOTAL(103,$A$552:A827)</f>
        <v>271</v>
      </c>
      <c r="C827" s="172" t="s">
        <v>615</v>
      </c>
      <c r="D827" s="173">
        <v>1981</v>
      </c>
      <c r="E827" s="173"/>
      <c r="F827" s="174" t="s">
        <v>267</v>
      </c>
      <c r="G827" s="173" t="s">
        <v>308</v>
      </c>
      <c r="H827" s="173" t="s">
        <v>308</v>
      </c>
      <c r="I827" s="177">
        <v>2423.8000000000002</v>
      </c>
      <c r="J827" s="177">
        <v>2218.9</v>
      </c>
      <c r="K827" s="177">
        <v>2218.9</v>
      </c>
      <c r="L827" s="206">
        <v>110</v>
      </c>
      <c r="M827" s="173" t="s">
        <v>265</v>
      </c>
      <c r="N827" s="173" t="s">
        <v>269</v>
      </c>
      <c r="O827" s="175" t="s">
        <v>696</v>
      </c>
      <c r="P827" s="170">
        <v>4333883.8899999997</v>
      </c>
      <c r="Q827" s="170">
        <v>0</v>
      </c>
      <c r="R827" s="170">
        <v>0</v>
      </c>
      <c r="S827" s="170">
        <f t="shared" si="144"/>
        <v>4333883.8899999997</v>
      </c>
      <c r="T827" s="170">
        <f t="shared" si="104"/>
        <v>1788.0534243749482</v>
      </c>
      <c r="U827" s="170">
        <v>2319.6257756415544</v>
      </c>
      <c r="V827" s="202">
        <f t="shared" si="105"/>
        <v>531.57235126660612</v>
      </c>
      <c r="W827" s="202">
        <f t="shared" si="145"/>
        <v>2248.4065867645841</v>
      </c>
      <c r="X827" s="202">
        <v>0</v>
      </c>
      <c r="Y827" s="203">
        <v>0</v>
      </c>
      <c r="Z827" s="203">
        <v>0</v>
      </c>
      <c r="AA827" s="203">
        <v>0</v>
      </c>
      <c r="AB827" s="203">
        <v>0</v>
      </c>
      <c r="AC827" s="203">
        <v>0</v>
      </c>
      <c r="AD827" s="203">
        <v>0</v>
      </c>
      <c r="AE827" s="203">
        <v>873.5</v>
      </c>
      <c r="AF827" s="202">
        <f t="shared" si="147"/>
        <v>2248.4065867645841</v>
      </c>
      <c r="AG827" s="203">
        <v>0</v>
      </c>
      <c r="AH827" s="202">
        <v>0</v>
      </c>
      <c r="AI827" s="203">
        <v>0</v>
      </c>
      <c r="AJ827" s="202">
        <v>0</v>
      </c>
      <c r="AK827" s="203">
        <v>0</v>
      </c>
      <c r="AL827" s="203">
        <v>0</v>
      </c>
      <c r="AM827" s="203">
        <v>0</v>
      </c>
      <c r="AN827" s="203"/>
      <c r="AO827" s="203">
        <v>0</v>
      </c>
    </row>
    <row r="828" spans="1:41" s="176" customFormat="1" ht="36" customHeight="1" x14ac:dyDescent="0.25">
      <c r="A828" s="176">
        <v>1</v>
      </c>
      <c r="B828" s="171">
        <f>SUBTOTAL(103,$A$552:A828)</f>
        <v>272</v>
      </c>
      <c r="C828" s="172" t="s">
        <v>1583</v>
      </c>
      <c r="D828" s="173">
        <v>1969</v>
      </c>
      <c r="E828" s="173"/>
      <c r="F828" s="174" t="s">
        <v>1584</v>
      </c>
      <c r="G828" s="173">
        <v>2</v>
      </c>
      <c r="H828" s="173" t="s">
        <v>303</v>
      </c>
      <c r="I828" s="170">
        <v>783.74</v>
      </c>
      <c r="J828" s="170">
        <v>722.64</v>
      </c>
      <c r="K828" s="170">
        <v>722.64</v>
      </c>
      <c r="L828" s="206">
        <v>28</v>
      </c>
      <c r="M828" s="173" t="s">
        <v>265</v>
      </c>
      <c r="N828" s="173" t="s">
        <v>269</v>
      </c>
      <c r="O828" s="175" t="s">
        <v>699</v>
      </c>
      <c r="P828" s="170">
        <v>3796018.5600000005</v>
      </c>
      <c r="Q828" s="170">
        <v>0</v>
      </c>
      <c r="R828" s="170">
        <v>0</v>
      </c>
      <c r="S828" s="170">
        <f t="shared" si="144"/>
        <v>3796018.5600000005</v>
      </c>
      <c r="T828" s="170">
        <f t="shared" si="104"/>
        <v>4843.4666598616895</v>
      </c>
      <c r="U828" s="170">
        <v>6290.8387730624945</v>
      </c>
      <c r="V828" s="202">
        <f t="shared" si="105"/>
        <v>1447.372113200805</v>
      </c>
      <c r="W828" s="202">
        <f t="shared" si="145"/>
        <v>6097.6919131344575</v>
      </c>
      <c r="X828" s="202">
        <v>0</v>
      </c>
      <c r="Y828" s="203">
        <v>0</v>
      </c>
      <c r="Z828" s="203">
        <v>0</v>
      </c>
      <c r="AA828" s="203">
        <v>0</v>
      </c>
      <c r="AB828" s="203">
        <v>0</v>
      </c>
      <c r="AC828" s="203">
        <v>0</v>
      </c>
      <c r="AD828" s="203">
        <v>0</v>
      </c>
      <c r="AE828" s="203">
        <v>766</v>
      </c>
      <c r="AF828" s="202">
        <f t="shared" si="147"/>
        <v>6097.6919131344575</v>
      </c>
      <c r="AG828" s="203">
        <v>0</v>
      </c>
      <c r="AH828" s="202">
        <v>0</v>
      </c>
      <c r="AI828" s="203">
        <v>0</v>
      </c>
      <c r="AJ828" s="202">
        <v>0</v>
      </c>
      <c r="AK828" s="203">
        <v>0</v>
      </c>
      <c r="AL828" s="203">
        <v>0</v>
      </c>
      <c r="AM828" s="203">
        <v>0</v>
      </c>
      <c r="AN828" s="203"/>
      <c r="AO828" s="203">
        <v>0</v>
      </c>
    </row>
    <row r="829" spans="1:41" s="176" customFormat="1" ht="36" customHeight="1" x14ac:dyDescent="0.25">
      <c r="A829" s="176">
        <v>1</v>
      </c>
      <c r="B829" s="171">
        <f>SUBTOTAL(103,$A$552:A829)</f>
        <v>273</v>
      </c>
      <c r="C829" s="172" t="s">
        <v>1606</v>
      </c>
      <c r="D829" s="173">
        <v>1978</v>
      </c>
      <c r="E829" s="173"/>
      <c r="F829" s="174" t="s">
        <v>318</v>
      </c>
      <c r="G829" s="173">
        <v>5</v>
      </c>
      <c r="H829" s="173" t="s">
        <v>308</v>
      </c>
      <c r="I829" s="177">
        <v>2991.2</v>
      </c>
      <c r="J829" s="177">
        <v>2708</v>
      </c>
      <c r="K829" s="177">
        <v>2708</v>
      </c>
      <c r="L829" s="206">
        <v>123</v>
      </c>
      <c r="M829" s="173" t="s">
        <v>265</v>
      </c>
      <c r="N829" s="173" t="s">
        <v>269</v>
      </c>
      <c r="O829" s="175" t="s">
        <v>1638</v>
      </c>
      <c r="P829" s="170">
        <v>2693070.98</v>
      </c>
      <c r="Q829" s="170">
        <v>0</v>
      </c>
      <c r="R829" s="170">
        <v>0</v>
      </c>
      <c r="S829" s="170">
        <f t="shared" si="144"/>
        <v>2693070.98</v>
      </c>
      <c r="T829" s="170">
        <f t="shared" si="104"/>
        <v>900.33129847552823</v>
      </c>
      <c r="U829" s="170">
        <v>1570.2490762570205</v>
      </c>
      <c r="V829" s="202">
        <f t="shared" si="105"/>
        <v>669.9177777814923</v>
      </c>
      <c r="W829" s="202">
        <f t="shared" si="145"/>
        <v>1522.0379093006152</v>
      </c>
      <c r="X829" s="202">
        <v>0</v>
      </c>
      <c r="Y829" s="203">
        <v>0</v>
      </c>
      <c r="Z829" s="203">
        <v>0</v>
      </c>
      <c r="AA829" s="203">
        <v>0</v>
      </c>
      <c r="AB829" s="203">
        <v>0</v>
      </c>
      <c r="AC829" s="203">
        <v>0</v>
      </c>
      <c r="AD829" s="203">
        <v>0</v>
      </c>
      <c r="AE829" s="203">
        <v>729.73</v>
      </c>
      <c r="AF829" s="202">
        <f t="shared" si="147"/>
        <v>1522.0379093006152</v>
      </c>
      <c r="AG829" s="203">
        <v>0</v>
      </c>
      <c r="AH829" s="202">
        <v>0</v>
      </c>
      <c r="AI829" s="203">
        <v>0</v>
      </c>
      <c r="AJ829" s="202">
        <v>0</v>
      </c>
      <c r="AK829" s="203">
        <v>0</v>
      </c>
      <c r="AL829" s="203">
        <v>0</v>
      </c>
      <c r="AM829" s="203">
        <v>0</v>
      </c>
      <c r="AN829" s="203"/>
      <c r="AO829" s="203">
        <v>0</v>
      </c>
    </row>
    <row r="830" spans="1:41" s="176" customFormat="1" ht="36" customHeight="1" x14ac:dyDescent="0.25">
      <c r="A830" s="176">
        <v>1</v>
      </c>
      <c r="B830" s="171">
        <f>SUBTOTAL(103,$A$552:A830)</f>
        <v>274</v>
      </c>
      <c r="C830" s="172" t="s">
        <v>1607</v>
      </c>
      <c r="D830" s="173">
        <v>1955</v>
      </c>
      <c r="E830" s="173"/>
      <c r="F830" s="174" t="s">
        <v>1332</v>
      </c>
      <c r="G830" s="173">
        <v>2</v>
      </c>
      <c r="H830" s="173" t="s">
        <v>304</v>
      </c>
      <c r="I830" s="177">
        <v>370.1</v>
      </c>
      <c r="J830" s="177">
        <v>335.1</v>
      </c>
      <c r="K830" s="177">
        <v>335.1</v>
      </c>
      <c r="L830" s="206">
        <v>28</v>
      </c>
      <c r="M830" s="173" t="s">
        <v>265</v>
      </c>
      <c r="N830" s="173" t="s">
        <v>269</v>
      </c>
      <c r="O830" s="175" t="s">
        <v>696</v>
      </c>
      <c r="P830" s="170">
        <v>1959362.3599999999</v>
      </c>
      <c r="Q830" s="170">
        <v>0</v>
      </c>
      <c r="R830" s="170">
        <v>0</v>
      </c>
      <c r="S830" s="170">
        <f t="shared" si="144"/>
        <v>1959362.3599999999</v>
      </c>
      <c r="T830" s="170">
        <f t="shared" si="104"/>
        <v>5294.1430964604151</v>
      </c>
      <c r="U830" s="170">
        <v>6674.2694355579561</v>
      </c>
      <c r="V830" s="202">
        <f t="shared" si="105"/>
        <v>1380.1263390975409</v>
      </c>
      <c r="W830" s="202">
        <f t="shared" si="145"/>
        <v>6469.350150499864</v>
      </c>
      <c r="X830" s="202">
        <v>0</v>
      </c>
      <c r="Y830" s="203">
        <v>0</v>
      </c>
      <c r="Z830" s="203">
        <v>0</v>
      </c>
      <c r="AA830" s="203">
        <v>0</v>
      </c>
      <c r="AB830" s="203">
        <v>0</v>
      </c>
      <c r="AC830" s="203">
        <v>0</v>
      </c>
      <c r="AD830" s="203">
        <v>0</v>
      </c>
      <c r="AE830" s="203">
        <v>383.77</v>
      </c>
      <c r="AF830" s="202">
        <f t="shared" si="147"/>
        <v>6469.350150499864</v>
      </c>
      <c r="AG830" s="203">
        <v>0</v>
      </c>
      <c r="AH830" s="202">
        <v>0</v>
      </c>
      <c r="AI830" s="203">
        <v>0</v>
      </c>
      <c r="AJ830" s="202">
        <v>0</v>
      </c>
      <c r="AK830" s="203">
        <v>0</v>
      </c>
      <c r="AL830" s="203">
        <v>0</v>
      </c>
      <c r="AM830" s="203">
        <v>0</v>
      </c>
      <c r="AN830" s="203"/>
      <c r="AO830" s="203">
        <v>0</v>
      </c>
    </row>
    <row r="831" spans="1:41" s="176" customFormat="1" ht="36" customHeight="1" x14ac:dyDescent="0.25">
      <c r="A831" s="176">
        <v>1</v>
      </c>
      <c r="B831" s="171">
        <f>SUBTOTAL(103,$A$552:A831)</f>
        <v>275</v>
      </c>
      <c r="C831" s="172" t="s">
        <v>1608</v>
      </c>
      <c r="D831" s="173">
        <v>1962</v>
      </c>
      <c r="E831" s="173"/>
      <c r="F831" s="174" t="s">
        <v>1332</v>
      </c>
      <c r="G831" s="173">
        <v>2</v>
      </c>
      <c r="H831" s="173" t="s">
        <v>308</v>
      </c>
      <c r="I831" s="177">
        <v>1305.4000000000001</v>
      </c>
      <c r="J831" s="177">
        <v>709.6</v>
      </c>
      <c r="K831" s="177">
        <v>709.6</v>
      </c>
      <c r="L831" s="206">
        <v>27</v>
      </c>
      <c r="M831" s="173" t="s">
        <v>265</v>
      </c>
      <c r="N831" s="173" t="s">
        <v>266</v>
      </c>
      <c r="O831" s="175" t="s">
        <v>268</v>
      </c>
      <c r="P831" s="170">
        <v>3766350.55</v>
      </c>
      <c r="Q831" s="170">
        <v>0</v>
      </c>
      <c r="R831" s="170">
        <v>0</v>
      </c>
      <c r="S831" s="170">
        <f t="shared" si="144"/>
        <v>3766350.55</v>
      </c>
      <c r="T831" s="170">
        <f t="shared" si="104"/>
        <v>2885.2080205301054</v>
      </c>
      <c r="U831" s="170">
        <v>3583.6295419028647</v>
      </c>
      <c r="V831" s="202">
        <f t="shared" si="105"/>
        <v>698.42152137275934</v>
      </c>
      <c r="W831" s="202">
        <f t="shared" si="145"/>
        <v>3473.6017986823958</v>
      </c>
      <c r="X831" s="202">
        <v>0</v>
      </c>
      <c r="Y831" s="203">
        <v>0</v>
      </c>
      <c r="Z831" s="203">
        <v>0</v>
      </c>
      <c r="AA831" s="203">
        <v>0</v>
      </c>
      <c r="AB831" s="203">
        <v>0</v>
      </c>
      <c r="AC831" s="203">
        <v>0</v>
      </c>
      <c r="AD831" s="203">
        <v>0</v>
      </c>
      <c r="AE831" s="203">
        <v>726.8</v>
      </c>
      <c r="AF831" s="202">
        <f t="shared" si="147"/>
        <v>3473.6017986823958</v>
      </c>
      <c r="AG831" s="203">
        <v>0</v>
      </c>
      <c r="AH831" s="202">
        <v>0</v>
      </c>
      <c r="AI831" s="203">
        <v>0</v>
      </c>
      <c r="AJ831" s="202">
        <v>0</v>
      </c>
      <c r="AK831" s="203">
        <v>0</v>
      </c>
      <c r="AL831" s="203">
        <v>0</v>
      </c>
      <c r="AM831" s="203">
        <v>0</v>
      </c>
      <c r="AN831" s="203"/>
      <c r="AO831" s="203">
        <v>0</v>
      </c>
    </row>
    <row r="832" spans="1:41" s="176" customFormat="1" ht="36" customHeight="1" x14ac:dyDescent="0.25">
      <c r="A832" s="176">
        <v>1</v>
      </c>
      <c r="B832" s="171">
        <f>SUBTOTAL(103,$A$552:A832)</f>
        <v>276</v>
      </c>
      <c r="C832" s="172" t="s">
        <v>1609</v>
      </c>
      <c r="D832" s="173">
        <v>1954</v>
      </c>
      <c r="E832" s="173"/>
      <c r="F832" s="174" t="s">
        <v>1332</v>
      </c>
      <c r="G832" s="173">
        <v>2</v>
      </c>
      <c r="H832" s="173" t="s">
        <v>303</v>
      </c>
      <c r="I832" s="177">
        <v>510.78</v>
      </c>
      <c r="J832" s="177">
        <v>472.98</v>
      </c>
      <c r="K832" s="177">
        <v>472.98</v>
      </c>
      <c r="L832" s="206">
        <v>19</v>
      </c>
      <c r="M832" s="173" t="s">
        <v>265</v>
      </c>
      <c r="N832" s="173" t="s">
        <v>269</v>
      </c>
      <c r="O832" s="175" t="s">
        <v>1306</v>
      </c>
      <c r="P832" s="170">
        <v>2229877.38</v>
      </c>
      <c r="Q832" s="170">
        <v>0</v>
      </c>
      <c r="R832" s="170">
        <v>0</v>
      </c>
      <c r="S832" s="170">
        <f t="shared" si="144"/>
        <v>2229877.38</v>
      </c>
      <c r="T832" s="170">
        <f t="shared" si="104"/>
        <v>4365.631739692235</v>
      </c>
      <c r="U832" s="170">
        <v>5360.3726289204742</v>
      </c>
      <c r="V832" s="202">
        <f t="shared" si="105"/>
        <v>994.74088922823921</v>
      </c>
      <c r="W832" s="202">
        <f t="shared" si="145"/>
        <v>5195.7937581737733</v>
      </c>
      <c r="X832" s="202">
        <v>0</v>
      </c>
      <c r="Y832" s="203">
        <v>0</v>
      </c>
      <c r="Z832" s="203">
        <v>0</v>
      </c>
      <c r="AA832" s="203">
        <v>0</v>
      </c>
      <c r="AB832" s="203">
        <v>0</v>
      </c>
      <c r="AC832" s="203">
        <v>0</v>
      </c>
      <c r="AD832" s="203">
        <v>0</v>
      </c>
      <c r="AE832" s="203">
        <v>425.38</v>
      </c>
      <c r="AF832" s="202">
        <f t="shared" si="147"/>
        <v>5195.7937581737733</v>
      </c>
      <c r="AG832" s="203">
        <v>0</v>
      </c>
      <c r="AH832" s="202">
        <v>0</v>
      </c>
      <c r="AI832" s="203">
        <v>0</v>
      </c>
      <c r="AJ832" s="202">
        <v>0</v>
      </c>
      <c r="AK832" s="203">
        <v>0</v>
      </c>
      <c r="AL832" s="203">
        <v>0</v>
      </c>
      <c r="AM832" s="203">
        <v>0</v>
      </c>
      <c r="AN832" s="203"/>
      <c r="AO832" s="203">
        <v>0</v>
      </c>
    </row>
    <row r="833" spans="1:41" s="176" customFormat="1" ht="36" customHeight="1" x14ac:dyDescent="0.25">
      <c r="A833" s="176">
        <v>1</v>
      </c>
      <c r="B833" s="171">
        <f>SUBTOTAL(103,$A$552:A833)</f>
        <v>277</v>
      </c>
      <c r="C833" s="172" t="s">
        <v>611</v>
      </c>
      <c r="D833" s="173">
        <v>1965</v>
      </c>
      <c r="E833" s="173"/>
      <c r="F833" s="174" t="s">
        <v>267</v>
      </c>
      <c r="G833" s="173">
        <v>5</v>
      </c>
      <c r="H833" s="173" t="s">
        <v>303</v>
      </c>
      <c r="I833" s="177">
        <v>4985.66</v>
      </c>
      <c r="J833" s="177">
        <v>2392.1999999999998</v>
      </c>
      <c r="K833" s="177">
        <v>2300.6</v>
      </c>
      <c r="L833" s="206">
        <v>185</v>
      </c>
      <c r="M833" s="173" t="s">
        <v>265</v>
      </c>
      <c r="N833" s="173" t="s">
        <v>269</v>
      </c>
      <c r="O833" s="175" t="s">
        <v>697</v>
      </c>
      <c r="P833" s="170">
        <v>16961137.330000002</v>
      </c>
      <c r="Q833" s="170">
        <v>0</v>
      </c>
      <c r="R833" s="170">
        <v>0</v>
      </c>
      <c r="S833" s="170">
        <f t="shared" si="144"/>
        <v>16961137.330000002</v>
      </c>
      <c r="T833" s="170">
        <f t="shared" si="104"/>
        <v>3401.9843571362671</v>
      </c>
      <c r="U833" s="170">
        <v>7178.9769819843314</v>
      </c>
      <c r="V833" s="202">
        <f t="shared" si="105"/>
        <v>3776.9926248480642</v>
      </c>
      <c r="W833" s="202">
        <f t="shared" si="145"/>
        <v>1376.5080250157453</v>
      </c>
      <c r="X833" s="202">
        <v>0</v>
      </c>
      <c r="Y833" s="203">
        <v>0</v>
      </c>
      <c r="Z833" s="203">
        <v>0</v>
      </c>
      <c r="AA833" s="203">
        <v>0</v>
      </c>
      <c r="AB833" s="203">
        <v>0</v>
      </c>
      <c r="AC833" s="203">
        <v>0</v>
      </c>
      <c r="AD833" s="203">
        <v>0</v>
      </c>
      <c r="AE833" s="203">
        <v>1100</v>
      </c>
      <c r="AF833" s="202">
        <f t="shared" si="147"/>
        <v>1376.5080250157453</v>
      </c>
      <c r="AG833" s="203">
        <v>0</v>
      </c>
      <c r="AH833" s="202">
        <v>0</v>
      </c>
      <c r="AI833" s="203">
        <v>0</v>
      </c>
      <c r="AJ833" s="202">
        <v>0</v>
      </c>
      <c r="AK833" s="203">
        <v>0</v>
      </c>
      <c r="AL833" s="203">
        <v>0</v>
      </c>
      <c r="AM833" s="203">
        <v>0</v>
      </c>
      <c r="AN833" s="203"/>
      <c r="AO833" s="203">
        <v>0</v>
      </c>
    </row>
    <row r="834" spans="1:41" s="176" customFormat="1" ht="36" customHeight="1" x14ac:dyDescent="0.25">
      <c r="A834" s="176">
        <v>1</v>
      </c>
      <c r="B834" s="171">
        <f>SUBTOTAL(103,$A$552:A834)</f>
        <v>278</v>
      </c>
      <c r="C834" s="172" t="s">
        <v>1176</v>
      </c>
      <c r="D834" s="173">
        <v>1967</v>
      </c>
      <c r="E834" s="173"/>
      <c r="F834" s="174" t="s">
        <v>330</v>
      </c>
      <c r="G834" s="173">
        <v>2</v>
      </c>
      <c r="H834" s="173" t="s">
        <v>303</v>
      </c>
      <c r="I834" s="177">
        <v>1065.5</v>
      </c>
      <c r="J834" s="177">
        <v>510.7</v>
      </c>
      <c r="K834" s="177">
        <v>510.7</v>
      </c>
      <c r="L834" s="206">
        <v>34</v>
      </c>
      <c r="M834" s="173" t="s">
        <v>265</v>
      </c>
      <c r="N834" s="173" t="s">
        <v>269</v>
      </c>
      <c r="O834" s="175" t="s">
        <v>1304</v>
      </c>
      <c r="P834" s="170">
        <v>1562740.68</v>
      </c>
      <c r="Q834" s="170">
        <v>0</v>
      </c>
      <c r="R834" s="170">
        <v>0</v>
      </c>
      <c r="S834" s="170">
        <f t="shared" si="144"/>
        <v>1562740.68</v>
      </c>
      <c r="T834" s="170">
        <f t="shared" si="104"/>
        <v>1466.6735617081181</v>
      </c>
      <c r="U834" s="170">
        <v>9856.9208221492281</v>
      </c>
      <c r="V834" s="202">
        <f t="shared" si="105"/>
        <v>8390.2472604411105</v>
      </c>
      <c r="W834" s="202">
        <f t="shared" si="145"/>
        <v>5114.6765696855937</v>
      </c>
      <c r="X834" s="202">
        <v>0</v>
      </c>
      <c r="Y834" s="203">
        <v>0</v>
      </c>
      <c r="Z834" s="203">
        <v>0</v>
      </c>
      <c r="AA834" s="203">
        <v>0</v>
      </c>
      <c r="AB834" s="203">
        <v>0</v>
      </c>
      <c r="AC834" s="203">
        <v>0</v>
      </c>
      <c r="AD834" s="203">
        <v>0</v>
      </c>
      <c r="AE834" s="203">
        <v>873.5</v>
      </c>
      <c r="AF834" s="202">
        <f t="shared" si="147"/>
        <v>5114.6765696855937</v>
      </c>
      <c r="AG834" s="203">
        <v>0</v>
      </c>
      <c r="AH834" s="202">
        <v>0</v>
      </c>
      <c r="AI834" s="203">
        <v>0</v>
      </c>
      <c r="AJ834" s="202">
        <v>0</v>
      </c>
      <c r="AK834" s="203">
        <v>0</v>
      </c>
      <c r="AL834" s="203">
        <v>0</v>
      </c>
      <c r="AM834" s="203">
        <v>0</v>
      </c>
      <c r="AN834" s="203"/>
      <c r="AO834" s="203">
        <v>0</v>
      </c>
    </row>
    <row r="835" spans="1:41" s="176" customFormat="1" ht="36" customHeight="1" x14ac:dyDescent="0.25">
      <c r="A835" s="176">
        <v>1</v>
      </c>
      <c r="B835" s="171">
        <f>SUBTOTAL(103,$A$552:A835)</f>
        <v>279</v>
      </c>
      <c r="C835" s="172" t="s">
        <v>610</v>
      </c>
      <c r="D835" s="173">
        <v>1967</v>
      </c>
      <c r="E835" s="173"/>
      <c r="F835" s="174" t="s">
        <v>267</v>
      </c>
      <c r="G835" s="173">
        <v>5</v>
      </c>
      <c r="H835" s="173" t="s">
        <v>308</v>
      </c>
      <c r="I835" s="170">
        <v>3578.24</v>
      </c>
      <c r="J835" s="170">
        <v>3300</v>
      </c>
      <c r="K835" s="170">
        <v>3012.01</v>
      </c>
      <c r="L835" s="206">
        <v>117</v>
      </c>
      <c r="M835" s="173" t="s">
        <v>265</v>
      </c>
      <c r="N835" s="173" t="s">
        <v>269</v>
      </c>
      <c r="O835" s="175" t="s">
        <v>696</v>
      </c>
      <c r="P835" s="170">
        <v>6943445.4500000002</v>
      </c>
      <c r="Q835" s="170">
        <v>0</v>
      </c>
      <c r="R835" s="170">
        <v>0</v>
      </c>
      <c r="S835" s="170">
        <f t="shared" si="144"/>
        <v>6943445.4500000002</v>
      </c>
      <c r="T835" s="170">
        <f t="shared" si="104"/>
        <v>1940.4638733008408</v>
      </c>
      <c r="U835" s="170">
        <v>1631.0497307570477</v>
      </c>
      <c r="V835" s="202">
        <f t="shared" si="105"/>
        <v>-309.4141425437931</v>
      </c>
      <c r="W835" s="202">
        <f t="shared" si="145"/>
        <v>1335.5742096673225</v>
      </c>
      <c r="X835" s="202">
        <v>0</v>
      </c>
      <c r="Y835" s="203">
        <v>0</v>
      </c>
      <c r="Z835" s="203">
        <v>0</v>
      </c>
      <c r="AA835" s="203">
        <v>0</v>
      </c>
      <c r="AB835" s="203">
        <v>0</v>
      </c>
      <c r="AC835" s="203">
        <v>0</v>
      </c>
      <c r="AD835" s="203">
        <v>0</v>
      </c>
      <c r="AE835" s="203">
        <v>766</v>
      </c>
      <c r="AF835" s="202">
        <f t="shared" si="147"/>
        <v>1335.5742096673225</v>
      </c>
      <c r="AG835" s="203">
        <v>0</v>
      </c>
      <c r="AH835" s="202">
        <v>0</v>
      </c>
      <c r="AI835" s="203">
        <v>0</v>
      </c>
      <c r="AJ835" s="202">
        <v>0</v>
      </c>
      <c r="AK835" s="203">
        <v>0</v>
      </c>
      <c r="AL835" s="203">
        <v>0</v>
      </c>
      <c r="AM835" s="203">
        <v>0</v>
      </c>
      <c r="AN835" s="203"/>
      <c r="AO835" s="203">
        <v>0</v>
      </c>
    </row>
    <row r="836" spans="1:41" s="176" customFormat="1" ht="36" customHeight="1" x14ac:dyDescent="0.25">
      <c r="A836" s="176">
        <v>1</v>
      </c>
      <c r="B836" s="171">
        <f>SUBTOTAL(103,$A$552:A836)</f>
        <v>280</v>
      </c>
      <c r="C836" s="172" t="s">
        <v>1179</v>
      </c>
      <c r="D836" s="173">
        <v>1957</v>
      </c>
      <c r="E836" s="173"/>
      <c r="F836" s="174" t="s">
        <v>267</v>
      </c>
      <c r="G836" s="173">
        <v>2</v>
      </c>
      <c r="H836" s="173" t="s">
        <v>303</v>
      </c>
      <c r="I836" s="177">
        <v>821.4</v>
      </c>
      <c r="J836" s="177">
        <v>442.9</v>
      </c>
      <c r="K836" s="177">
        <v>442.9</v>
      </c>
      <c r="L836" s="206">
        <v>17</v>
      </c>
      <c r="M836" s="173" t="s">
        <v>265</v>
      </c>
      <c r="N836" s="173" t="s">
        <v>269</v>
      </c>
      <c r="O836" s="175" t="s">
        <v>1304</v>
      </c>
      <c r="P836" s="170">
        <v>833522.04</v>
      </c>
      <c r="Q836" s="170">
        <v>0</v>
      </c>
      <c r="R836" s="170">
        <v>0</v>
      </c>
      <c r="S836" s="170">
        <f t="shared" si="144"/>
        <v>833522.04</v>
      </c>
      <c r="T836" s="170">
        <f t="shared" si="104"/>
        <v>1014.7577794010227</v>
      </c>
      <c r="U836" s="170">
        <v>3811.95</v>
      </c>
      <c r="V836" s="202">
        <f t="shared" ref="V836:V884" si="148">U836-T836</f>
        <v>2797.1922205989772</v>
      </c>
      <c r="W836" s="202">
        <f t="shared" si="145"/>
        <v>2914.9092898709519</v>
      </c>
      <c r="X836" s="202">
        <v>0</v>
      </c>
      <c r="Y836" s="203">
        <v>0</v>
      </c>
      <c r="Z836" s="203">
        <v>0</v>
      </c>
      <c r="AA836" s="203">
        <v>0</v>
      </c>
      <c r="AB836" s="203">
        <v>0</v>
      </c>
      <c r="AC836" s="203">
        <v>0</v>
      </c>
      <c r="AD836" s="203">
        <v>0</v>
      </c>
      <c r="AE836" s="203">
        <v>383.77</v>
      </c>
      <c r="AF836" s="202">
        <f t="shared" si="147"/>
        <v>2914.9092898709519</v>
      </c>
      <c r="AG836" s="203">
        <v>0</v>
      </c>
      <c r="AH836" s="202">
        <v>0</v>
      </c>
      <c r="AI836" s="203">
        <v>0</v>
      </c>
      <c r="AJ836" s="202">
        <v>0</v>
      </c>
      <c r="AK836" s="203">
        <v>0</v>
      </c>
      <c r="AL836" s="203">
        <v>0</v>
      </c>
      <c r="AM836" s="203">
        <v>0</v>
      </c>
      <c r="AN836" s="203"/>
      <c r="AO836" s="203">
        <v>0</v>
      </c>
    </row>
    <row r="837" spans="1:41" s="176" customFormat="1" ht="36" customHeight="1" x14ac:dyDescent="0.25">
      <c r="A837" s="176">
        <v>1</v>
      </c>
      <c r="B837" s="171">
        <f>SUBTOTAL(103,$A$552:A837)</f>
        <v>281</v>
      </c>
      <c r="C837" s="172" t="s">
        <v>1543</v>
      </c>
      <c r="D837" s="173">
        <v>1965</v>
      </c>
      <c r="E837" s="173"/>
      <c r="F837" s="174" t="s">
        <v>1562</v>
      </c>
      <c r="G837" s="173">
        <v>5</v>
      </c>
      <c r="H837" s="173" t="s">
        <v>312</v>
      </c>
      <c r="I837" s="177">
        <v>4032.79</v>
      </c>
      <c r="J837" s="177">
        <v>2461.4</v>
      </c>
      <c r="K837" s="177">
        <v>2461.4</v>
      </c>
      <c r="L837" s="206">
        <v>120</v>
      </c>
      <c r="M837" s="173" t="s">
        <v>265</v>
      </c>
      <c r="N837" s="173" t="s">
        <v>269</v>
      </c>
      <c r="O837" s="175" t="s">
        <v>698</v>
      </c>
      <c r="P837" s="170">
        <v>3900454.54</v>
      </c>
      <c r="Q837" s="170">
        <v>0</v>
      </c>
      <c r="R837" s="170">
        <v>0</v>
      </c>
      <c r="S837" s="170">
        <f t="shared" si="144"/>
        <v>3900454.54</v>
      </c>
      <c r="T837" s="170">
        <f t="shared" ref="T837:T900" si="149">P837/I837</f>
        <v>967.18513485700964</v>
      </c>
      <c r="U837" s="170">
        <v>1323.6033438388808</v>
      </c>
      <c r="V837" s="202">
        <f t="shared" si="148"/>
        <v>356.4182089818712</v>
      </c>
      <c r="W837" s="202">
        <f t="shared" si="145"/>
        <v>1124.3927375340645</v>
      </c>
      <c r="X837" s="202">
        <v>0</v>
      </c>
      <c r="Y837" s="203">
        <v>0</v>
      </c>
      <c r="Z837" s="203">
        <v>0</v>
      </c>
      <c r="AA837" s="203">
        <v>0</v>
      </c>
      <c r="AB837" s="203">
        <v>0</v>
      </c>
      <c r="AC837" s="203">
        <v>0</v>
      </c>
      <c r="AD837" s="203">
        <v>0</v>
      </c>
      <c r="AE837" s="203">
        <v>726.8</v>
      </c>
      <c r="AF837" s="202">
        <f t="shared" si="147"/>
        <v>1124.3927375340645</v>
      </c>
      <c r="AG837" s="203">
        <v>0</v>
      </c>
      <c r="AH837" s="202">
        <v>0</v>
      </c>
      <c r="AI837" s="203">
        <v>0</v>
      </c>
      <c r="AJ837" s="202">
        <v>0</v>
      </c>
      <c r="AK837" s="203">
        <v>0</v>
      </c>
      <c r="AL837" s="203">
        <v>0</v>
      </c>
      <c r="AM837" s="203">
        <v>0</v>
      </c>
      <c r="AN837" s="203"/>
      <c r="AO837" s="203">
        <v>0</v>
      </c>
    </row>
    <row r="838" spans="1:41" s="176" customFormat="1" ht="36" customHeight="1" x14ac:dyDescent="0.25">
      <c r="A838" s="176">
        <v>1</v>
      </c>
      <c r="B838" s="171">
        <f>SUBTOTAL(103,$A$552:A838)</f>
        <v>282</v>
      </c>
      <c r="C838" s="172" t="s">
        <v>1920</v>
      </c>
      <c r="D838" s="173">
        <v>1963</v>
      </c>
      <c r="E838" s="173"/>
      <c r="F838" s="174" t="s">
        <v>1562</v>
      </c>
      <c r="G838" s="173" t="s">
        <v>303</v>
      </c>
      <c r="H838" s="173" t="s">
        <v>303</v>
      </c>
      <c r="I838" s="177">
        <v>695.5</v>
      </c>
      <c r="J838" s="177">
        <v>647.5</v>
      </c>
      <c r="K838" s="177">
        <v>647.5</v>
      </c>
      <c r="L838" s="206">
        <v>31</v>
      </c>
      <c r="M838" s="173" t="s">
        <v>265</v>
      </c>
      <c r="N838" s="173" t="s">
        <v>266</v>
      </c>
      <c r="O838" s="175" t="s">
        <v>268</v>
      </c>
      <c r="P838" s="170">
        <v>3922711.93</v>
      </c>
      <c r="Q838" s="170">
        <v>0</v>
      </c>
      <c r="R838" s="170">
        <v>0</v>
      </c>
      <c r="S838" s="170">
        <f t="shared" si="144"/>
        <v>3922711.93</v>
      </c>
      <c r="T838" s="170">
        <f t="shared" si="149"/>
        <v>5640.1321782890009</v>
      </c>
      <c r="U838" s="170">
        <v>6025.4665708123657</v>
      </c>
      <c r="V838" s="202">
        <f t="shared" si="148"/>
        <v>385.33439252336484</v>
      </c>
      <c r="W838" s="202">
        <f t="shared" si="145"/>
        <v>3815.8267948238672</v>
      </c>
      <c r="X838" s="202">
        <v>0</v>
      </c>
      <c r="Y838" s="203">
        <v>0</v>
      </c>
      <c r="Z838" s="203">
        <v>0</v>
      </c>
      <c r="AA838" s="203">
        <v>0</v>
      </c>
      <c r="AB838" s="203">
        <v>0</v>
      </c>
      <c r="AC838" s="203">
        <v>0</v>
      </c>
      <c r="AD838" s="203">
        <v>0</v>
      </c>
      <c r="AE838" s="203">
        <v>425.38</v>
      </c>
      <c r="AF838" s="202">
        <f t="shared" si="147"/>
        <v>3815.8267948238672</v>
      </c>
      <c r="AG838" s="203">
        <v>0</v>
      </c>
      <c r="AH838" s="202">
        <v>0</v>
      </c>
      <c r="AI838" s="203">
        <v>0</v>
      </c>
      <c r="AJ838" s="202">
        <v>0</v>
      </c>
      <c r="AK838" s="203">
        <v>0</v>
      </c>
      <c r="AL838" s="203">
        <v>0</v>
      </c>
      <c r="AM838" s="203">
        <v>0</v>
      </c>
      <c r="AN838" s="203"/>
      <c r="AO838" s="203">
        <v>0</v>
      </c>
    </row>
    <row r="839" spans="1:41" s="176" customFormat="1" ht="36" customHeight="1" x14ac:dyDescent="0.25">
      <c r="A839" s="176">
        <v>1</v>
      </c>
      <c r="B839" s="171">
        <f>SUBTOTAL(103,$A$552:A839)</f>
        <v>283</v>
      </c>
      <c r="C839" s="172" t="s">
        <v>1921</v>
      </c>
      <c r="D839" s="173">
        <v>1955</v>
      </c>
      <c r="E839" s="173"/>
      <c r="F839" s="174" t="s">
        <v>1562</v>
      </c>
      <c r="G839" s="173" t="s">
        <v>303</v>
      </c>
      <c r="H839" s="173" t="s">
        <v>304</v>
      </c>
      <c r="I839" s="177">
        <v>349</v>
      </c>
      <c r="J839" s="177">
        <v>310.60000000000002</v>
      </c>
      <c r="K839" s="177">
        <v>310.60000000000002</v>
      </c>
      <c r="L839" s="206">
        <v>17</v>
      </c>
      <c r="M839" s="173" t="s">
        <v>265</v>
      </c>
      <c r="N839" s="173" t="s">
        <v>269</v>
      </c>
      <c r="O839" s="175" t="s">
        <v>1306</v>
      </c>
      <c r="P839" s="170">
        <v>2110074.13</v>
      </c>
      <c r="Q839" s="170">
        <v>0</v>
      </c>
      <c r="R839" s="170">
        <v>0</v>
      </c>
      <c r="S839" s="170">
        <f t="shared" si="144"/>
        <v>2110074.13</v>
      </c>
      <c r="T839" s="170">
        <f t="shared" si="149"/>
        <v>6046.0576790830946</v>
      </c>
      <c r="U839" s="170">
        <v>6276.0615243553011</v>
      </c>
      <c r="V839" s="202">
        <f t="shared" si="148"/>
        <v>230.00384527220649</v>
      </c>
      <c r="W839" s="202">
        <f t="shared" si="145"/>
        <v>102555.69736389685</v>
      </c>
      <c r="X839" s="202">
        <v>0</v>
      </c>
      <c r="Y839" s="203">
        <v>0</v>
      </c>
      <c r="Z839" s="203">
        <v>0</v>
      </c>
      <c r="AA839" s="203">
        <v>0</v>
      </c>
      <c r="AB839" s="203">
        <v>0</v>
      </c>
      <c r="AC839" s="203">
        <v>0</v>
      </c>
      <c r="AD839" s="203">
        <v>0</v>
      </c>
      <c r="AE839" s="203">
        <v>0</v>
      </c>
      <c r="AF839" s="202">
        <v>0</v>
      </c>
      <c r="AG839" s="203">
        <v>0</v>
      </c>
      <c r="AH839" s="202">
        <v>0</v>
      </c>
      <c r="AI839" s="203">
        <v>2448</v>
      </c>
      <c r="AJ839" s="202">
        <f>7439.1*AI839/I839</f>
        <v>52180.27736389685</v>
      </c>
      <c r="AK839" s="203">
        <v>229</v>
      </c>
      <c r="AL839" s="202">
        <f>76773.02*AK839/I839</f>
        <v>50375.420000000006</v>
      </c>
      <c r="AM839" s="203">
        <v>0</v>
      </c>
      <c r="AN839" s="203"/>
      <c r="AO839" s="203">
        <v>0</v>
      </c>
    </row>
    <row r="840" spans="1:41" s="176" customFormat="1" ht="36" customHeight="1" x14ac:dyDescent="0.25">
      <c r="A840" s="176">
        <v>1</v>
      </c>
      <c r="B840" s="171">
        <f>SUBTOTAL(103,$A$552:A840)</f>
        <v>284</v>
      </c>
      <c r="C840" s="172" t="s">
        <v>1922</v>
      </c>
      <c r="D840" s="173">
        <v>1957</v>
      </c>
      <c r="E840" s="173"/>
      <c r="F840" s="174" t="s">
        <v>1562</v>
      </c>
      <c r="G840" s="173" t="s">
        <v>303</v>
      </c>
      <c r="H840" s="173" t="s">
        <v>303</v>
      </c>
      <c r="I840" s="170">
        <v>832.6</v>
      </c>
      <c r="J840" s="170">
        <v>448</v>
      </c>
      <c r="K840" s="170">
        <v>448</v>
      </c>
      <c r="L840" s="206">
        <v>22</v>
      </c>
      <c r="M840" s="173" t="s">
        <v>265</v>
      </c>
      <c r="N840" s="173" t="s">
        <v>269</v>
      </c>
      <c r="O840" s="175" t="s">
        <v>696</v>
      </c>
      <c r="P840" s="170">
        <v>2478736.48</v>
      </c>
      <c r="Q840" s="170">
        <v>0</v>
      </c>
      <c r="R840" s="170">
        <v>0</v>
      </c>
      <c r="S840" s="170">
        <f t="shared" si="144"/>
        <v>2478736.48</v>
      </c>
      <c r="T840" s="170">
        <f t="shared" si="149"/>
        <v>2977.1036271919288</v>
      </c>
      <c r="U840" s="170">
        <v>3259.8558376171031</v>
      </c>
      <c r="V840" s="202">
        <f t="shared" si="148"/>
        <v>282.75221042517433</v>
      </c>
      <c r="W840" s="202">
        <f t="shared" si="145"/>
        <v>12614.159423492676</v>
      </c>
      <c r="X840" s="202">
        <v>0</v>
      </c>
      <c r="Y840" s="203">
        <v>0</v>
      </c>
      <c r="Z840" s="203">
        <v>0</v>
      </c>
      <c r="AA840" s="203">
        <v>0</v>
      </c>
      <c r="AB840" s="203">
        <v>0</v>
      </c>
      <c r="AC840" s="203">
        <v>0</v>
      </c>
      <c r="AD840" s="203">
        <v>0</v>
      </c>
      <c r="AE840" s="203">
        <v>0</v>
      </c>
      <c r="AF840" s="202">
        <v>0</v>
      </c>
      <c r="AG840" s="203">
        <v>0</v>
      </c>
      <c r="AH840" s="202">
        <v>0</v>
      </c>
      <c r="AI840" s="203">
        <v>0</v>
      </c>
      <c r="AJ840" s="202">
        <v>0</v>
      </c>
      <c r="AK840" s="203">
        <v>136.80000000000001</v>
      </c>
      <c r="AL840" s="202">
        <f>76773.02*AK840/I840</f>
        <v>12614.159423492676</v>
      </c>
      <c r="AM840" s="203">
        <v>0</v>
      </c>
      <c r="AN840" s="203"/>
      <c r="AO840" s="203">
        <v>0</v>
      </c>
    </row>
    <row r="841" spans="1:41" s="176" customFormat="1" ht="36" customHeight="1" x14ac:dyDescent="0.25">
      <c r="A841" s="176">
        <v>1</v>
      </c>
      <c r="B841" s="171">
        <f>SUBTOTAL(103,$A$552:A841)</f>
        <v>285</v>
      </c>
      <c r="C841" s="172" t="s">
        <v>2292</v>
      </c>
      <c r="D841" s="173">
        <v>1959</v>
      </c>
      <c r="E841" s="173"/>
      <c r="F841" s="174" t="s">
        <v>1562</v>
      </c>
      <c r="G841" s="173" t="s">
        <v>303</v>
      </c>
      <c r="H841" s="173" t="s">
        <v>303</v>
      </c>
      <c r="I841" s="170">
        <v>575.79999999999995</v>
      </c>
      <c r="J841" s="170">
        <v>533.29999999999995</v>
      </c>
      <c r="K841" s="170">
        <v>533.29999999999995</v>
      </c>
      <c r="L841" s="206">
        <v>42</v>
      </c>
      <c r="M841" s="173" t="s">
        <v>265</v>
      </c>
      <c r="N841" s="173" t="s">
        <v>269</v>
      </c>
      <c r="O841" s="175" t="s">
        <v>699</v>
      </c>
      <c r="P841" s="170">
        <v>3710542.2</v>
      </c>
      <c r="Q841" s="170">
        <v>0</v>
      </c>
      <c r="R841" s="170">
        <v>0</v>
      </c>
      <c r="S841" s="170">
        <f t="shared" si="144"/>
        <v>3710542.2</v>
      </c>
      <c r="T841" s="170">
        <f t="shared" si="149"/>
        <v>6444.1510941299066</v>
      </c>
      <c r="U841" s="170">
        <v>6483.4793331017718</v>
      </c>
      <c r="V841" s="202">
        <f t="shared" si="148"/>
        <v>39.328238971865176</v>
      </c>
      <c r="W841" s="202">
        <f t="shared" si="145"/>
        <v>18239.925557485243</v>
      </c>
      <c r="X841" s="202">
        <v>0</v>
      </c>
      <c r="Y841" s="203">
        <v>0</v>
      </c>
      <c r="Z841" s="203">
        <v>0</v>
      </c>
      <c r="AA841" s="203">
        <v>0</v>
      </c>
      <c r="AB841" s="203">
        <v>0</v>
      </c>
      <c r="AC841" s="203">
        <v>0</v>
      </c>
      <c r="AD841" s="203">
        <v>0</v>
      </c>
      <c r="AE841" s="203">
        <v>0</v>
      </c>
      <c r="AF841" s="202">
        <v>0</v>
      </c>
      <c r="AG841" s="203">
        <v>0</v>
      </c>
      <c r="AH841" s="202">
        <v>0</v>
      </c>
      <c r="AI841" s="203">
        <v>0</v>
      </c>
      <c r="AJ841" s="202">
        <v>0</v>
      </c>
      <c r="AK841" s="203">
        <v>136.80000000000001</v>
      </c>
      <c r="AL841" s="202">
        <f>76773.02*AK841/I841</f>
        <v>18239.925557485243</v>
      </c>
      <c r="AM841" s="203">
        <v>0</v>
      </c>
      <c r="AN841" s="203"/>
      <c r="AO841" s="203">
        <v>0</v>
      </c>
    </row>
    <row r="842" spans="1:41" s="176" customFormat="1" ht="36" customHeight="1" x14ac:dyDescent="0.25">
      <c r="B842" s="172" t="s">
        <v>808</v>
      </c>
      <c r="C842" s="172"/>
      <c r="D842" s="173" t="s">
        <v>882</v>
      </c>
      <c r="E842" s="173" t="s">
        <v>882</v>
      </c>
      <c r="F842" s="173" t="s">
        <v>882</v>
      </c>
      <c r="G842" s="173" t="s">
        <v>882</v>
      </c>
      <c r="H842" s="173" t="s">
        <v>882</v>
      </c>
      <c r="I842" s="177">
        <f>SUM(I843:I849)</f>
        <v>35250.9</v>
      </c>
      <c r="J842" s="177">
        <f>SUM(J843:J849)</f>
        <v>20149</v>
      </c>
      <c r="K842" s="177">
        <f>SUM(K843:K849)</f>
        <v>19981.8</v>
      </c>
      <c r="L842" s="357">
        <f>SUM(L843:L849)</f>
        <v>902</v>
      </c>
      <c r="M842" s="173" t="s">
        <v>882</v>
      </c>
      <c r="N842" s="173" t="s">
        <v>882</v>
      </c>
      <c r="O842" s="175" t="s">
        <v>882</v>
      </c>
      <c r="P842" s="177">
        <v>31580337.110000003</v>
      </c>
      <c r="Q842" s="177">
        <f>SUM(Q843:Q849)</f>
        <v>0</v>
      </c>
      <c r="R842" s="177">
        <f>SUM(R843:R849)</f>
        <v>0</v>
      </c>
      <c r="S842" s="177">
        <f>SUM(S843:S849)</f>
        <v>31580337.110000003</v>
      </c>
      <c r="T842" s="170">
        <f t="shared" si="149"/>
        <v>895.87321486827295</v>
      </c>
      <c r="U842" s="170">
        <f>MAX(U843:U849)</f>
        <v>6207.0034254630991</v>
      </c>
      <c r="V842" s="202">
        <f t="shared" si="148"/>
        <v>5311.1302105948262</v>
      </c>
      <c r="W842" s="202"/>
      <c r="X842" s="202"/>
      <c r="Y842" s="203"/>
      <c r="Z842" s="203"/>
      <c r="AA842" s="203"/>
      <c r="AB842" s="203"/>
      <c r="AC842" s="203"/>
      <c r="AD842" s="203"/>
      <c r="AE842" s="203"/>
      <c r="AF842" s="203"/>
      <c r="AG842" s="203"/>
      <c r="AH842" s="203"/>
      <c r="AI842" s="203"/>
      <c r="AJ842" s="203"/>
      <c r="AK842" s="203"/>
      <c r="AL842" s="203"/>
      <c r="AM842" s="203"/>
      <c r="AN842" s="203"/>
      <c r="AO842" s="203"/>
    </row>
    <row r="843" spans="1:41" s="176" customFormat="1" ht="36" customHeight="1" x14ac:dyDescent="0.25">
      <c r="A843" s="176">
        <v>1</v>
      </c>
      <c r="B843" s="171">
        <f>SUBTOTAL(103,$A$552:A843)</f>
        <v>286</v>
      </c>
      <c r="C843" s="172" t="s">
        <v>633</v>
      </c>
      <c r="D843" s="173">
        <v>1986</v>
      </c>
      <c r="E843" s="173"/>
      <c r="F843" s="174" t="s">
        <v>311</v>
      </c>
      <c r="G843" s="173">
        <v>5</v>
      </c>
      <c r="H843" s="173" t="s">
        <v>370</v>
      </c>
      <c r="I843" s="177">
        <v>7160.5</v>
      </c>
      <c r="J843" s="177">
        <v>3872.4</v>
      </c>
      <c r="K843" s="177">
        <v>3872.4</v>
      </c>
      <c r="L843" s="206">
        <v>185</v>
      </c>
      <c r="M843" s="173" t="s">
        <v>265</v>
      </c>
      <c r="N843" s="173" t="s">
        <v>269</v>
      </c>
      <c r="O843" s="175" t="s">
        <v>701</v>
      </c>
      <c r="P843" s="170">
        <v>5608010</v>
      </c>
      <c r="Q843" s="170">
        <v>0</v>
      </c>
      <c r="R843" s="170">
        <v>0</v>
      </c>
      <c r="S843" s="170">
        <f t="shared" ref="S843:S849" si="150">P843-Q843-R843</f>
        <v>5608010</v>
      </c>
      <c r="T843" s="170">
        <f t="shared" si="149"/>
        <v>783.18692828713074</v>
      </c>
      <c r="U843" s="170">
        <v>1009.0084386565184</v>
      </c>
      <c r="V843" s="202">
        <f t="shared" si="148"/>
        <v>225.82151036938762</v>
      </c>
      <c r="W843" s="202">
        <f t="shared" ref="W843:W849" si="151">X843+Y843+Z843+AA843+AB843+AD843+AF843+AH843+AJ843+AL843+AN843+AO843</f>
        <v>978.02897493191813</v>
      </c>
      <c r="X843" s="202">
        <v>0</v>
      </c>
      <c r="Y843" s="203">
        <v>0</v>
      </c>
      <c r="Z843" s="203">
        <v>0</v>
      </c>
      <c r="AA843" s="203">
        <v>0</v>
      </c>
      <c r="AB843" s="203">
        <v>0</v>
      </c>
      <c r="AC843" s="203">
        <v>0</v>
      </c>
      <c r="AD843" s="203">
        <v>0</v>
      </c>
      <c r="AE843" s="203">
        <v>1122.5</v>
      </c>
      <c r="AF843" s="202">
        <f>6238.91*AE843/I843</f>
        <v>978.02897493191813</v>
      </c>
      <c r="AG843" s="203">
        <v>0</v>
      </c>
      <c r="AH843" s="202">
        <v>0</v>
      </c>
      <c r="AI843" s="203">
        <v>0</v>
      </c>
      <c r="AJ843" s="202">
        <v>0</v>
      </c>
      <c r="AK843" s="203">
        <v>0</v>
      </c>
      <c r="AL843" s="203">
        <v>0</v>
      </c>
      <c r="AM843" s="203">
        <v>0</v>
      </c>
      <c r="AN843" s="203"/>
      <c r="AO843" s="203">
        <v>0</v>
      </c>
    </row>
    <row r="844" spans="1:41" s="176" customFormat="1" ht="36" customHeight="1" x14ac:dyDescent="0.25">
      <c r="A844" s="176">
        <v>1</v>
      </c>
      <c r="B844" s="171">
        <f>SUBTOTAL(103,$A$552:A844)</f>
        <v>287</v>
      </c>
      <c r="C844" s="172" t="s">
        <v>630</v>
      </c>
      <c r="D844" s="173">
        <v>2002</v>
      </c>
      <c r="E844" s="173"/>
      <c r="F844" s="174" t="s">
        <v>267</v>
      </c>
      <c r="G844" s="173">
        <v>5</v>
      </c>
      <c r="H844" s="173" t="s">
        <v>312</v>
      </c>
      <c r="I844" s="177">
        <v>5019</v>
      </c>
      <c r="J844" s="177">
        <v>2368</v>
      </c>
      <c r="K844" s="177">
        <v>2368</v>
      </c>
      <c r="L844" s="206">
        <v>93</v>
      </c>
      <c r="M844" s="173" t="s">
        <v>265</v>
      </c>
      <c r="N844" s="173" t="s">
        <v>269</v>
      </c>
      <c r="O844" s="175" t="s">
        <v>701</v>
      </c>
      <c r="P844" s="170">
        <v>4467087.6000000006</v>
      </c>
      <c r="Q844" s="170">
        <v>0</v>
      </c>
      <c r="R844" s="170">
        <v>0</v>
      </c>
      <c r="S844" s="170">
        <f t="shared" si="150"/>
        <v>4467087.6000000006</v>
      </c>
      <c r="T844" s="170">
        <f t="shared" si="149"/>
        <v>890.03538553496719</v>
      </c>
      <c r="U844" s="170">
        <v>1097.2494656306037</v>
      </c>
      <c r="V844" s="202">
        <f t="shared" si="148"/>
        <v>207.21408009563652</v>
      </c>
      <c r="W844" s="202">
        <f t="shared" si="151"/>
        <v>1063.5607483562462</v>
      </c>
      <c r="X844" s="202">
        <v>0</v>
      </c>
      <c r="Y844" s="203">
        <v>0</v>
      </c>
      <c r="Z844" s="203">
        <v>0</v>
      </c>
      <c r="AA844" s="203">
        <v>0</v>
      </c>
      <c r="AB844" s="203">
        <v>0</v>
      </c>
      <c r="AC844" s="203">
        <v>0</v>
      </c>
      <c r="AD844" s="203">
        <v>0</v>
      </c>
      <c r="AE844" s="203">
        <v>855.6</v>
      </c>
      <c r="AF844" s="202">
        <f>6238.91*AE844/I844</f>
        <v>1063.5607483562462</v>
      </c>
      <c r="AG844" s="203">
        <v>0</v>
      </c>
      <c r="AH844" s="202">
        <v>0</v>
      </c>
      <c r="AI844" s="203">
        <v>0</v>
      </c>
      <c r="AJ844" s="202">
        <v>0</v>
      </c>
      <c r="AK844" s="203">
        <v>0</v>
      </c>
      <c r="AL844" s="203">
        <v>0</v>
      </c>
      <c r="AM844" s="203">
        <v>0</v>
      </c>
      <c r="AN844" s="203"/>
      <c r="AO844" s="203">
        <v>0</v>
      </c>
    </row>
    <row r="845" spans="1:41" s="176" customFormat="1" ht="36" customHeight="1" x14ac:dyDescent="0.25">
      <c r="A845" s="176">
        <v>1</v>
      </c>
      <c r="B845" s="171">
        <f>SUBTOTAL(103,$A$552:A845)</f>
        <v>288</v>
      </c>
      <c r="C845" s="172" t="s">
        <v>1183</v>
      </c>
      <c r="D845" s="173">
        <v>1989</v>
      </c>
      <c r="E845" s="173">
        <v>2015</v>
      </c>
      <c r="F845" s="174" t="s">
        <v>267</v>
      </c>
      <c r="G845" s="173">
        <v>9</v>
      </c>
      <c r="H845" s="173" t="s">
        <v>303</v>
      </c>
      <c r="I845" s="170">
        <v>6378.7</v>
      </c>
      <c r="J845" s="170">
        <v>3794.9</v>
      </c>
      <c r="K845" s="170">
        <v>3627.7</v>
      </c>
      <c r="L845" s="206">
        <v>187</v>
      </c>
      <c r="M845" s="173" t="s">
        <v>265</v>
      </c>
      <c r="N845" s="173" t="s">
        <v>269</v>
      </c>
      <c r="O845" s="175" t="s">
        <v>701</v>
      </c>
      <c r="P845" s="170">
        <v>1081603.1399999999</v>
      </c>
      <c r="Q845" s="170">
        <v>0</v>
      </c>
      <c r="R845" s="170">
        <v>0</v>
      </c>
      <c r="S845" s="170">
        <f t="shared" si="150"/>
        <v>1081603.1399999999</v>
      </c>
      <c r="T845" s="170">
        <f t="shared" si="149"/>
        <v>169.56482355338861</v>
      </c>
      <c r="U845" s="170">
        <v>4187.79</v>
      </c>
      <c r="V845" s="202">
        <f>U845-T845</f>
        <v>4018.2251764466114</v>
      </c>
      <c r="W845" s="202">
        <f>X845+Y845+Z845+AA845+AB845+AD845+AF845+AH845+AJ845+AL845+AN845+AO845</f>
        <v>3791.6299999999997</v>
      </c>
      <c r="X845" s="202">
        <v>101.55</v>
      </c>
      <c r="Y845" s="203">
        <v>245.44</v>
      </c>
      <c r="Z845" s="203">
        <v>3259.66</v>
      </c>
      <c r="AA845" s="203">
        <v>184.98</v>
      </c>
      <c r="AB845" s="203">
        <v>0</v>
      </c>
      <c r="AC845" s="203">
        <v>0</v>
      </c>
      <c r="AD845" s="203">
        <v>0</v>
      </c>
      <c r="AE845" s="203">
        <v>0</v>
      </c>
      <c r="AF845" s="202">
        <v>0</v>
      </c>
      <c r="AG845" s="203">
        <v>0</v>
      </c>
      <c r="AH845" s="202">
        <v>0</v>
      </c>
      <c r="AI845" s="203">
        <v>0</v>
      </c>
      <c r="AJ845" s="202">
        <v>0</v>
      </c>
      <c r="AK845" s="203">
        <v>0</v>
      </c>
      <c r="AL845" s="203">
        <v>0</v>
      </c>
      <c r="AM845" s="203">
        <v>0</v>
      </c>
      <c r="AN845" s="203"/>
      <c r="AO845" s="203">
        <v>0</v>
      </c>
    </row>
    <row r="846" spans="1:41" s="176" customFormat="1" ht="36" customHeight="1" x14ac:dyDescent="0.25">
      <c r="A846" s="176">
        <v>1</v>
      </c>
      <c r="B846" s="171">
        <f>SUBTOTAL(103,$A$552:A846)</f>
        <v>289</v>
      </c>
      <c r="C846" s="172" t="s">
        <v>1890</v>
      </c>
      <c r="D846" s="173">
        <v>1964</v>
      </c>
      <c r="E846" s="173"/>
      <c r="F846" s="174" t="s">
        <v>267</v>
      </c>
      <c r="G846" s="173">
        <v>2</v>
      </c>
      <c r="H846" s="173" t="s">
        <v>303</v>
      </c>
      <c r="I846" s="177">
        <v>680.2</v>
      </c>
      <c r="J846" s="177">
        <v>356</v>
      </c>
      <c r="K846" s="177">
        <v>356</v>
      </c>
      <c r="L846" s="206">
        <v>22</v>
      </c>
      <c r="M846" s="173" t="s">
        <v>265</v>
      </c>
      <c r="N846" s="173" t="s">
        <v>269</v>
      </c>
      <c r="O846" s="175" t="s">
        <v>701</v>
      </c>
      <c r="P846" s="170">
        <v>4222003.7300000004</v>
      </c>
      <c r="Q846" s="170">
        <v>0</v>
      </c>
      <c r="R846" s="170">
        <v>0</v>
      </c>
      <c r="S846" s="170">
        <f t="shared" si="150"/>
        <v>4222003.7300000004</v>
      </c>
      <c r="T846" s="170">
        <f t="shared" si="149"/>
        <v>6207.0034254630991</v>
      </c>
      <c r="U846" s="170">
        <v>6207.0034254630991</v>
      </c>
      <c r="V846" s="202">
        <f>U846-T846</f>
        <v>0</v>
      </c>
      <c r="W846" s="202">
        <f>X846+Y846+Z846+AA846+AB846+AD846+AF846+AH846+AJ846+AL846+AN846+AO846</f>
        <v>4879.5944134078209</v>
      </c>
      <c r="X846" s="202">
        <v>0</v>
      </c>
      <c r="Y846" s="203">
        <v>0</v>
      </c>
      <c r="Z846" s="203">
        <v>0</v>
      </c>
      <c r="AA846" s="203">
        <v>0</v>
      </c>
      <c r="AB846" s="203">
        <v>0</v>
      </c>
      <c r="AC846" s="203">
        <v>0</v>
      </c>
      <c r="AD846" s="203">
        <v>0</v>
      </c>
      <c r="AE846" s="203">
        <v>532</v>
      </c>
      <c r="AF846" s="202">
        <f>6238.91*AE846/I846</f>
        <v>4879.5944134078209</v>
      </c>
      <c r="AG846" s="203">
        <v>0</v>
      </c>
      <c r="AH846" s="202">
        <v>0</v>
      </c>
      <c r="AI846" s="203">
        <v>0</v>
      </c>
      <c r="AJ846" s="202">
        <v>0</v>
      </c>
      <c r="AK846" s="203">
        <v>0</v>
      </c>
      <c r="AL846" s="203">
        <v>0</v>
      </c>
      <c r="AM846" s="203">
        <v>0</v>
      </c>
      <c r="AN846" s="203"/>
      <c r="AO846" s="203">
        <v>0</v>
      </c>
    </row>
    <row r="847" spans="1:41" s="176" customFormat="1" ht="36" customHeight="1" x14ac:dyDescent="0.25">
      <c r="A847" s="176">
        <v>1</v>
      </c>
      <c r="B847" s="171">
        <f>SUBTOTAL(103,$A$552:A847)</f>
        <v>290</v>
      </c>
      <c r="C847" s="172" t="s">
        <v>1081</v>
      </c>
      <c r="D847" s="173">
        <v>1983</v>
      </c>
      <c r="E847" s="173"/>
      <c r="F847" s="174" t="s">
        <v>267</v>
      </c>
      <c r="G847" s="173">
        <v>5</v>
      </c>
      <c r="H847" s="173" t="s">
        <v>308</v>
      </c>
      <c r="I847" s="170">
        <v>4169.3</v>
      </c>
      <c r="J847" s="170">
        <v>2760.1</v>
      </c>
      <c r="K847" s="170">
        <v>2760.1</v>
      </c>
      <c r="L847" s="206">
        <v>121</v>
      </c>
      <c r="M847" s="173" t="s">
        <v>265</v>
      </c>
      <c r="N847" s="173" t="s">
        <v>269</v>
      </c>
      <c r="O847" s="175" t="s">
        <v>1347</v>
      </c>
      <c r="P847" s="170">
        <v>4226815.84</v>
      </c>
      <c r="Q847" s="170">
        <v>0</v>
      </c>
      <c r="R847" s="170">
        <v>0</v>
      </c>
      <c r="S847" s="170">
        <f t="shared" si="150"/>
        <v>4226815.84</v>
      </c>
      <c r="T847" s="170">
        <f t="shared" si="149"/>
        <v>1013.795083107476</v>
      </c>
      <c r="U847" s="170">
        <v>1323.6468524692393</v>
      </c>
      <c r="V847" s="202">
        <f t="shared" si="148"/>
        <v>309.85176936176333</v>
      </c>
      <c r="W847" s="202">
        <f t="shared" si="151"/>
        <v>3791.6299999999997</v>
      </c>
      <c r="X847" s="202">
        <v>101.55</v>
      </c>
      <c r="Y847" s="203">
        <v>245.44</v>
      </c>
      <c r="Z847" s="203">
        <v>3259.66</v>
      </c>
      <c r="AA847" s="203">
        <v>184.98</v>
      </c>
      <c r="AB847" s="203">
        <v>0</v>
      </c>
      <c r="AC847" s="203">
        <v>0</v>
      </c>
      <c r="AD847" s="203">
        <v>0</v>
      </c>
      <c r="AE847" s="203">
        <v>0</v>
      </c>
      <c r="AF847" s="202">
        <v>0</v>
      </c>
      <c r="AG847" s="203">
        <v>0</v>
      </c>
      <c r="AH847" s="202">
        <v>0</v>
      </c>
      <c r="AI847" s="203">
        <v>0</v>
      </c>
      <c r="AJ847" s="202">
        <v>0</v>
      </c>
      <c r="AK847" s="203">
        <v>0</v>
      </c>
      <c r="AL847" s="203">
        <v>0</v>
      </c>
      <c r="AM847" s="203">
        <v>0</v>
      </c>
      <c r="AN847" s="203"/>
      <c r="AO847" s="203">
        <v>0</v>
      </c>
    </row>
    <row r="848" spans="1:41" s="176" customFormat="1" ht="36" customHeight="1" x14ac:dyDescent="0.25">
      <c r="A848" s="176">
        <v>1</v>
      </c>
      <c r="B848" s="171">
        <f>SUBTOTAL(103,$A$552:A848)</f>
        <v>291</v>
      </c>
      <c r="C848" s="172" t="s">
        <v>1182</v>
      </c>
      <c r="D848" s="173">
        <v>2001</v>
      </c>
      <c r="E848" s="173"/>
      <c r="F848" s="174" t="s">
        <v>267</v>
      </c>
      <c r="G848" s="173">
        <v>5</v>
      </c>
      <c r="H848" s="173" t="s">
        <v>351</v>
      </c>
      <c r="I848" s="177">
        <v>6330.6</v>
      </c>
      <c r="J848" s="177">
        <v>3627.4</v>
      </c>
      <c r="K848" s="177">
        <v>3627.4</v>
      </c>
      <c r="L848" s="206">
        <v>157</v>
      </c>
      <c r="M848" s="173" t="s">
        <v>265</v>
      </c>
      <c r="N848" s="173" t="s">
        <v>269</v>
      </c>
      <c r="O848" s="175" t="s">
        <v>701</v>
      </c>
      <c r="P848" s="170">
        <v>5003194.3900000006</v>
      </c>
      <c r="Q848" s="170">
        <v>0</v>
      </c>
      <c r="R848" s="170">
        <v>0</v>
      </c>
      <c r="S848" s="170">
        <f t="shared" si="150"/>
        <v>5003194.3900000006</v>
      </c>
      <c r="T848" s="170">
        <f t="shared" si="149"/>
        <v>790.31914668435854</v>
      </c>
      <c r="U848" s="170">
        <v>1180.4270258743247</v>
      </c>
      <c r="V848" s="202">
        <f t="shared" si="148"/>
        <v>390.10787918996618</v>
      </c>
      <c r="W848" s="202">
        <f t="shared" si="151"/>
        <v>524.29471456102101</v>
      </c>
      <c r="X848" s="202">
        <v>0</v>
      </c>
      <c r="Y848" s="203">
        <v>0</v>
      </c>
      <c r="Z848" s="203">
        <v>0</v>
      </c>
      <c r="AA848" s="203">
        <v>0</v>
      </c>
      <c r="AB848" s="203">
        <v>0</v>
      </c>
      <c r="AC848" s="203">
        <v>0</v>
      </c>
      <c r="AD848" s="203">
        <v>0</v>
      </c>
      <c r="AE848" s="203">
        <v>532</v>
      </c>
      <c r="AF848" s="202">
        <f>6238.91*AE848/I848</f>
        <v>524.29471456102101</v>
      </c>
      <c r="AG848" s="203">
        <v>0</v>
      </c>
      <c r="AH848" s="202">
        <v>0</v>
      </c>
      <c r="AI848" s="203">
        <v>0</v>
      </c>
      <c r="AJ848" s="202">
        <v>0</v>
      </c>
      <c r="AK848" s="203">
        <v>0</v>
      </c>
      <c r="AL848" s="203">
        <v>0</v>
      </c>
      <c r="AM848" s="203">
        <v>0</v>
      </c>
      <c r="AN848" s="203"/>
      <c r="AO848" s="203">
        <v>0</v>
      </c>
    </row>
    <row r="849" spans="1:41" s="176" customFormat="1" ht="36" customHeight="1" x14ac:dyDescent="0.25">
      <c r="A849" s="176">
        <v>1</v>
      </c>
      <c r="B849" s="171">
        <f>SUBTOTAL(103,$A$552:A849)</f>
        <v>292</v>
      </c>
      <c r="C849" s="172" t="s">
        <v>1923</v>
      </c>
      <c r="D849" s="173">
        <v>1994</v>
      </c>
      <c r="E849" s="173"/>
      <c r="F849" s="174" t="s">
        <v>318</v>
      </c>
      <c r="G849" s="173" t="s">
        <v>351</v>
      </c>
      <c r="H849" s="173" t="s">
        <v>312</v>
      </c>
      <c r="I849" s="177">
        <v>5512.6</v>
      </c>
      <c r="J849" s="177">
        <v>3370.2</v>
      </c>
      <c r="K849" s="177">
        <v>3370.2</v>
      </c>
      <c r="L849" s="206">
        <v>137</v>
      </c>
      <c r="M849" s="173" t="s">
        <v>265</v>
      </c>
      <c r="N849" s="173" t="s">
        <v>269</v>
      </c>
      <c r="O849" s="175" t="s">
        <v>701</v>
      </c>
      <c r="P849" s="170">
        <v>6971622.4100000001</v>
      </c>
      <c r="Q849" s="170">
        <v>0</v>
      </c>
      <c r="R849" s="170">
        <v>0</v>
      </c>
      <c r="S849" s="170">
        <f t="shared" si="150"/>
        <v>6971622.4100000001</v>
      </c>
      <c r="T849" s="170">
        <f t="shared" si="149"/>
        <v>1264.6704658418894</v>
      </c>
      <c r="U849" s="170">
        <v>1902.7263519936143</v>
      </c>
      <c r="V849" s="202">
        <f t="shared" si="148"/>
        <v>638.05588615172496</v>
      </c>
      <c r="W849" s="202">
        <f t="shared" si="151"/>
        <v>970.36633058810708</v>
      </c>
      <c r="X849" s="202">
        <v>0</v>
      </c>
      <c r="Y849" s="203">
        <v>0</v>
      </c>
      <c r="Z849" s="203">
        <v>0</v>
      </c>
      <c r="AA849" s="203">
        <v>0</v>
      </c>
      <c r="AB849" s="203">
        <v>0</v>
      </c>
      <c r="AC849" s="203">
        <v>0</v>
      </c>
      <c r="AD849" s="203">
        <v>0</v>
      </c>
      <c r="AE849" s="203">
        <v>857.4</v>
      </c>
      <c r="AF849" s="202">
        <f>6238.91*AE849/I849</f>
        <v>970.36633058810708</v>
      </c>
      <c r="AG849" s="203">
        <v>0</v>
      </c>
      <c r="AH849" s="202">
        <v>0</v>
      </c>
      <c r="AI849" s="203">
        <v>0</v>
      </c>
      <c r="AJ849" s="202">
        <v>0</v>
      </c>
      <c r="AK849" s="203">
        <v>0</v>
      </c>
      <c r="AL849" s="203">
        <v>0</v>
      </c>
      <c r="AM849" s="203">
        <v>0</v>
      </c>
      <c r="AN849" s="203"/>
      <c r="AO849" s="203">
        <v>0</v>
      </c>
    </row>
    <row r="850" spans="1:41" s="176" customFormat="1" ht="36" customHeight="1" x14ac:dyDescent="0.25">
      <c r="B850" s="172" t="s">
        <v>809</v>
      </c>
      <c r="C850" s="172"/>
      <c r="D850" s="173" t="s">
        <v>882</v>
      </c>
      <c r="E850" s="173" t="s">
        <v>882</v>
      </c>
      <c r="F850" s="173" t="s">
        <v>882</v>
      </c>
      <c r="G850" s="173" t="s">
        <v>882</v>
      </c>
      <c r="H850" s="173" t="s">
        <v>882</v>
      </c>
      <c r="I850" s="177">
        <f>SUM(I851:I856)</f>
        <v>11928.599999999999</v>
      </c>
      <c r="J850" s="177">
        <f>SUM(J851:J856)</f>
        <v>9002.2999999999993</v>
      </c>
      <c r="K850" s="177">
        <f>SUM(K851:K856)</f>
        <v>8843.4</v>
      </c>
      <c r="L850" s="357">
        <f>SUM(L851:L856)</f>
        <v>416</v>
      </c>
      <c r="M850" s="173" t="s">
        <v>882</v>
      </c>
      <c r="N850" s="173" t="s">
        <v>882</v>
      </c>
      <c r="O850" s="175" t="s">
        <v>882</v>
      </c>
      <c r="P850" s="177">
        <v>22006421.640000001</v>
      </c>
      <c r="Q850" s="177">
        <f>SUM(Q851:Q856)</f>
        <v>0</v>
      </c>
      <c r="R850" s="177">
        <f>SUM(R851:R856)</f>
        <v>0</v>
      </c>
      <c r="S850" s="177">
        <f>SUM(S851:S856)</f>
        <v>22006421.640000001</v>
      </c>
      <c r="T850" s="170">
        <f t="shared" si="149"/>
        <v>1844.845299532217</v>
      </c>
      <c r="U850" s="170">
        <f>MAX(U851:U856)</f>
        <v>5876.9769832619695</v>
      </c>
      <c r="V850" s="202">
        <f t="shared" si="148"/>
        <v>4032.1316837297527</v>
      </c>
      <c r="W850" s="202"/>
      <c r="X850" s="202"/>
      <c r="Y850" s="203"/>
      <c r="Z850" s="203"/>
      <c r="AA850" s="203"/>
      <c r="AB850" s="203"/>
      <c r="AC850" s="203"/>
      <c r="AD850" s="203"/>
      <c r="AE850" s="203"/>
      <c r="AF850" s="203"/>
      <c r="AG850" s="203"/>
      <c r="AH850" s="203"/>
      <c r="AI850" s="203"/>
      <c r="AJ850" s="203"/>
      <c r="AK850" s="203"/>
      <c r="AL850" s="203"/>
      <c r="AM850" s="203"/>
      <c r="AN850" s="203"/>
      <c r="AO850" s="203"/>
    </row>
    <row r="851" spans="1:41" s="176" customFormat="1" ht="36" customHeight="1" x14ac:dyDescent="0.25">
      <c r="A851" s="176">
        <v>1</v>
      </c>
      <c r="B851" s="171">
        <f>SUBTOTAL(103,$A$552:A851)</f>
        <v>293</v>
      </c>
      <c r="C851" s="172" t="s">
        <v>638</v>
      </c>
      <c r="D851" s="173">
        <v>1937</v>
      </c>
      <c r="E851" s="173"/>
      <c r="F851" s="174" t="s">
        <v>330</v>
      </c>
      <c r="G851" s="173">
        <v>2</v>
      </c>
      <c r="H851" s="173" t="s">
        <v>303</v>
      </c>
      <c r="I851" s="177">
        <v>423.5</v>
      </c>
      <c r="J851" s="177">
        <v>301.89999999999998</v>
      </c>
      <c r="K851" s="177">
        <v>301.89999999999998</v>
      </c>
      <c r="L851" s="206">
        <v>26</v>
      </c>
      <c r="M851" s="173" t="s">
        <v>265</v>
      </c>
      <c r="N851" s="173" t="s">
        <v>283</v>
      </c>
      <c r="O851" s="175" t="s">
        <v>268</v>
      </c>
      <c r="P851" s="170">
        <v>1751245</v>
      </c>
      <c r="Q851" s="170">
        <v>0</v>
      </c>
      <c r="R851" s="170">
        <v>0</v>
      </c>
      <c r="S851" s="170">
        <f t="shared" ref="S851:S856" si="152">P851-Q851-R851</f>
        <v>1751245</v>
      </c>
      <c r="T851" s="170">
        <f t="shared" si="149"/>
        <v>4135.1711924439196</v>
      </c>
      <c r="U851" s="170">
        <v>5243.4541912632822</v>
      </c>
      <c r="V851" s="202">
        <f t="shared" si="148"/>
        <v>1108.2829988193625</v>
      </c>
      <c r="W851" s="202">
        <f t="shared" ref="W851:W856" si="153">X851+Y851+Z851+AA851+AB851+AD851+AF851+AH851+AJ851+AL851+AN851+AO851</f>
        <v>5082.4650531286889</v>
      </c>
      <c r="X851" s="202">
        <v>0</v>
      </c>
      <c r="Y851" s="203">
        <v>0</v>
      </c>
      <c r="Z851" s="203">
        <v>0</v>
      </c>
      <c r="AA851" s="203">
        <v>0</v>
      </c>
      <c r="AB851" s="203">
        <v>0</v>
      </c>
      <c r="AC851" s="203">
        <v>0</v>
      </c>
      <c r="AD851" s="203">
        <v>0</v>
      </c>
      <c r="AE851" s="203">
        <v>345</v>
      </c>
      <c r="AF851" s="202">
        <f>6238.91*AE851/I851</f>
        <v>5082.4650531286889</v>
      </c>
      <c r="AG851" s="203">
        <v>0</v>
      </c>
      <c r="AH851" s="202">
        <v>0</v>
      </c>
      <c r="AI851" s="203">
        <v>0</v>
      </c>
      <c r="AJ851" s="202">
        <v>0</v>
      </c>
      <c r="AK851" s="203">
        <v>0</v>
      </c>
      <c r="AL851" s="203">
        <v>0</v>
      </c>
      <c r="AM851" s="203">
        <v>0</v>
      </c>
      <c r="AN851" s="203"/>
      <c r="AO851" s="203">
        <v>0</v>
      </c>
    </row>
    <row r="852" spans="1:41" s="176" customFormat="1" ht="36" customHeight="1" x14ac:dyDescent="0.25">
      <c r="A852" s="176">
        <v>1</v>
      </c>
      <c r="B852" s="171">
        <f>SUBTOTAL(103,$A$552:A852)</f>
        <v>294</v>
      </c>
      <c r="C852" s="172" t="s">
        <v>639</v>
      </c>
      <c r="D852" s="173">
        <v>1975</v>
      </c>
      <c r="E852" s="173"/>
      <c r="F852" s="174" t="s">
        <v>267</v>
      </c>
      <c r="G852" s="173">
        <v>3</v>
      </c>
      <c r="H852" s="173" t="s">
        <v>303</v>
      </c>
      <c r="I852" s="177">
        <v>1248.5999999999999</v>
      </c>
      <c r="J852" s="177">
        <v>1155.9000000000001</v>
      </c>
      <c r="K852" s="177">
        <v>1155.9000000000001</v>
      </c>
      <c r="L852" s="206">
        <v>53</v>
      </c>
      <c r="M852" s="173" t="s">
        <v>265</v>
      </c>
      <c r="N852" s="173" t="s">
        <v>269</v>
      </c>
      <c r="O852" s="175" t="s">
        <v>696</v>
      </c>
      <c r="P852" s="170">
        <v>3880308</v>
      </c>
      <c r="Q852" s="170">
        <v>0</v>
      </c>
      <c r="R852" s="170">
        <v>0</v>
      </c>
      <c r="S852" s="170">
        <f t="shared" si="152"/>
        <v>3880308</v>
      </c>
      <c r="T852" s="170">
        <f t="shared" si="149"/>
        <v>3107.7270543008171</v>
      </c>
      <c r="U852" s="170">
        <v>3855.9382027871216</v>
      </c>
      <c r="V852" s="202">
        <f>U852-T852</f>
        <v>748.21114848630441</v>
      </c>
      <c r="W852" s="202">
        <f t="shared" si="153"/>
        <v>3737.5497997757489</v>
      </c>
      <c r="X852" s="202">
        <v>0</v>
      </c>
      <c r="Y852" s="203">
        <v>0</v>
      </c>
      <c r="Z852" s="203">
        <v>0</v>
      </c>
      <c r="AA852" s="203">
        <v>0</v>
      </c>
      <c r="AB852" s="203">
        <v>0</v>
      </c>
      <c r="AC852" s="203">
        <v>0</v>
      </c>
      <c r="AD852" s="203">
        <v>0</v>
      </c>
      <c r="AE852" s="203">
        <v>748</v>
      </c>
      <c r="AF852" s="202">
        <f>6238.91*AE852/I852</f>
        <v>3737.5497997757489</v>
      </c>
      <c r="AG852" s="203">
        <v>0</v>
      </c>
      <c r="AH852" s="202">
        <v>0</v>
      </c>
      <c r="AI852" s="203">
        <v>0</v>
      </c>
      <c r="AJ852" s="202">
        <v>0</v>
      </c>
      <c r="AK852" s="203">
        <v>0</v>
      </c>
      <c r="AL852" s="203">
        <v>0</v>
      </c>
      <c r="AM852" s="203">
        <v>0</v>
      </c>
      <c r="AN852" s="203"/>
      <c r="AO852" s="203">
        <v>0</v>
      </c>
    </row>
    <row r="853" spans="1:41" s="176" customFormat="1" ht="36" customHeight="1" x14ac:dyDescent="0.25">
      <c r="A853" s="176">
        <v>1</v>
      </c>
      <c r="B853" s="171">
        <f>SUBTOTAL(103,$A$552:A853)</f>
        <v>295</v>
      </c>
      <c r="C853" s="172" t="s">
        <v>637</v>
      </c>
      <c r="D853" s="173">
        <v>1959</v>
      </c>
      <c r="E853" s="173"/>
      <c r="F853" s="174" t="s">
        <v>267</v>
      </c>
      <c r="G853" s="173">
        <v>3</v>
      </c>
      <c r="H853" s="173" t="s">
        <v>312</v>
      </c>
      <c r="I853" s="177">
        <v>1163.0999999999999</v>
      </c>
      <c r="J853" s="177">
        <v>1058.9000000000001</v>
      </c>
      <c r="K853" s="177">
        <v>996.7</v>
      </c>
      <c r="L853" s="206">
        <v>42</v>
      </c>
      <c r="M853" s="173" t="s">
        <v>265</v>
      </c>
      <c r="N853" s="173" t="s">
        <v>269</v>
      </c>
      <c r="O853" s="175" t="s">
        <v>702</v>
      </c>
      <c r="P853" s="170">
        <v>3108865.1999999997</v>
      </c>
      <c r="Q853" s="170">
        <v>0</v>
      </c>
      <c r="R853" s="170">
        <v>0</v>
      </c>
      <c r="S853" s="170">
        <f t="shared" si="152"/>
        <v>3108865.1999999997</v>
      </c>
      <c r="T853" s="170">
        <f t="shared" si="149"/>
        <v>2672.9130771214855</v>
      </c>
      <c r="U853" s="170">
        <v>3327.0069950993038</v>
      </c>
      <c r="V853" s="202">
        <f>U853-T853</f>
        <v>654.09391797781836</v>
      </c>
      <c r="W853" s="202">
        <f t="shared" si="153"/>
        <v>3224.8583028114526</v>
      </c>
      <c r="X853" s="202">
        <v>0</v>
      </c>
      <c r="Y853" s="203">
        <v>0</v>
      </c>
      <c r="Z853" s="203">
        <v>0</v>
      </c>
      <c r="AA853" s="203">
        <v>0</v>
      </c>
      <c r="AB853" s="203">
        <v>0</v>
      </c>
      <c r="AC853" s="203">
        <v>0</v>
      </c>
      <c r="AD853" s="203">
        <v>0</v>
      </c>
      <c r="AE853" s="203">
        <v>601.20000000000005</v>
      </c>
      <c r="AF853" s="202">
        <f>6238.91*AE853/I853</f>
        <v>3224.8583028114526</v>
      </c>
      <c r="AG853" s="203">
        <v>0</v>
      </c>
      <c r="AH853" s="202">
        <v>0</v>
      </c>
      <c r="AI853" s="203">
        <v>0</v>
      </c>
      <c r="AJ853" s="202">
        <v>0</v>
      </c>
      <c r="AK853" s="203">
        <v>0</v>
      </c>
      <c r="AL853" s="203">
        <v>0</v>
      </c>
      <c r="AM853" s="203">
        <v>0</v>
      </c>
      <c r="AN853" s="203"/>
      <c r="AO853" s="203">
        <v>0</v>
      </c>
    </row>
    <row r="854" spans="1:41" s="176" customFormat="1" ht="36" customHeight="1" x14ac:dyDescent="0.25">
      <c r="A854" s="176">
        <v>1</v>
      </c>
      <c r="B854" s="171">
        <f>SUBTOTAL(103,$A$552:A854)</f>
        <v>296</v>
      </c>
      <c r="C854" s="172" t="s">
        <v>1937</v>
      </c>
      <c r="D854" s="173">
        <v>1972</v>
      </c>
      <c r="E854" s="173"/>
      <c r="F854" s="174" t="s">
        <v>1562</v>
      </c>
      <c r="G854" s="173" t="s">
        <v>303</v>
      </c>
      <c r="H854" s="173" t="s">
        <v>303</v>
      </c>
      <c r="I854" s="177">
        <v>770.7</v>
      </c>
      <c r="J854" s="177">
        <v>710.1</v>
      </c>
      <c r="K854" s="177">
        <v>710.1</v>
      </c>
      <c r="L854" s="206">
        <v>29</v>
      </c>
      <c r="M854" s="173" t="s">
        <v>265</v>
      </c>
      <c r="N854" s="173" t="s">
        <v>269</v>
      </c>
      <c r="O854" s="175" t="s">
        <v>702</v>
      </c>
      <c r="P854" s="170">
        <v>4152998.97</v>
      </c>
      <c r="Q854" s="170">
        <v>0</v>
      </c>
      <c r="R854" s="170">
        <v>0</v>
      </c>
      <c r="S854" s="170">
        <f t="shared" si="152"/>
        <v>4152998.97</v>
      </c>
      <c r="T854" s="170">
        <f t="shared" si="149"/>
        <v>5388.6064227325805</v>
      </c>
      <c r="U854" s="170">
        <v>5876.9769832619695</v>
      </c>
      <c r="V854" s="202">
        <f t="shared" si="148"/>
        <v>488.37056052938897</v>
      </c>
      <c r="W854" s="202">
        <f t="shared" si="153"/>
        <v>6549.1960001297512</v>
      </c>
      <c r="X854" s="202">
        <v>0</v>
      </c>
      <c r="Y854" s="203">
        <v>0</v>
      </c>
      <c r="Z854" s="203">
        <v>0</v>
      </c>
      <c r="AA854" s="203">
        <v>0</v>
      </c>
      <c r="AB854" s="203">
        <v>0</v>
      </c>
      <c r="AC854" s="203">
        <v>0</v>
      </c>
      <c r="AD854" s="203">
        <v>0</v>
      </c>
      <c r="AE854" s="203">
        <v>809.03</v>
      </c>
      <c r="AF854" s="202">
        <f>6238.91*AE854/I854</f>
        <v>6549.1960001297512</v>
      </c>
      <c r="AG854" s="203">
        <v>0</v>
      </c>
      <c r="AH854" s="202">
        <v>0</v>
      </c>
      <c r="AI854" s="203">
        <v>0</v>
      </c>
      <c r="AJ854" s="202">
        <v>0</v>
      </c>
      <c r="AK854" s="203">
        <v>0</v>
      </c>
      <c r="AL854" s="203">
        <v>0</v>
      </c>
      <c r="AM854" s="203">
        <v>0</v>
      </c>
      <c r="AN854" s="203"/>
      <c r="AO854" s="203">
        <v>0</v>
      </c>
    </row>
    <row r="855" spans="1:41" s="176" customFormat="1" ht="36" customHeight="1" x14ac:dyDescent="0.25">
      <c r="A855" s="176">
        <v>1</v>
      </c>
      <c r="B855" s="171">
        <f>SUBTOTAL(103,$A$552:A855)</f>
        <v>297</v>
      </c>
      <c r="C855" s="172" t="s">
        <v>1938</v>
      </c>
      <c r="D855" s="173">
        <v>1959</v>
      </c>
      <c r="E855" s="173"/>
      <c r="F855" s="174" t="s">
        <v>1562</v>
      </c>
      <c r="G855" s="173" t="s">
        <v>312</v>
      </c>
      <c r="H855" s="173" t="s">
        <v>312</v>
      </c>
      <c r="I855" s="177">
        <v>1662.7</v>
      </c>
      <c r="J855" s="177">
        <v>1046.8</v>
      </c>
      <c r="K855" s="177">
        <v>950.1</v>
      </c>
      <c r="L855" s="206">
        <v>59</v>
      </c>
      <c r="M855" s="173" t="s">
        <v>265</v>
      </c>
      <c r="N855" s="173" t="s">
        <v>269</v>
      </c>
      <c r="O855" s="175" t="s">
        <v>702</v>
      </c>
      <c r="P855" s="170">
        <v>4220194.8</v>
      </c>
      <c r="Q855" s="170">
        <v>0</v>
      </c>
      <c r="R855" s="170">
        <v>0</v>
      </c>
      <c r="S855" s="170">
        <f t="shared" si="152"/>
        <v>4220194.8</v>
      </c>
      <c r="T855" s="170">
        <f t="shared" si="149"/>
        <v>2538.1576953148492</v>
      </c>
      <c r="U855" s="170">
        <v>2749.0838873518969</v>
      </c>
      <c r="V855" s="202">
        <f t="shared" si="148"/>
        <v>210.92619203704771</v>
      </c>
      <c r="W855" s="202">
        <f t="shared" si="153"/>
        <v>2806.7027605701569</v>
      </c>
      <c r="X855" s="202">
        <v>0</v>
      </c>
      <c r="Y855" s="203">
        <v>0</v>
      </c>
      <c r="Z855" s="203">
        <v>0</v>
      </c>
      <c r="AA855" s="203">
        <v>0</v>
      </c>
      <c r="AB855" s="203">
        <v>0</v>
      </c>
      <c r="AC855" s="203">
        <v>0</v>
      </c>
      <c r="AD855" s="203">
        <v>0</v>
      </c>
      <c r="AE855" s="203">
        <v>748</v>
      </c>
      <c r="AF855" s="202">
        <f>6238.91*AE855/I855</f>
        <v>2806.7027605701569</v>
      </c>
      <c r="AG855" s="203">
        <v>0</v>
      </c>
      <c r="AH855" s="202">
        <v>0</v>
      </c>
      <c r="AI855" s="203">
        <v>0</v>
      </c>
      <c r="AJ855" s="202">
        <v>0</v>
      </c>
      <c r="AK855" s="203">
        <v>0</v>
      </c>
      <c r="AL855" s="203">
        <v>0</v>
      </c>
      <c r="AM855" s="203">
        <v>0</v>
      </c>
      <c r="AN855" s="203"/>
      <c r="AO855" s="203">
        <v>0</v>
      </c>
    </row>
    <row r="856" spans="1:41" s="176" customFormat="1" ht="36" customHeight="1" x14ac:dyDescent="0.25">
      <c r="A856" s="176">
        <v>1</v>
      </c>
      <c r="B856" s="171">
        <f>SUBTOTAL(103,$A$552:A856)</f>
        <v>298</v>
      </c>
      <c r="C856" s="172" t="s">
        <v>1936</v>
      </c>
      <c r="D856" s="173">
        <v>1990</v>
      </c>
      <c r="E856" s="173"/>
      <c r="F856" s="174" t="s">
        <v>318</v>
      </c>
      <c r="G856" s="173" t="s">
        <v>351</v>
      </c>
      <c r="H856" s="173" t="s">
        <v>370</v>
      </c>
      <c r="I856" s="177">
        <v>6660</v>
      </c>
      <c r="J856" s="177">
        <v>4728.7</v>
      </c>
      <c r="K856" s="177">
        <v>4728.7</v>
      </c>
      <c r="L856" s="206">
        <v>207</v>
      </c>
      <c r="M856" s="173" t="s">
        <v>265</v>
      </c>
      <c r="N856" s="173" t="s">
        <v>269</v>
      </c>
      <c r="O856" s="175" t="s">
        <v>702</v>
      </c>
      <c r="P856" s="170">
        <v>4892809.67</v>
      </c>
      <c r="Q856" s="170">
        <v>0</v>
      </c>
      <c r="R856" s="170">
        <v>0</v>
      </c>
      <c r="S856" s="170">
        <f t="shared" si="152"/>
        <v>4892809.67</v>
      </c>
      <c r="T856" s="170">
        <f t="shared" si="149"/>
        <v>734.65610660660661</v>
      </c>
      <c r="U856" s="170">
        <v>1599.2554224324324</v>
      </c>
      <c r="V856" s="202">
        <f>U856-T856</f>
        <v>864.59931582582578</v>
      </c>
      <c r="W856" s="202">
        <f t="shared" si="153"/>
        <v>2534.1072882882886</v>
      </c>
      <c r="X856" s="202">
        <v>0</v>
      </c>
      <c r="Y856" s="203">
        <v>0</v>
      </c>
      <c r="Z856" s="203">
        <v>0</v>
      </c>
      <c r="AA856" s="203">
        <v>0</v>
      </c>
      <c r="AB856" s="203">
        <v>0</v>
      </c>
      <c r="AC856" s="203">
        <v>0</v>
      </c>
      <c r="AD856" s="203">
        <v>0</v>
      </c>
      <c r="AE856" s="203">
        <v>0</v>
      </c>
      <c r="AF856" s="202">
        <v>0</v>
      </c>
      <c r="AG856" s="203">
        <v>0</v>
      </c>
      <c r="AH856" s="202">
        <v>0</v>
      </c>
      <c r="AI856" s="203">
        <v>782.6</v>
      </c>
      <c r="AJ856" s="202">
        <f>7439.1*AI856/I856</f>
        <v>874.15009909909907</v>
      </c>
      <c r="AK856" s="203">
        <v>144</v>
      </c>
      <c r="AL856" s="202">
        <f>76773.02*AK856/I856</f>
        <v>1659.9571891891894</v>
      </c>
      <c r="AM856" s="203">
        <v>0</v>
      </c>
      <c r="AN856" s="203"/>
      <c r="AO856" s="203">
        <v>0</v>
      </c>
    </row>
    <row r="857" spans="1:41" s="176" customFormat="1" ht="36" customHeight="1" x14ac:dyDescent="0.25">
      <c r="B857" s="172" t="s">
        <v>810</v>
      </c>
      <c r="C857" s="172"/>
      <c r="D857" s="173" t="s">
        <v>882</v>
      </c>
      <c r="E857" s="173" t="s">
        <v>882</v>
      </c>
      <c r="F857" s="173" t="s">
        <v>882</v>
      </c>
      <c r="G857" s="173" t="s">
        <v>882</v>
      </c>
      <c r="H857" s="173" t="s">
        <v>882</v>
      </c>
      <c r="I857" s="177">
        <f>SUM(I858:I861)</f>
        <v>11803.32</v>
      </c>
      <c r="J857" s="177">
        <f>SUM(J858:J861)</f>
        <v>8101.62</v>
      </c>
      <c r="K857" s="177">
        <f>SUM(K858:K861)</f>
        <v>8101.62</v>
      </c>
      <c r="L857" s="357">
        <f>SUM(L858:L861)</f>
        <v>483</v>
      </c>
      <c r="M857" s="173" t="s">
        <v>882</v>
      </c>
      <c r="N857" s="173" t="s">
        <v>882</v>
      </c>
      <c r="O857" s="175" t="s">
        <v>882</v>
      </c>
      <c r="P857" s="177">
        <v>13606335.93</v>
      </c>
      <c r="Q857" s="177">
        <f>SUM(Q858:Q861)</f>
        <v>0</v>
      </c>
      <c r="R857" s="177">
        <f>SUM(R858:R861)</f>
        <v>0</v>
      </c>
      <c r="S857" s="177">
        <f>SUM(S858:S861)</f>
        <v>13606335.93</v>
      </c>
      <c r="T857" s="170">
        <f t="shared" si="149"/>
        <v>1152.7549816492308</v>
      </c>
      <c r="U857" s="170">
        <f>MAX(U858:U861)</f>
        <v>4735.5</v>
      </c>
      <c r="V857" s="202">
        <f t="shared" si="148"/>
        <v>3582.745018350769</v>
      </c>
      <c r="W857" s="202"/>
      <c r="X857" s="202"/>
      <c r="Y857" s="203"/>
      <c r="Z857" s="203"/>
      <c r="AA857" s="203"/>
      <c r="AB857" s="203"/>
      <c r="AC857" s="203"/>
      <c r="AD857" s="203"/>
      <c r="AE857" s="203"/>
      <c r="AF857" s="203"/>
      <c r="AG857" s="203"/>
      <c r="AH857" s="203"/>
      <c r="AI857" s="203"/>
      <c r="AJ857" s="203"/>
      <c r="AK857" s="203"/>
      <c r="AL857" s="203"/>
      <c r="AM857" s="203"/>
      <c r="AN857" s="203"/>
      <c r="AO857" s="203"/>
    </row>
    <row r="858" spans="1:41" s="176" customFormat="1" ht="36" customHeight="1" x14ac:dyDescent="0.25">
      <c r="A858" s="176">
        <v>1</v>
      </c>
      <c r="B858" s="171">
        <f>SUBTOTAL(103,$A$552:A858)</f>
        <v>299</v>
      </c>
      <c r="C858" s="172" t="s">
        <v>644</v>
      </c>
      <c r="D858" s="173">
        <v>1978</v>
      </c>
      <c r="E858" s="173"/>
      <c r="F858" s="174" t="s">
        <v>267</v>
      </c>
      <c r="G858" s="173">
        <v>3</v>
      </c>
      <c r="H858" s="173" t="s">
        <v>303</v>
      </c>
      <c r="I858" s="177">
        <v>1608.4</v>
      </c>
      <c r="J858" s="177">
        <v>1122.9000000000001</v>
      </c>
      <c r="K858" s="177">
        <v>1122.9000000000001</v>
      </c>
      <c r="L858" s="206">
        <v>53</v>
      </c>
      <c r="M858" s="173" t="s">
        <v>265</v>
      </c>
      <c r="N858" s="173" t="s">
        <v>269</v>
      </c>
      <c r="O858" s="175" t="s">
        <v>982</v>
      </c>
      <c r="P858" s="170">
        <v>3550280</v>
      </c>
      <c r="Q858" s="170">
        <v>0</v>
      </c>
      <c r="R858" s="170">
        <v>0</v>
      </c>
      <c r="S858" s="170">
        <f>P858-Q858-R858</f>
        <v>3550280</v>
      </c>
      <c r="T858" s="170">
        <f t="shared" si="149"/>
        <v>2207.3364834618251</v>
      </c>
      <c r="U858" s="170">
        <v>2721.2387465804522</v>
      </c>
      <c r="V858" s="202">
        <f t="shared" si="148"/>
        <v>513.90226311862716</v>
      </c>
      <c r="W858" s="202">
        <f>X858+Y858+Z858+AA858+AB858+AD858+AF858+AH858+AJ858+AL858+AN858+AO858</f>
        <v>2637.6888833623475</v>
      </c>
      <c r="X858" s="202">
        <v>0</v>
      </c>
      <c r="Y858" s="203">
        <v>0</v>
      </c>
      <c r="Z858" s="203">
        <v>0</v>
      </c>
      <c r="AA858" s="203">
        <v>0</v>
      </c>
      <c r="AB858" s="203">
        <v>0</v>
      </c>
      <c r="AC858" s="203">
        <v>0</v>
      </c>
      <c r="AD858" s="203">
        <v>0</v>
      </c>
      <c r="AE858" s="203">
        <v>680</v>
      </c>
      <c r="AF858" s="202">
        <f>6238.91*AE858/I858</f>
        <v>2637.6888833623475</v>
      </c>
      <c r="AG858" s="203">
        <v>0</v>
      </c>
      <c r="AH858" s="202">
        <v>0</v>
      </c>
      <c r="AI858" s="203">
        <v>0</v>
      </c>
      <c r="AJ858" s="202">
        <v>0</v>
      </c>
      <c r="AK858" s="203">
        <v>0</v>
      </c>
      <c r="AL858" s="203">
        <v>0</v>
      </c>
      <c r="AM858" s="203">
        <v>0</v>
      </c>
      <c r="AN858" s="203"/>
      <c r="AO858" s="203">
        <v>0</v>
      </c>
    </row>
    <row r="859" spans="1:41" s="176" customFormat="1" ht="36" customHeight="1" x14ac:dyDescent="0.25">
      <c r="A859" s="176">
        <v>1</v>
      </c>
      <c r="B859" s="171">
        <f>SUBTOTAL(103,$A$552:A859)</f>
        <v>300</v>
      </c>
      <c r="C859" s="172" t="s">
        <v>647</v>
      </c>
      <c r="D859" s="173">
        <v>1986</v>
      </c>
      <c r="E859" s="173"/>
      <c r="F859" s="174" t="s">
        <v>267</v>
      </c>
      <c r="G859" s="173">
        <v>5</v>
      </c>
      <c r="H859" s="173" t="s">
        <v>370</v>
      </c>
      <c r="I859" s="177">
        <v>5164.1000000000004</v>
      </c>
      <c r="J859" s="177">
        <v>3835.7</v>
      </c>
      <c r="K859" s="177">
        <v>3835.7</v>
      </c>
      <c r="L859" s="206">
        <v>196</v>
      </c>
      <c r="M859" s="173" t="s">
        <v>265</v>
      </c>
      <c r="N859" s="173" t="s">
        <v>269</v>
      </c>
      <c r="O859" s="175" t="s">
        <v>706</v>
      </c>
      <c r="P859" s="170">
        <v>5495600.0099999998</v>
      </c>
      <c r="Q859" s="170">
        <v>0</v>
      </c>
      <c r="R859" s="170">
        <v>0</v>
      </c>
      <c r="S859" s="170">
        <f>P859-Q859-R859</f>
        <v>5495600.0099999998</v>
      </c>
      <c r="T859" s="170">
        <f t="shared" si="149"/>
        <v>1064.1931817741715</v>
      </c>
      <c r="U859" s="170">
        <v>1371.0390968416568</v>
      </c>
      <c r="V859" s="202">
        <f>U859-T859</f>
        <v>306.84591506748529</v>
      </c>
      <c r="W859" s="202">
        <f>X859+Y859+Z859+AA859+AB859+AD859+AF859+AH859+AJ859+AL859+AN859+AO859</f>
        <v>1328.9442497240564</v>
      </c>
      <c r="X859" s="202">
        <v>0</v>
      </c>
      <c r="Y859" s="203">
        <v>0</v>
      </c>
      <c r="Z859" s="203">
        <v>0</v>
      </c>
      <c r="AA859" s="203">
        <v>0</v>
      </c>
      <c r="AB859" s="203">
        <v>0</v>
      </c>
      <c r="AC859" s="203">
        <v>0</v>
      </c>
      <c r="AD859" s="203">
        <v>0</v>
      </c>
      <c r="AE859" s="203">
        <v>1100</v>
      </c>
      <c r="AF859" s="202">
        <f>6238.91*AE859/I859</f>
        <v>1328.9442497240564</v>
      </c>
      <c r="AG859" s="203">
        <v>0</v>
      </c>
      <c r="AH859" s="202">
        <v>0</v>
      </c>
      <c r="AI859" s="203">
        <v>0</v>
      </c>
      <c r="AJ859" s="202">
        <v>0</v>
      </c>
      <c r="AK859" s="203">
        <v>0</v>
      </c>
      <c r="AL859" s="203">
        <v>0</v>
      </c>
      <c r="AM859" s="203">
        <v>0</v>
      </c>
      <c r="AN859" s="203"/>
      <c r="AO859" s="203">
        <v>0</v>
      </c>
    </row>
    <row r="860" spans="1:41" s="176" customFormat="1" ht="36" customHeight="1" x14ac:dyDescent="0.25">
      <c r="A860" s="176">
        <v>1</v>
      </c>
      <c r="B860" s="171">
        <f>SUBTOTAL(103,$A$552:A860)</f>
        <v>301</v>
      </c>
      <c r="C860" s="172" t="s">
        <v>1895</v>
      </c>
      <c r="D860" s="173">
        <v>1965</v>
      </c>
      <c r="E860" s="173"/>
      <c r="F860" s="174" t="s">
        <v>267</v>
      </c>
      <c r="G860" s="173">
        <v>4</v>
      </c>
      <c r="H860" s="173" t="s">
        <v>312</v>
      </c>
      <c r="I860" s="177">
        <v>3674.31</v>
      </c>
      <c r="J860" s="177">
        <v>2209.41</v>
      </c>
      <c r="K860" s="177">
        <v>2209.41</v>
      </c>
      <c r="L860" s="206">
        <v>170</v>
      </c>
      <c r="M860" s="173" t="s">
        <v>265</v>
      </c>
      <c r="N860" s="173" t="s">
        <v>269</v>
      </c>
      <c r="O860" s="175" t="s">
        <v>1896</v>
      </c>
      <c r="P860" s="170">
        <v>3582812.32</v>
      </c>
      <c r="Q860" s="170">
        <v>0</v>
      </c>
      <c r="R860" s="170">
        <v>0</v>
      </c>
      <c r="S860" s="170">
        <f>P860-Q860-R860</f>
        <v>3582812.32</v>
      </c>
      <c r="T860" s="170">
        <f t="shared" si="149"/>
        <v>975.09799663065985</v>
      </c>
      <c r="U860" s="170">
        <v>4735.5</v>
      </c>
      <c r="V860" s="202">
        <f t="shared" si="148"/>
        <v>3760.40200336934</v>
      </c>
      <c r="W860" s="202">
        <f>X860+Y860+Z860+AA860+AB860+AD860+AF860+AH860+AJ860+AL860+AN860+AO860</f>
        <v>1867.7795286734108</v>
      </c>
      <c r="X860" s="202">
        <v>0</v>
      </c>
      <c r="Y860" s="203">
        <v>0</v>
      </c>
      <c r="Z860" s="203">
        <v>0</v>
      </c>
      <c r="AA860" s="203">
        <v>0</v>
      </c>
      <c r="AB860" s="203">
        <v>0</v>
      </c>
      <c r="AC860" s="203">
        <v>0</v>
      </c>
      <c r="AD860" s="203">
        <v>0</v>
      </c>
      <c r="AE860" s="203">
        <v>1100</v>
      </c>
      <c r="AF860" s="202">
        <f>6238.91*AE860/I860</f>
        <v>1867.7795286734108</v>
      </c>
      <c r="AG860" s="203">
        <v>0</v>
      </c>
      <c r="AH860" s="202">
        <v>0</v>
      </c>
      <c r="AI860" s="203">
        <v>0</v>
      </c>
      <c r="AJ860" s="202">
        <v>0</v>
      </c>
      <c r="AK860" s="203">
        <v>0</v>
      </c>
      <c r="AL860" s="203">
        <v>0</v>
      </c>
      <c r="AM860" s="203">
        <v>0</v>
      </c>
      <c r="AN860" s="203"/>
      <c r="AO860" s="203">
        <v>0</v>
      </c>
    </row>
    <row r="861" spans="1:41" s="176" customFormat="1" ht="36" customHeight="1" x14ac:dyDescent="0.25">
      <c r="A861" s="176">
        <v>1</v>
      </c>
      <c r="B861" s="171">
        <f>SUBTOTAL(103,$A$552:A861)</f>
        <v>302</v>
      </c>
      <c r="C861" s="172" t="s">
        <v>1924</v>
      </c>
      <c r="D861" s="173">
        <v>1962</v>
      </c>
      <c r="E861" s="173"/>
      <c r="F861" s="174" t="s">
        <v>1562</v>
      </c>
      <c r="G861" s="173" t="s">
        <v>312</v>
      </c>
      <c r="H861" s="173" t="s">
        <v>303</v>
      </c>
      <c r="I861" s="177">
        <v>1356.51</v>
      </c>
      <c r="J861" s="177">
        <v>933.61</v>
      </c>
      <c r="K861" s="177">
        <v>933.61</v>
      </c>
      <c r="L861" s="206">
        <v>64</v>
      </c>
      <c r="M861" s="173" t="s">
        <v>265</v>
      </c>
      <c r="N861" s="173" t="s">
        <v>269</v>
      </c>
      <c r="O861" s="175" t="s">
        <v>1307</v>
      </c>
      <c r="P861" s="170">
        <v>977643.6</v>
      </c>
      <c r="Q861" s="170">
        <v>0</v>
      </c>
      <c r="R861" s="170">
        <v>0</v>
      </c>
      <c r="S861" s="170">
        <f>P861-Q861-R861</f>
        <v>977643.6</v>
      </c>
      <c r="T861" s="170">
        <f t="shared" si="149"/>
        <v>720.70504456288563</v>
      </c>
      <c r="U861" s="170">
        <v>810.46</v>
      </c>
      <c r="V861" s="202">
        <f t="shared" si="148"/>
        <v>89.754955437114404</v>
      </c>
      <c r="W861" s="202">
        <f>X861+Y861+Z861+AA861+AB861+AD861+AF861+AH861+AJ861+AL861+AN861+AO861</f>
        <v>4341.5</v>
      </c>
      <c r="X861" s="202">
        <v>101.55</v>
      </c>
      <c r="Y861" s="203">
        <v>0</v>
      </c>
      <c r="Z861" s="203">
        <v>3259.66</v>
      </c>
      <c r="AA861" s="203">
        <v>184.98</v>
      </c>
      <c r="AB861" s="203">
        <v>795.31</v>
      </c>
      <c r="AC861" s="203">
        <v>0</v>
      </c>
      <c r="AD861" s="203">
        <v>0</v>
      </c>
      <c r="AE861" s="203">
        <v>0</v>
      </c>
      <c r="AF861" s="202">
        <v>0</v>
      </c>
      <c r="AG861" s="203">
        <v>0</v>
      </c>
      <c r="AH861" s="202">
        <v>0</v>
      </c>
      <c r="AI861" s="203">
        <v>0</v>
      </c>
      <c r="AJ861" s="202">
        <v>0</v>
      </c>
      <c r="AK861" s="203">
        <v>0</v>
      </c>
      <c r="AL861" s="203">
        <v>0</v>
      </c>
      <c r="AM861" s="203">
        <v>0</v>
      </c>
      <c r="AN861" s="203"/>
      <c r="AO861" s="203">
        <v>0</v>
      </c>
    </row>
    <row r="862" spans="1:41" s="176" customFormat="1" ht="36" customHeight="1" x14ac:dyDescent="0.25">
      <c r="B862" s="172" t="s">
        <v>811</v>
      </c>
      <c r="C862" s="359"/>
      <c r="D862" s="173" t="s">
        <v>882</v>
      </c>
      <c r="E862" s="173" t="s">
        <v>882</v>
      </c>
      <c r="F862" s="173" t="s">
        <v>882</v>
      </c>
      <c r="G862" s="173" t="s">
        <v>882</v>
      </c>
      <c r="H862" s="173" t="s">
        <v>882</v>
      </c>
      <c r="I862" s="177">
        <f>SUM(I863:I863)</f>
        <v>2782.7</v>
      </c>
      <c r="J862" s="177">
        <f>SUM(J863:J863)</f>
        <v>2782.7</v>
      </c>
      <c r="K862" s="177">
        <f>SUM(K863:K863)</f>
        <v>2782.7</v>
      </c>
      <c r="L862" s="357">
        <f>SUM(L863:L863)</f>
        <v>103</v>
      </c>
      <c r="M862" s="173" t="s">
        <v>882</v>
      </c>
      <c r="N862" s="173" t="s">
        <v>882</v>
      </c>
      <c r="O862" s="175" t="s">
        <v>882</v>
      </c>
      <c r="P862" s="177">
        <v>2579501.7000000002</v>
      </c>
      <c r="Q862" s="177">
        <f>SUM(Q863:Q863)</f>
        <v>0</v>
      </c>
      <c r="R862" s="177">
        <f>SUM(R863:R863)</f>
        <v>0</v>
      </c>
      <c r="S862" s="177">
        <f>SUM(S863:S863)</f>
        <v>2579501.7000000002</v>
      </c>
      <c r="T862" s="170">
        <f t="shared" si="149"/>
        <v>926.97800697164632</v>
      </c>
      <c r="U862" s="170">
        <f>MAX(U863:U863)</f>
        <v>2405.5741545980527</v>
      </c>
      <c r="V862" s="202">
        <f t="shared" si="148"/>
        <v>1478.5961476264065</v>
      </c>
      <c r="W862" s="202"/>
      <c r="X862" s="202"/>
      <c r="Y862" s="203"/>
      <c r="Z862" s="203"/>
      <c r="AA862" s="203"/>
      <c r="AB862" s="203"/>
      <c r="AC862" s="203"/>
      <c r="AD862" s="203"/>
      <c r="AE862" s="203"/>
      <c r="AF862" s="203"/>
      <c r="AG862" s="203"/>
      <c r="AH862" s="203"/>
      <c r="AI862" s="203"/>
      <c r="AJ862" s="203"/>
      <c r="AK862" s="203"/>
      <c r="AL862" s="203"/>
      <c r="AM862" s="203"/>
      <c r="AN862" s="203"/>
      <c r="AO862" s="203"/>
    </row>
    <row r="863" spans="1:41" s="176" customFormat="1" ht="36" customHeight="1" x14ac:dyDescent="0.25">
      <c r="A863" s="176">
        <v>1</v>
      </c>
      <c r="B863" s="171">
        <f>SUBTOTAL(103,$A$552:A863)</f>
        <v>303</v>
      </c>
      <c r="C863" s="172" t="s">
        <v>751</v>
      </c>
      <c r="D863" s="173">
        <v>1985</v>
      </c>
      <c r="E863" s="173"/>
      <c r="F863" s="174" t="s">
        <v>267</v>
      </c>
      <c r="G863" s="173">
        <v>5</v>
      </c>
      <c r="H863" s="173" t="s">
        <v>308</v>
      </c>
      <c r="I863" s="177">
        <v>2782.7</v>
      </c>
      <c r="J863" s="177">
        <v>2782.7</v>
      </c>
      <c r="K863" s="177">
        <v>2782.7</v>
      </c>
      <c r="L863" s="206">
        <v>103</v>
      </c>
      <c r="M863" s="173" t="s">
        <v>265</v>
      </c>
      <c r="N863" s="173" t="s">
        <v>341</v>
      </c>
      <c r="O863" s="175" t="s">
        <v>711</v>
      </c>
      <c r="P863" s="170">
        <v>2579501.7000000002</v>
      </c>
      <c r="Q863" s="170">
        <v>0</v>
      </c>
      <c r="R863" s="170">
        <v>0</v>
      </c>
      <c r="S863" s="170">
        <f>P863-Q863-R863</f>
        <v>2579501.7000000002</v>
      </c>
      <c r="T863" s="170">
        <f t="shared" si="149"/>
        <v>926.97800697164632</v>
      </c>
      <c r="U863" s="170">
        <v>2405.5741545980527</v>
      </c>
      <c r="V863" s="202">
        <f>U863-T863</f>
        <v>1478.5961476264065</v>
      </c>
      <c r="W863" s="202">
        <f>X863+Y863+Z863+AA863+AB863+AD863+AF863+AH863+AJ863+AL863+AN863+AO863</f>
        <v>2331.7161030653683</v>
      </c>
      <c r="X863" s="202">
        <v>0</v>
      </c>
      <c r="Y863" s="203">
        <v>0</v>
      </c>
      <c r="Z863" s="203">
        <v>0</v>
      </c>
      <c r="AA863" s="203">
        <v>0</v>
      </c>
      <c r="AB863" s="203">
        <v>0</v>
      </c>
      <c r="AC863" s="203">
        <v>0</v>
      </c>
      <c r="AD863" s="203">
        <v>0</v>
      </c>
      <c r="AE863" s="203">
        <v>1040</v>
      </c>
      <c r="AF863" s="202">
        <f>6238.91*AE863/I863</f>
        <v>2331.7161030653683</v>
      </c>
      <c r="AG863" s="203">
        <v>0</v>
      </c>
      <c r="AH863" s="202">
        <v>0</v>
      </c>
      <c r="AI863" s="203">
        <v>0</v>
      </c>
      <c r="AJ863" s="202">
        <v>0</v>
      </c>
      <c r="AK863" s="203">
        <v>0</v>
      </c>
      <c r="AL863" s="203">
        <v>0</v>
      </c>
      <c r="AM863" s="203">
        <v>0</v>
      </c>
      <c r="AN863" s="203"/>
      <c r="AO863" s="203">
        <v>0</v>
      </c>
    </row>
    <row r="864" spans="1:41" s="176" customFormat="1" ht="36" customHeight="1" x14ac:dyDescent="0.25">
      <c r="B864" s="172" t="s">
        <v>813</v>
      </c>
      <c r="C864" s="172"/>
      <c r="D864" s="173" t="s">
        <v>882</v>
      </c>
      <c r="E864" s="173" t="s">
        <v>882</v>
      </c>
      <c r="F864" s="173" t="s">
        <v>882</v>
      </c>
      <c r="G864" s="173" t="s">
        <v>882</v>
      </c>
      <c r="H864" s="173" t="s">
        <v>882</v>
      </c>
      <c r="I864" s="177">
        <f>SUM(I865:I866)</f>
        <v>1151.5</v>
      </c>
      <c r="J864" s="177">
        <f>SUM(J865:J866)</f>
        <v>984.9</v>
      </c>
      <c r="K864" s="177">
        <f>SUM(K865:K866)</f>
        <v>984.9</v>
      </c>
      <c r="L864" s="357">
        <f>SUM(L865:L866)</f>
        <v>39</v>
      </c>
      <c r="M864" s="173" t="s">
        <v>882</v>
      </c>
      <c r="N864" s="173" t="s">
        <v>882</v>
      </c>
      <c r="O864" s="175" t="s">
        <v>882</v>
      </c>
      <c r="P864" s="177">
        <v>3008567.43</v>
      </c>
      <c r="Q864" s="177">
        <f>SUM(Q865:Q866)</f>
        <v>0</v>
      </c>
      <c r="R864" s="177">
        <f>SUM(R865:R866)</f>
        <v>0</v>
      </c>
      <c r="S864" s="177">
        <f>SUM(S865:S866)</f>
        <v>3008567.43</v>
      </c>
      <c r="T864" s="170">
        <f t="shared" si="149"/>
        <v>2612.7376726009556</v>
      </c>
      <c r="U864" s="170">
        <f>MAX(U865:U866)</f>
        <v>4887.7376043258491</v>
      </c>
      <c r="V864" s="202">
        <f t="shared" si="148"/>
        <v>2274.9999317248935</v>
      </c>
      <c r="W864" s="202"/>
      <c r="X864" s="202"/>
      <c r="Y864" s="203"/>
      <c r="Z864" s="203"/>
      <c r="AA864" s="203"/>
      <c r="AB864" s="203"/>
      <c r="AC864" s="203"/>
      <c r="AD864" s="203"/>
      <c r="AE864" s="203"/>
      <c r="AF864" s="203"/>
      <c r="AG864" s="203"/>
      <c r="AH864" s="203"/>
      <c r="AI864" s="203"/>
      <c r="AJ864" s="203"/>
      <c r="AK864" s="203"/>
      <c r="AL864" s="203"/>
      <c r="AM864" s="203"/>
      <c r="AN864" s="203"/>
      <c r="AO864" s="203"/>
    </row>
    <row r="865" spans="1:191" s="176" customFormat="1" ht="36" customHeight="1" x14ac:dyDescent="0.25">
      <c r="A865" s="176">
        <v>1</v>
      </c>
      <c r="B865" s="171">
        <f>SUBTOTAL(103,$A$552:A865)</f>
        <v>304</v>
      </c>
      <c r="C865" s="172" t="s">
        <v>678</v>
      </c>
      <c r="D865" s="173">
        <v>1975</v>
      </c>
      <c r="E865" s="173"/>
      <c r="F865" s="174" t="s">
        <v>267</v>
      </c>
      <c r="G865" s="173">
        <v>2</v>
      </c>
      <c r="H865" s="173" t="s">
        <v>303</v>
      </c>
      <c r="I865" s="177">
        <v>850.7</v>
      </c>
      <c r="J865" s="177">
        <v>705.9</v>
      </c>
      <c r="K865" s="177">
        <v>705.9</v>
      </c>
      <c r="L865" s="206">
        <v>22</v>
      </c>
      <c r="M865" s="173" t="s">
        <v>265</v>
      </c>
      <c r="N865" s="173" t="s">
        <v>266</v>
      </c>
      <c r="O865" s="175" t="s">
        <v>268</v>
      </c>
      <c r="P865" s="170">
        <v>2605803.7400000002</v>
      </c>
      <c r="Q865" s="170">
        <v>0</v>
      </c>
      <c r="R865" s="170">
        <v>0</v>
      </c>
      <c r="S865" s="170">
        <f>P865-Q865-R865</f>
        <v>2605803.7400000002</v>
      </c>
      <c r="T865" s="170">
        <f t="shared" si="149"/>
        <v>3063.1288820970967</v>
      </c>
      <c r="U865" s="170">
        <v>4887.7376043258491</v>
      </c>
      <c r="V865" s="202">
        <f t="shared" si="148"/>
        <v>1824.6087222287524</v>
      </c>
      <c r="W865" s="202">
        <f>X865+Y865+Z865+AA865+AB865+AD865+AF865+AH865+AJ865+AL865+AN865+AO865</f>
        <v>4737.6699894204767</v>
      </c>
      <c r="X865" s="202">
        <v>0</v>
      </c>
      <c r="Y865" s="203">
        <v>0</v>
      </c>
      <c r="Z865" s="203">
        <v>0</v>
      </c>
      <c r="AA865" s="203">
        <v>0</v>
      </c>
      <c r="AB865" s="203">
        <v>0</v>
      </c>
      <c r="AC865" s="203">
        <v>0</v>
      </c>
      <c r="AD865" s="203">
        <v>0</v>
      </c>
      <c r="AE865" s="203">
        <v>646</v>
      </c>
      <c r="AF865" s="202">
        <f>6238.91*AE865/I865</f>
        <v>4737.6699894204767</v>
      </c>
      <c r="AG865" s="203">
        <v>0</v>
      </c>
      <c r="AH865" s="202">
        <v>0</v>
      </c>
      <c r="AI865" s="203">
        <v>0</v>
      </c>
      <c r="AJ865" s="202">
        <v>0</v>
      </c>
      <c r="AK865" s="203">
        <v>0</v>
      </c>
      <c r="AL865" s="203">
        <v>0</v>
      </c>
      <c r="AM865" s="203">
        <v>0</v>
      </c>
      <c r="AN865" s="203"/>
      <c r="AO865" s="203">
        <v>0</v>
      </c>
    </row>
    <row r="866" spans="1:191" s="176" customFormat="1" ht="36" customHeight="1" x14ac:dyDescent="0.25">
      <c r="A866" s="176">
        <v>1</v>
      </c>
      <c r="B866" s="171">
        <f>SUBTOTAL(103,$A$552:A866)</f>
        <v>305</v>
      </c>
      <c r="C866" s="172" t="s">
        <v>670</v>
      </c>
      <c r="D866" s="173">
        <v>1961</v>
      </c>
      <c r="E866" s="173"/>
      <c r="F866" s="174" t="s">
        <v>267</v>
      </c>
      <c r="G866" s="173">
        <v>2</v>
      </c>
      <c r="H866" s="173" t="s">
        <v>304</v>
      </c>
      <c r="I866" s="177">
        <v>300.8</v>
      </c>
      <c r="J866" s="177">
        <v>279</v>
      </c>
      <c r="K866" s="177">
        <v>279</v>
      </c>
      <c r="L866" s="206">
        <v>17</v>
      </c>
      <c r="M866" s="173" t="s">
        <v>265</v>
      </c>
      <c r="N866" s="173" t="s">
        <v>266</v>
      </c>
      <c r="O866" s="175" t="s">
        <v>268</v>
      </c>
      <c r="P866" s="170">
        <v>402763.69</v>
      </c>
      <c r="Q866" s="170">
        <v>0</v>
      </c>
      <c r="R866" s="170">
        <v>0</v>
      </c>
      <c r="S866" s="170">
        <f>P866-Q866-R866</f>
        <v>402763.69</v>
      </c>
      <c r="T866" s="170">
        <f t="shared" si="149"/>
        <v>1338.9750332446808</v>
      </c>
      <c r="U866" s="170">
        <v>1338.9750332446808</v>
      </c>
      <c r="V866" s="202">
        <f>U866-T866</f>
        <v>0</v>
      </c>
      <c r="W866" s="202">
        <f>T866</f>
        <v>1338.9750332446808</v>
      </c>
      <c r="X866" s="202">
        <v>0</v>
      </c>
      <c r="Y866" s="203">
        <v>0</v>
      </c>
      <c r="Z866" s="203">
        <v>0</v>
      </c>
      <c r="AA866" s="203">
        <v>0</v>
      </c>
      <c r="AB866" s="203">
        <v>810.46</v>
      </c>
      <c r="AC866" s="203">
        <v>0</v>
      </c>
      <c r="AD866" s="203">
        <v>0</v>
      </c>
      <c r="AE866" s="203">
        <v>0</v>
      </c>
      <c r="AF866" s="202">
        <v>0</v>
      </c>
      <c r="AG866" s="203">
        <v>0</v>
      </c>
      <c r="AH866" s="202">
        <v>0</v>
      </c>
      <c r="AI866" s="203">
        <v>0</v>
      </c>
      <c r="AJ866" s="202">
        <v>0</v>
      </c>
      <c r="AK866" s="203">
        <v>0</v>
      </c>
      <c r="AL866" s="203">
        <v>0</v>
      </c>
      <c r="AM866" s="203">
        <v>0</v>
      </c>
      <c r="AN866" s="203"/>
      <c r="AO866" s="203">
        <v>0</v>
      </c>
    </row>
    <row r="867" spans="1:191" s="176" customFormat="1" ht="36" customHeight="1" x14ac:dyDescent="0.25">
      <c r="B867" s="172" t="s">
        <v>858</v>
      </c>
      <c r="C867" s="172"/>
      <c r="D867" s="173" t="s">
        <v>882</v>
      </c>
      <c r="E867" s="173" t="s">
        <v>882</v>
      </c>
      <c r="F867" s="173" t="s">
        <v>882</v>
      </c>
      <c r="G867" s="173" t="s">
        <v>882</v>
      </c>
      <c r="H867" s="173" t="s">
        <v>882</v>
      </c>
      <c r="I867" s="177">
        <f>I868</f>
        <v>618.29999999999995</v>
      </c>
      <c r="J867" s="177">
        <f>J868</f>
        <v>561.1</v>
      </c>
      <c r="K867" s="177">
        <f>K868</f>
        <v>561.1</v>
      </c>
      <c r="L867" s="357">
        <f>L868</f>
        <v>24</v>
      </c>
      <c r="M867" s="173" t="s">
        <v>882</v>
      </c>
      <c r="N867" s="173" t="s">
        <v>882</v>
      </c>
      <c r="O867" s="175" t="s">
        <v>882</v>
      </c>
      <c r="P867" s="177">
        <v>3080948</v>
      </c>
      <c r="Q867" s="177">
        <f>Q868</f>
        <v>0</v>
      </c>
      <c r="R867" s="177">
        <f>R868</f>
        <v>0</v>
      </c>
      <c r="S867" s="177">
        <f>S868</f>
        <v>3080948</v>
      </c>
      <c r="T867" s="170">
        <f t="shared" si="149"/>
        <v>4982.9338508814499</v>
      </c>
      <c r="U867" s="170">
        <f>U868</f>
        <v>5413.2227074235816</v>
      </c>
      <c r="V867" s="202">
        <f t="shared" si="148"/>
        <v>430.28885654213173</v>
      </c>
      <c r="W867" s="202"/>
      <c r="X867" s="202"/>
      <c r="Y867" s="203"/>
      <c r="Z867" s="203"/>
      <c r="AA867" s="203"/>
      <c r="AB867" s="203"/>
      <c r="AC867" s="203"/>
      <c r="AD867" s="203"/>
      <c r="AE867" s="203"/>
      <c r="AF867" s="203"/>
      <c r="AG867" s="203"/>
      <c r="AH867" s="203"/>
      <c r="AI867" s="203"/>
      <c r="AJ867" s="203"/>
      <c r="AK867" s="203"/>
      <c r="AL867" s="203"/>
      <c r="AM867" s="203"/>
      <c r="AN867" s="203"/>
      <c r="AO867" s="203"/>
    </row>
    <row r="868" spans="1:191" s="176" customFormat="1" ht="36" customHeight="1" x14ac:dyDescent="0.25">
      <c r="A868" s="176">
        <v>1</v>
      </c>
      <c r="B868" s="171">
        <f>SUBTOTAL(103,$A$552:A868)</f>
        <v>306</v>
      </c>
      <c r="C868" s="172" t="s">
        <v>664</v>
      </c>
      <c r="D868" s="173">
        <v>1984</v>
      </c>
      <c r="E868" s="173"/>
      <c r="F868" s="174" t="s">
        <v>318</v>
      </c>
      <c r="G868" s="173">
        <v>2</v>
      </c>
      <c r="H868" s="173" t="s">
        <v>303</v>
      </c>
      <c r="I868" s="177">
        <v>618.29999999999995</v>
      </c>
      <c r="J868" s="177">
        <v>561.1</v>
      </c>
      <c r="K868" s="177">
        <v>561.1</v>
      </c>
      <c r="L868" s="206">
        <v>24</v>
      </c>
      <c r="M868" s="173" t="s">
        <v>265</v>
      </c>
      <c r="N868" s="173" t="s">
        <v>266</v>
      </c>
      <c r="O868" s="175" t="s">
        <v>268</v>
      </c>
      <c r="P868" s="170">
        <v>3080948</v>
      </c>
      <c r="Q868" s="170">
        <v>0</v>
      </c>
      <c r="R868" s="170">
        <v>0</v>
      </c>
      <c r="S868" s="170">
        <f>P868-Q868-R868</f>
        <v>3080948</v>
      </c>
      <c r="T868" s="170">
        <f t="shared" si="149"/>
        <v>4982.9338508814499</v>
      </c>
      <c r="U868" s="170">
        <v>5413.2227074235816</v>
      </c>
      <c r="V868" s="202">
        <f>U868-T868</f>
        <v>430.28885654213173</v>
      </c>
      <c r="W868" s="202">
        <f>X868+Y868+Z868+AA868+AB868+AD868+AF868+AH868+AJ868+AL868+AN868+AO868</f>
        <v>5247.0211871259908</v>
      </c>
      <c r="X868" s="202">
        <v>0</v>
      </c>
      <c r="Y868" s="203">
        <v>0</v>
      </c>
      <c r="Z868" s="203">
        <v>0</v>
      </c>
      <c r="AA868" s="203">
        <v>0</v>
      </c>
      <c r="AB868" s="203">
        <v>0</v>
      </c>
      <c r="AC868" s="203">
        <v>0</v>
      </c>
      <c r="AD868" s="203">
        <v>0</v>
      </c>
      <c r="AE868" s="203">
        <v>520</v>
      </c>
      <c r="AF868" s="202">
        <f>6238.91*AE868/I868</f>
        <v>5247.0211871259908</v>
      </c>
      <c r="AG868" s="203">
        <v>0</v>
      </c>
      <c r="AH868" s="202">
        <v>0</v>
      </c>
      <c r="AI868" s="203">
        <v>0</v>
      </c>
      <c r="AJ868" s="202">
        <v>0</v>
      </c>
      <c r="AK868" s="203">
        <v>0</v>
      </c>
      <c r="AL868" s="203">
        <v>0</v>
      </c>
      <c r="AM868" s="203">
        <v>0</v>
      </c>
      <c r="AN868" s="203"/>
      <c r="AO868" s="203">
        <v>0</v>
      </c>
    </row>
    <row r="869" spans="1:191" s="176" customFormat="1" ht="36" customHeight="1" x14ac:dyDescent="0.25">
      <c r="B869" s="172" t="s">
        <v>814</v>
      </c>
      <c r="C869" s="172"/>
      <c r="D869" s="173" t="s">
        <v>882</v>
      </c>
      <c r="E869" s="173" t="s">
        <v>882</v>
      </c>
      <c r="F869" s="173" t="s">
        <v>882</v>
      </c>
      <c r="G869" s="173" t="s">
        <v>882</v>
      </c>
      <c r="H869" s="173" t="s">
        <v>882</v>
      </c>
      <c r="I869" s="177">
        <f>I870</f>
        <v>4097</v>
      </c>
      <c r="J869" s="177">
        <f>J870</f>
        <v>3097</v>
      </c>
      <c r="K869" s="177">
        <f>K870</f>
        <v>3097</v>
      </c>
      <c r="L869" s="357">
        <f>L870</f>
        <v>158</v>
      </c>
      <c r="M869" s="173" t="s">
        <v>882</v>
      </c>
      <c r="N869" s="173" t="s">
        <v>882</v>
      </c>
      <c r="O869" s="175" t="s">
        <v>882</v>
      </c>
      <c r="P869" s="177">
        <v>2008998.15</v>
      </c>
      <c r="Q869" s="177">
        <f>Q870</f>
        <v>0</v>
      </c>
      <c r="R869" s="177">
        <f>R870</f>
        <v>0</v>
      </c>
      <c r="S869" s="177">
        <f>S870</f>
        <v>2008998.15</v>
      </c>
      <c r="T869" s="170">
        <f t="shared" si="149"/>
        <v>490.35834757139367</v>
      </c>
      <c r="U869" s="170">
        <f>U870</f>
        <v>1275.6803417134488</v>
      </c>
      <c r="V869" s="202">
        <f t="shared" si="148"/>
        <v>785.32199414205513</v>
      </c>
      <c r="W869" s="202"/>
      <c r="X869" s="202"/>
      <c r="Y869" s="203"/>
      <c r="Z869" s="203"/>
      <c r="AA869" s="203"/>
      <c r="AB869" s="203"/>
      <c r="AC869" s="203"/>
      <c r="AD869" s="203"/>
      <c r="AE869" s="203"/>
      <c r="AF869" s="203"/>
      <c r="AG869" s="203"/>
      <c r="AH869" s="203"/>
      <c r="AI869" s="203"/>
      <c r="AJ869" s="203"/>
      <c r="AK869" s="203"/>
      <c r="AL869" s="203"/>
      <c r="AM869" s="203"/>
      <c r="AN869" s="203"/>
      <c r="AO869" s="203"/>
    </row>
    <row r="870" spans="1:191" s="144" customFormat="1" ht="36" customHeight="1" x14ac:dyDescent="0.25">
      <c r="A870" s="176">
        <v>1</v>
      </c>
      <c r="B870" s="171">
        <f>SUBTOTAL(103,$A$552:A870)</f>
        <v>307</v>
      </c>
      <c r="C870" s="184" t="s">
        <v>671</v>
      </c>
      <c r="D870" s="173">
        <v>1979</v>
      </c>
      <c r="E870" s="173"/>
      <c r="F870" s="185" t="s">
        <v>715</v>
      </c>
      <c r="G870" s="173">
        <v>5</v>
      </c>
      <c r="H870" s="173" t="s">
        <v>308</v>
      </c>
      <c r="I870" s="177">
        <v>4097</v>
      </c>
      <c r="J870" s="177">
        <v>3097</v>
      </c>
      <c r="K870" s="177">
        <v>3097</v>
      </c>
      <c r="L870" s="208">
        <v>158</v>
      </c>
      <c r="M870" s="173" t="s">
        <v>265</v>
      </c>
      <c r="N870" s="173" t="s">
        <v>269</v>
      </c>
      <c r="O870" s="173" t="s">
        <v>712</v>
      </c>
      <c r="P870" s="177">
        <v>2008998.15</v>
      </c>
      <c r="Q870" s="177">
        <v>0</v>
      </c>
      <c r="R870" s="177">
        <v>0</v>
      </c>
      <c r="S870" s="177">
        <f>P870-Q870-R870</f>
        <v>2008998.15</v>
      </c>
      <c r="T870" s="170">
        <f t="shared" si="149"/>
        <v>490.35834757139367</v>
      </c>
      <c r="U870" s="170">
        <v>1275.6803417134488</v>
      </c>
      <c r="V870" s="202">
        <f>U870-T870</f>
        <v>785.32199414205513</v>
      </c>
      <c r="W870" s="202">
        <f>X870+Y870+Z870+AA870+AB870+AD870+AF870+AH870+AJ870+AL870+AN870+AO870</f>
        <v>1236.5132828899195</v>
      </c>
      <c r="X870" s="202">
        <v>0</v>
      </c>
      <c r="Y870" s="203">
        <v>0</v>
      </c>
      <c r="Z870" s="203">
        <v>0</v>
      </c>
      <c r="AA870" s="203">
        <v>0</v>
      </c>
      <c r="AB870" s="203">
        <v>0</v>
      </c>
      <c r="AC870" s="203">
        <v>0</v>
      </c>
      <c r="AD870" s="203">
        <v>0</v>
      </c>
      <c r="AE870" s="203">
        <v>812</v>
      </c>
      <c r="AF870" s="202">
        <f>6238.91*AE870/I870</f>
        <v>1236.5132828899195</v>
      </c>
      <c r="AG870" s="203">
        <v>0</v>
      </c>
      <c r="AH870" s="202">
        <v>0</v>
      </c>
      <c r="AI870" s="203">
        <v>0</v>
      </c>
      <c r="AJ870" s="202">
        <v>0</v>
      </c>
      <c r="AK870" s="203">
        <v>0</v>
      </c>
      <c r="AL870" s="203">
        <v>0</v>
      </c>
      <c r="AM870" s="203">
        <v>0</v>
      </c>
      <c r="AN870" s="203"/>
      <c r="AO870" s="203">
        <v>0</v>
      </c>
      <c r="AP870" s="176"/>
      <c r="DQ870" s="186"/>
      <c r="DR870" s="186"/>
      <c r="DS870" s="186"/>
      <c r="EP870" s="187"/>
      <c r="FS870" s="188"/>
      <c r="GI870" s="189"/>
    </row>
    <row r="871" spans="1:191" s="176" customFormat="1" ht="36" customHeight="1" x14ac:dyDescent="0.25">
      <c r="B871" s="172" t="s">
        <v>815</v>
      </c>
      <c r="C871" s="172"/>
      <c r="D871" s="173" t="s">
        <v>882</v>
      </c>
      <c r="E871" s="173" t="s">
        <v>882</v>
      </c>
      <c r="F871" s="173" t="s">
        <v>882</v>
      </c>
      <c r="G871" s="173" t="s">
        <v>882</v>
      </c>
      <c r="H871" s="173" t="s">
        <v>882</v>
      </c>
      <c r="I871" s="177">
        <f>SUM(I872:I887)</f>
        <v>25999.699999999997</v>
      </c>
      <c r="J871" s="177">
        <f>SUM(J872:J887)</f>
        <v>24044.699999999993</v>
      </c>
      <c r="K871" s="177">
        <f>SUM(K872:K887)</f>
        <v>23704.6</v>
      </c>
      <c r="L871" s="357">
        <f>SUM(L872:L887)</f>
        <v>1189</v>
      </c>
      <c r="M871" s="173" t="s">
        <v>882</v>
      </c>
      <c r="N871" s="173" t="s">
        <v>882</v>
      </c>
      <c r="O871" s="175" t="s">
        <v>882</v>
      </c>
      <c r="P871" s="177">
        <v>57491241.360000007</v>
      </c>
      <c r="Q871" s="177">
        <f>SUM(Q872:Q887)</f>
        <v>0</v>
      </c>
      <c r="R871" s="177">
        <f>SUM(R872:R887)</f>
        <v>0</v>
      </c>
      <c r="S871" s="177">
        <f>SUM(S872:S887)</f>
        <v>57491241.360000007</v>
      </c>
      <c r="T871" s="170">
        <f t="shared" si="149"/>
        <v>2211.2271049281344</v>
      </c>
      <c r="U871" s="170">
        <f>MAX(U872:U887)</f>
        <v>18806.533031088082</v>
      </c>
      <c r="V871" s="202">
        <f t="shared" si="148"/>
        <v>16595.305926159948</v>
      </c>
      <c r="W871" s="202"/>
      <c r="X871" s="202"/>
      <c r="Y871" s="203"/>
      <c r="Z871" s="203"/>
      <c r="AA871" s="203"/>
      <c r="AB871" s="203"/>
      <c r="AC871" s="203"/>
      <c r="AD871" s="203"/>
      <c r="AE871" s="203"/>
      <c r="AF871" s="203"/>
      <c r="AG871" s="203"/>
      <c r="AH871" s="203"/>
      <c r="AI871" s="203"/>
      <c r="AJ871" s="203"/>
      <c r="AK871" s="203"/>
      <c r="AL871" s="203"/>
      <c r="AM871" s="203"/>
      <c r="AN871" s="203"/>
      <c r="AO871" s="203"/>
    </row>
    <row r="872" spans="1:191" s="176" customFormat="1" ht="36" customHeight="1" x14ac:dyDescent="0.25">
      <c r="A872" s="176">
        <v>1</v>
      </c>
      <c r="B872" s="171">
        <f>SUBTOTAL(103,$A$552:A872)</f>
        <v>308</v>
      </c>
      <c r="C872" s="172" t="s">
        <v>661</v>
      </c>
      <c r="D872" s="173">
        <v>1993</v>
      </c>
      <c r="E872" s="173"/>
      <c r="F872" s="174" t="s">
        <v>311</v>
      </c>
      <c r="G872" s="173">
        <v>5</v>
      </c>
      <c r="H872" s="173" t="s">
        <v>312</v>
      </c>
      <c r="I872" s="177">
        <v>3247.3</v>
      </c>
      <c r="J872" s="177">
        <v>3247.3</v>
      </c>
      <c r="K872" s="177">
        <v>3247.3</v>
      </c>
      <c r="L872" s="206">
        <v>133</v>
      </c>
      <c r="M872" s="173" t="s">
        <v>265</v>
      </c>
      <c r="N872" s="173" t="s">
        <v>341</v>
      </c>
      <c r="O872" s="175" t="s">
        <v>713</v>
      </c>
      <c r="P872" s="170">
        <v>2492137.06</v>
      </c>
      <c r="Q872" s="170">
        <v>0</v>
      </c>
      <c r="R872" s="170">
        <v>0</v>
      </c>
      <c r="S872" s="170">
        <f t="shared" ref="S872:S887" si="154">P872-Q872-R872</f>
        <v>2492137.06</v>
      </c>
      <c r="T872" s="170">
        <f t="shared" si="149"/>
        <v>767.44897607242933</v>
      </c>
      <c r="U872" s="170">
        <v>6652.1497197671906</v>
      </c>
      <c r="V872" s="202">
        <f t="shared" si="148"/>
        <v>5884.7007436947615</v>
      </c>
      <c r="W872" s="202">
        <f t="shared" ref="W872:W887" si="155">X872+Y872+Z872+AA872+AB872+AD872+AF872+AH872+AJ872+AL872+AN872+AO872</f>
        <v>6652.1497197671906</v>
      </c>
      <c r="X872" s="202">
        <v>0</v>
      </c>
      <c r="Y872" s="203">
        <v>0</v>
      </c>
      <c r="Z872" s="203">
        <v>0</v>
      </c>
      <c r="AA872" s="203">
        <v>0</v>
      </c>
      <c r="AB872" s="203">
        <v>0</v>
      </c>
      <c r="AC872" s="203">
        <v>0</v>
      </c>
      <c r="AD872" s="203">
        <v>0</v>
      </c>
      <c r="AE872" s="203">
        <v>0</v>
      </c>
      <c r="AF872" s="202">
        <v>0</v>
      </c>
      <c r="AG872" s="203">
        <v>0</v>
      </c>
      <c r="AH872" s="202">
        <v>0</v>
      </c>
      <c r="AI872" s="203">
        <v>2768.5</v>
      </c>
      <c r="AJ872" s="202">
        <f>7802.61*AI872/I872</f>
        <v>6652.1497197671906</v>
      </c>
      <c r="AK872" s="203">
        <v>0</v>
      </c>
      <c r="AL872" s="203">
        <v>0</v>
      </c>
      <c r="AM872" s="203">
        <v>0</v>
      </c>
      <c r="AN872" s="203"/>
      <c r="AO872" s="203">
        <v>0</v>
      </c>
    </row>
    <row r="873" spans="1:191" s="176" customFormat="1" ht="36" customHeight="1" x14ac:dyDescent="0.25">
      <c r="A873" s="176">
        <v>1</v>
      </c>
      <c r="B873" s="171">
        <f>SUBTOTAL(103,$A$552:A873)</f>
        <v>309</v>
      </c>
      <c r="C873" s="172" t="s">
        <v>649</v>
      </c>
      <c r="D873" s="173">
        <v>1972</v>
      </c>
      <c r="E873" s="173"/>
      <c r="F873" s="174" t="s">
        <v>267</v>
      </c>
      <c r="G873" s="173">
        <v>5</v>
      </c>
      <c r="H873" s="173" t="s">
        <v>370</v>
      </c>
      <c r="I873" s="177">
        <v>4860.8999999999996</v>
      </c>
      <c r="J873" s="177">
        <v>4466.5</v>
      </c>
      <c r="K873" s="177">
        <v>4344.3</v>
      </c>
      <c r="L873" s="206">
        <v>257</v>
      </c>
      <c r="M873" s="173" t="s">
        <v>265</v>
      </c>
      <c r="N873" s="173" t="s">
        <v>269</v>
      </c>
      <c r="O873" s="175" t="s">
        <v>1073</v>
      </c>
      <c r="P873" s="170">
        <v>5297053.71</v>
      </c>
      <c r="Q873" s="170">
        <v>0</v>
      </c>
      <c r="R873" s="170">
        <v>0</v>
      </c>
      <c r="S873" s="170">
        <f t="shared" si="154"/>
        <v>5297053.71</v>
      </c>
      <c r="T873" s="170">
        <f t="shared" si="149"/>
        <v>1089.726945627353</v>
      </c>
      <c r="U873" s="170">
        <v>1751.8420847991113</v>
      </c>
      <c r="V873" s="202">
        <f t="shared" si="148"/>
        <v>662.1151391717583</v>
      </c>
      <c r="W873" s="202">
        <f t="shared" si="155"/>
        <v>1698.0554897241252</v>
      </c>
      <c r="X873" s="202">
        <v>0</v>
      </c>
      <c r="Y873" s="203">
        <v>0</v>
      </c>
      <c r="Z873" s="203">
        <v>0</v>
      </c>
      <c r="AA873" s="203">
        <v>0</v>
      </c>
      <c r="AB873" s="203">
        <v>0</v>
      </c>
      <c r="AC873" s="203">
        <v>0</v>
      </c>
      <c r="AD873" s="203">
        <v>0</v>
      </c>
      <c r="AE873" s="203">
        <v>1323</v>
      </c>
      <c r="AF873" s="202">
        <f t="shared" ref="AF873:AF887" si="156">6238.91*AE873/I873</f>
        <v>1698.0554897241252</v>
      </c>
      <c r="AG873" s="203">
        <v>0</v>
      </c>
      <c r="AH873" s="202">
        <v>0</v>
      </c>
      <c r="AI873" s="203">
        <v>0</v>
      </c>
      <c r="AJ873" s="202">
        <v>0</v>
      </c>
      <c r="AK873" s="203">
        <v>0</v>
      </c>
      <c r="AL873" s="203">
        <v>0</v>
      </c>
      <c r="AM873" s="203">
        <v>0</v>
      </c>
      <c r="AN873" s="203"/>
      <c r="AO873" s="203">
        <v>0</v>
      </c>
    </row>
    <row r="874" spans="1:191" s="176" customFormat="1" ht="36" customHeight="1" x14ac:dyDescent="0.25">
      <c r="A874" s="176">
        <v>1</v>
      </c>
      <c r="B874" s="171">
        <f>SUBTOTAL(103,$A$552:A874)</f>
        <v>310</v>
      </c>
      <c r="C874" s="172" t="s">
        <v>677</v>
      </c>
      <c r="D874" s="173">
        <v>1981</v>
      </c>
      <c r="E874" s="173"/>
      <c r="F874" s="174" t="s">
        <v>267</v>
      </c>
      <c r="G874" s="173">
        <v>2</v>
      </c>
      <c r="H874" s="173">
        <v>3</v>
      </c>
      <c r="I874" s="177">
        <v>843.1</v>
      </c>
      <c r="J874" s="177">
        <v>843.1</v>
      </c>
      <c r="K874" s="177">
        <v>843.1</v>
      </c>
      <c r="L874" s="206">
        <v>47</v>
      </c>
      <c r="M874" s="173" t="s">
        <v>265</v>
      </c>
      <c r="N874" s="173" t="s">
        <v>266</v>
      </c>
      <c r="O874" s="175" t="s">
        <v>268</v>
      </c>
      <c r="P874" s="170">
        <v>4028011.96</v>
      </c>
      <c r="Q874" s="170">
        <v>0</v>
      </c>
      <c r="R874" s="170">
        <v>0</v>
      </c>
      <c r="S874" s="170">
        <f t="shared" si="154"/>
        <v>4028011.96</v>
      </c>
      <c r="T874" s="170">
        <f t="shared" si="149"/>
        <v>4777.6206381212187</v>
      </c>
      <c r="U874" s="170">
        <v>6535.0132605859326</v>
      </c>
      <c r="V874" s="202">
        <f t="shared" si="148"/>
        <v>1757.3926224647139</v>
      </c>
      <c r="W874" s="202">
        <f t="shared" si="155"/>
        <v>6334.3695409797174</v>
      </c>
      <c r="X874" s="202">
        <v>0</v>
      </c>
      <c r="Y874" s="203">
        <v>0</v>
      </c>
      <c r="Z874" s="203">
        <v>0</v>
      </c>
      <c r="AA874" s="203">
        <v>0</v>
      </c>
      <c r="AB874" s="203">
        <v>0</v>
      </c>
      <c r="AC874" s="203">
        <v>0</v>
      </c>
      <c r="AD874" s="203">
        <v>0</v>
      </c>
      <c r="AE874" s="203">
        <v>856</v>
      </c>
      <c r="AF874" s="202">
        <f t="shared" si="156"/>
        <v>6334.3695409797174</v>
      </c>
      <c r="AG874" s="203">
        <v>0</v>
      </c>
      <c r="AH874" s="202">
        <v>0</v>
      </c>
      <c r="AI874" s="203">
        <v>0</v>
      </c>
      <c r="AJ874" s="202">
        <v>0</v>
      </c>
      <c r="AK874" s="203">
        <v>0</v>
      </c>
      <c r="AL874" s="203">
        <v>0</v>
      </c>
      <c r="AM874" s="203">
        <v>0</v>
      </c>
      <c r="AN874" s="203"/>
      <c r="AO874" s="203">
        <v>0</v>
      </c>
    </row>
    <row r="875" spans="1:191" s="176" customFormat="1" ht="36" customHeight="1" x14ac:dyDescent="0.25">
      <c r="A875" s="176">
        <v>1</v>
      </c>
      <c r="B875" s="171">
        <f>SUBTOTAL(103,$A$552:A875)</f>
        <v>311</v>
      </c>
      <c r="C875" s="172" t="s">
        <v>654</v>
      </c>
      <c r="D875" s="173">
        <v>1940</v>
      </c>
      <c r="E875" s="173"/>
      <c r="F875" s="174" t="s">
        <v>267</v>
      </c>
      <c r="G875" s="173" t="s">
        <v>308</v>
      </c>
      <c r="H875" s="173">
        <v>3</v>
      </c>
      <c r="I875" s="177">
        <v>2521.1999999999998</v>
      </c>
      <c r="J875" s="177">
        <v>2421.1999999999998</v>
      </c>
      <c r="K875" s="177">
        <v>2421.1999999999998</v>
      </c>
      <c r="L875" s="206">
        <v>94</v>
      </c>
      <c r="M875" s="173" t="s">
        <v>265</v>
      </c>
      <c r="N875" s="173" t="s">
        <v>341</v>
      </c>
      <c r="O875" s="175" t="s">
        <v>714</v>
      </c>
      <c r="P875" s="170">
        <v>6197254.7200000007</v>
      </c>
      <c r="Q875" s="170">
        <v>0</v>
      </c>
      <c r="R875" s="170">
        <v>0</v>
      </c>
      <c r="S875" s="170">
        <f t="shared" si="154"/>
        <v>6197254.7200000007</v>
      </c>
      <c r="T875" s="170">
        <f t="shared" si="149"/>
        <v>2458.0575598921155</v>
      </c>
      <c r="U875" s="170">
        <v>3466.9235840076158</v>
      </c>
      <c r="V875" s="202">
        <f t="shared" si="148"/>
        <v>1008.8660241155003</v>
      </c>
      <c r="W875" s="202">
        <f t="shared" si="155"/>
        <v>3058.5803426939556</v>
      </c>
      <c r="X875" s="202">
        <v>0</v>
      </c>
      <c r="Y875" s="203">
        <v>0</v>
      </c>
      <c r="Z875" s="203">
        <v>0</v>
      </c>
      <c r="AA875" s="203">
        <v>0</v>
      </c>
      <c r="AB875" s="203">
        <v>0</v>
      </c>
      <c r="AC875" s="203">
        <v>0</v>
      </c>
      <c r="AD875" s="203">
        <v>0</v>
      </c>
      <c r="AE875" s="203">
        <v>1236</v>
      </c>
      <c r="AF875" s="202">
        <f t="shared" si="156"/>
        <v>3058.5803426939556</v>
      </c>
      <c r="AG875" s="203">
        <v>0</v>
      </c>
      <c r="AH875" s="202">
        <v>0</v>
      </c>
      <c r="AI875" s="203">
        <v>0</v>
      </c>
      <c r="AJ875" s="202">
        <v>0</v>
      </c>
      <c r="AK875" s="203">
        <v>0</v>
      </c>
      <c r="AL875" s="203">
        <v>0</v>
      </c>
      <c r="AM875" s="203">
        <v>0</v>
      </c>
      <c r="AN875" s="203"/>
      <c r="AO875" s="203">
        <v>0</v>
      </c>
    </row>
    <row r="876" spans="1:191" s="176" customFormat="1" ht="36" customHeight="1" x14ac:dyDescent="0.25">
      <c r="A876" s="176">
        <v>1</v>
      </c>
      <c r="B876" s="171">
        <f>SUBTOTAL(103,$A$552:A876)</f>
        <v>312</v>
      </c>
      <c r="C876" s="172" t="s">
        <v>659</v>
      </c>
      <c r="D876" s="173">
        <v>1979</v>
      </c>
      <c r="E876" s="173"/>
      <c r="F876" s="174" t="s">
        <v>267</v>
      </c>
      <c r="G876" s="173">
        <v>2</v>
      </c>
      <c r="H876" s="173" t="s">
        <v>312</v>
      </c>
      <c r="I876" s="177">
        <v>1052.4000000000001</v>
      </c>
      <c r="J876" s="177">
        <v>934.4</v>
      </c>
      <c r="K876" s="177">
        <v>934.4</v>
      </c>
      <c r="L876" s="206">
        <v>57</v>
      </c>
      <c r="M876" s="173" t="s">
        <v>265</v>
      </c>
      <c r="N876" s="173" t="s">
        <v>297</v>
      </c>
      <c r="O876" s="175" t="s">
        <v>1070</v>
      </c>
      <c r="P876" s="170">
        <v>4458567.82</v>
      </c>
      <c r="Q876" s="170">
        <v>0</v>
      </c>
      <c r="R876" s="170">
        <v>0</v>
      </c>
      <c r="S876" s="170">
        <f t="shared" si="154"/>
        <v>4458567.82</v>
      </c>
      <c r="T876" s="170">
        <f t="shared" si="149"/>
        <v>4236.5714747244392</v>
      </c>
      <c r="U876" s="170">
        <v>5687.9255986316975</v>
      </c>
      <c r="V876" s="202">
        <f t="shared" si="148"/>
        <v>1451.3541239072583</v>
      </c>
      <c r="W876" s="202">
        <f t="shared" si="155"/>
        <v>5625.9270144431766</v>
      </c>
      <c r="X876" s="202">
        <v>0</v>
      </c>
      <c r="Y876" s="203">
        <v>0</v>
      </c>
      <c r="Z876" s="203">
        <v>0</v>
      </c>
      <c r="AA876" s="203">
        <v>0</v>
      </c>
      <c r="AB876" s="203">
        <v>0</v>
      </c>
      <c r="AC876" s="203">
        <v>0</v>
      </c>
      <c r="AD876" s="203">
        <v>0</v>
      </c>
      <c r="AE876" s="203">
        <v>949</v>
      </c>
      <c r="AF876" s="202">
        <f t="shared" si="156"/>
        <v>5625.9270144431766</v>
      </c>
      <c r="AG876" s="203">
        <v>0</v>
      </c>
      <c r="AH876" s="202">
        <v>0</v>
      </c>
      <c r="AI876" s="203">
        <v>0</v>
      </c>
      <c r="AJ876" s="202">
        <v>0</v>
      </c>
      <c r="AK876" s="203">
        <v>0</v>
      </c>
      <c r="AL876" s="203">
        <v>0</v>
      </c>
      <c r="AM876" s="203">
        <v>0</v>
      </c>
      <c r="AN876" s="203"/>
      <c r="AO876" s="203">
        <v>0</v>
      </c>
    </row>
    <row r="877" spans="1:191" s="176" customFormat="1" ht="36" customHeight="1" x14ac:dyDescent="0.25">
      <c r="A877" s="176">
        <v>1</v>
      </c>
      <c r="B877" s="171">
        <f>SUBTOTAL(103,$A$552:A877)</f>
        <v>313</v>
      </c>
      <c r="C877" s="172" t="s">
        <v>658</v>
      </c>
      <c r="D877" s="173">
        <v>1977</v>
      </c>
      <c r="E877" s="173"/>
      <c r="F877" s="174" t="s">
        <v>267</v>
      </c>
      <c r="G877" s="173">
        <v>5</v>
      </c>
      <c r="H877" s="173" t="s">
        <v>308</v>
      </c>
      <c r="I877" s="177">
        <v>2827.6</v>
      </c>
      <c r="J877" s="177">
        <v>2827.6</v>
      </c>
      <c r="K877" s="177">
        <v>2827.6</v>
      </c>
      <c r="L877" s="206">
        <v>156</v>
      </c>
      <c r="M877" s="173" t="s">
        <v>265</v>
      </c>
      <c r="N877" s="173" t="s">
        <v>269</v>
      </c>
      <c r="O877" s="175" t="s">
        <v>710</v>
      </c>
      <c r="P877" s="170">
        <v>3103798.52</v>
      </c>
      <c r="Q877" s="170">
        <v>0</v>
      </c>
      <c r="R877" s="170">
        <v>0</v>
      </c>
      <c r="S877" s="170">
        <f t="shared" si="154"/>
        <v>3103798.52</v>
      </c>
      <c r="T877" s="170">
        <f t="shared" si="149"/>
        <v>1097.6794879049371</v>
      </c>
      <c r="U877" s="170">
        <v>1912.1110482387892</v>
      </c>
      <c r="V877" s="202">
        <f t="shared" si="148"/>
        <v>814.43156033385208</v>
      </c>
      <c r="W877" s="202">
        <f t="shared" si="155"/>
        <v>1853.4037346159287</v>
      </c>
      <c r="X877" s="202">
        <v>0</v>
      </c>
      <c r="Y877" s="203">
        <v>0</v>
      </c>
      <c r="Z877" s="203">
        <v>0</v>
      </c>
      <c r="AA877" s="203">
        <v>0</v>
      </c>
      <c r="AB877" s="203">
        <v>0</v>
      </c>
      <c r="AC877" s="203">
        <v>0</v>
      </c>
      <c r="AD877" s="203">
        <v>0</v>
      </c>
      <c r="AE877" s="203">
        <v>840</v>
      </c>
      <c r="AF877" s="202">
        <f t="shared" si="156"/>
        <v>1853.4037346159287</v>
      </c>
      <c r="AG877" s="203">
        <v>0</v>
      </c>
      <c r="AH877" s="202">
        <v>0</v>
      </c>
      <c r="AI877" s="203">
        <v>0</v>
      </c>
      <c r="AJ877" s="202">
        <v>0</v>
      </c>
      <c r="AK877" s="203">
        <v>0</v>
      </c>
      <c r="AL877" s="203">
        <v>0</v>
      </c>
      <c r="AM877" s="203">
        <v>0</v>
      </c>
      <c r="AN877" s="203"/>
      <c r="AO877" s="203">
        <v>0</v>
      </c>
    </row>
    <row r="878" spans="1:191" s="176" customFormat="1" ht="36" customHeight="1" x14ac:dyDescent="0.25">
      <c r="A878" s="176">
        <v>1</v>
      </c>
      <c r="B878" s="171">
        <f>SUBTOTAL(103,$A$552:A878)</f>
        <v>314</v>
      </c>
      <c r="C878" s="172" t="s">
        <v>1188</v>
      </c>
      <c r="D878" s="173">
        <v>1927</v>
      </c>
      <c r="E878" s="173"/>
      <c r="F878" s="174" t="s">
        <v>267</v>
      </c>
      <c r="G878" s="173">
        <v>2</v>
      </c>
      <c r="H878" s="173" t="s">
        <v>303</v>
      </c>
      <c r="I878" s="170">
        <v>462</v>
      </c>
      <c r="J878" s="170">
        <v>344</v>
      </c>
      <c r="K878" s="170">
        <v>344</v>
      </c>
      <c r="L878" s="206">
        <v>25</v>
      </c>
      <c r="M878" s="173" t="s">
        <v>265</v>
      </c>
      <c r="N878" s="173" t="s">
        <v>269</v>
      </c>
      <c r="O878" s="175" t="s">
        <v>1296</v>
      </c>
      <c r="P878" s="170">
        <v>1859292.57</v>
      </c>
      <c r="Q878" s="170">
        <v>0</v>
      </c>
      <c r="R878" s="170">
        <v>0</v>
      </c>
      <c r="S878" s="170">
        <f t="shared" si="154"/>
        <v>1859292.57</v>
      </c>
      <c r="T878" s="170">
        <f t="shared" si="149"/>
        <v>4024.4427922077925</v>
      </c>
      <c r="U878" s="170">
        <v>5681.4219350649346</v>
      </c>
      <c r="V878" s="202">
        <f t="shared" si="148"/>
        <v>1656.9791428571421</v>
      </c>
      <c r="W878" s="202">
        <f t="shared" si="155"/>
        <v>5506.9859264069264</v>
      </c>
      <c r="X878" s="202">
        <v>0</v>
      </c>
      <c r="Y878" s="203">
        <v>0</v>
      </c>
      <c r="Z878" s="203">
        <v>0</v>
      </c>
      <c r="AA878" s="203">
        <v>0</v>
      </c>
      <c r="AB878" s="203">
        <v>0</v>
      </c>
      <c r="AC878" s="203">
        <v>0</v>
      </c>
      <c r="AD878" s="203">
        <v>0</v>
      </c>
      <c r="AE878" s="203">
        <v>407.8</v>
      </c>
      <c r="AF878" s="202">
        <f t="shared" si="156"/>
        <v>5506.9859264069264</v>
      </c>
      <c r="AG878" s="203">
        <v>0</v>
      </c>
      <c r="AH878" s="202">
        <v>0</v>
      </c>
      <c r="AI878" s="203">
        <v>0</v>
      </c>
      <c r="AJ878" s="202">
        <v>0</v>
      </c>
      <c r="AK878" s="203">
        <v>0</v>
      </c>
      <c r="AL878" s="203">
        <v>0</v>
      </c>
      <c r="AM878" s="203">
        <v>0</v>
      </c>
      <c r="AN878" s="203"/>
      <c r="AO878" s="203">
        <v>0</v>
      </c>
    </row>
    <row r="879" spans="1:191" s="176" customFormat="1" ht="36" customHeight="1" x14ac:dyDescent="0.25">
      <c r="A879" s="176">
        <v>1</v>
      </c>
      <c r="B879" s="171">
        <f>SUBTOTAL(103,$A$552:A879)</f>
        <v>315</v>
      </c>
      <c r="C879" s="172" t="s">
        <v>663</v>
      </c>
      <c r="D879" s="173">
        <v>1917</v>
      </c>
      <c r="E879" s="173"/>
      <c r="F879" s="174" t="s">
        <v>267</v>
      </c>
      <c r="G879" s="173">
        <v>2</v>
      </c>
      <c r="H879" s="173" t="s">
        <v>303</v>
      </c>
      <c r="I879" s="170">
        <v>722.2</v>
      </c>
      <c r="J879" s="170">
        <v>514</v>
      </c>
      <c r="K879" s="170">
        <v>514</v>
      </c>
      <c r="L879" s="206">
        <v>21</v>
      </c>
      <c r="M879" s="173" t="s">
        <v>265</v>
      </c>
      <c r="N879" s="173" t="s">
        <v>266</v>
      </c>
      <c r="O879" s="175" t="s">
        <v>268</v>
      </c>
      <c r="P879" s="170">
        <v>1812677.05</v>
      </c>
      <c r="Q879" s="170">
        <v>0</v>
      </c>
      <c r="R879" s="170">
        <v>0</v>
      </c>
      <c r="S879" s="170">
        <f t="shared" si="154"/>
        <v>1812677.05</v>
      </c>
      <c r="T879" s="170">
        <f t="shared" si="149"/>
        <v>2509.937759623373</v>
      </c>
      <c r="U879" s="170">
        <v>4006.1205137081138</v>
      </c>
      <c r="V879" s="202">
        <f t="shared" si="148"/>
        <v>1496.1827540847407</v>
      </c>
      <c r="W879" s="202">
        <f t="shared" si="155"/>
        <v>4495.6089227360835</v>
      </c>
      <c r="X879" s="202">
        <v>0</v>
      </c>
      <c r="Y879" s="203">
        <v>0</v>
      </c>
      <c r="Z879" s="203">
        <v>0</v>
      </c>
      <c r="AA879" s="203">
        <v>0</v>
      </c>
      <c r="AB879" s="203">
        <v>0</v>
      </c>
      <c r="AC879" s="203">
        <v>0</v>
      </c>
      <c r="AD879" s="203">
        <v>0</v>
      </c>
      <c r="AE879" s="203">
        <v>520.4</v>
      </c>
      <c r="AF879" s="202">
        <f t="shared" si="156"/>
        <v>4495.6089227360835</v>
      </c>
      <c r="AG879" s="203">
        <v>0</v>
      </c>
      <c r="AH879" s="202">
        <v>0</v>
      </c>
      <c r="AI879" s="203">
        <v>0</v>
      </c>
      <c r="AJ879" s="202">
        <v>0</v>
      </c>
      <c r="AK879" s="203">
        <v>0</v>
      </c>
      <c r="AL879" s="203">
        <v>0</v>
      </c>
      <c r="AM879" s="203">
        <v>0</v>
      </c>
      <c r="AN879" s="203"/>
      <c r="AO879" s="203">
        <v>0</v>
      </c>
    </row>
    <row r="880" spans="1:191" s="176" customFormat="1" ht="36" customHeight="1" x14ac:dyDescent="0.25">
      <c r="A880" s="176">
        <v>1</v>
      </c>
      <c r="B880" s="171">
        <f>SUBTOTAL(103,$A$552:A880)</f>
        <v>316</v>
      </c>
      <c r="C880" s="172" t="s">
        <v>676</v>
      </c>
      <c r="D880" s="173">
        <v>1981</v>
      </c>
      <c r="E880" s="173"/>
      <c r="F880" s="174" t="s">
        <v>267</v>
      </c>
      <c r="G880" s="173">
        <v>2</v>
      </c>
      <c r="H880" s="173">
        <v>3</v>
      </c>
      <c r="I880" s="177">
        <v>975</v>
      </c>
      <c r="J880" s="177">
        <v>975</v>
      </c>
      <c r="K880" s="177">
        <v>975</v>
      </c>
      <c r="L880" s="206">
        <v>47</v>
      </c>
      <c r="M880" s="173" t="s">
        <v>265</v>
      </c>
      <c r="N880" s="173" t="s">
        <v>266</v>
      </c>
      <c r="O880" s="175" t="s">
        <v>268</v>
      </c>
      <c r="P880" s="170">
        <v>4559283.37</v>
      </c>
      <c r="Q880" s="170">
        <v>0</v>
      </c>
      <c r="R880" s="170">
        <v>0</v>
      </c>
      <c r="S880" s="170">
        <f t="shared" si="154"/>
        <v>4559283.37</v>
      </c>
      <c r="T880" s="170">
        <f t="shared" si="149"/>
        <v>4676.1880717948716</v>
      </c>
      <c r="U880" s="170">
        <v>5743.36523076923</v>
      </c>
      <c r="V880" s="202">
        <f t="shared" si="148"/>
        <v>1067.1771589743585</v>
      </c>
      <c r="W880" s="202">
        <f t="shared" si="155"/>
        <v>5477.4430358974359</v>
      </c>
      <c r="X880" s="202">
        <v>0</v>
      </c>
      <c r="Y880" s="203">
        <v>0</v>
      </c>
      <c r="Z880" s="203">
        <v>0</v>
      </c>
      <c r="AA880" s="203">
        <v>0</v>
      </c>
      <c r="AB880" s="203">
        <v>0</v>
      </c>
      <c r="AC880" s="203">
        <v>0</v>
      </c>
      <c r="AD880" s="203">
        <v>0</v>
      </c>
      <c r="AE880" s="203">
        <v>856</v>
      </c>
      <c r="AF880" s="202">
        <f t="shared" si="156"/>
        <v>5477.4430358974359</v>
      </c>
      <c r="AG880" s="203">
        <v>0</v>
      </c>
      <c r="AH880" s="202">
        <v>0</v>
      </c>
      <c r="AI880" s="203">
        <v>0</v>
      </c>
      <c r="AJ880" s="202">
        <v>0</v>
      </c>
      <c r="AK880" s="203">
        <v>0</v>
      </c>
      <c r="AL880" s="203">
        <v>0</v>
      </c>
      <c r="AM880" s="203">
        <v>0</v>
      </c>
      <c r="AN880" s="203"/>
      <c r="AO880" s="203">
        <v>0</v>
      </c>
    </row>
    <row r="881" spans="1:41" s="176" customFormat="1" ht="36" customHeight="1" x14ac:dyDescent="0.25">
      <c r="A881" s="176">
        <v>1</v>
      </c>
      <c r="B881" s="171">
        <f>SUBTOTAL(103,$A$552:A881)</f>
        <v>317</v>
      </c>
      <c r="C881" s="172" t="s">
        <v>651</v>
      </c>
      <c r="D881" s="173">
        <v>1963</v>
      </c>
      <c r="E881" s="173"/>
      <c r="F881" s="174" t="s">
        <v>267</v>
      </c>
      <c r="G881" s="173">
        <v>3</v>
      </c>
      <c r="H881" s="173" t="s">
        <v>303</v>
      </c>
      <c r="I881" s="177">
        <v>1703.8</v>
      </c>
      <c r="J881" s="177">
        <v>1339.8</v>
      </c>
      <c r="K881" s="177">
        <v>1339.8</v>
      </c>
      <c r="L881" s="206">
        <v>62</v>
      </c>
      <c r="M881" s="173" t="s">
        <v>265</v>
      </c>
      <c r="N881" s="173" t="s">
        <v>269</v>
      </c>
      <c r="O881" s="175" t="s">
        <v>710</v>
      </c>
      <c r="P881" s="170">
        <v>5405855.4900000002</v>
      </c>
      <c r="Q881" s="170">
        <v>0</v>
      </c>
      <c r="R881" s="170">
        <v>0</v>
      </c>
      <c r="S881" s="170">
        <f t="shared" si="154"/>
        <v>5405855.4900000002</v>
      </c>
      <c r="T881" s="170">
        <f t="shared" si="149"/>
        <v>3172.8228019720627</v>
      </c>
      <c r="U881" s="170">
        <v>3745.6388631294753</v>
      </c>
      <c r="V881" s="202">
        <f t="shared" si="148"/>
        <v>572.81606115741261</v>
      </c>
      <c r="W881" s="202">
        <f t="shared" si="155"/>
        <v>4525.9377626481983</v>
      </c>
      <c r="X881" s="202">
        <v>0</v>
      </c>
      <c r="Y881" s="203">
        <v>0</v>
      </c>
      <c r="Z881" s="203">
        <v>0</v>
      </c>
      <c r="AA881" s="203">
        <v>0</v>
      </c>
      <c r="AB881" s="203">
        <v>0</v>
      </c>
      <c r="AC881" s="203">
        <v>0</v>
      </c>
      <c r="AD881" s="203">
        <v>0</v>
      </c>
      <c r="AE881" s="203">
        <v>1236</v>
      </c>
      <c r="AF881" s="202">
        <f t="shared" si="156"/>
        <v>4525.9377626481983</v>
      </c>
      <c r="AG881" s="203">
        <v>0</v>
      </c>
      <c r="AH881" s="202">
        <v>0</v>
      </c>
      <c r="AI881" s="203">
        <v>0</v>
      </c>
      <c r="AJ881" s="202">
        <v>0</v>
      </c>
      <c r="AK881" s="203">
        <v>0</v>
      </c>
      <c r="AL881" s="203">
        <v>0</v>
      </c>
      <c r="AM881" s="203">
        <v>0</v>
      </c>
      <c r="AN881" s="203"/>
      <c r="AO881" s="203">
        <v>0</v>
      </c>
    </row>
    <row r="882" spans="1:41" s="176" customFormat="1" ht="36" customHeight="1" x14ac:dyDescent="0.25">
      <c r="A882" s="176">
        <v>1</v>
      </c>
      <c r="B882" s="171">
        <f>SUBTOTAL(103,$A$552:A882)</f>
        <v>318</v>
      </c>
      <c r="C882" s="172" t="s">
        <v>1197</v>
      </c>
      <c r="D882" s="173">
        <v>1957</v>
      </c>
      <c r="E882" s="173"/>
      <c r="F882" s="174" t="s">
        <v>267</v>
      </c>
      <c r="G882" s="173" t="s">
        <v>312</v>
      </c>
      <c r="H882" s="173" t="s">
        <v>312</v>
      </c>
      <c r="I882" s="177">
        <v>988</v>
      </c>
      <c r="J882" s="177">
        <v>627.1</v>
      </c>
      <c r="K882" s="177">
        <v>627.1</v>
      </c>
      <c r="L882" s="206">
        <v>55</v>
      </c>
      <c r="M882" s="173" t="s">
        <v>265</v>
      </c>
      <c r="N882" s="173" t="s">
        <v>269</v>
      </c>
      <c r="O882" s="175" t="s">
        <v>1060</v>
      </c>
      <c r="P882" s="170">
        <v>2630697.2999999998</v>
      </c>
      <c r="Q882" s="170">
        <v>0</v>
      </c>
      <c r="R882" s="170">
        <v>0</v>
      </c>
      <c r="S882" s="170">
        <f t="shared" si="154"/>
        <v>2630697.2999999998</v>
      </c>
      <c r="T882" s="170">
        <f t="shared" si="149"/>
        <v>2662.6490890688256</v>
      </c>
      <c r="U882" s="170">
        <v>4813.7166163967613</v>
      </c>
      <c r="V882" s="202">
        <f t="shared" si="148"/>
        <v>2151.0675273279357</v>
      </c>
      <c r="W882" s="202">
        <f t="shared" si="155"/>
        <v>5992.6372368421053</v>
      </c>
      <c r="X882" s="202">
        <v>0</v>
      </c>
      <c r="Y882" s="203">
        <v>0</v>
      </c>
      <c r="Z882" s="203">
        <v>0</v>
      </c>
      <c r="AA882" s="203">
        <v>0</v>
      </c>
      <c r="AB882" s="203">
        <v>0</v>
      </c>
      <c r="AC882" s="203">
        <v>0</v>
      </c>
      <c r="AD882" s="203">
        <v>0</v>
      </c>
      <c r="AE882" s="203">
        <v>949</v>
      </c>
      <c r="AF882" s="202">
        <f t="shared" si="156"/>
        <v>5992.6372368421053</v>
      </c>
      <c r="AG882" s="203">
        <v>0</v>
      </c>
      <c r="AH882" s="202">
        <v>0</v>
      </c>
      <c r="AI882" s="203">
        <v>0</v>
      </c>
      <c r="AJ882" s="202">
        <v>0</v>
      </c>
      <c r="AK882" s="203">
        <v>0</v>
      </c>
      <c r="AL882" s="203">
        <v>0</v>
      </c>
      <c r="AM882" s="203">
        <v>0</v>
      </c>
      <c r="AN882" s="203"/>
      <c r="AO882" s="203">
        <v>0</v>
      </c>
    </row>
    <row r="883" spans="1:41" s="176" customFormat="1" ht="36" customHeight="1" x14ac:dyDescent="0.25">
      <c r="A883" s="176">
        <v>1</v>
      </c>
      <c r="B883" s="171">
        <f>SUBTOTAL(103,$A$552:A883)</f>
        <v>319</v>
      </c>
      <c r="C883" s="172" t="s">
        <v>1932</v>
      </c>
      <c r="D883" s="173">
        <v>1947</v>
      </c>
      <c r="E883" s="173"/>
      <c r="F883" s="174" t="s">
        <v>267</v>
      </c>
      <c r="G883" s="173">
        <v>2</v>
      </c>
      <c r="H883" s="173" t="s">
        <v>304</v>
      </c>
      <c r="I883" s="177">
        <v>511.5</v>
      </c>
      <c r="J883" s="177">
        <v>511.5</v>
      </c>
      <c r="K883" s="177">
        <f>J883</f>
        <v>511.5</v>
      </c>
      <c r="L883" s="206">
        <v>31</v>
      </c>
      <c r="M883" s="173" t="s">
        <v>265</v>
      </c>
      <c r="N883" s="173" t="s">
        <v>266</v>
      </c>
      <c r="O883" s="175" t="s">
        <v>268</v>
      </c>
      <c r="P883" s="170">
        <v>2202297.4500000002</v>
      </c>
      <c r="Q883" s="170">
        <v>0</v>
      </c>
      <c r="R883" s="170">
        <v>0</v>
      </c>
      <c r="S883" s="170">
        <f t="shared" si="154"/>
        <v>2202297.4500000002</v>
      </c>
      <c r="T883" s="170">
        <f t="shared" si="149"/>
        <v>4305.5668621700879</v>
      </c>
      <c r="U883" s="170">
        <v>5999.8778181818179</v>
      </c>
      <c r="V883" s="202">
        <f t="shared" si="148"/>
        <v>1694.31095601173</v>
      </c>
      <c r="W883" s="202">
        <f t="shared" si="155"/>
        <v>10245.717302052784</v>
      </c>
      <c r="X883" s="202">
        <v>0</v>
      </c>
      <c r="Y883" s="203">
        <v>0</v>
      </c>
      <c r="Z883" s="203">
        <v>0</v>
      </c>
      <c r="AA883" s="203">
        <v>0</v>
      </c>
      <c r="AB883" s="203">
        <v>0</v>
      </c>
      <c r="AC883" s="203">
        <v>0</v>
      </c>
      <c r="AD883" s="203">
        <v>0</v>
      </c>
      <c r="AE883" s="203">
        <v>840</v>
      </c>
      <c r="AF883" s="202">
        <f t="shared" si="156"/>
        <v>10245.717302052784</v>
      </c>
      <c r="AG883" s="203">
        <v>0</v>
      </c>
      <c r="AH883" s="202">
        <v>0</v>
      </c>
      <c r="AI883" s="203">
        <v>0</v>
      </c>
      <c r="AJ883" s="202">
        <v>0</v>
      </c>
      <c r="AK883" s="203">
        <v>0</v>
      </c>
      <c r="AL883" s="203">
        <v>0</v>
      </c>
      <c r="AM883" s="203">
        <v>0</v>
      </c>
      <c r="AN883" s="203"/>
      <c r="AO883" s="203">
        <v>0</v>
      </c>
    </row>
    <row r="884" spans="1:41" s="176" customFormat="1" ht="36" customHeight="1" x14ac:dyDescent="0.25">
      <c r="A884" s="176">
        <v>1</v>
      </c>
      <c r="B884" s="171">
        <f>SUBTOTAL(103,$A$552:A884)</f>
        <v>320</v>
      </c>
      <c r="C884" s="172" t="s">
        <v>1933</v>
      </c>
      <c r="D884" s="173">
        <v>1955</v>
      </c>
      <c r="E884" s="173"/>
      <c r="F884" s="174" t="s">
        <v>330</v>
      </c>
      <c r="G884" s="173">
        <v>2</v>
      </c>
      <c r="H884" s="173" t="s">
        <v>304</v>
      </c>
      <c r="I884" s="170">
        <v>367</v>
      </c>
      <c r="J884" s="170">
        <v>367</v>
      </c>
      <c r="K884" s="170">
        <f>J884-56</f>
        <v>311</v>
      </c>
      <c r="L884" s="206">
        <v>21</v>
      </c>
      <c r="M884" s="173" t="s">
        <v>265</v>
      </c>
      <c r="N884" s="173" t="s">
        <v>266</v>
      </c>
      <c r="O884" s="175" t="s">
        <v>268</v>
      </c>
      <c r="P884" s="170">
        <v>2356236.9299999997</v>
      </c>
      <c r="Q884" s="170">
        <v>0</v>
      </c>
      <c r="R884" s="170">
        <v>0</v>
      </c>
      <c r="S884" s="170">
        <f t="shared" si="154"/>
        <v>2356236.9299999997</v>
      </c>
      <c r="T884" s="170">
        <f t="shared" si="149"/>
        <v>6420.2641144414165</v>
      </c>
      <c r="U884" s="170">
        <v>12969.828991825614</v>
      </c>
      <c r="V884" s="202">
        <f t="shared" si="148"/>
        <v>6549.5648773841976</v>
      </c>
      <c r="W884" s="202">
        <f t="shared" si="155"/>
        <v>6932.4999945504087</v>
      </c>
      <c r="X884" s="202">
        <v>0</v>
      </c>
      <c r="Y884" s="203">
        <v>0</v>
      </c>
      <c r="Z884" s="203">
        <v>0</v>
      </c>
      <c r="AA884" s="203">
        <v>0</v>
      </c>
      <c r="AB884" s="203">
        <v>0</v>
      </c>
      <c r="AC884" s="203">
        <v>0</v>
      </c>
      <c r="AD884" s="203">
        <v>0</v>
      </c>
      <c r="AE884" s="203">
        <v>407.8</v>
      </c>
      <c r="AF884" s="202">
        <f t="shared" si="156"/>
        <v>6932.4999945504087</v>
      </c>
      <c r="AG884" s="203">
        <v>0</v>
      </c>
      <c r="AH884" s="202">
        <v>0</v>
      </c>
      <c r="AI884" s="203">
        <v>0</v>
      </c>
      <c r="AJ884" s="202">
        <v>0</v>
      </c>
      <c r="AK884" s="203">
        <v>0</v>
      </c>
      <c r="AL884" s="203">
        <v>0</v>
      </c>
      <c r="AM884" s="203">
        <v>0</v>
      </c>
      <c r="AN884" s="203"/>
      <c r="AO884" s="203">
        <v>0</v>
      </c>
    </row>
    <row r="885" spans="1:41" s="176" customFormat="1" ht="36" customHeight="1" x14ac:dyDescent="0.25">
      <c r="A885" s="176">
        <v>1</v>
      </c>
      <c r="B885" s="171">
        <f>SUBTOTAL(103,$A$552:A885)</f>
        <v>321</v>
      </c>
      <c r="C885" s="172" t="s">
        <v>662</v>
      </c>
      <c r="D885" s="173">
        <v>1917</v>
      </c>
      <c r="E885" s="173"/>
      <c r="F885" s="174" t="s">
        <v>267</v>
      </c>
      <c r="G885" s="173">
        <v>2</v>
      </c>
      <c r="H885" s="173" t="s">
        <v>303</v>
      </c>
      <c r="I885" s="170">
        <v>231.6</v>
      </c>
      <c r="J885" s="170">
        <v>231.6</v>
      </c>
      <c r="K885" s="170">
        <v>101.7</v>
      </c>
      <c r="L885" s="206">
        <v>11</v>
      </c>
      <c r="M885" s="173" t="s">
        <v>265</v>
      </c>
      <c r="N885" s="173" t="s">
        <v>266</v>
      </c>
      <c r="O885" s="175" t="s">
        <v>268</v>
      </c>
      <c r="P885" s="170">
        <v>3073347.5</v>
      </c>
      <c r="Q885" s="170">
        <v>0</v>
      </c>
      <c r="R885" s="170">
        <v>0</v>
      </c>
      <c r="S885" s="170">
        <f t="shared" si="154"/>
        <v>3073347.5</v>
      </c>
      <c r="T885" s="170">
        <f t="shared" si="149"/>
        <v>13270.066925734025</v>
      </c>
      <c r="U885" s="170">
        <v>18806.533031088082</v>
      </c>
      <c r="V885" s="202">
        <f>U885-T885</f>
        <v>5536.4661053540567</v>
      </c>
      <c r="W885" s="202">
        <f t="shared" si="155"/>
        <v>14018.690690846286</v>
      </c>
      <c r="X885" s="202">
        <v>0</v>
      </c>
      <c r="Y885" s="203">
        <v>0</v>
      </c>
      <c r="Z885" s="203">
        <v>0</v>
      </c>
      <c r="AA885" s="203">
        <v>0</v>
      </c>
      <c r="AB885" s="203">
        <v>0</v>
      </c>
      <c r="AC885" s="203">
        <v>0</v>
      </c>
      <c r="AD885" s="203">
        <v>0</v>
      </c>
      <c r="AE885" s="203">
        <v>520.4</v>
      </c>
      <c r="AF885" s="202">
        <f t="shared" si="156"/>
        <v>14018.690690846286</v>
      </c>
      <c r="AG885" s="203">
        <v>0</v>
      </c>
      <c r="AH885" s="202">
        <v>0</v>
      </c>
      <c r="AI885" s="203">
        <v>0</v>
      </c>
      <c r="AJ885" s="202">
        <v>0</v>
      </c>
      <c r="AK885" s="203">
        <v>0</v>
      </c>
      <c r="AL885" s="203">
        <v>0</v>
      </c>
      <c r="AM885" s="203">
        <v>0</v>
      </c>
      <c r="AN885" s="203"/>
      <c r="AO885" s="203">
        <v>0</v>
      </c>
    </row>
    <row r="886" spans="1:41" s="176" customFormat="1" ht="36" customHeight="1" x14ac:dyDescent="0.25">
      <c r="A886" s="176">
        <v>1</v>
      </c>
      <c r="B886" s="171">
        <f>SUBTOTAL(103,$A$552:A886)</f>
        <v>322</v>
      </c>
      <c r="C886" s="172" t="s">
        <v>2293</v>
      </c>
      <c r="D886" s="173">
        <v>1955</v>
      </c>
      <c r="E886" s="173"/>
      <c r="F886" s="174" t="s">
        <v>267</v>
      </c>
      <c r="G886" s="173">
        <v>2</v>
      </c>
      <c r="H886" s="173" t="s">
        <v>303</v>
      </c>
      <c r="I886" s="170">
        <v>852.1</v>
      </c>
      <c r="J886" s="170">
        <v>560.6</v>
      </c>
      <c r="K886" s="170">
        <v>560.6</v>
      </c>
      <c r="L886" s="206">
        <v>31</v>
      </c>
      <c r="M886" s="173" t="s">
        <v>265</v>
      </c>
      <c r="N886" s="173" t="s">
        <v>269</v>
      </c>
      <c r="O886" s="175" t="s">
        <v>1060</v>
      </c>
      <c r="P886" s="170">
        <v>3413120.81</v>
      </c>
      <c r="Q886" s="170">
        <v>0</v>
      </c>
      <c r="R886" s="170">
        <v>0</v>
      </c>
      <c r="S886" s="170">
        <f t="shared" si="154"/>
        <v>3413120.81</v>
      </c>
      <c r="T886" s="170">
        <f t="shared" si="149"/>
        <v>4005.5402065485273</v>
      </c>
      <c r="U886" s="170">
        <v>5967.4436099049408</v>
      </c>
      <c r="V886" s="202">
        <f>U886-T886</f>
        <v>1961.9034033564135</v>
      </c>
      <c r="W886" s="202">
        <f t="shared" si="155"/>
        <v>3810.2672972655791</v>
      </c>
      <c r="X886" s="202">
        <v>0</v>
      </c>
      <c r="Y886" s="203">
        <v>0</v>
      </c>
      <c r="Z886" s="203">
        <v>0</v>
      </c>
      <c r="AA886" s="203">
        <v>0</v>
      </c>
      <c r="AB886" s="203">
        <v>0</v>
      </c>
      <c r="AC886" s="203">
        <v>0</v>
      </c>
      <c r="AD886" s="203">
        <v>0</v>
      </c>
      <c r="AE886" s="203">
        <v>520.4</v>
      </c>
      <c r="AF886" s="202">
        <f t="shared" si="156"/>
        <v>3810.2672972655791</v>
      </c>
      <c r="AG886" s="203">
        <v>0</v>
      </c>
      <c r="AH886" s="202">
        <v>0</v>
      </c>
      <c r="AI886" s="203">
        <v>0</v>
      </c>
      <c r="AJ886" s="202">
        <v>0</v>
      </c>
      <c r="AK886" s="203">
        <v>0</v>
      </c>
      <c r="AL886" s="203">
        <v>0</v>
      </c>
      <c r="AM886" s="203">
        <v>0</v>
      </c>
      <c r="AN886" s="203"/>
      <c r="AO886" s="203">
        <v>0</v>
      </c>
    </row>
    <row r="887" spans="1:41" s="176" customFormat="1" ht="36" customHeight="1" x14ac:dyDescent="0.25">
      <c r="A887" s="176">
        <v>1</v>
      </c>
      <c r="B887" s="171">
        <f>SUBTOTAL(103,$A$552:A887)</f>
        <v>323</v>
      </c>
      <c r="C887" s="172" t="s">
        <v>648</v>
      </c>
      <c r="D887" s="173">
        <v>1983</v>
      </c>
      <c r="E887" s="173"/>
      <c r="F887" s="174" t="s">
        <v>318</v>
      </c>
      <c r="G887" s="173">
        <v>9</v>
      </c>
      <c r="H887" s="173" t="s">
        <v>303</v>
      </c>
      <c r="I887" s="170">
        <v>3834</v>
      </c>
      <c r="J887" s="170">
        <v>3834</v>
      </c>
      <c r="K887" s="170">
        <v>3802</v>
      </c>
      <c r="L887" s="206">
        <v>141</v>
      </c>
      <c r="M887" s="173" t="s">
        <v>265</v>
      </c>
      <c r="N887" s="173" t="s">
        <v>341</v>
      </c>
      <c r="O887" s="175" t="s">
        <v>2418</v>
      </c>
      <c r="P887" s="170">
        <v>4601609.1000000006</v>
      </c>
      <c r="Q887" s="170">
        <v>0</v>
      </c>
      <c r="R887" s="170">
        <v>0</v>
      </c>
      <c r="S887" s="170">
        <f t="shared" si="154"/>
        <v>4601609.1000000006</v>
      </c>
      <c r="T887" s="170">
        <f t="shared" si="149"/>
        <v>1200.2110328638498</v>
      </c>
      <c r="U887" s="170">
        <v>1282.1074595722482</v>
      </c>
      <c r="V887" s="202">
        <f>U887-T887</f>
        <v>81.896426708398394</v>
      </c>
      <c r="W887" s="202">
        <f t="shared" si="155"/>
        <v>846.82544705268651</v>
      </c>
      <c r="X887" s="202">
        <v>0</v>
      </c>
      <c r="Y887" s="203">
        <v>0</v>
      </c>
      <c r="Z887" s="203">
        <v>0</v>
      </c>
      <c r="AA887" s="203">
        <v>0</v>
      </c>
      <c r="AB887" s="203">
        <v>0</v>
      </c>
      <c r="AC887" s="203">
        <v>0</v>
      </c>
      <c r="AD887" s="203">
        <v>0</v>
      </c>
      <c r="AE887" s="203">
        <v>520.4</v>
      </c>
      <c r="AF887" s="202">
        <f t="shared" si="156"/>
        <v>846.82544705268651</v>
      </c>
      <c r="AG887" s="203">
        <v>0</v>
      </c>
      <c r="AH887" s="202">
        <v>0</v>
      </c>
      <c r="AI887" s="203">
        <v>0</v>
      </c>
      <c r="AJ887" s="202">
        <v>0</v>
      </c>
      <c r="AK887" s="203">
        <v>0</v>
      </c>
      <c r="AL887" s="203">
        <v>0</v>
      </c>
      <c r="AM887" s="203">
        <v>0</v>
      </c>
      <c r="AN887" s="203"/>
      <c r="AO887" s="203">
        <v>0</v>
      </c>
    </row>
    <row r="888" spans="1:41" s="176" customFormat="1" ht="36" customHeight="1" x14ac:dyDescent="0.25">
      <c r="B888" s="172" t="s">
        <v>816</v>
      </c>
      <c r="C888" s="359"/>
      <c r="D888" s="173" t="s">
        <v>882</v>
      </c>
      <c r="E888" s="173" t="s">
        <v>882</v>
      </c>
      <c r="F888" s="173" t="s">
        <v>882</v>
      </c>
      <c r="G888" s="173" t="s">
        <v>882</v>
      </c>
      <c r="H888" s="173" t="s">
        <v>882</v>
      </c>
      <c r="I888" s="177">
        <f>SUM(I889:I898)</f>
        <v>12858.21</v>
      </c>
      <c r="J888" s="177">
        <f>SUM(J889:J898)</f>
        <v>11743.61</v>
      </c>
      <c r="K888" s="177">
        <f>SUM(K889:K898)</f>
        <v>9302.41</v>
      </c>
      <c r="L888" s="357">
        <f>SUM(L889:L898)</f>
        <v>844</v>
      </c>
      <c r="M888" s="173" t="s">
        <v>882</v>
      </c>
      <c r="N888" s="173" t="s">
        <v>882</v>
      </c>
      <c r="O888" s="175" t="s">
        <v>882</v>
      </c>
      <c r="P888" s="177">
        <v>26694131.16</v>
      </c>
      <c r="Q888" s="177">
        <f>SUM(Q889:Q898)</f>
        <v>0</v>
      </c>
      <c r="R888" s="177">
        <f>SUM(R889:R898)</f>
        <v>0</v>
      </c>
      <c r="S888" s="177">
        <f>SUM(S889:S898)</f>
        <v>26694131.16</v>
      </c>
      <c r="T888" s="170">
        <f t="shared" si="149"/>
        <v>2076.0378901884478</v>
      </c>
      <c r="U888" s="170">
        <f>MAX(U889:U898)</f>
        <v>13413.400178238342</v>
      </c>
      <c r="V888" s="202">
        <f t="shared" ref="V888:V984" si="157">U888-T888</f>
        <v>11337.362288049895</v>
      </c>
      <c r="W888" s="202"/>
      <c r="X888" s="202"/>
      <c r="Y888" s="203"/>
      <c r="Z888" s="203"/>
      <c r="AA888" s="203"/>
      <c r="AB888" s="203"/>
      <c r="AC888" s="203"/>
      <c r="AD888" s="203"/>
      <c r="AE888" s="203"/>
      <c r="AF888" s="203"/>
      <c r="AG888" s="203"/>
      <c r="AH888" s="203"/>
      <c r="AI888" s="203"/>
      <c r="AJ888" s="203"/>
      <c r="AK888" s="203"/>
      <c r="AL888" s="203"/>
      <c r="AM888" s="203"/>
      <c r="AN888" s="203"/>
      <c r="AO888" s="203"/>
    </row>
    <row r="889" spans="1:41" s="176" customFormat="1" ht="36" customHeight="1" x14ac:dyDescent="0.25">
      <c r="A889" s="176">
        <v>1</v>
      </c>
      <c r="B889" s="171">
        <f>SUBTOTAL(103,$A$552:A889)</f>
        <v>324</v>
      </c>
      <c r="C889" s="172" t="s">
        <v>235</v>
      </c>
      <c r="D889" s="173">
        <v>1973</v>
      </c>
      <c r="E889" s="173"/>
      <c r="F889" s="174" t="s">
        <v>267</v>
      </c>
      <c r="G889" s="173">
        <v>5</v>
      </c>
      <c r="H889" s="173" t="s">
        <v>370</v>
      </c>
      <c r="I889" s="177">
        <v>4741.1099999999997</v>
      </c>
      <c r="J889" s="177">
        <v>4403.51</v>
      </c>
      <c r="K889" s="177">
        <v>4403.51</v>
      </c>
      <c r="L889" s="206">
        <v>260</v>
      </c>
      <c r="M889" s="173" t="s">
        <v>265</v>
      </c>
      <c r="N889" s="173" t="s">
        <v>269</v>
      </c>
      <c r="O889" s="175" t="s">
        <v>334</v>
      </c>
      <c r="P889" s="170">
        <v>7603764.6500000004</v>
      </c>
      <c r="Q889" s="170">
        <v>0</v>
      </c>
      <c r="R889" s="170">
        <v>0</v>
      </c>
      <c r="S889" s="170">
        <f t="shared" ref="S889:S898" si="158">P889-Q889-R889</f>
        <v>7603764.6500000004</v>
      </c>
      <c r="T889" s="170">
        <f t="shared" si="149"/>
        <v>1603.7941853279087</v>
      </c>
      <c r="U889" s="170">
        <v>2048.6181020900171</v>
      </c>
      <c r="V889" s="202">
        <f t="shared" si="157"/>
        <v>444.82391676210841</v>
      </c>
      <c r="W889" s="202">
        <f t="shared" ref="W889:W898" si="159">X889+Y889+Z889+AA889+AB889+AD889+AF889+AH889+AJ889+AL889+AN889+AO889</f>
        <v>1985.7196289476515</v>
      </c>
      <c r="X889" s="202">
        <v>0</v>
      </c>
      <c r="Y889" s="203">
        <v>0</v>
      </c>
      <c r="Z889" s="203">
        <v>0</v>
      </c>
      <c r="AA889" s="203">
        <v>0</v>
      </c>
      <c r="AB889" s="203">
        <v>0</v>
      </c>
      <c r="AC889" s="203">
        <v>0</v>
      </c>
      <c r="AD889" s="203">
        <v>0</v>
      </c>
      <c r="AE889" s="203">
        <v>1509</v>
      </c>
      <c r="AF889" s="202">
        <f>6238.91*AE889/I889</f>
        <v>1985.7196289476515</v>
      </c>
      <c r="AG889" s="203">
        <v>0</v>
      </c>
      <c r="AH889" s="202">
        <v>0</v>
      </c>
      <c r="AI889" s="203">
        <v>0</v>
      </c>
      <c r="AJ889" s="202">
        <v>0</v>
      </c>
      <c r="AK889" s="203">
        <v>0</v>
      </c>
      <c r="AL889" s="203">
        <v>0</v>
      </c>
      <c r="AM889" s="203">
        <v>0</v>
      </c>
      <c r="AN889" s="203"/>
      <c r="AO889" s="203">
        <v>0</v>
      </c>
    </row>
    <row r="890" spans="1:41" s="176" customFormat="1" ht="36" customHeight="1" x14ac:dyDescent="0.25">
      <c r="A890" s="176">
        <v>1</v>
      </c>
      <c r="B890" s="171">
        <f>SUBTOTAL(103,$A$552:A890)</f>
        <v>325</v>
      </c>
      <c r="C890" s="172" t="s">
        <v>240</v>
      </c>
      <c r="D890" s="173">
        <v>1989</v>
      </c>
      <c r="E890" s="173"/>
      <c r="F890" s="174" t="s">
        <v>267</v>
      </c>
      <c r="G890" s="173">
        <v>2</v>
      </c>
      <c r="H890" s="173" t="s">
        <v>312</v>
      </c>
      <c r="I890" s="177">
        <v>946.8</v>
      </c>
      <c r="J890" s="177">
        <v>859.3</v>
      </c>
      <c r="K890" s="177">
        <v>816</v>
      </c>
      <c r="L890" s="206">
        <v>40</v>
      </c>
      <c r="M890" s="173" t="s">
        <v>265</v>
      </c>
      <c r="N890" s="173" t="s">
        <v>269</v>
      </c>
      <c r="O890" s="175" t="s">
        <v>333</v>
      </c>
      <c r="P890" s="170">
        <v>4207919.8999999994</v>
      </c>
      <c r="Q890" s="170">
        <v>0</v>
      </c>
      <c r="R890" s="170">
        <v>0</v>
      </c>
      <c r="S890" s="170">
        <f t="shared" si="158"/>
        <v>4207919.8999999994</v>
      </c>
      <c r="T890" s="170">
        <f t="shared" si="149"/>
        <v>4444.3598436839875</v>
      </c>
      <c r="U890" s="170">
        <v>1631.0497307570477</v>
      </c>
      <c r="V890" s="202">
        <f t="shared" si="157"/>
        <v>-2813.3101129269398</v>
      </c>
      <c r="W890" s="202">
        <f t="shared" si="159"/>
        <v>4728.6410223912135</v>
      </c>
      <c r="X890" s="202">
        <v>0</v>
      </c>
      <c r="Y890" s="203">
        <v>0</v>
      </c>
      <c r="Z890" s="203">
        <v>0</v>
      </c>
      <c r="AA890" s="203">
        <v>0</v>
      </c>
      <c r="AB890" s="203">
        <v>0</v>
      </c>
      <c r="AC890" s="203">
        <v>0</v>
      </c>
      <c r="AD890" s="203">
        <v>0</v>
      </c>
      <c r="AE890" s="203">
        <v>0</v>
      </c>
      <c r="AF890" s="202">
        <v>0</v>
      </c>
      <c r="AG890" s="203">
        <v>0</v>
      </c>
      <c r="AH890" s="202">
        <v>0</v>
      </c>
      <c r="AI890" s="203">
        <v>0</v>
      </c>
      <c r="AJ890" s="202">
        <v>0</v>
      </c>
      <c r="AK890" s="203">
        <v>0</v>
      </c>
      <c r="AL890" s="203">
        <v>0</v>
      </c>
      <c r="AM890" s="203">
        <v>641</v>
      </c>
      <c r="AN890" s="203">
        <f>6984.52*AM890/I890</f>
        <v>4728.6410223912135</v>
      </c>
      <c r="AO890" s="203">
        <v>0</v>
      </c>
    </row>
    <row r="891" spans="1:41" s="176" customFormat="1" ht="36" customHeight="1" x14ac:dyDescent="0.25">
      <c r="A891" s="176">
        <v>1</v>
      </c>
      <c r="B891" s="171">
        <f>SUBTOTAL(103,$A$552:A891)</f>
        <v>326</v>
      </c>
      <c r="C891" s="172" t="s">
        <v>1595</v>
      </c>
      <c r="D891" s="173">
        <v>1940</v>
      </c>
      <c r="E891" s="173"/>
      <c r="F891" s="174" t="s">
        <v>330</v>
      </c>
      <c r="G891" s="173">
        <v>2</v>
      </c>
      <c r="H891" s="173" t="s">
        <v>304</v>
      </c>
      <c r="I891" s="177">
        <v>324</v>
      </c>
      <c r="J891" s="177">
        <v>303.10000000000002</v>
      </c>
      <c r="K891" s="177">
        <v>250.5</v>
      </c>
      <c r="L891" s="206">
        <v>15</v>
      </c>
      <c r="M891" s="173" t="s">
        <v>265</v>
      </c>
      <c r="N891" s="173" t="s">
        <v>269</v>
      </c>
      <c r="O891" s="175" t="s">
        <v>333</v>
      </c>
      <c r="P891" s="170">
        <v>1482259.2000000002</v>
      </c>
      <c r="Q891" s="170">
        <v>0</v>
      </c>
      <c r="R891" s="170">
        <v>0</v>
      </c>
      <c r="S891" s="170">
        <f t="shared" si="158"/>
        <v>1482259.2000000002</v>
      </c>
      <c r="T891" s="170">
        <f t="shared" si="149"/>
        <v>4574.874074074075</v>
      </c>
      <c r="U891" s="170">
        <v>5562.4333333333334</v>
      </c>
      <c r="V891" s="202">
        <f t="shared" si="157"/>
        <v>987.5592592592584</v>
      </c>
      <c r="W891" s="202">
        <f t="shared" si="159"/>
        <v>5391.6506172839509</v>
      </c>
      <c r="X891" s="202">
        <v>0</v>
      </c>
      <c r="Y891" s="203">
        <v>0</v>
      </c>
      <c r="Z891" s="203">
        <v>0</v>
      </c>
      <c r="AA891" s="203">
        <v>0</v>
      </c>
      <c r="AB891" s="203">
        <v>0</v>
      </c>
      <c r="AC891" s="203">
        <v>0</v>
      </c>
      <c r="AD891" s="203">
        <v>0</v>
      </c>
      <c r="AE891" s="203">
        <v>280</v>
      </c>
      <c r="AF891" s="202">
        <f>6238.91*AE891/I891</f>
        <v>5391.6506172839509</v>
      </c>
      <c r="AG891" s="203">
        <v>0</v>
      </c>
      <c r="AH891" s="202">
        <v>0</v>
      </c>
      <c r="AI891" s="203">
        <v>0</v>
      </c>
      <c r="AJ891" s="202">
        <v>0</v>
      </c>
      <c r="AK891" s="203">
        <v>0</v>
      </c>
      <c r="AL891" s="203">
        <v>0</v>
      </c>
      <c r="AM891" s="203">
        <v>0</v>
      </c>
      <c r="AN891" s="203"/>
      <c r="AO891" s="203">
        <v>0</v>
      </c>
    </row>
    <row r="892" spans="1:41" s="176" customFormat="1" ht="36" customHeight="1" x14ac:dyDescent="0.25">
      <c r="A892" s="176">
        <v>1</v>
      </c>
      <c r="B892" s="171">
        <f>SUBTOTAL(103,$A$552:A892)</f>
        <v>327</v>
      </c>
      <c r="C892" s="172" t="s">
        <v>1203</v>
      </c>
      <c r="D892" s="173">
        <v>1955</v>
      </c>
      <c r="E892" s="173"/>
      <c r="F892" s="174" t="s">
        <v>1301</v>
      </c>
      <c r="G892" s="173">
        <v>2</v>
      </c>
      <c r="H892" s="173" t="s">
        <v>303</v>
      </c>
      <c r="I892" s="177">
        <v>805.7</v>
      </c>
      <c r="J892" s="177">
        <v>731</v>
      </c>
      <c r="K892" s="177">
        <v>705.2</v>
      </c>
      <c r="L892" s="206">
        <v>37</v>
      </c>
      <c r="M892" s="173" t="s">
        <v>265</v>
      </c>
      <c r="N892" s="173" t="s">
        <v>269</v>
      </c>
      <c r="O892" s="175" t="s">
        <v>333</v>
      </c>
      <c r="P892" s="170">
        <v>2297318.9499999997</v>
      </c>
      <c r="Q892" s="170">
        <v>0</v>
      </c>
      <c r="R892" s="170">
        <v>0</v>
      </c>
      <c r="S892" s="170">
        <f t="shared" si="158"/>
        <v>2297318.9499999997</v>
      </c>
      <c r="T892" s="170">
        <f t="shared" si="149"/>
        <v>2851.3329403003595</v>
      </c>
      <c r="U892" s="170">
        <v>5312.5139009556906</v>
      </c>
      <c r="V892" s="202">
        <f t="shared" si="157"/>
        <v>2461.1809606553311</v>
      </c>
      <c r="W892" s="202">
        <f t="shared" si="159"/>
        <v>10862.758197840389</v>
      </c>
      <c r="X892" s="202">
        <v>0</v>
      </c>
      <c r="Y892" s="203">
        <v>0</v>
      </c>
      <c r="Z892" s="203">
        <v>0</v>
      </c>
      <c r="AA892" s="203">
        <v>0</v>
      </c>
      <c r="AB892" s="203">
        <v>0</v>
      </c>
      <c r="AC892" s="203">
        <v>0</v>
      </c>
      <c r="AD892" s="203">
        <v>0</v>
      </c>
      <c r="AE892" s="203">
        <v>0</v>
      </c>
      <c r="AF892" s="202">
        <v>0</v>
      </c>
      <c r="AG892" s="203">
        <v>0</v>
      </c>
      <c r="AH892" s="202">
        <v>0</v>
      </c>
      <c r="AI892" s="203">
        <v>0</v>
      </c>
      <c r="AJ892" s="202">
        <v>0</v>
      </c>
      <c r="AK892" s="203">
        <v>114</v>
      </c>
      <c r="AL892" s="202">
        <f>76773.02*AK892/I892</f>
        <v>10862.758197840389</v>
      </c>
      <c r="AM892" s="203">
        <v>0</v>
      </c>
      <c r="AN892" s="203"/>
      <c r="AO892" s="203">
        <v>0</v>
      </c>
    </row>
    <row r="893" spans="1:41" s="176" customFormat="1" ht="36" customHeight="1" x14ac:dyDescent="0.25">
      <c r="A893" s="176">
        <v>1</v>
      </c>
      <c r="B893" s="171">
        <f>SUBTOTAL(103,$A$552:A893)</f>
        <v>328</v>
      </c>
      <c r="C893" s="172" t="s">
        <v>233</v>
      </c>
      <c r="D893" s="173">
        <v>1964</v>
      </c>
      <c r="E893" s="173"/>
      <c r="F893" s="174" t="s">
        <v>267</v>
      </c>
      <c r="G893" s="173">
        <v>2</v>
      </c>
      <c r="H893" s="173" t="s">
        <v>303</v>
      </c>
      <c r="I893" s="177">
        <v>645.4</v>
      </c>
      <c r="J893" s="177">
        <v>597.4</v>
      </c>
      <c r="K893" s="177">
        <v>596.20000000000005</v>
      </c>
      <c r="L893" s="206">
        <v>42</v>
      </c>
      <c r="M893" s="173" t="s">
        <v>265</v>
      </c>
      <c r="N893" s="173" t="s">
        <v>269</v>
      </c>
      <c r="O893" s="175" t="s">
        <v>334</v>
      </c>
      <c r="P893" s="170">
        <v>2469083.87</v>
      </c>
      <c r="Q893" s="170">
        <v>0</v>
      </c>
      <c r="R893" s="170">
        <v>0</v>
      </c>
      <c r="S893" s="170">
        <f t="shared" si="158"/>
        <v>2469083.87</v>
      </c>
      <c r="T893" s="170">
        <f t="shared" si="149"/>
        <v>3825.6645026340257</v>
      </c>
      <c r="U893" s="170">
        <v>5184.5478462968704</v>
      </c>
      <c r="V893" s="202">
        <f t="shared" si="157"/>
        <v>1358.8833436628447</v>
      </c>
      <c r="W893" s="202">
        <f t="shared" si="159"/>
        <v>6936.9031918190276</v>
      </c>
      <c r="X893" s="202">
        <v>0</v>
      </c>
      <c r="Y893" s="203">
        <v>0</v>
      </c>
      <c r="Z893" s="203">
        <v>0</v>
      </c>
      <c r="AA893" s="203">
        <v>0</v>
      </c>
      <c r="AB893" s="203">
        <v>0</v>
      </c>
      <c r="AC893" s="203">
        <v>0</v>
      </c>
      <c r="AD893" s="203">
        <v>0</v>
      </c>
      <c r="AE893" s="203">
        <v>0</v>
      </c>
      <c r="AF893" s="202">
        <v>0</v>
      </c>
      <c r="AG893" s="203">
        <v>0</v>
      </c>
      <c r="AH893" s="202">
        <v>0</v>
      </c>
      <c r="AI893" s="203">
        <v>0</v>
      </c>
      <c r="AJ893" s="202">
        <v>0</v>
      </c>
      <c r="AK893" s="203">
        <v>0</v>
      </c>
      <c r="AL893" s="203">
        <v>0</v>
      </c>
      <c r="AM893" s="203">
        <v>641</v>
      </c>
      <c r="AN893" s="203">
        <f>6984.52*AM893/I893</f>
        <v>6936.9031918190276</v>
      </c>
      <c r="AO893" s="203">
        <v>0</v>
      </c>
    </row>
    <row r="894" spans="1:41" s="176" customFormat="1" ht="36" customHeight="1" x14ac:dyDescent="0.25">
      <c r="A894" s="176">
        <v>1</v>
      </c>
      <c r="B894" s="171">
        <f>SUBTOTAL(103,$A$552:A894)</f>
        <v>329</v>
      </c>
      <c r="C894" s="172" t="s">
        <v>237</v>
      </c>
      <c r="D894" s="173">
        <v>1963</v>
      </c>
      <c r="E894" s="173"/>
      <c r="F894" s="174" t="s">
        <v>267</v>
      </c>
      <c r="G894" s="173">
        <v>2</v>
      </c>
      <c r="H894" s="173" t="s">
        <v>304</v>
      </c>
      <c r="I894" s="177">
        <v>336.7</v>
      </c>
      <c r="J894" s="177">
        <v>304.3</v>
      </c>
      <c r="K894" s="177">
        <v>304.3</v>
      </c>
      <c r="L894" s="206">
        <v>15</v>
      </c>
      <c r="M894" s="173" t="s">
        <v>265</v>
      </c>
      <c r="N894" s="173" t="s">
        <v>269</v>
      </c>
      <c r="O894" s="175" t="s">
        <v>333</v>
      </c>
      <c r="P894" s="170">
        <v>1256038.19</v>
      </c>
      <c r="Q894" s="170">
        <v>0</v>
      </c>
      <c r="R894" s="170">
        <v>0</v>
      </c>
      <c r="S894" s="170">
        <f t="shared" si="158"/>
        <v>1256038.19</v>
      </c>
      <c r="T894" s="170">
        <f t="shared" si="149"/>
        <v>3730.4371547371547</v>
      </c>
      <c r="U894" s="170">
        <v>5180.5750816750815</v>
      </c>
      <c r="V894" s="202">
        <f t="shared" si="157"/>
        <v>1450.1379269379267</v>
      </c>
      <c r="W894" s="202">
        <f t="shared" si="159"/>
        <v>5188.2827442827447</v>
      </c>
      <c r="X894" s="202">
        <v>0</v>
      </c>
      <c r="Y894" s="203">
        <v>0</v>
      </c>
      <c r="Z894" s="203">
        <v>0</v>
      </c>
      <c r="AA894" s="203">
        <v>0</v>
      </c>
      <c r="AB894" s="203">
        <v>0</v>
      </c>
      <c r="AC894" s="203">
        <v>0</v>
      </c>
      <c r="AD894" s="203">
        <v>0</v>
      </c>
      <c r="AE894" s="203">
        <v>280</v>
      </c>
      <c r="AF894" s="202">
        <f>6238.91*AE894/I894</f>
        <v>5188.2827442827447</v>
      </c>
      <c r="AG894" s="203">
        <v>0</v>
      </c>
      <c r="AH894" s="202">
        <v>0</v>
      </c>
      <c r="AI894" s="203">
        <v>0</v>
      </c>
      <c r="AJ894" s="202">
        <v>0</v>
      </c>
      <c r="AK894" s="203">
        <v>0</v>
      </c>
      <c r="AL894" s="203">
        <v>0</v>
      </c>
      <c r="AM894" s="203">
        <v>0</v>
      </c>
      <c r="AN894" s="203"/>
      <c r="AO894" s="203">
        <v>0</v>
      </c>
    </row>
    <row r="895" spans="1:41" s="176" customFormat="1" ht="36" customHeight="1" x14ac:dyDescent="0.25">
      <c r="A895" s="176">
        <v>1</v>
      </c>
      <c r="B895" s="171">
        <f>SUBTOTAL(103,$A$552:A895)</f>
        <v>330</v>
      </c>
      <c r="C895" s="172" t="s">
        <v>239</v>
      </c>
      <c r="D895" s="173">
        <v>1972</v>
      </c>
      <c r="E895" s="173"/>
      <c r="F895" s="174" t="s">
        <v>267</v>
      </c>
      <c r="G895" s="173">
        <v>2</v>
      </c>
      <c r="H895" s="173" t="s">
        <v>312</v>
      </c>
      <c r="I895" s="177">
        <v>899</v>
      </c>
      <c r="J895" s="177">
        <v>845</v>
      </c>
      <c r="K895" s="177">
        <v>845</v>
      </c>
      <c r="L895" s="206">
        <v>54</v>
      </c>
      <c r="M895" s="173" t="s">
        <v>265</v>
      </c>
      <c r="N895" s="173" t="s">
        <v>269</v>
      </c>
      <c r="O895" s="175" t="s">
        <v>333</v>
      </c>
      <c r="P895" s="170">
        <v>3455722.06</v>
      </c>
      <c r="Q895" s="170">
        <v>0</v>
      </c>
      <c r="R895" s="170">
        <v>0</v>
      </c>
      <c r="S895" s="170">
        <f t="shared" si="158"/>
        <v>3455722.06</v>
      </c>
      <c r="T895" s="170">
        <f t="shared" si="149"/>
        <v>3843.9622469410456</v>
      </c>
      <c r="U895" s="170">
        <v>3861.9179999999997</v>
      </c>
      <c r="V895" s="202">
        <f t="shared" si="157"/>
        <v>17.955753058954087</v>
      </c>
      <c r="W895" s="202">
        <f t="shared" si="159"/>
        <v>9735.3996440489445</v>
      </c>
      <c r="X895" s="202">
        <v>0</v>
      </c>
      <c r="Y895" s="203">
        <v>0</v>
      </c>
      <c r="Z895" s="203">
        <v>0</v>
      </c>
      <c r="AA895" s="203">
        <v>0</v>
      </c>
      <c r="AB895" s="203">
        <v>0</v>
      </c>
      <c r="AC895" s="203">
        <v>0</v>
      </c>
      <c r="AD895" s="203">
        <v>0</v>
      </c>
      <c r="AE895" s="203">
        <v>0</v>
      </c>
      <c r="AF895" s="202">
        <v>0</v>
      </c>
      <c r="AG895" s="203">
        <v>0</v>
      </c>
      <c r="AH895" s="202">
        <v>0</v>
      </c>
      <c r="AI895" s="203">
        <v>0</v>
      </c>
      <c r="AJ895" s="202">
        <v>0</v>
      </c>
      <c r="AK895" s="203">
        <v>114</v>
      </c>
      <c r="AL895" s="202">
        <f>76773.02*AK895/I895</f>
        <v>9735.3996440489445</v>
      </c>
      <c r="AM895" s="203">
        <v>0</v>
      </c>
      <c r="AN895" s="203"/>
      <c r="AO895" s="203">
        <v>0</v>
      </c>
    </row>
    <row r="896" spans="1:41" s="176" customFormat="1" ht="36" customHeight="1" x14ac:dyDescent="0.25">
      <c r="A896" s="176">
        <v>1</v>
      </c>
      <c r="B896" s="171">
        <f>SUBTOTAL(103,$A$552:A896)</f>
        <v>331</v>
      </c>
      <c r="C896" s="172" t="s">
        <v>1201</v>
      </c>
      <c r="D896" s="173">
        <v>1977</v>
      </c>
      <c r="E896" s="173"/>
      <c r="F896" s="174" t="s">
        <v>267</v>
      </c>
      <c r="G896" s="173">
        <v>5</v>
      </c>
      <c r="H896" s="173" t="s">
        <v>304</v>
      </c>
      <c r="I896" s="177">
        <v>3019</v>
      </c>
      <c r="J896" s="177">
        <v>3019</v>
      </c>
      <c r="K896" s="177">
        <v>764.2</v>
      </c>
      <c r="L896" s="206">
        <v>333</v>
      </c>
      <c r="M896" s="173" t="s">
        <v>265</v>
      </c>
      <c r="N896" s="173" t="s">
        <v>269</v>
      </c>
      <c r="O896" s="175" t="s">
        <v>1300</v>
      </c>
      <c r="P896" s="170">
        <v>710500</v>
      </c>
      <c r="Q896" s="170">
        <v>0</v>
      </c>
      <c r="R896" s="170">
        <v>0</v>
      </c>
      <c r="S896" s="170">
        <f t="shared" si="158"/>
        <v>710500</v>
      </c>
      <c r="T896" s="170">
        <f t="shared" si="149"/>
        <v>235.34282875124214</v>
      </c>
      <c r="U896" s="170">
        <v>298.07</v>
      </c>
      <c r="V896" s="202">
        <f t="shared" si="157"/>
        <v>62.727171248757855</v>
      </c>
      <c r="W896" s="202">
        <f t="shared" si="159"/>
        <v>578.63358728055653</v>
      </c>
      <c r="X896" s="202">
        <v>0</v>
      </c>
      <c r="Y896" s="203">
        <v>0</v>
      </c>
      <c r="Z896" s="203">
        <v>0</v>
      </c>
      <c r="AA896" s="203">
        <v>0</v>
      </c>
      <c r="AB896" s="203">
        <v>0</v>
      </c>
      <c r="AC896" s="203">
        <v>0</v>
      </c>
      <c r="AD896" s="203">
        <v>0</v>
      </c>
      <c r="AE896" s="203">
        <v>280</v>
      </c>
      <c r="AF896" s="202">
        <f>6238.91*AE896/I896</f>
        <v>578.63358728055653</v>
      </c>
      <c r="AG896" s="203">
        <v>0</v>
      </c>
      <c r="AH896" s="202">
        <v>0</v>
      </c>
      <c r="AI896" s="203">
        <v>0</v>
      </c>
      <c r="AJ896" s="202">
        <v>0</v>
      </c>
      <c r="AK896" s="203">
        <v>0</v>
      </c>
      <c r="AL896" s="203">
        <v>0</v>
      </c>
      <c r="AM896" s="203">
        <v>0</v>
      </c>
      <c r="AN896" s="203"/>
      <c r="AO896" s="203">
        <v>0</v>
      </c>
    </row>
    <row r="897" spans="1:41" s="176" customFormat="1" ht="36" customHeight="1" x14ac:dyDescent="0.25">
      <c r="A897" s="176">
        <v>1</v>
      </c>
      <c r="B897" s="171">
        <f>SUBTOTAL(103,$A$552:A897)</f>
        <v>332</v>
      </c>
      <c r="C897" s="172" t="s">
        <v>1204</v>
      </c>
      <c r="D897" s="173">
        <v>1958</v>
      </c>
      <c r="E897" s="173"/>
      <c r="F897" s="174" t="s">
        <v>267</v>
      </c>
      <c r="G897" s="173">
        <v>2</v>
      </c>
      <c r="H897" s="173" t="s">
        <v>303</v>
      </c>
      <c r="I897" s="177">
        <v>482.5</v>
      </c>
      <c r="J897" s="177">
        <v>430.9</v>
      </c>
      <c r="K897" s="177">
        <v>367.4</v>
      </c>
      <c r="L897" s="206">
        <v>27</v>
      </c>
      <c r="M897" s="173" t="s">
        <v>265</v>
      </c>
      <c r="N897" s="173" t="s">
        <v>269</v>
      </c>
      <c r="O897" s="175" t="s">
        <v>333</v>
      </c>
      <c r="P897" s="170">
        <v>1802551.0299999998</v>
      </c>
      <c r="Q897" s="170">
        <v>0</v>
      </c>
      <c r="R897" s="170">
        <v>0</v>
      </c>
      <c r="S897" s="170">
        <f t="shared" si="158"/>
        <v>1802551.0299999998</v>
      </c>
      <c r="T897" s="170">
        <f t="shared" si="149"/>
        <v>3735.8570569948183</v>
      </c>
      <c r="U897" s="170">
        <v>13413.400178238342</v>
      </c>
      <c r="V897" s="202">
        <f t="shared" si="157"/>
        <v>9677.5431212435233</v>
      </c>
      <c r="W897" s="202">
        <f t="shared" si="159"/>
        <v>18139.11767875648</v>
      </c>
      <c r="X897" s="202">
        <v>0</v>
      </c>
      <c r="Y897" s="203">
        <v>0</v>
      </c>
      <c r="Z897" s="203">
        <v>0</v>
      </c>
      <c r="AA897" s="203">
        <v>0</v>
      </c>
      <c r="AB897" s="203">
        <v>0</v>
      </c>
      <c r="AC897" s="203">
        <v>0</v>
      </c>
      <c r="AD897" s="203">
        <v>0</v>
      </c>
      <c r="AE897" s="203">
        <v>0</v>
      </c>
      <c r="AF897" s="202">
        <v>0</v>
      </c>
      <c r="AG897" s="203">
        <v>0</v>
      </c>
      <c r="AH897" s="202">
        <v>0</v>
      </c>
      <c r="AI897" s="203">
        <v>0</v>
      </c>
      <c r="AJ897" s="202">
        <v>0</v>
      </c>
      <c r="AK897" s="203">
        <v>114</v>
      </c>
      <c r="AL897" s="202">
        <f>76773.02*AK897/I897</f>
        <v>18139.11767875648</v>
      </c>
      <c r="AM897" s="203">
        <v>0</v>
      </c>
      <c r="AN897" s="203"/>
      <c r="AO897" s="203">
        <v>0</v>
      </c>
    </row>
    <row r="898" spans="1:41" s="176" customFormat="1" ht="36" customHeight="1" x14ac:dyDescent="0.25">
      <c r="A898" s="176">
        <v>1</v>
      </c>
      <c r="B898" s="171">
        <f>SUBTOTAL(103,$A$552:A898)</f>
        <v>333</v>
      </c>
      <c r="C898" s="172" t="s">
        <v>1570</v>
      </c>
      <c r="D898" s="173">
        <v>1958</v>
      </c>
      <c r="E898" s="173"/>
      <c r="F898" s="174" t="s">
        <v>330</v>
      </c>
      <c r="G898" s="173">
        <v>2</v>
      </c>
      <c r="H898" s="173" t="s">
        <v>304</v>
      </c>
      <c r="I898" s="170">
        <v>658</v>
      </c>
      <c r="J898" s="170">
        <v>250.1</v>
      </c>
      <c r="K898" s="170">
        <v>250.1</v>
      </c>
      <c r="L898" s="206">
        <v>21</v>
      </c>
      <c r="M898" s="173" t="s">
        <v>265</v>
      </c>
      <c r="N898" s="173" t="s">
        <v>269</v>
      </c>
      <c r="O898" s="175" t="s">
        <v>333</v>
      </c>
      <c r="P898" s="170">
        <v>1408973.31</v>
      </c>
      <c r="Q898" s="170">
        <v>0</v>
      </c>
      <c r="R898" s="170">
        <v>0</v>
      </c>
      <c r="S898" s="170">
        <f t="shared" si="158"/>
        <v>1408973.31</v>
      </c>
      <c r="T898" s="170">
        <f t="shared" si="149"/>
        <v>2141.2968237082068</v>
      </c>
      <c r="U898" s="170">
        <v>2285.4679848024316</v>
      </c>
      <c r="V898" s="202">
        <f t="shared" si="157"/>
        <v>144.17116109422477</v>
      </c>
      <c r="W898" s="202">
        <f t="shared" si="159"/>
        <v>6305.2813829787228</v>
      </c>
      <c r="X898" s="202">
        <v>0</v>
      </c>
      <c r="Y898" s="203">
        <v>0</v>
      </c>
      <c r="Z898" s="203">
        <v>0</v>
      </c>
      <c r="AA898" s="203">
        <v>0</v>
      </c>
      <c r="AB898" s="203">
        <v>0</v>
      </c>
      <c r="AC898" s="203">
        <v>0</v>
      </c>
      <c r="AD898" s="203">
        <v>0</v>
      </c>
      <c r="AE898" s="203">
        <v>665</v>
      </c>
      <c r="AF898" s="202">
        <f>6238.91*AE898/I898</f>
        <v>6305.2813829787228</v>
      </c>
      <c r="AG898" s="203">
        <v>0</v>
      </c>
      <c r="AH898" s="202">
        <v>0</v>
      </c>
      <c r="AI898" s="203">
        <v>0</v>
      </c>
      <c r="AJ898" s="202">
        <v>0</v>
      </c>
      <c r="AK898" s="203">
        <v>0</v>
      </c>
      <c r="AL898" s="203">
        <v>0</v>
      </c>
      <c r="AM898" s="203">
        <v>0</v>
      </c>
      <c r="AN898" s="203"/>
      <c r="AO898" s="203">
        <v>0</v>
      </c>
    </row>
    <row r="899" spans="1:41" s="176" customFormat="1" ht="36" customHeight="1" x14ac:dyDescent="0.25">
      <c r="B899" s="172" t="s">
        <v>1269</v>
      </c>
      <c r="C899" s="172"/>
      <c r="D899" s="173" t="s">
        <v>882</v>
      </c>
      <c r="E899" s="173" t="s">
        <v>882</v>
      </c>
      <c r="F899" s="173" t="s">
        <v>882</v>
      </c>
      <c r="G899" s="173" t="s">
        <v>882</v>
      </c>
      <c r="H899" s="173" t="s">
        <v>882</v>
      </c>
      <c r="I899" s="177">
        <f>SUM(I900:I901)</f>
        <v>1813.6000000000001</v>
      </c>
      <c r="J899" s="177">
        <f>SUM(J900:J901)</f>
        <v>1627.1000000000001</v>
      </c>
      <c r="K899" s="177">
        <f>SUM(K900:K901)</f>
        <v>1572.5000000000002</v>
      </c>
      <c r="L899" s="357">
        <f>SUM(L900:L901)</f>
        <v>68</v>
      </c>
      <c r="M899" s="173" t="s">
        <v>882</v>
      </c>
      <c r="N899" s="173" t="s">
        <v>882</v>
      </c>
      <c r="O899" s="175" t="s">
        <v>882</v>
      </c>
      <c r="P899" s="170">
        <v>5970247.5199999996</v>
      </c>
      <c r="Q899" s="170">
        <f>SUM(Q900:Q901)</f>
        <v>0</v>
      </c>
      <c r="R899" s="170">
        <f>SUM(R900:R901)</f>
        <v>0</v>
      </c>
      <c r="S899" s="170">
        <f>SUM(S900:S901)</f>
        <v>5970247.5199999996</v>
      </c>
      <c r="T899" s="170">
        <f t="shared" si="149"/>
        <v>3291.9318041464485</v>
      </c>
      <c r="U899" s="170">
        <f>MAX(U900:U901)</f>
        <v>7527.0909833061887</v>
      </c>
      <c r="V899" s="202">
        <f t="shared" si="157"/>
        <v>4235.1591791597402</v>
      </c>
      <c r="W899" s="202"/>
      <c r="X899" s="202"/>
      <c r="Y899" s="203"/>
      <c r="Z899" s="203"/>
      <c r="AA899" s="203"/>
      <c r="AB899" s="203"/>
      <c r="AC899" s="203"/>
      <c r="AD899" s="203"/>
      <c r="AE899" s="203"/>
      <c r="AF899" s="203"/>
      <c r="AG899" s="203"/>
      <c r="AH899" s="203"/>
      <c r="AI899" s="203"/>
      <c r="AJ899" s="203"/>
      <c r="AK899" s="203"/>
      <c r="AL899" s="203"/>
      <c r="AM899" s="203"/>
      <c r="AN899" s="203"/>
      <c r="AO899" s="203"/>
    </row>
    <row r="900" spans="1:41" s="176" customFormat="1" ht="36" customHeight="1" x14ac:dyDescent="0.25">
      <c r="A900" s="176">
        <v>1</v>
      </c>
      <c r="B900" s="171">
        <f>SUBTOTAL(103,$A$552:A900)</f>
        <v>334</v>
      </c>
      <c r="C900" s="172" t="s">
        <v>1270</v>
      </c>
      <c r="D900" s="173">
        <v>1981</v>
      </c>
      <c r="E900" s="173"/>
      <c r="F900" s="174" t="s">
        <v>318</v>
      </c>
      <c r="G900" s="173">
        <v>2</v>
      </c>
      <c r="H900" s="173" t="s">
        <v>308</v>
      </c>
      <c r="I900" s="177">
        <v>1322.4</v>
      </c>
      <c r="J900" s="177">
        <v>1191.4000000000001</v>
      </c>
      <c r="K900" s="177">
        <v>1136.8000000000002</v>
      </c>
      <c r="L900" s="206">
        <v>36</v>
      </c>
      <c r="M900" s="173" t="s">
        <v>265</v>
      </c>
      <c r="N900" s="173" t="s">
        <v>266</v>
      </c>
      <c r="O900" s="175" t="s">
        <v>268</v>
      </c>
      <c r="P900" s="170">
        <v>3233020.45</v>
      </c>
      <c r="Q900" s="170">
        <v>0</v>
      </c>
      <c r="R900" s="170">
        <v>0</v>
      </c>
      <c r="S900" s="170">
        <f>P900-Q900-R900</f>
        <v>3233020.45</v>
      </c>
      <c r="T900" s="170">
        <f t="shared" si="149"/>
        <v>2444.8128024803386</v>
      </c>
      <c r="U900" s="170">
        <v>4970.2106470054441</v>
      </c>
      <c r="V900" s="202">
        <f t="shared" si="157"/>
        <v>2525.3978445251055</v>
      </c>
      <c r="W900" s="202">
        <f>X900+Y900+Z900+AA900+AB900+AD900+AF900+AH900+AJ900+AL900+AN900+AO900</f>
        <v>4970.2106470054441</v>
      </c>
      <c r="X900" s="202">
        <v>0</v>
      </c>
      <c r="Y900" s="203">
        <v>0</v>
      </c>
      <c r="Z900" s="203">
        <v>0</v>
      </c>
      <c r="AA900" s="203">
        <v>0</v>
      </c>
      <c r="AB900" s="203">
        <v>0</v>
      </c>
      <c r="AC900" s="203">
        <v>0</v>
      </c>
      <c r="AD900" s="203">
        <v>0</v>
      </c>
      <c r="AE900" s="203">
        <v>0</v>
      </c>
      <c r="AF900" s="202">
        <v>0</v>
      </c>
      <c r="AG900" s="203">
        <v>0</v>
      </c>
      <c r="AH900" s="202">
        <v>0</v>
      </c>
      <c r="AI900" s="203">
        <v>842.36</v>
      </c>
      <c r="AJ900" s="202">
        <f>7802.61*AI900/I900</f>
        <v>4970.2106470054441</v>
      </c>
      <c r="AK900" s="203">
        <v>0</v>
      </c>
      <c r="AL900" s="203">
        <v>0</v>
      </c>
      <c r="AM900" s="203">
        <v>0</v>
      </c>
      <c r="AN900" s="203"/>
      <c r="AO900" s="203">
        <v>0</v>
      </c>
    </row>
    <row r="901" spans="1:41" s="176" customFormat="1" ht="36" customHeight="1" x14ac:dyDescent="0.25">
      <c r="A901" s="176">
        <v>1</v>
      </c>
      <c r="B901" s="171">
        <f>SUBTOTAL(103,$A$552:A901)</f>
        <v>335</v>
      </c>
      <c r="C901" s="172" t="s">
        <v>1207</v>
      </c>
      <c r="D901" s="173">
        <v>1967</v>
      </c>
      <c r="E901" s="173"/>
      <c r="F901" s="174" t="s">
        <v>267</v>
      </c>
      <c r="G901" s="173">
        <v>2</v>
      </c>
      <c r="H901" s="173" t="s">
        <v>303</v>
      </c>
      <c r="I901" s="170">
        <v>491.2</v>
      </c>
      <c r="J901" s="170">
        <v>435.7</v>
      </c>
      <c r="K901" s="170">
        <v>435.7</v>
      </c>
      <c r="L901" s="206">
        <v>32</v>
      </c>
      <c r="M901" s="173" t="s">
        <v>265</v>
      </c>
      <c r="N901" s="173" t="s">
        <v>266</v>
      </c>
      <c r="O901" s="175" t="s">
        <v>268</v>
      </c>
      <c r="P901" s="170">
        <v>2737227.07</v>
      </c>
      <c r="Q901" s="170">
        <v>0</v>
      </c>
      <c r="R901" s="170">
        <v>0</v>
      </c>
      <c r="S901" s="170">
        <f>P901-Q901-R901</f>
        <v>2737227.07</v>
      </c>
      <c r="T901" s="170">
        <f t="shared" ref="T901:T966" si="160">P901/I901</f>
        <v>5572.5306799674263</v>
      </c>
      <c r="U901" s="170">
        <v>7527.0909833061887</v>
      </c>
      <c r="V901" s="202">
        <f t="shared" si="157"/>
        <v>1954.5603033387624</v>
      </c>
      <c r="W901" s="202">
        <f>X901+Y901+Z901+AA901+AB901+AD901+AF901+AH901+AJ901+AL901+AN901+AO901</f>
        <v>7526.9395358306192</v>
      </c>
      <c r="X901" s="202">
        <v>0</v>
      </c>
      <c r="Y901" s="203">
        <v>0</v>
      </c>
      <c r="Z901" s="203">
        <v>0</v>
      </c>
      <c r="AA901" s="203">
        <v>0</v>
      </c>
      <c r="AB901" s="203">
        <v>0</v>
      </c>
      <c r="AC901" s="203">
        <v>0</v>
      </c>
      <c r="AD901" s="203">
        <v>0</v>
      </c>
      <c r="AE901" s="203">
        <v>0</v>
      </c>
      <c r="AF901" s="202">
        <v>0</v>
      </c>
      <c r="AG901" s="203">
        <v>0</v>
      </c>
      <c r="AH901" s="202">
        <v>0</v>
      </c>
      <c r="AI901" s="203">
        <v>497</v>
      </c>
      <c r="AJ901" s="202">
        <f>7439.1*AI901/I901</f>
        <v>7526.9395358306192</v>
      </c>
      <c r="AK901" s="203">
        <v>0</v>
      </c>
      <c r="AL901" s="203">
        <v>0</v>
      </c>
      <c r="AM901" s="203">
        <v>0</v>
      </c>
      <c r="AN901" s="203"/>
      <c r="AO901" s="203">
        <v>0</v>
      </c>
    </row>
    <row r="902" spans="1:41" s="176" customFormat="1" ht="36" customHeight="1" x14ac:dyDescent="0.25">
      <c r="B902" s="172" t="s">
        <v>817</v>
      </c>
      <c r="C902" s="172"/>
      <c r="D902" s="173" t="s">
        <v>882</v>
      </c>
      <c r="E902" s="173" t="s">
        <v>882</v>
      </c>
      <c r="F902" s="173" t="s">
        <v>882</v>
      </c>
      <c r="G902" s="173" t="s">
        <v>882</v>
      </c>
      <c r="H902" s="173" t="s">
        <v>882</v>
      </c>
      <c r="I902" s="177">
        <f>SUM(I903:I904)</f>
        <v>768.40000000000009</v>
      </c>
      <c r="J902" s="177">
        <f>SUM(J903:J904)</f>
        <v>694.8</v>
      </c>
      <c r="K902" s="177">
        <f>SUM(K903:K904)</f>
        <v>662.09999999999991</v>
      </c>
      <c r="L902" s="357">
        <f>SUM(L903:L904)</f>
        <v>34</v>
      </c>
      <c r="M902" s="173" t="s">
        <v>882</v>
      </c>
      <c r="N902" s="173" t="s">
        <v>882</v>
      </c>
      <c r="O902" s="175" t="s">
        <v>882</v>
      </c>
      <c r="P902" s="170">
        <v>1924810.92</v>
      </c>
      <c r="Q902" s="170">
        <f>SUM(Q903:Q904)</f>
        <v>0</v>
      </c>
      <c r="R902" s="170">
        <f>SUM(R903:R904)</f>
        <v>0</v>
      </c>
      <c r="S902" s="170">
        <f>SUM(S903:S904)</f>
        <v>1924810.92</v>
      </c>
      <c r="T902" s="170">
        <f t="shared" si="160"/>
        <v>2504.9595523165012</v>
      </c>
      <c r="U902" s="170">
        <f>MAX(U903:U904)</f>
        <v>8321.4112350182386</v>
      </c>
      <c r="V902" s="202">
        <f>U902-T902</f>
        <v>5816.4516827017378</v>
      </c>
      <c r="W902" s="202"/>
      <c r="X902" s="202"/>
      <c r="Y902" s="203"/>
      <c r="Z902" s="203"/>
      <c r="AA902" s="203"/>
      <c r="AB902" s="203"/>
      <c r="AC902" s="203"/>
      <c r="AD902" s="203"/>
      <c r="AE902" s="203"/>
      <c r="AF902" s="203"/>
      <c r="AG902" s="203"/>
      <c r="AH902" s="203"/>
      <c r="AI902" s="203"/>
      <c r="AJ902" s="203"/>
      <c r="AK902" s="203"/>
      <c r="AL902" s="203"/>
      <c r="AM902" s="203"/>
      <c r="AN902" s="203"/>
      <c r="AO902" s="203"/>
    </row>
    <row r="903" spans="1:41" s="176" customFormat="1" ht="36" customHeight="1" x14ac:dyDescent="0.25">
      <c r="A903" s="176">
        <v>1</v>
      </c>
      <c r="B903" s="171">
        <f>SUBTOTAL(103,$A$552:A903)</f>
        <v>336</v>
      </c>
      <c r="C903" s="172" t="s">
        <v>1208</v>
      </c>
      <c r="D903" s="173">
        <v>1973</v>
      </c>
      <c r="E903" s="173"/>
      <c r="F903" s="174" t="s">
        <v>267</v>
      </c>
      <c r="G903" s="173">
        <v>2</v>
      </c>
      <c r="H903" s="173" t="s">
        <v>304</v>
      </c>
      <c r="I903" s="170">
        <v>383.8</v>
      </c>
      <c r="J903" s="170">
        <v>334.9</v>
      </c>
      <c r="K903" s="170">
        <v>302.2</v>
      </c>
      <c r="L903" s="206">
        <v>16</v>
      </c>
      <c r="M903" s="173" t="s">
        <v>265</v>
      </c>
      <c r="N903" s="173" t="s">
        <v>266</v>
      </c>
      <c r="O903" s="175" t="s">
        <v>268</v>
      </c>
      <c r="P903" s="170">
        <v>383818.77</v>
      </c>
      <c r="Q903" s="170">
        <v>0</v>
      </c>
      <c r="R903" s="170">
        <v>0</v>
      </c>
      <c r="S903" s="170">
        <f>P903-Q903-R903</f>
        <v>383818.77</v>
      </c>
      <c r="T903" s="170">
        <f t="shared" si="160"/>
        <v>1000.0489056800417</v>
      </c>
      <c r="U903" s="170">
        <v>8321.4112350182386</v>
      </c>
      <c r="V903" s="202">
        <f>U903-T903</f>
        <v>7321.362329338197</v>
      </c>
      <c r="W903" s="202">
        <f>X903+Y903+Z903+AA903+AB903+AD903+AF903+AH903+AJ903+AL903+AN903+AO903</f>
        <v>9633.2274622199056</v>
      </c>
      <c r="X903" s="202">
        <v>0</v>
      </c>
      <c r="Y903" s="203">
        <v>0</v>
      </c>
      <c r="Z903" s="203">
        <v>0</v>
      </c>
      <c r="AA903" s="203">
        <v>0</v>
      </c>
      <c r="AB903" s="203">
        <v>0</v>
      </c>
      <c r="AC903" s="203">
        <v>0</v>
      </c>
      <c r="AD903" s="203">
        <v>0</v>
      </c>
      <c r="AE903" s="203">
        <v>0</v>
      </c>
      <c r="AF903" s="202">
        <v>0</v>
      </c>
      <c r="AG903" s="203">
        <v>0</v>
      </c>
      <c r="AH903" s="202">
        <v>0</v>
      </c>
      <c r="AI903" s="203">
        <v>497</v>
      </c>
      <c r="AJ903" s="202">
        <f>7439.1*AI903/I903</f>
        <v>9633.2274622199056</v>
      </c>
      <c r="AK903" s="203">
        <v>0</v>
      </c>
      <c r="AL903" s="203">
        <v>0</v>
      </c>
      <c r="AM903" s="203">
        <v>0</v>
      </c>
      <c r="AN903" s="203"/>
      <c r="AO903" s="203">
        <v>0</v>
      </c>
    </row>
    <row r="904" spans="1:41" s="176" customFormat="1" ht="36" customHeight="1" x14ac:dyDescent="0.25">
      <c r="A904" s="176">
        <v>1</v>
      </c>
      <c r="B904" s="171">
        <f>SUBTOTAL(103,$A$552:A904)</f>
        <v>337</v>
      </c>
      <c r="C904" s="172" t="s">
        <v>244</v>
      </c>
      <c r="D904" s="173">
        <v>1969</v>
      </c>
      <c r="E904" s="173"/>
      <c r="F904" s="174" t="s">
        <v>267</v>
      </c>
      <c r="G904" s="173">
        <v>2</v>
      </c>
      <c r="H904" s="173" t="s">
        <v>304</v>
      </c>
      <c r="I904" s="170">
        <v>384.6</v>
      </c>
      <c r="J904" s="170">
        <v>359.9</v>
      </c>
      <c r="K904" s="170">
        <v>359.9</v>
      </c>
      <c r="L904" s="206">
        <v>18</v>
      </c>
      <c r="M904" s="173" t="s">
        <v>265</v>
      </c>
      <c r="N904" s="173" t="s">
        <v>266</v>
      </c>
      <c r="O904" s="175" t="s">
        <v>268</v>
      </c>
      <c r="P904" s="170">
        <v>1540992.15</v>
      </c>
      <c r="Q904" s="170">
        <v>0</v>
      </c>
      <c r="R904" s="170">
        <v>0</v>
      </c>
      <c r="S904" s="170">
        <f>P904-Q904-R904</f>
        <v>1540992.15</v>
      </c>
      <c r="T904" s="170">
        <f t="shared" si="160"/>
        <v>4006.7398595943832</v>
      </c>
      <c r="U904" s="170">
        <v>7139.2922776911082</v>
      </c>
      <c r="V904" s="202">
        <f>U904-T904</f>
        <v>3132.552418096725</v>
      </c>
      <c r="W904" s="202">
        <f>X904+Y904+Z904+AA904+AB904+AD904+AF904+AH904+AJ904+AL904+AN904+AO904</f>
        <v>9613.1895475819038</v>
      </c>
      <c r="X904" s="202">
        <v>0</v>
      </c>
      <c r="Y904" s="203">
        <v>0</v>
      </c>
      <c r="Z904" s="203">
        <v>0</v>
      </c>
      <c r="AA904" s="203">
        <v>0</v>
      </c>
      <c r="AB904" s="203">
        <v>0</v>
      </c>
      <c r="AC904" s="203">
        <v>0</v>
      </c>
      <c r="AD904" s="203">
        <v>0</v>
      </c>
      <c r="AE904" s="203">
        <v>0</v>
      </c>
      <c r="AF904" s="202">
        <v>0</v>
      </c>
      <c r="AG904" s="203">
        <v>0</v>
      </c>
      <c r="AH904" s="202">
        <v>0</v>
      </c>
      <c r="AI904" s="203">
        <v>497</v>
      </c>
      <c r="AJ904" s="202">
        <f>7439.1*AI904/I904</f>
        <v>9613.1895475819038</v>
      </c>
      <c r="AK904" s="203">
        <v>0</v>
      </c>
      <c r="AL904" s="203">
        <v>0</v>
      </c>
      <c r="AM904" s="203">
        <v>0</v>
      </c>
      <c r="AN904" s="203"/>
      <c r="AO904" s="203">
        <v>0</v>
      </c>
    </row>
    <row r="905" spans="1:41" s="176" customFormat="1" ht="36" customHeight="1" x14ac:dyDescent="0.25">
      <c r="B905" s="172" t="s">
        <v>859</v>
      </c>
      <c r="C905" s="172"/>
      <c r="D905" s="173" t="s">
        <v>882</v>
      </c>
      <c r="E905" s="173" t="s">
        <v>882</v>
      </c>
      <c r="F905" s="173" t="s">
        <v>882</v>
      </c>
      <c r="G905" s="173" t="s">
        <v>882</v>
      </c>
      <c r="H905" s="173" t="s">
        <v>882</v>
      </c>
      <c r="I905" s="177">
        <f>I906</f>
        <v>924.3</v>
      </c>
      <c r="J905" s="177">
        <f>J906</f>
        <v>558.9</v>
      </c>
      <c r="K905" s="177">
        <f>K906</f>
        <v>527.1</v>
      </c>
      <c r="L905" s="357">
        <f>L906</f>
        <v>22</v>
      </c>
      <c r="M905" s="173" t="s">
        <v>882</v>
      </c>
      <c r="N905" s="173" t="s">
        <v>882</v>
      </c>
      <c r="O905" s="175" t="s">
        <v>882</v>
      </c>
      <c r="P905" s="170">
        <v>2192210.02</v>
      </c>
      <c r="Q905" s="170">
        <f>Q906</f>
        <v>0</v>
      </c>
      <c r="R905" s="170">
        <f>R906</f>
        <v>0</v>
      </c>
      <c r="S905" s="170">
        <f>S906</f>
        <v>2192210.02</v>
      </c>
      <c r="T905" s="170">
        <f t="shared" si="160"/>
        <v>2371.7516174402253</v>
      </c>
      <c r="U905" s="170">
        <f>U906</f>
        <v>3079.3395715676725</v>
      </c>
      <c r="V905" s="202">
        <f t="shared" si="157"/>
        <v>707.58795412744712</v>
      </c>
      <c r="W905" s="202"/>
      <c r="X905" s="202"/>
      <c r="Y905" s="203"/>
      <c r="Z905" s="203"/>
      <c r="AA905" s="203"/>
      <c r="AB905" s="203"/>
      <c r="AC905" s="203"/>
      <c r="AD905" s="203"/>
      <c r="AE905" s="203"/>
      <c r="AF905" s="203"/>
      <c r="AG905" s="203"/>
      <c r="AH905" s="203"/>
      <c r="AI905" s="203"/>
      <c r="AJ905" s="203"/>
      <c r="AK905" s="203"/>
      <c r="AL905" s="203"/>
      <c r="AM905" s="203"/>
      <c r="AN905" s="203"/>
      <c r="AO905" s="203"/>
    </row>
    <row r="906" spans="1:41" s="176" customFormat="1" ht="36" customHeight="1" x14ac:dyDescent="0.25">
      <c r="A906" s="176">
        <v>1</v>
      </c>
      <c r="B906" s="171">
        <f>SUBTOTAL(103,$A$552:A906)</f>
        <v>338</v>
      </c>
      <c r="C906" s="172" t="s">
        <v>242</v>
      </c>
      <c r="D906" s="173">
        <v>1986</v>
      </c>
      <c r="E906" s="173"/>
      <c r="F906" s="174" t="s">
        <v>311</v>
      </c>
      <c r="G906" s="173">
        <v>2</v>
      </c>
      <c r="H906" s="173" t="s">
        <v>303</v>
      </c>
      <c r="I906" s="177">
        <v>924.3</v>
      </c>
      <c r="J906" s="177">
        <v>558.9</v>
      </c>
      <c r="K906" s="177">
        <v>527.1</v>
      </c>
      <c r="L906" s="206">
        <v>22</v>
      </c>
      <c r="M906" s="173" t="s">
        <v>265</v>
      </c>
      <c r="N906" s="173" t="s">
        <v>266</v>
      </c>
      <c r="O906" s="175" t="s">
        <v>268</v>
      </c>
      <c r="P906" s="170">
        <v>2192210.02</v>
      </c>
      <c r="Q906" s="170">
        <v>0</v>
      </c>
      <c r="R906" s="170">
        <v>0</v>
      </c>
      <c r="S906" s="170">
        <f>P906-Q906-R906</f>
        <v>2192210.02</v>
      </c>
      <c r="T906" s="170">
        <f t="shared" si="160"/>
        <v>2371.7516174402253</v>
      </c>
      <c r="U906" s="170">
        <v>3079.3395715676725</v>
      </c>
      <c r="V906" s="202">
        <f>U906-T906</f>
        <v>707.58795412744712</v>
      </c>
      <c r="W906" s="202">
        <f>X906+Y906+Z906+AA906+AB906+AD906+AF906+AH906+AJ906+AL906+AN906+AO906</f>
        <v>2984.7949821486532</v>
      </c>
      <c r="X906" s="202">
        <v>0</v>
      </c>
      <c r="Y906" s="203">
        <v>0</v>
      </c>
      <c r="Z906" s="203">
        <v>0</v>
      </c>
      <c r="AA906" s="203">
        <v>0</v>
      </c>
      <c r="AB906" s="203">
        <v>0</v>
      </c>
      <c r="AC906" s="203">
        <v>0</v>
      </c>
      <c r="AD906" s="203">
        <v>0</v>
      </c>
      <c r="AE906" s="203">
        <v>442.2</v>
      </c>
      <c r="AF906" s="202">
        <f>6238.91*AE906/I906</f>
        <v>2984.7949821486532</v>
      </c>
      <c r="AG906" s="203">
        <v>0</v>
      </c>
      <c r="AH906" s="202">
        <v>0</v>
      </c>
      <c r="AI906" s="203">
        <v>0</v>
      </c>
      <c r="AJ906" s="202">
        <v>0</v>
      </c>
      <c r="AK906" s="203">
        <v>0</v>
      </c>
      <c r="AL906" s="203">
        <v>0</v>
      </c>
      <c r="AM906" s="203">
        <v>0</v>
      </c>
      <c r="AN906" s="203"/>
      <c r="AO906" s="203">
        <v>0</v>
      </c>
    </row>
    <row r="907" spans="1:41" s="176" customFormat="1" ht="36" customHeight="1" x14ac:dyDescent="0.25">
      <c r="B907" s="172" t="s">
        <v>819</v>
      </c>
      <c r="C907" s="361"/>
      <c r="D907" s="173" t="s">
        <v>882</v>
      </c>
      <c r="E907" s="173" t="s">
        <v>882</v>
      </c>
      <c r="F907" s="173" t="s">
        <v>882</v>
      </c>
      <c r="G907" s="173" t="s">
        <v>882</v>
      </c>
      <c r="H907" s="173" t="s">
        <v>882</v>
      </c>
      <c r="I907" s="177">
        <f>I908</f>
        <v>467.8</v>
      </c>
      <c r="J907" s="177">
        <f>J908</f>
        <v>430.5</v>
      </c>
      <c r="K907" s="177">
        <f>K908</f>
        <v>430.5</v>
      </c>
      <c r="L907" s="357">
        <f>L908</f>
        <v>24</v>
      </c>
      <c r="M907" s="173" t="s">
        <v>882</v>
      </c>
      <c r="N907" s="173" t="s">
        <v>882</v>
      </c>
      <c r="O907" s="175" t="s">
        <v>882</v>
      </c>
      <c r="P907" s="170">
        <v>2683618.7999999998</v>
      </c>
      <c r="Q907" s="170">
        <f>Q908</f>
        <v>0</v>
      </c>
      <c r="R907" s="170">
        <f>R908</f>
        <v>0</v>
      </c>
      <c r="S907" s="170">
        <f>S908</f>
        <v>2683618.7999999998</v>
      </c>
      <c r="T907" s="170">
        <f t="shared" si="160"/>
        <v>5736.6797776827698</v>
      </c>
      <c r="U907" s="170">
        <f>U908</f>
        <v>5820.120115433946</v>
      </c>
      <c r="V907" s="202">
        <f>U907-T907</f>
        <v>83.44033775117623</v>
      </c>
      <c r="W907" s="202"/>
      <c r="X907" s="202"/>
      <c r="Y907" s="203"/>
      <c r="Z907" s="203"/>
      <c r="AA907" s="203"/>
      <c r="AB907" s="203"/>
      <c r="AC907" s="203"/>
      <c r="AD907" s="203"/>
      <c r="AE907" s="203"/>
      <c r="AF907" s="203"/>
      <c r="AG907" s="203"/>
      <c r="AH907" s="203"/>
      <c r="AI907" s="203"/>
      <c r="AJ907" s="203"/>
      <c r="AK907" s="203"/>
      <c r="AL907" s="203"/>
      <c r="AM907" s="203"/>
      <c r="AN907" s="203"/>
      <c r="AO907" s="203"/>
    </row>
    <row r="908" spans="1:41" s="176" customFormat="1" ht="36" customHeight="1" x14ac:dyDescent="0.25">
      <c r="A908" s="176">
        <v>1</v>
      </c>
      <c r="B908" s="171">
        <f>SUBTOTAL(103,$A$552:A908)</f>
        <v>339</v>
      </c>
      <c r="C908" s="362" t="s">
        <v>2271</v>
      </c>
      <c r="D908" s="173">
        <v>1980</v>
      </c>
      <c r="E908" s="173"/>
      <c r="F908" s="174" t="s">
        <v>267</v>
      </c>
      <c r="G908" s="173">
        <v>2</v>
      </c>
      <c r="H908" s="173">
        <v>1</v>
      </c>
      <c r="I908" s="177">
        <v>467.8</v>
      </c>
      <c r="J908" s="177">
        <v>430.5</v>
      </c>
      <c r="K908" s="177">
        <v>430.5</v>
      </c>
      <c r="L908" s="206">
        <v>24</v>
      </c>
      <c r="M908" s="173" t="s">
        <v>265</v>
      </c>
      <c r="N908" s="173" t="s">
        <v>266</v>
      </c>
      <c r="O908" s="175" t="s">
        <v>268</v>
      </c>
      <c r="P908" s="170">
        <v>2683618.7999999998</v>
      </c>
      <c r="Q908" s="170">
        <v>0</v>
      </c>
      <c r="R908" s="170">
        <v>0</v>
      </c>
      <c r="S908" s="170">
        <f>P908-Q908-R908</f>
        <v>2683618.7999999998</v>
      </c>
      <c r="T908" s="170">
        <f t="shared" si="160"/>
        <v>5736.6797776827698</v>
      </c>
      <c r="U908" s="170">
        <v>5820.120115433946</v>
      </c>
      <c r="V908" s="202">
        <f>U908-T908</f>
        <v>83.44033775117623</v>
      </c>
      <c r="W908" s="202">
        <f>X908+Y908+Z908+AA908+AB908+AD908+AF908+AH908+AJ908+AL908+AN908+AO908</f>
        <v>6668.3518597691318</v>
      </c>
      <c r="X908" s="202">
        <v>0</v>
      </c>
      <c r="Y908" s="203">
        <v>0</v>
      </c>
      <c r="Z908" s="203">
        <v>0</v>
      </c>
      <c r="AA908" s="203">
        <v>0</v>
      </c>
      <c r="AB908" s="203">
        <v>0</v>
      </c>
      <c r="AC908" s="203">
        <v>0</v>
      </c>
      <c r="AD908" s="203">
        <v>0</v>
      </c>
      <c r="AE908" s="203">
        <v>500</v>
      </c>
      <c r="AF908" s="202">
        <f>6238.91*AE908/I908</f>
        <v>6668.3518597691318</v>
      </c>
      <c r="AG908" s="203">
        <v>0</v>
      </c>
      <c r="AH908" s="202">
        <v>0</v>
      </c>
      <c r="AI908" s="203">
        <v>0</v>
      </c>
      <c r="AJ908" s="202">
        <v>0</v>
      </c>
      <c r="AK908" s="203">
        <v>0</v>
      </c>
      <c r="AL908" s="203">
        <v>0</v>
      </c>
      <c r="AM908" s="203">
        <v>0</v>
      </c>
      <c r="AN908" s="203"/>
      <c r="AO908" s="203">
        <v>0</v>
      </c>
    </row>
    <row r="909" spans="1:41" s="176" customFormat="1" ht="36" customHeight="1" x14ac:dyDescent="0.25">
      <c r="B909" s="172" t="s">
        <v>860</v>
      </c>
      <c r="C909" s="361"/>
      <c r="D909" s="173" t="s">
        <v>882</v>
      </c>
      <c r="E909" s="173" t="s">
        <v>882</v>
      </c>
      <c r="F909" s="173" t="s">
        <v>882</v>
      </c>
      <c r="G909" s="173" t="s">
        <v>882</v>
      </c>
      <c r="H909" s="173" t="s">
        <v>882</v>
      </c>
      <c r="I909" s="177">
        <f>I910</f>
        <v>672</v>
      </c>
      <c r="J909" s="177">
        <f>J910</f>
        <v>625.9</v>
      </c>
      <c r="K909" s="177">
        <f>K910</f>
        <v>453.4</v>
      </c>
      <c r="L909" s="357">
        <f>L910</f>
        <v>35</v>
      </c>
      <c r="M909" s="173" t="s">
        <v>882</v>
      </c>
      <c r="N909" s="173" t="s">
        <v>882</v>
      </c>
      <c r="O909" s="175" t="s">
        <v>882</v>
      </c>
      <c r="P909" s="170">
        <v>2610900</v>
      </c>
      <c r="Q909" s="170">
        <f>Q910</f>
        <v>0</v>
      </c>
      <c r="R909" s="170">
        <f>R910</f>
        <v>0</v>
      </c>
      <c r="S909" s="170">
        <f>S910</f>
        <v>2610900</v>
      </c>
      <c r="T909" s="170">
        <f t="shared" si="160"/>
        <v>3885.2678571428573</v>
      </c>
      <c r="U909" s="170">
        <f>U910</f>
        <v>4789.0848214285716</v>
      </c>
      <c r="V909" s="202">
        <f t="shared" si="157"/>
        <v>903.81696428571422</v>
      </c>
      <c r="W909" s="202"/>
      <c r="X909" s="202"/>
      <c r="Y909" s="203"/>
      <c r="Z909" s="203"/>
      <c r="AA909" s="203"/>
      <c r="AB909" s="203"/>
      <c r="AC909" s="203"/>
      <c r="AD909" s="203"/>
      <c r="AE909" s="203"/>
      <c r="AF909" s="203"/>
      <c r="AG909" s="203"/>
      <c r="AH909" s="203"/>
      <c r="AI909" s="203"/>
      <c r="AJ909" s="203"/>
      <c r="AK909" s="203"/>
      <c r="AL909" s="203"/>
      <c r="AM909" s="203"/>
      <c r="AN909" s="203"/>
      <c r="AO909" s="203"/>
    </row>
    <row r="910" spans="1:41" s="176" customFormat="1" ht="36" customHeight="1" x14ac:dyDescent="0.25">
      <c r="A910" s="176">
        <v>1</v>
      </c>
      <c r="B910" s="171">
        <f>SUBTOTAL(103,$A$552:A910)</f>
        <v>340</v>
      </c>
      <c r="C910" s="362" t="s">
        <v>2</v>
      </c>
      <c r="D910" s="173">
        <v>1963</v>
      </c>
      <c r="E910" s="173"/>
      <c r="F910" s="174" t="s">
        <v>267</v>
      </c>
      <c r="G910" s="173">
        <v>2</v>
      </c>
      <c r="H910" s="173" t="s">
        <v>303</v>
      </c>
      <c r="I910" s="177">
        <v>672</v>
      </c>
      <c r="J910" s="177">
        <v>625.9</v>
      </c>
      <c r="K910" s="177">
        <v>453.4</v>
      </c>
      <c r="L910" s="206">
        <v>35</v>
      </c>
      <c r="M910" s="173" t="s">
        <v>265</v>
      </c>
      <c r="N910" s="173" t="s">
        <v>266</v>
      </c>
      <c r="O910" s="175" t="s">
        <v>268</v>
      </c>
      <c r="P910" s="170">
        <v>2610900</v>
      </c>
      <c r="Q910" s="170">
        <v>0</v>
      </c>
      <c r="R910" s="170">
        <v>0</v>
      </c>
      <c r="S910" s="170">
        <f>P910-Q910-R910</f>
        <v>2610900</v>
      </c>
      <c r="T910" s="170">
        <f t="shared" si="160"/>
        <v>3885.2678571428573</v>
      </c>
      <c r="U910" s="170">
        <v>4789.0848214285716</v>
      </c>
      <c r="V910" s="202">
        <f>U910-T910</f>
        <v>903.81696428571422</v>
      </c>
      <c r="W910" s="202">
        <f>X910+Y910+Z910+AA910+AB910+AD910+AF910+AH910+AJ910+AL910+AN910+AO910</f>
        <v>4642.0461309523807</v>
      </c>
      <c r="X910" s="202">
        <v>0</v>
      </c>
      <c r="Y910" s="203">
        <v>0</v>
      </c>
      <c r="Z910" s="203">
        <v>0</v>
      </c>
      <c r="AA910" s="203">
        <v>0</v>
      </c>
      <c r="AB910" s="203">
        <v>0</v>
      </c>
      <c r="AC910" s="203">
        <v>0</v>
      </c>
      <c r="AD910" s="203">
        <v>0</v>
      </c>
      <c r="AE910" s="203">
        <v>500</v>
      </c>
      <c r="AF910" s="202">
        <f>6238.91*AE910/I910</f>
        <v>4642.0461309523807</v>
      </c>
      <c r="AG910" s="203">
        <v>0</v>
      </c>
      <c r="AH910" s="202">
        <v>0</v>
      </c>
      <c r="AI910" s="203">
        <v>0</v>
      </c>
      <c r="AJ910" s="202">
        <v>0</v>
      </c>
      <c r="AK910" s="203">
        <v>0</v>
      </c>
      <c r="AL910" s="203">
        <v>0</v>
      </c>
      <c r="AM910" s="203">
        <v>0</v>
      </c>
      <c r="AN910" s="203"/>
      <c r="AO910" s="203">
        <v>0</v>
      </c>
    </row>
    <row r="911" spans="1:41" s="176" customFormat="1" ht="36" customHeight="1" x14ac:dyDescent="0.25">
      <c r="B911" s="172" t="s">
        <v>861</v>
      </c>
      <c r="C911" s="362"/>
      <c r="D911" s="173" t="s">
        <v>882</v>
      </c>
      <c r="E911" s="173" t="s">
        <v>882</v>
      </c>
      <c r="F911" s="173" t="s">
        <v>882</v>
      </c>
      <c r="G911" s="173" t="s">
        <v>882</v>
      </c>
      <c r="H911" s="173" t="s">
        <v>882</v>
      </c>
      <c r="I911" s="177">
        <f>I912</f>
        <v>531.9</v>
      </c>
      <c r="J911" s="177">
        <f>J912</f>
        <v>471.5</v>
      </c>
      <c r="K911" s="177">
        <f>K912</f>
        <v>438.4</v>
      </c>
      <c r="L911" s="357">
        <f>L912</f>
        <v>14</v>
      </c>
      <c r="M911" s="173" t="s">
        <v>882</v>
      </c>
      <c r="N911" s="173" t="s">
        <v>882</v>
      </c>
      <c r="O911" s="175" t="s">
        <v>882</v>
      </c>
      <c r="P911" s="170">
        <v>3112313.47</v>
      </c>
      <c r="Q911" s="170">
        <f>Q912</f>
        <v>0</v>
      </c>
      <c r="R911" s="170">
        <f>R912</f>
        <v>0</v>
      </c>
      <c r="S911" s="170">
        <f>S912</f>
        <v>3112313.47</v>
      </c>
      <c r="T911" s="170">
        <f t="shared" si="160"/>
        <v>5851.3131603684906</v>
      </c>
      <c r="U911" s="170">
        <f>U912</f>
        <v>7260.6091370558379</v>
      </c>
      <c r="V911" s="202">
        <f t="shared" si="157"/>
        <v>1409.2959766873473</v>
      </c>
      <c r="W911" s="202"/>
      <c r="X911" s="202"/>
      <c r="Y911" s="203"/>
      <c r="Z911" s="203"/>
      <c r="AA911" s="203"/>
      <c r="AB911" s="203"/>
      <c r="AC911" s="203"/>
      <c r="AD911" s="203"/>
      <c r="AE911" s="203"/>
      <c r="AF911" s="203"/>
      <c r="AG911" s="203"/>
      <c r="AH911" s="203"/>
      <c r="AI911" s="203"/>
      <c r="AJ911" s="203"/>
      <c r="AK911" s="203"/>
      <c r="AL911" s="203"/>
      <c r="AM911" s="203"/>
      <c r="AN911" s="203"/>
      <c r="AO911" s="203"/>
    </row>
    <row r="912" spans="1:41" s="176" customFormat="1" ht="36" customHeight="1" x14ac:dyDescent="0.25">
      <c r="A912" s="176">
        <v>1</v>
      </c>
      <c r="B912" s="171">
        <f>SUBTOTAL(103,$A$552:A912)</f>
        <v>341</v>
      </c>
      <c r="C912" s="362" t="s">
        <v>1</v>
      </c>
      <c r="D912" s="173">
        <v>1962</v>
      </c>
      <c r="E912" s="173"/>
      <c r="F912" s="174" t="s">
        <v>267</v>
      </c>
      <c r="G912" s="173">
        <v>2</v>
      </c>
      <c r="H912" s="173" t="s">
        <v>303</v>
      </c>
      <c r="I912" s="177">
        <v>531.9</v>
      </c>
      <c r="J912" s="177">
        <v>471.5</v>
      </c>
      <c r="K912" s="177">
        <v>438.4</v>
      </c>
      <c r="L912" s="206">
        <v>14</v>
      </c>
      <c r="M912" s="173" t="s">
        <v>265</v>
      </c>
      <c r="N912" s="173" t="s">
        <v>266</v>
      </c>
      <c r="O912" s="175" t="s">
        <v>268</v>
      </c>
      <c r="P912" s="170">
        <v>3112313.47</v>
      </c>
      <c r="Q912" s="170">
        <v>0</v>
      </c>
      <c r="R912" s="170">
        <v>0</v>
      </c>
      <c r="S912" s="170">
        <f>P912-Q912-R912</f>
        <v>3112313.47</v>
      </c>
      <c r="T912" s="170">
        <f t="shared" si="160"/>
        <v>5851.3131603684906</v>
      </c>
      <c r="U912" s="170">
        <v>7260.6091370558379</v>
      </c>
      <c r="V912" s="202">
        <f>U912-T912</f>
        <v>1409.2959766873473</v>
      </c>
      <c r="W912" s="202">
        <f>X912+Y912+Z912+AA912+AB912+AD912+AF912+AH912+AJ912+AL912+AN912+AO912</f>
        <v>7037.6875352509869</v>
      </c>
      <c r="X912" s="202">
        <v>0</v>
      </c>
      <c r="Y912" s="203">
        <v>0</v>
      </c>
      <c r="Z912" s="203">
        <v>0</v>
      </c>
      <c r="AA912" s="203">
        <v>0</v>
      </c>
      <c r="AB912" s="203">
        <v>0</v>
      </c>
      <c r="AC912" s="203">
        <v>0</v>
      </c>
      <c r="AD912" s="203">
        <v>0</v>
      </c>
      <c r="AE912" s="203">
        <v>600</v>
      </c>
      <c r="AF912" s="202">
        <f>6238.91*AE912/I912</f>
        <v>7037.6875352509869</v>
      </c>
      <c r="AG912" s="203">
        <v>0</v>
      </c>
      <c r="AH912" s="202">
        <v>0</v>
      </c>
      <c r="AI912" s="203">
        <v>0</v>
      </c>
      <c r="AJ912" s="202">
        <v>0</v>
      </c>
      <c r="AK912" s="203">
        <v>0</v>
      </c>
      <c r="AL912" s="203">
        <v>0</v>
      </c>
      <c r="AM912" s="203">
        <v>0</v>
      </c>
      <c r="AN912" s="203"/>
      <c r="AO912" s="203">
        <v>0</v>
      </c>
    </row>
    <row r="913" spans="1:41" s="176" customFormat="1" ht="36" customHeight="1" x14ac:dyDescent="0.25">
      <c r="B913" s="172" t="s">
        <v>2436</v>
      </c>
      <c r="C913" s="362"/>
      <c r="D913" s="173" t="s">
        <v>882</v>
      </c>
      <c r="E913" s="173" t="s">
        <v>882</v>
      </c>
      <c r="F913" s="173" t="s">
        <v>882</v>
      </c>
      <c r="G913" s="173" t="s">
        <v>882</v>
      </c>
      <c r="H913" s="173" t="s">
        <v>882</v>
      </c>
      <c r="I913" s="177">
        <f>I914</f>
        <v>886.1</v>
      </c>
      <c r="J913" s="177">
        <f>J914</f>
        <v>802.4</v>
      </c>
      <c r="K913" s="177">
        <f>K914</f>
        <v>743.5</v>
      </c>
      <c r="L913" s="357">
        <f>L914</f>
        <v>26</v>
      </c>
      <c r="M913" s="173" t="s">
        <v>882</v>
      </c>
      <c r="N913" s="173" t="s">
        <v>882</v>
      </c>
      <c r="O913" s="175" t="s">
        <v>882</v>
      </c>
      <c r="P913" s="170">
        <v>3560912.26</v>
      </c>
      <c r="Q913" s="170">
        <f>Q914</f>
        <v>0</v>
      </c>
      <c r="R913" s="170">
        <f>R914</f>
        <v>0</v>
      </c>
      <c r="S913" s="170">
        <f>S914</f>
        <v>3560912.26</v>
      </c>
      <c r="T913" s="170">
        <f>P913/I913</f>
        <v>4018.6347590565397</v>
      </c>
      <c r="U913" s="170">
        <f>U914</f>
        <v>4253.2975871797771</v>
      </c>
      <c r="V913" s="202">
        <f>U913-T913</f>
        <v>234.66282812323743</v>
      </c>
      <c r="W913" s="202"/>
      <c r="X913" s="202"/>
      <c r="Y913" s="203"/>
      <c r="Z913" s="203"/>
      <c r="AA913" s="203"/>
      <c r="AB913" s="203"/>
      <c r="AC913" s="203"/>
      <c r="AD913" s="203"/>
      <c r="AE913" s="203"/>
      <c r="AF913" s="203"/>
      <c r="AG913" s="203"/>
      <c r="AH913" s="203"/>
      <c r="AI913" s="203"/>
      <c r="AJ913" s="203"/>
      <c r="AK913" s="203"/>
      <c r="AL913" s="203"/>
      <c r="AM913" s="203"/>
      <c r="AN913" s="203"/>
      <c r="AO913" s="203"/>
    </row>
    <row r="914" spans="1:41" s="176" customFormat="1" ht="36" customHeight="1" x14ac:dyDescent="0.25">
      <c r="A914" s="176">
        <v>1</v>
      </c>
      <c r="B914" s="171">
        <f>SUBTOTAL(103,$A$552:A914)</f>
        <v>342</v>
      </c>
      <c r="C914" s="362" t="s">
        <v>2437</v>
      </c>
      <c r="D914" s="173">
        <v>1968</v>
      </c>
      <c r="E914" s="173"/>
      <c r="F914" s="174" t="s">
        <v>267</v>
      </c>
      <c r="G914" s="173">
        <v>2</v>
      </c>
      <c r="H914" s="173" t="s">
        <v>303</v>
      </c>
      <c r="I914" s="177">
        <v>886.1</v>
      </c>
      <c r="J914" s="177">
        <v>802.4</v>
      </c>
      <c r="K914" s="177">
        <f>J914-58.9</f>
        <v>743.5</v>
      </c>
      <c r="L914" s="206">
        <v>26</v>
      </c>
      <c r="M914" s="173" t="s">
        <v>265</v>
      </c>
      <c r="N914" s="173" t="s">
        <v>266</v>
      </c>
      <c r="O914" s="175" t="s">
        <v>268</v>
      </c>
      <c r="P914" s="170">
        <v>3560912.26</v>
      </c>
      <c r="Q914" s="170">
        <v>0</v>
      </c>
      <c r="R914" s="170">
        <v>0</v>
      </c>
      <c r="S914" s="170">
        <f>P914-Q914-R914</f>
        <v>3560912.26</v>
      </c>
      <c r="T914" s="170">
        <f>P914/I914</f>
        <v>4018.6347590565397</v>
      </c>
      <c r="U914" s="170">
        <v>4253.2975871797771</v>
      </c>
      <c r="V914" s="202">
        <f>U914-T914</f>
        <v>234.66282812323743</v>
      </c>
      <c r="W914" s="202">
        <f>X914+Y914+Z914+AA914+AB914+AD914+AF914+AH914+AJ914+AL914+AN914+AO914</f>
        <v>4224.5186773501864</v>
      </c>
      <c r="X914" s="202">
        <v>0</v>
      </c>
      <c r="Y914" s="203">
        <v>0</v>
      </c>
      <c r="Z914" s="203">
        <v>0</v>
      </c>
      <c r="AA914" s="203">
        <v>0</v>
      </c>
      <c r="AB914" s="203">
        <v>0</v>
      </c>
      <c r="AC914" s="203">
        <v>0</v>
      </c>
      <c r="AD914" s="203">
        <v>0</v>
      </c>
      <c r="AE914" s="203">
        <v>600</v>
      </c>
      <c r="AF914" s="202">
        <f>6238.91*AE914/I914</f>
        <v>4224.5186773501864</v>
      </c>
      <c r="AG914" s="203">
        <v>0</v>
      </c>
      <c r="AH914" s="202">
        <v>0</v>
      </c>
      <c r="AI914" s="203">
        <v>0</v>
      </c>
      <c r="AJ914" s="202">
        <v>0</v>
      </c>
      <c r="AK914" s="203">
        <v>0</v>
      </c>
      <c r="AL914" s="203">
        <v>0</v>
      </c>
      <c r="AM914" s="203">
        <v>0</v>
      </c>
      <c r="AN914" s="203"/>
      <c r="AO914" s="203">
        <v>0</v>
      </c>
    </row>
    <row r="915" spans="1:41" s="176" customFormat="1" ht="36" customHeight="1" x14ac:dyDescent="0.25">
      <c r="B915" s="172" t="s">
        <v>820</v>
      </c>
      <c r="C915" s="359"/>
      <c r="D915" s="173" t="s">
        <v>882</v>
      </c>
      <c r="E915" s="173" t="s">
        <v>882</v>
      </c>
      <c r="F915" s="173" t="s">
        <v>882</v>
      </c>
      <c r="G915" s="173" t="s">
        <v>882</v>
      </c>
      <c r="H915" s="173" t="s">
        <v>882</v>
      </c>
      <c r="I915" s="177">
        <f>I916</f>
        <v>7845.75</v>
      </c>
      <c r="J915" s="177">
        <f>J916</f>
        <v>6103.15</v>
      </c>
      <c r="K915" s="177">
        <f>K916</f>
        <v>5920.85</v>
      </c>
      <c r="L915" s="357">
        <f>L916</f>
        <v>252</v>
      </c>
      <c r="M915" s="173" t="s">
        <v>882</v>
      </c>
      <c r="N915" s="173" t="s">
        <v>882</v>
      </c>
      <c r="O915" s="175" t="s">
        <v>882</v>
      </c>
      <c r="P915" s="170">
        <v>9833014.4500000011</v>
      </c>
      <c r="Q915" s="170">
        <f>Q916</f>
        <v>0</v>
      </c>
      <c r="R915" s="170">
        <f>R916</f>
        <v>0</v>
      </c>
      <c r="S915" s="170">
        <f>S916</f>
        <v>9833014.4500000011</v>
      </c>
      <c r="T915" s="170">
        <f t="shared" si="160"/>
        <v>1253.2918395309564</v>
      </c>
      <c r="U915" s="170">
        <f>U916</f>
        <v>1640.7685689704617</v>
      </c>
      <c r="V915" s="202">
        <f t="shared" si="157"/>
        <v>387.47672943950533</v>
      </c>
      <c r="W915" s="202"/>
      <c r="X915" s="202"/>
      <c r="Y915" s="203"/>
      <c r="Z915" s="203"/>
      <c r="AA915" s="203"/>
      <c r="AB915" s="203"/>
      <c r="AC915" s="203"/>
      <c r="AD915" s="203"/>
      <c r="AE915" s="203"/>
      <c r="AF915" s="203"/>
      <c r="AG915" s="203"/>
      <c r="AH915" s="203"/>
      <c r="AI915" s="203"/>
      <c r="AJ915" s="203"/>
      <c r="AK915" s="203"/>
      <c r="AL915" s="203"/>
      <c r="AM915" s="203"/>
      <c r="AN915" s="203"/>
      <c r="AO915" s="203"/>
    </row>
    <row r="916" spans="1:41" s="176" customFormat="1" ht="36" customHeight="1" x14ac:dyDescent="0.25">
      <c r="A916" s="176">
        <v>1</v>
      </c>
      <c r="B916" s="171">
        <f>SUBTOTAL(103,$A$552:A916)</f>
        <v>343</v>
      </c>
      <c r="C916" s="172" t="s">
        <v>686</v>
      </c>
      <c r="D916" s="173">
        <v>1973</v>
      </c>
      <c r="E916" s="173">
        <v>1973</v>
      </c>
      <c r="F916" s="174" t="s">
        <v>318</v>
      </c>
      <c r="G916" s="173">
        <v>5</v>
      </c>
      <c r="H916" s="173" t="s">
        <v>2250</v>
      </c>
      <c r="I916" s="177">
        <v>7845.75</v>
      </c>
      <c r="J916" s="177">
        <v>6103.15</v>
      </c>
      <c r="K916" s="177">
        <v>5920.85</v>
      </c>
      <c r="L916" s="206">
        <v>252</v>
      </c>
      <c r="M916" s="173" t="s">
        <v>265</v>
      </c>
      <c r="N916" s="173" t="s">
        <v>269</v>
      </c>
      <c r="O916" s="175" t="s">
        <v>719</v>
      </c>
      <c r="P916" s="170">
        <v>9833014.4500000011</v>
      </c>
      <c r="Q916" s="170">
        <v>0</v>
      </c>
      <c r="R916" s="170">
        <v>0</v>
      </c>
      <c r="S916" s="170">
        <f>P916-Q916-R916</f>
        <v>9833014.4500000011</v>
      </c>
      <c r="T916" s="170">
        <f t="shared" si="160"/>
        <v>1253.2918395309564</v>
      </c>
      <c r="U916" s="170">
        <v>1640.7685689704617</v>
      </c>
      <c r="V916" s="202">
        <f>U916-T916</f>
        <v>387.47672943950533</v>
      </c>
      <c r="W916" s="202">
        <f>X916+Y916+Z916+AA916+AB916+AD916+AF916+AH916+AJ916+AL916+AN916+AO916</f>
        <v>1590.3922505815251</v>
      </c>
      <c r="X916" s="202">
        <v>0</v>
      </c>
      <c r="Y916" s="203">
        <v>0</v>
      </c>
      <c r="Z916" s="203">
        <v>0</v>
      </c>
      <c r="AA916" s="203">
        <v>0</v>
      </c>
      <c r="AB916" s="203">
        <v>0</v>
      </c>
      <c r="AC916" s="203">
        <v>0</v>
      </c>
      <c r="AD916" s="203">
        <v>0</v>
      </c>
      <c r="AE916" s="203">
        <v>2000</v>
      </c>
      <c r="AF916" s="202">
        <f>6238.91*AE916/I916</f>
        <v>1590.3922505815251</v>
      </c>
      <c r="AG916" s="203">
        <v>0</v>
      </c>
      <c r="AH916" s="202">
        <v>0</v>
      </c>
      <c r="AI916" s="203">
        <v>0</v>
      </c>
      <c r="AJ916" s="202">
        <v>0</v>
      </c>
      <c r="AK916" s="203">
        <v>0</v>
      </c>
      <c r="AL916" s="203">
        <v>0</v>
      </c>
      <c r="AM916" s="203">
        <v>0</v>
      </c>
      <c r="AN916" s="203"/>
      <c r="AO916" s="203">
        <v>0</v>
      </c>
    </row>
    <row r="917" spans="1:41" s="176" customFormat="1" ht="36" customHeight="1" x14ac:dyDescent="0.25">
      <c r="B917" s="172" t="s">
        <v>862</v>
      </c>
      <c r="C917" s="172"/>
      <c r="D917" s="173" t="s">
        <v>882</v>
      </c>
      <c r="E917" s="173" t="s">
        <v>882</v>
      </c>
      <c r="F917" s="173" t="s">
        <v>882</v>
      </c>
      <c r="G917" s="173" t="s">
        <v>882</v>
      </c>
      <c r="H917" s="173" t="s">
        <v>882</v>
      </c>
      <c r="I917" s="177">
        <f>I918</f>
        <v>550.20000000000005</v>
      </c>
      <c r="J917" s="177">
        <f>J918</f>
        <v>517.6</v>
      </c>
      <c r="K917" s="177">
        <f>K918</f>
        <v>517.6</v>
      </c>
      <c r="L917" s="357">
        <f>L918</f>
        <v>20</v>
      </c>
      <c r="M917" s="173" t="s">
        <v>882</v>
      </c>
      <c r="N917" s="173" t="s">
        <v>882</v>
      </c>
      <c r="O917" s="175" t="s">
        <v>882</v>
      </c>
      <c r="P917" s="170">
        <v>2537436</v>
      </c>
      <c r="Q917" s="170">
        <f>Q918</f>
        <v>0</v>
      </c>
      <c r="R917" s="170">
        <f>R918</f>
        <v>0</v>
      </c>
      <c r="S917" s="170">
        <f>S918</f>
        <v>2537436</v>
      </c>
      <c r="T917" s="170">
        <f t="shared" si="160"/>
        <v>4611.8429661941109</v>
      </c>
      <c r="U917" s="170">
        <f>U918</f>
        <v>7019.1166848418752</v>
      </c>
      <c r="V917" s="202">
        <f t="shared" si="157"/>
        <v>2407.2737186477643</v>
      </c>
      <c r="W917" s="202"/>
      <c r="X917" s="202"/>
      <c r="Y917" s="203"/>
      <c r="Z917" s="203"/>
      <c r="AA917" s="203"/>
      <c r="AB917" s="203"/>
      <c r="AC917" s="203"/>
      <c r="AD917" s="203"/>
      <c r="AE917" s="203"/>
      <c r="AF917" s="203"/>
      <c r="AG917" s="203"/>
      <c r="AH917" s="203"/>
      <c r="AI917" s="203"/>
      <c r="AJ917" s="203"/>
      <c r="AK917" s="203"/>
      <c r="AL917" s="203"/>
      <c r="AM917" s="203"/>
      <c r="AN917" s="203"/>
      <c r="AO917" s="203"/>
    </row>
    <row r="918" spans="1:41" s="176" customFormat="1" ht="36" customHeight="1" x14ac:dyDescent="0.25">
      <c r="A918" s="176">
        <v>1</v>
      </c>
      <c r="B918" s="171">
        <f>SUBTOTAL(103,$A$552:A918)</f>
        <v>344</v>
      </c>
      <c r="C918" s="172" t="s">
        <v>692</v>
      </c>
      <c r="D918" s="173">
        <v>1970</v>
      </c>
      <c r="E918" s="173"/>
      <c r="F918" s="174" t="s">
        <v>267</v>
      </c>
      <c r="G918" s="173">
        <v>2</v>
      </c>
      <c r="H918" s="173" t="s">
        <v>303</v>
      </c>
      <c r="I918" s="177">
        <v>550.20000000000005</v>
      </c>
      <c r="J918" s="177">
        <v>517.6</v>
      </c>
      <c r="K918" s="177">
        <v>517.6</v>
      </c>
      <c r="L918" s="206">
        <v>20</v>
      </c>
      <c r="M918" s="173" t="s">
        <v>265</v>
      </c>
      <c r="N918" s="173" t="s">
        <v>266</v>
      </c>
      <c r="O918" s="175" t="s">
        <v>268</v>
      </c>
      <c r="P918" s="170">
        <v>2537436</v>
      </c>
      <c r="Q918" s="170">
        <v>0</v>
      </c>
      <c r="R918" s="170">
        <v>0</v>
      </c>
      <c r="S918" s="170">
        <f>P918-Q918-R918</f>
        <v>2537436</v>
      </c>
      <c r="T918" s="170">
        <f t="shared" si="160"/>
        <v>4611.8429661941109</v>
      </c>
      <c r="U918" s="170">
        <v>7019.1166848418752</v>
      </c>
      <c r="V918" s="202">
        <f>U918-T918</f>
        <v>2407.2737186477643</v>
      </c>
      <c r="W918" s="202">
        <f>X918+Y918+Z918+AA918+AB918+AD918+AF918+AH918+AJ918+AL918+AN918+AO918</f>
        <v>6803.6095965103596</v>
      </c>
      <c r="X918" s="202">
        <v>0</v>
      </c>
      <c r="Y918" s="203">
        <v>0</v>
      </c>
      <c r="Z918" s="203">
        <v>0</v>
      </c>
      <c r="AA918" s="203">
        <v>0</v>
      </c>
      <c r="AB918" s="203">
        <v>0</v>
      </c>
      <c r="AC918" s="203">
        <v>0</v>
      </c>
      <c r="AD918" s="203">
        <v>0</v>
      </c>
      <c r="AE918" s="203">
        <v>600</v>
      </c>
      <c r="AF918" s="202">
        <f>6238.91*AE918/I918</f>
        <v>6803.6095965103596</v>
      </c>
      <c r="AG918" s="203">
        <v>0</v>
      </c>
      <c r="AH918" s="202">
        <v>0</v>
      </c>
      <c r="AI918" s="203">
        <v>0</v>
      </c>
      <c r="AJ918" s="202">
        <v>0</v>
      </c>
      <c r="AK918" s="203">
        <v>0</v>
      </c>
      <c r="AL918" s="203">
        <v>0</v>
      </c>
      <c r="AM918" s="203">
        <v>0</v>
      </c>
      <c r="AN918" s="203"/>
      <c r="AO918" s="203">
        <v>0</v>
      </c>
    </row>
    <row r="919" spans="1:41" s="176" customFormat="1" ht="36" customHeight="1" x14ac:dyDescent="0.25">
      <c r="B919" s="172" t="s">
        <v>821</v>
      </c>
      <c r="C919" s="172"/>
      <c r="D919" s="173" t="s">
        <v>882</v>
      </c>
      <c r="E919" s="173" t="s">
        <v>882</v>
      </c>
      <c r="F919" s="173" t="s">
        <v>882</v>
      </c>
      <c r="G919" s="173" t="s">
        <v>882</v>
      </c>
      <c r="H919" s="173" t="s">
        <v>882</v>
      </c>
      <c r="I919" s="177">
        <f>SUM(I920:I923)</f>
        <v>10202.299999999999</v>
      </c>
      <c r="J919" s="177">
        <f>SUM(J920:J923)</f>
        <v>8322.1999999999989</v>
      </c>
      <c r="K919" s="177">
        <f>SUM(K920:K923)</f>
        <v>7052.6</v>
      </c>
      <c r="L919" s="357">
        <f>SUM(L920:L923)</f>
        <v>360</v>
      </c>
      <c r="M919" s="173" t="s">
        <v>882</v>
      </c>
      <c r="N919" s="173" t="s">
        <v>882</v>
      </c>
      <c r="O919" s="175" t="s">
        <v>882</v>
      </c>
      <c r="P919" s="170">
        <v>7294072.0299999993</v>
      </c>
      <c r="Q919" s="170">
        <f>SUM(Q920:Q923)</f>
        <v>0</v>
      </c>
      <c r="R919" s="170">
        <f>SUM(R920:R923)</f>
        <v>0</v>
      </c>
      <c r="S919" s="170">
        <f>SUM(S920:S923)</f>
        <v>7294072.0299999993</v>
      </c>
      <c r="T919" s="170">
        <f t="shared" si="160"/>
        <v>714.9438881428697</v>
      </c>
      <c r="U919" s="170">
        <f>MAX(U920:U923)</f>
        <v>4025.3194588969823</v>
      </c>
      <c r="V919" s="202">
        <f t="shared" si="157"/>
        <v>3310.3755707541127</v>
      </c>
      <c r="W919" s="202"/>
      <c r="X919" s="202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</row>
    <row r="920" spans="1:41" s="176" customFormat="1" ht="36" customHeight="1" x14ac:dyDescent="0.25">
      <c r="A920" s="176">
        <v>1</v>
      </c>
      <c r="B920" s="171">
        <f>SUBTOTAL(103,$A$552:A920)</f>
        <v>345</v>
      </c>
      <c r="C920" s="172" t="s">
        <v>689</v>
      </c>
      <c r="D920" s="173">
        <v>1973</v>
      </c>
      <c r="E920" s="173">
        <v>2006</v>
      </c>
      <c r="F920" s="174" t="s">
        <v>267</v>
      </c>
      <c r="G920" s="173">
        <v>3</v>
      </c>
      <c r="H920" s="173" t="s">
        <v>303</v>
      </c>
      <c r="I920" s="177">
        <v>1206.8</v>
      </c>
      <c r="J920" s="177">
        <v>1107.8</v>
      </c>
      <c r="K920" s="177">
        <v>1107.8</v>
      </c>
      <c r="L920" s="206">
        <v>30</v>
      </c>
      <c r="M920" s="173" t="s">
        <v>265</v>
      </c>
      <c r="N920" s="173" t="s">
        <v>269</v>
      </c>
      <c r="O920" s="175" t="s">
        <v>720</v>
      </c>
      <c r="P920" s="170">
        <v>2999229.4099999997</v>
      </c>
      <c r="Q920" s="170">
        <v>0</v>
      </c>
      <c r="R920" s="170">
        <v>0</v>
      </c>
      <c r="S920" s="170">
        <f>P920-Q920-R920</f>
        <v>2999229.4099999997</v>
      </c>
      <c r="T920" s="170">
        <f t="shared" si="160"/>
        <v>2485.2746188266487</v>
      </c>
      <c r="U920" s="170">
        <v>3744.153181968843</v>
      </c>
      <c r="V920" s="202">
        <f t="shared" si="157"/>
        <v>1258.8785631421943</v>
      </c>
      <c r="W920" s="202">
        <f>X920+Y920+Z920+AA920+AB920+AD920+AF920+AH920+AJ920+AL920+AN920+AO920</f>
        <v>3629.1969008949291</v>
      </c>
      <c r="X920" s="202">
        <v>0</v>
      </c>
      <c r="Y920" s="203">
        <v>0</v>
      </c>
      <c r="Z920" s="203">
        <v>0</v>
      </c>
      <c r="AA920" s="203">
        <v>0</v>
      </c>
      <c r="AB920" s="203">
        <v>0</v>
      </c>
      <c r="AC920" s="203">
        <v>0</v>
      </c>
      <c r="AD920" s="203">
        <v>0</v>
      </c>
      <c r="AE920" s="203">
        <v>702</v>
      </c>
      <c r="AF920" s="202">
        <f>6238.91*AE920/I920</f>
        <v>3629.1969008949291</v>
      </c>
      <c r="AG920" s="203">
        <v>0</v>
      </c>
      <c r="AH920" s="202">
        <v>0</v>
      </c>
      <c r="AI920" s="203">
        <v>0</v>
      </c>
      <c r="AJ920" s="202">
        <v>0</v>
      </c>
      <c r="AK920" s="203">
        <v>0</v>
      </c>
      <c r="AL920" s="203">
        <v>0</v>
      </c>
      <c r="AM920" s="203">
        <v>0</v>
      </c>
      <c r="AN920" s="203"/>
      <c r="AO920" s="203">
        <v>0</v>
      </c>
    </row>
    <row r="921" spans="1:41" s="176" customFormat="1" ht="36" customHeight="1" x14ac:dyDescent="0.25">
      <c r="A921" s="176">
        <v>1</v>
      </c>
      <c r="B921" s="171">
        <f>SUBTOTAL(103,$A$552:A921)</f>
        <v>346</v>
      </c>
      <c r="C921" s="172" t="s">
        <v>1541</v>
      </c>
      <c r="D921" s="173">
        <v>1978</v>
      </c>
      <c r="E921" s="173"/>
      <c r="F921" s="174" t="s">
        <v>318</v>
      </c>
      <c r="G921" s="173">
        <v>5</v>
      </c>
      <c r="H921" s="173" t="s">
        <v>308</v>
      </c>
      <c r="I921" s="177">
        <v>3092.4</v>
      </c>
      <c r="J921" s="177">
        <v>3092.4</v>
      </c>
      <c r="K921" s="177">
        <v>3092.4</v>
      </c>
      <c r="L921" s="206">
        <v>151</v>
      </c>
      <c r="M921" s="173" t="s">
        <v>265</v>
      </c>
      <c r="N921" s="173" t="s">
        <v>269</v>
      </c>
      <c r="O921" s="175" t="s">
        <v>1567</v>
      </c>
      <c r="P921" s="170">
        <v>3040224.4400000004</v>
      </c>
      <c r="Q921" s="170">
        <v>0</v>
      </c>
      <c r="R921" s="170">
        <v>0</v>
      </c>
      <c r="S921" s="170">
        <f>P921-R921-Q921</f>
        <v>3040224.4400000004</v>
      </c>
      <c r="T921" s="170">
        <f t="shared" si="160"/>
        <v>983.12781011512106</v>
      </c>
      <c r="U921" s="170">
        <v>1587.6940512223514</v>
      </c>
      <c r="V921" s="202">
        <f t="shared" si="157"/>
        <v>604.56624110723033</v>
      </c>
      <c r="W921" s="202">
        <f>X921+Y921+Z921+AA921+AB921+AD921+AF921+AH921+AJ921+AL921+AN921+AO921</f>
        <v>1538.9472733152243</v>
      </c>
      <c r="X921" s="202">
        <v>0</v>
      </c>
      <c r="Y921" s="203">
        <v>0</v>
      </c>
      <c r="Z921" s="203">
        <v>0</v>
      </c>
      <c r="AA921" s="203">
        <v>0</v>
      </c>
      <c r="AB921" s="203">
        <v>0</v>
      </c>
      <c r="AC921" s="203">
        <v>0</v>
      </c>
      <c r="AD921" s="203">
        <v>0</v>
      </c>
      <c r="AE921" s="203">
        <v>762.8</v>
      </c>
      <c r="AF921" s="202">
        <f>6238.91*AE921/I921</f>
        <v>1538.9472733152243</v>
      </c>
      <c r="AG921" s="203">
        <v>0</v>
      </c>
      <c r="AH921" s="202">
        <v>0</v>
      </c>
      <c r="AI921" s="203">
        <v>0</v>
      </c>
      <c r="AJ921" s="202">
        <v>0</v>
      </c>
      <c r="AK921" s="203">
        <v>0</v>
      </c>
      <c r="AL921" s="203">
        <v>0</v>
      </c>
      <c r="AM921" s="203">
        <v>0</v>
      </c>
      <c r="AN921" s="203"/>
      <c r="AO921" s="203">
        <v>0</v>
      </c>
    </row>
    <row r="922" spans="1:41" s="176" customFormat="1" ht="36" customHeight="1" x14ac:dyDescent="0.25">
      <c r="A922" s="176">
        <v>1</v>
      </c>
      <c r="B922" s="171">
        <f>SUBTOTAL(103,$A$552:A922)</f>
        <v>347</v>
      </c>
      <c r="C922" s="172" t="s">
        <v>1210</v>
      </c>
      <c r="D922" s="173">
        <v>1975</v>
      </c>
      <c r="E922" s="173">
        <v>2015</v>
      </c>
      <c r="F922" s="174" t="s">
        <v>267</v>
      </c>
      <c r="G922" s="173">
        <v>3</v>
      </c>
      <c r="H922" s="173" t="s">
        <v>303</v>
      </c>
      <c r="I922" s="177">
        <v>3981.1</v>
      </c>
      <c r="J922" s="177">
        <v>2548.6</v>
      </c>
      <c r="K922" s="177">
        <v>1279</v>
      </c>
      <c r="L922" s="206">
        <v>138</v>
      </c>
      <c r="M922" s="173" t="s">
        <v>265</v>
      </c>
      <c r="N922" s="173" t="s">
        <v>269</v>
      </c>
      <c r="O922" s="175" t="s">
        <v>717</v>
      </c>
      <c r="P922" s="170">
        <v>485250</v>
      </c>
      <c r="Q922" s="170">
        <v>0</v>
      </c>
      <c r="R922" s="170">
        <v>0</v>
      </c>
      <c r="S922" s="170">
        <f>P922-R922-Q922</f>
        <v>485250</v>
      </c>
      <c r="T922" s="170">
        <f t="shared" si="160"/>
        <v>121.88842279771923</v>
      </c>
      <c r="U922" s="170">
        <v>121.88842279771923</v>
      </c>
      <c r="V922" s="202">
        <f>U922-T922</f>
        <v>0</v>
      </c>
      <c r="W922" s="202">
        <f>X922+Y922+Z922+AA922+AB922+AD922+AF922+AH922+AJ922+AL922+AN922+AO922</f>
        <v>1195.4084418879204</v>
      </c>
      <c r="X922" s="202">
        <v>0</v>
      </c>
      <c r="Y922" s="203">
        <v>0</v>
      </c>
      <c r="Z922" s="203">
        <v>0</v>
      </c>
      <c r="AA922" s="203">
        <v>0</v>
      </c>
      <c r="AB922" s="203">
        <v>0</v>
      </c>
      <c r="AC922" s="203">
        <v>0</v>
      </c>
      <c r="AD922" s="203">
        <v>0</v>
      </c>
      <c r="AE922" s="203">
        <v>762.8</v>
      </c>
      <c r="AF922" s="202">
        <f>6238.91*AE922/I922</f>
        <v>1195.4084418879204</v>
      </c>
      <c r="AG922" s="203">
        <v>0</v>
      </c>
      <c r="AH922" s="202">
        <v>0</v>
      </c>
      <c r="AI922" s="203">
        <v>0</v>
      </c>
      <c r="AJ922" s="202">
        <v>0</v>
      </c>
      <c r="AK922" s="203">
        <v>0</v>
      </c>
      <c r="AL922" s="203">
        <v>0</v>
      </c>
      <c r="AM922" s="203">
        <v>0</v>
      </c>
      <c r="AN922" s="203"/>
      <c r="AO922" s="203">
        <v>0</v>
      </c>
    </row>
    <row r="923" spans="1:41" s="176" customFormat="1" ht="36" customHeight="1" x14ac:dyDescent="0.25">
      <c r="A923" s="176">
        <v>1</v>
      </c>
      <c r="B923" s="171">
        <f>SUBTOTAL(103,$A$552:A923)</f>
        <v>348</v>
      </c>
      <c r="C923" s="172" t="s">
        <v>1939</v>
      </c>
      <c r="D923" s="173">
        <v>1994</v>
      </c>
      <c r="E923" s="173"/>
      <c r="F923" s="174" t="s">
        <v>1562</v>
      </c>
      <c r="G923" s="173" t="s">
        <v>303</v>
      </c>
      <c r="H923" s="173" t="s">
        <v>308</v>
      </c>
      <c r="I923" s="177">
        <v>1922</v>
      </c>
      <c r="J923" s="177">
        <v>1573.4</v>
      </c>
      <c r="K923" s="177">
        <v>1573.4</v>
      </c>
      <c r="L923" s="206">
        <v>41</v>
      </c>
      <c r="M923" s="173" t="s">
        <v>265</v>
      </c>
      <c r="N923" s="173" t="s">
        <v>269</v>
      </c>
      <c r="O923" s="175" t="s">
        <v>2256</v>
      </c>
      <c r="P923" s="170">
        <v>769368.18</v>
      </c>
      <c r="Q923" s="170">
        <v>0</v>
      </c>
      <c r="R923" s="170">
        <v>0</v>
      </c>
      <c r="S923" s="170">
        <f>P923-R923-Q923</f>
        <v>769368.18</v>
      </c>
      <c r="T923" s="170">
        <f t="shared" si="160"/>
        <v>400.29561914672217</v>
      </c>
      <c r="U923" s="170">
        <v>4025.3194588969823</v>
      </c>
      <c r="V923" s="202">
        <f t="shared" si="157"/>
        <v>3625.0238397502599</v>
      </c>
      <c r="W923" s="202">
        <f>X923+Y923+Z923+AA923+AB923+AD923+AF923+AH923+AJ923+AL923+AN923+AO923</f>
        <v>2476.087694068678</v>
      </c>
      <c r="X923" s="202">
        <v>0</v>
      </c>
      <c r="Y923" s="203">
        <v>0</v>
      </c>
      <c r="Z923" s="203">
        <v>0</v>
      </c>
      <c r="AA923" s="203">
        <v>0</v>
      </c>
      <c r="AB923" s="203">
        <v>0</v>
      </c>
      <c r="AC923" s="203">
        <v>0</v>
      </c>
      <c r="AD923" s="203">
        <v>0</v>
      </c>
      <c r="AE923" s="203">
        <v>762.8</v>
      </c>
      <c r="AF923" s="202">
        <f>6238.91*AE923/I923</f>
        <v>2476.087694068678</v>
      </c>
      <c r="AG923" s="203">
        <v>0</v>
      </c>
      <c r="AH923" s="202">
        <v>0</v>
      </c>
      <c r="AI923" s="203">
        <v>0</v>
      </c>
      <c r="AJ923" s="202">
        <v>0</v>
      </c>
      <c r="AK923" s="203">
        <v>0</v>
      </c>
      <c r="AL923" s="203">
        <v>0</v>
      </c>
      <c r="AM923" s="203">
        <v>0</v>
      </c>
      <c r="AN923" s="203"/>
      <c r="AO923" s="203">
        <v>0</v>
      </c>
    </row>
    <row r="924" spans="1:41" s="176" customFormat="1" ht="36" customHeight="1" x14ac:dyDescent="0.25">
      <c r="B924" s="172" t="s">
        <v>822</v>
      </c>
      <c r="C924" s="172"/>
      <c r="D924" s="173" t="s">
        <v>882</v>
      </c>
      <c r="E924" s="173" t="s">
        <v>882</v>
      </c>
      <c r="F924" s="173" t="s">
        <v>882</v>
      </c>
      <c r="G924" s="173" t="s">
        <v>882</v>
      </c>
      <c r="H924" s="173" t="s">
        <v>882</v>
      </c>
      <c r="I924" s="177">
        <f>I925</f>
        <v>846.4</v>
      </c>
      <c r="J924" s="177">
        <f>J925</f>
        <v>794.7</v>
      </c>
      <c r="K924" s="177">
        <f>K925</f>
        <v>794.7</v>
      </c>
      <c r="L924" s="357">
        <f>L925</f>
        <v>26</v>
      </c>
      <c r="M924" s="173" t="s">
        <v>882</v>
      </c>
      <c r="N924" s="173" t="s">
        <v>882</v>
      </c>
      <c r="O924" s="175" t="s">
        <v>882</v>
      </c>
      <c r="P924" s="170">
        <v>4024889.9</v>
      </c>
      <c r="Q924" s="170">
        <f>Q925</f>
        <v>0</v>
      </c>
      <c r="R924" s="170">
        <f>R925</f>
        <v>0</v>
      </c>
      <c r="S924" s="170">
        <f>S925</f>
        <v>4024889.9</v>
      </c>
      <c r="T924" s="170">
        <f t="shared" si="160"/>
        <v>4755.3047022684314</v>
      </c>
      <c r="U924" s="170">
        <f>U925</f>
        <v>6297.3071349243864</v>
      </c>
      <c r="V924" s="202">
        <f>U924-T924</f>
        <v>1542.0024326559551</v>
      </c>
      <c r="W924" s="202"/>
      <c r="X924" s="202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</row>
    <row r="925" spans="1:41" s="176" customFormat="1" ht="36" customHeight="1" x14ac:dyDescent="0.25">
      <c r="A925" s="176">
        <v>1</v>
      </c>
      <c r="B925" s="171">
        <f>SUBTOTAL(103,$A$552:A925)</f>
        <v>349</v>
      </c>
      <c r="C925" s="172" t="s">
        <v>787</v>
      </c>
      <c r="D925" s="173">
        <v>1981</v>
      </c>
      <c r="E925" s="173"/>
      <c r="F925" s="174" t="s">
        <v>267</v>
      </c>
      <c r="G925" s="173">
        <v>2</v>
      </c>
      <c r="H925" s="173" t="s">
        <v>312</v>
      </c>
      <c r="I925" s="177">
        <v>846.4</v>
      </c>
      <c r="J925" s="177">
        <v>794.7</v>
      </c>
      <c r="K925" s="177">
        <v>794.7</v>
      </c>
      <c r="L925" s="206">
        <v>26</v>
      </c>
      <c r="M925" s="173" t="s">
        <v>265</v>
      </c>
      <c r="N925" s="173" t="s">
        <v>269</v>
      </c>
      <c r="O925" s="175" t="s">
        <v>717</v>
      </c>
      <c r="P925" s="170">
        <v>4024889.9</v>
      </c>
      <c r="Q925" s="170">
        <v>0</v>
      </c>
      <c r="R925" s="170">
        <v>0</v>
      </c>
      <c r="S925" s="170">
        <f>P925-Q925-R925</f>
        <v>4024889.9</v>
      </c>
      <c r="T925" s="170">
        <f t="shared" si="160"/>
        <v>4755.3047022684314</v>
      </c>
      <c r="U925" s="170">
        <v>6297.3071349243864</v>
      </c>
      <c r="V925" s="202">
        <f>U925-T925</f>
        <v>1542.0024326559551</v>
      </c>
      <c r="W925" s="202">
        <f>X925+Y925+Z925+AA925+AB925+AD925+AF925+AH925+AJ925+AL925+AN925+AO925</f>
        <v>4422.6677693761812</v>
      </c>
      <c r="X925" s="202">
        <v>0</v>
      </c>
      <c r="Y925" s="203">
        <v>0</v>
      </c>
      <c r="Z925" s="203">
        <v>0</v>
      </c>
      <c r="AA925" s="203">
        <v>0</v>
      </c>
      <c r="AB925" s="203">
        <v>0</v>
      </c>
      <c r="AC925" s="203">
        <v>0</v>
      </c>
      <c r="AD925" s="203">
        <v>0</v>
      </c>
      <c r="AE925" s="203">
        <v>600</v>
      </c>
      <c r="AF925" s="202">
        <f>6238.91*AE925/I925</f>
        <v>4422.6677693761812</v>
      </c>
      <c r="AG925" s="203">
        <v>0</v>
      </c>
      <c r="AH925" s="202">
        <v>0</v>
      </c>
      <c r="AI925" s="203">
        <v>0</v>
      </c>
      <c r="AJ925" s="202">
        <v>0</v>
      </c>
      <c r="AK925" s="203">
        <v>0</v>
      </c>
      <c r="AL925" s="203">
        <v>0</v>
      </c>
      <c r="AM925" s="203">
        <v>0</v>
      </c>
      <c r="AN925" s="203"/>
      <c r="AO925" s="203">
        <v>0</v>
      </c>
    </row>
    <row r="926" spans="1:41" s="176" customFormat="1" ht="36" customHeight="1" x14ac:dyDescent="0.25">
      <c r="B926" s="172" t="s">
        <v>823</v>
      </c>
      <c r="C926" s="359"/>
      <c r="D926" s="173" t="s">
        <v>882</v>
      </c>
      <c r="E926" s="173" t="s">
        <v>882</v>
      </c>
      <c r="F926" s="173" t="s">
        <v>882</v>
      </c>
      <c r="G926" s="173" t="s">
        <v>882</v>
      </c>
      <c r="H926" s="173" t="s">
        <v>882</v>
      </c>
      <c r="I926" s="177">
        <f>SUM(I927:I938)</f>
        <v>17997.829999999998</v>
      </c>
      <c r="J926" s="177">
        <f>SUM(J927:J938)</f>
        <v>15126.78</v>
      </c>
      <c r="K926" s="177">
        <f>SUM(K927:K938)</f>
        <v>14736.3</v>
      </c>
      <c r="L926" s="357">
        <f>SUM(L927:L938)</f>
        <v>716</v>
      </c>
      <c r="M926" s="173" t="s">
        <v>882</v>
      </c>
      <c r="N926" s="173" t="s">
        <v>882</v>
      </c>
      <c r="O926" s="175" t="s">
        <v>882</v>
      </c>
      <c r="P926" s="170">
        <v>42452497.159999996</v>
      </c>
      <c r="Q926" s="170">
        <f>SUM(Q927:Q938)</f>
        <v>0</v>
      </c>
      <c r="R926" s="170">
        <f>SUM(R927:R938)</f>
        <v>0</v>
      </c>
      <c r="S926" s="170">
        <f>SUM(S927:S938)</f>
        <v>42452497.159999996</v>
      </c>
      <c r="T926" s="170">
        <f t="shared" si="160"/>
        <v>2358.7564256357573</v>
      </c>
      <c r="U926" s="170">
        <f>MAX(U927:U938)</f>
        <v>8744.2624679264354</v>
      </c>
      <c r="V926" s="202">
        <f t="shared" si="157"/>
        <v>6385.5060422906781</v>
      </c>
      <c r="W926" s="202"/>
      <c r="X926" s="202"/>
      <c r="Y926" s="203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</row>
    <row r="927" spans="1:41" s="176" customFormat="1" ht="36" customHeight="1" x14ac:dyDescent="0.25">
      <c r="A927" s="176">
        <v>1</v>
      </c>
      <c r="B927" s="171">
        <f>SUBTOTAL(103,$A$552:A927)</f>
        <v>350</v>
      </c>
      <c r="C927" s="172" t="s">
        <v>123</v>
      </c>
      <c r="D927" s="173">
        <v>1992</v>
      </c>
      <c r="E927" s="173"/>
      <c r="F927" s="174" t="s">
        <v>267</v>
      </c>
      <c r="G927" s="173">
        <v>3</v>
      </c>
      <c r="H927" s="173" t="s">
        <v>303</v>
      </c>
      <c r="I927" s="177">
        <v>1555.9</v>
      </c>
      <c r="J927" s="177">
        <v>1062.8</v>
      </c>
      <c r="K927" s="177">
        <v>1019.8</v>
      </c>
      <c r="L927" s="206">
        <v>50</v>
      </c>
      <c r="M927" s="173" t="s">
        <v>265</v>
      </c>
      <c r="N927" s="173" t="s">
        <v>269</v>
      </c>
      <c r="O927" s="175" t="s">
        <v>284</v>
      </c>
      <c r="P927" s="170">
        <v>3282441.93</v>
      </c>
      <c r="Q927" s="170">
        <v>0</v>
      </c>
      <c r="R927" s="170">
        <v>0</v>
      </c>
      <c r="S927" s="170">
        <f t="shared" ref="S927:S938" si="161">P927-Q927-R927</f>
        <v>3282441.93</v>
      </c>
      <c r="T927" s="170">
        <f t="shared" si="160"/>
        <v>2109.6740985924544</v>
      </c>
      <c r="U927" s="170">
        <v>2740.6652901857442</v>
      </c>
      <c r="V927" s="202">
        <f t="shared" si="157"/>
        <v>630.99119159328984</v>
      </c>
      <c r="W927" s="202">
        <f t="shared" ref="W927:W938" si="162">X927+Y927+Z927+AA927+AB927+AD927+AF927+AH927+AJ927+AL927+AN927+AO927</f>
        <v>2656.5189761552797</v>
      </c>
      <c r="X927" s="202">
        <v>0</v>
      </c>
      <c r="Y927" s="203">
        <v>0</v>
      </c>
      <c r="Z927" s="203">
        <v>0</v>
      </c>
      <c r="AA927" s="203">
        <v>0</v>
      </c>
      <c r="AB927" s="203">
        <v>0</v>
      </c>
      <c r="AC927" s="203">
        <v>0</v>
      </c>
      <c r="AD927" s="203">
        <v>0</v>
      </c>
      <c r="AE927" s="203">
        <v>662.5</v>
      </c>
      <c r="AF927" s="202">
        <f>6238.91*AE927/I927</f>
        <v>2656.5189761552797</v>
      </c>
      <c r="AG927" s="203">
        <v>0</v>
      </c>
      <c r="AH927" s="202">
        <v>0</v>
      </c>
      <c r="AI927" s="203">
        <v>0</v>
      </c>
      <c r="AJ927" s="202">
        <v>0</v>
      </c>
      <c r="AK927" s="203">
        <v>0</v>
      </c>
      <c r="AL927" s="203">
        <v>0</v>
      </c>
      <c r="AM927" s="203">
        <v>0</v>
      </c>
      <c r="AN927" s="203"/>
      <c r="AO927" s="203">
        <v>0</v>
      </c>
    </row>
    <row r="928" spans="1:41" s="176" customFormat="1" ht="36" customHeight="1" x14ac:dyDescent="0.25">
      <c r="A928" s="176">
        <v>1</v>
      </c>
      <c r="B928" s="171">
        <f>SUBTOTAL(103,$A$552:A928)</f>
        <v>351</v>
      </c>
      <c r="C928" s="172" t="s">
        <v>128</v>
      </c>
      <c r="D928" s="173">
        <v>1983</v>
      </c>
      <c r="E928" s="173"/>
      <c r="F928" s="174" t="s">
        <v>267</v>
      </c>
      <c r="G928" s="173">
        <v>2</v>
      </c>
      <c r="H928" s="173" t="s">
        <v>312</v>
      </c>
      <c r="I928" s="177">
        <v>1039.7</v>
      </c>
      <c r="J928" s="177">
        <v>968.1</v>
      </c>
      <c r="K928" s="177">
        <v>908.6</v>
      </c>
      <c r="L928" s="206">
        <v>39</v>
      </c>
      <c r="M928" s="173" t="s">
        <v>265</v>
      </c>
      <c r="N928" s="173" t="s">
        <v>269</v>
      </c>
      <c r="O928" s="175" t="s">
        <v>284</v>
      </c>
      <c r="P928" s="170">
        <v>5004891.84</v>
      </c>
      <c r="Q928" s="170">
        <v>0</v>
      </c>
      <c r="R928" s="170">
        <v>0</v>
      </c>
      <c r="S928" s="170">
        <f t="shared" si="161"/>
        <v>5004891.84</v>
      </c>
      <c r="T928" s="170">
        <f t="shared" si="160"/>
        <v>4813.7845917091463</v>
      </c>
      <c r="U928" s="170">
        <v>1631.0497307570477</v>
      </c>
      <c r="V928" s="202">
        <f t="shared" si="157"/>
        <v>-3182.7348609520986</v>
      </c>
      <c r="W928" s="202">
        <f>T928</f>
        <v>4813.7845917091463</v>
      </c>
      <c r="X928" s="202">
        <v>0</v>
      </c>
      <c r="Y928" s="203">
        <v>0</v>
      </c>
      <c r="Z928" s="203">
        <v>0</v>
      </c>
      <c r="AA928" s="203">
        <v>0</v>
      </c>
      <c r="AB928" s="203">
        <v>0</v>
      </c>
      <c r="AC928" s="203">
        <v>0</v>
      </c>
      <c r="AD928" s="203">
        <v>0</v>
      </c>
      <c r="AE928" s="203">
        <v>0</v>
      </c>
      <c r="AF928" s="202">
        <v>0</v>
      </c>
      <c r="AG928" s="203">
        <v>0</v>
      </c>
      <c r="AH928" s="202">
        <v>0</v>
      </c>
      <c r="AI928" s="203">
        <v>0</v>
      </c>
      <c r="AJ928" s="202">
        <v>0</v>
      </c>
      <c r="AK928" s="203">
        <v>0</v>
      </c>
      <c r="AL928" s="203">
        <v>0</v>
      </c>
      <c r="AM928" s="203">
        <v>334.1</v>
      </c>
      <c r="AN928" s="203">
        <f>6984.52*AM928/I928</f>
        <v>2244.4244801385016</v>
      </c>
      <c r="AO928" s="203">
        <v>0</v>
      </c>
    </row>
    <row r="929" spans="1:41" s="176" customFormat="1" ht="36" customHeight="1" x14ac:dyDescent="0.25">
      <c r="A929" s="176">
        <v>1</v>
      </c>
      <c r="B929" s="171">
        <f>SUBTOTAL(103,$A$552:A929)</f>
        <v>352</v>
      </c>
      <c r="C929" s="172" t="s">
        <v>126</v>
      </c>
      <c r="D929" s="173">
        <v>1981</v>
      </c>
      <c r="E929" s="173"/>
      <c r="F929" s="174" t="s">
        <v>267</v>
      </c>
      <c r="G929" s="173">
        <v>2</v>
      </c>
      <c r="H929" s="173" t="s">
        <v>312</v>
      </c>
      <c r="I929" s="177">
        <v>1572.8</v>
      </c>
      <c r="J929" s="177">
        <v>986.3</v>
      </c>
      <c r="K929" s="177">
        <v>925.2</v>
      </c>
      <c r="L929" s="206">
        <v>49</v>
      </c>
      <c r="M929" s="173" t="s">
        <v>265</v>
      </c>
      <c r="N929" s="173" t="s">
        <v>269</v>
      </c>
      <c r="O929" s="175" t="s">
        <v>284</v>
      </c>
      <c r="P929" s="170">
        <v>4183177.36</v>
      </c>
      <c r="Q929" s="170">
        <v>0</v>
      </c>
      <c r="R929" s="170">
        <v>0</v>
      </c>
      <c r="S929" s="170">
        <f t="shared" si="161"/>
        <v>4183177.36</v>
      </c>
      <c r="T929" s="170">
        <f t="shared" si="160"/>
        <v>2659.7007629704985</v>
      </c>
      <c r="U929" s="170">
        <v>3673.2173398397763</v>
      </c>
      <c r="V929" s="202">
        <f t="shared" si="157"/>
        <v>1013.5165768692777</v>
      </c>
      <c r="W929" s="202">
        <f t="shared" si="162"/>
        <v>3514.5436546286878</v>
      </c>
      <c r="X929" s="202">
        <v>0</v>
      </c>
      <c r="Y929" s="203">
        <v>0</v>
      </c>
      <c r="Z929" s="203">
        <v>0</v>
      </c>
      <c r="AA929" s="203">
        <v>0</v>
      </c>
      <c r="AB929" s="203">
        <v>0</v>
      </c>
      <c r="AC929" s="203">
        <v>0</v>
      </c>
      <c r="AD929" s="203">
        <v>0</v>
      </c>
      <c r="AE929" s="203">
        <v>886</v>
      </c>
      <c r="AF929" s="202">
        <f t="shared" ref="AF929:AF938" si="163">6238.91*AE929/I929</f>
        <v>3514.5436546286878</v>
      </c>
      <c r="AG929" s="203">
        <v>0</v>
      </c>
      <c r="AH929" s="202">
        <v>0</v>
      </c>
      <c r="AI929" s="203">
        <v>0</v>
      </c>
      <c r="AJ929" s="202">
        <v>0</v>
      </c>
      <c r="AK929" s="203">
        <v>0</v>
      </c>
      <c r="AL929" s="203">
        <v>0</v>
      </c>
      <c r="AM929" s="203">
        <v>0</v>
      </c>
      <c r="AN929" s="203"/>
      <c r="AO929" s="203">
        <v>0</v>
      </c>
    </row>
    <row r="930" spans="1:41" s="176" customFormat="1" ht="36" customHeight="1" x14ac:dyDescent="0.25">
      <c r="A930" s="176">
        <v>1</v>
      </c>
      <c r="B930" s="171">
        <f>SUBTOTAL(103,$A$552:A930)</f>
        <v>353</v>
      </c>
      <c r="C930" s="172" t="s">
        <v>129</v>
      </c>
      <c r="D930" s="173">
        <v>1975</v>
      </c>
      <c r="E930" s="173"/>
      <c r="F930" s="174" t="s">
        <v>267</v>
      </c>
      <c r="G930" s="173">
        <v>2</v>
      </c>
      <c r="H930" s="173" t="s">
        <v>312</v>
      </c>
      <c r="I930" s="177">
        <v>786.44</v>
      </c>
      <c r="J930" s="177">
        <v>726.3</v>
      </c>
      <c r="K930" s="177">
        <v>726.3</v>
      </c>
      <c r="L930" s="206">
        <v>32</v>
      </c>
      <c r="M930" s="173" t="s">
        <v>265</v>
      </c>
      <c r="N930" s="173" t="s">
        <v>269</v>
      </c>
      <c r="O930" s="175" t="s">
        <v>284</v>
      </c>
      <c r="P930" s="170">
        <v>3494323.56</v>
      </c>
      <c r="Q930" s="170">
        <v>0</v>
      </c>
      <c r="R930" s="170">
        <v>0</v>
      </c>
      <c r="S930" s="170">
        <f t="shared" si="161"/>
        <v>3494323.56</v>
      </c>
      <c r="T930" s="170">
        <f t="shared" si="160"/>
        <v>4443.2169777732561</v>
      </c>
      <c r="U930" s="170">
        <v>5483.5398758964438</v>
      </c>
      <c r="V930" s="202">
        <f t="shared" si="157"/>
        <v>1040.3228981231878</v>
      </c>
      <c r="W930" s="202">
        <f t="shared" si="162"/>
        <v>5315.1794161029438</v>
      </c>
      <c r="X930" s="202">
        <v>0</v>
      </c>
      <c r="Y930" s="203">
        <v>0</v>
      </c>
      <c r="Z930" s="203">
        <v>0</v>
      </c>
      <c r="AA930" s="203">
        <v>0</v>
      </c>
      <c r="AB930" s="203">
        <v>0</v>
      </c>
      <c r="AC930" s="203">
        <v>0</v>
      </c>
      <c r="AD930" s="203">
        <v>0</v>
      </c>
      <c r="AE930" s="203">
        <v>670</v>
      </c>
      <c r="AF930" s="202">
        <f t="shared" si="163"/>
        <v>5315.1794161029438</v>
      </c>
      <c r="AG930" s="203">
        <v>0</v>
      </c>
      <c r="AH930" s="202">
        <v>0</v>
      </c>
      <c r="AI930" s="203">
        <v>0</v>
      </c>
      <c r="AJ930" s="202">
        <v>0</v>
      </c>
      <c r="AK930" s="203">
        <v>0</v>
      </c>
      <c r="AL930" s="203">
        <v>0</v>
      </c>
      <c r="AM930" s="203">
        <v>0</v>
      </c>
      <c r="AN930" s="203"/>
      <c r="AO930" s="203">
        <v>0</v>
      </c>
    </row>
    <row r="931" spans="1:41" s="176" customFormat="1" ht="36" customHeight="1" x14ac:dyDescent="0.25">
      <c r="A931" s="176">
        <v>1</v>
      </c>
      <c r="B931" s="171">
        <f>SUBTOTAL(103,$A$552:A931)</f>
        <v>354</v>
      </c>
      <c r="C931" s="172" t="s">
        <v>127</v>
      </c>
      <c r="D931" s="173">
        <v>1972</v>
      </c>
      <c r="E931" s="173"/>
      <c r="F931" s="174" t="s">
        <v>267</v>
      </c>
      <c r="G931" s="173">
        <v>2</v>
      </c>
      <c r="H931" s="173" t="s">
        <v>303</v>
      </c>
      <c r="I931" s="177">
        <v>669.61</v>
      </c>
      <c r="J931" s="177">
        <v>669.61</v>
      </c>
      <c r="K931" s="177">
        <v>621.29</v>
      </c>
      <c r="L931" s="206">
        <v>12</v>
      </c>
      <c r="M931" s="173" t="s">
        <v>265</v>
      </c>
      <c r="N931" s="173" t="s">
        <v>269</v>
      </c>
      <c r="O931" s="175" t="s">
        <v>285</v>
      </c>
      <c r="P931" s="170">
        <v>3011574.49</v>
      </c>
      <c r="Q931" s="170">
        <v>0</v>
      </c>
      <c r="R931" s="170">
        <v>0</v>
      </c>
      <c r="S931" s="170">
        <f t="shared" si="161"/>
        <v>3011574.49</v>
      </c>
      <c r="T931" s="170">
        <f t="shared" si="160"/>
        <v>4497.5052493242338</v>
      </c>
      <c r="U931" s="170">
        <v>5922.3650536879668</v>
      </c>
      <c r="V931" s="202">
        <f t="shared" si="157"/>
        <v>1424.859804363733</v>
      </c>
      <c r="W931" s="202">
        <f t="shared" si="162"/>
        <v>5740.5313976792459</v>
      </c>
      <c r="X931" s="202">
        <v>0</v>
      </c>
      <c r="Y931" s="203">
        <v>0</v>
      </c>
      <c r="Z931" s="203">
        <v>0</v>
      </c>
      <c r="AA931" s="203">
        <v>0</v>
      </c>
      <c r="AB931" s="203">
        <v>0</v>
      </c>
      <c r="AC931" s="203">
        <v>0</v>
      </c>
      <c r="AD931" s="203">
        <v>0</v>
      </c>
      <c r="AE931" s="203">
        <v>616.12</v>
      </c>
      <c r="AF931" s="202">
        <f t="shared" si="163"/>
        <v>5740.5313976792459</v>
      </c>
      <c r="AG931" s="203">
        <v>0</v>
      </c>
      <c r="AH931" s="202">
        <v>0</v>
      </c>
      <c r="AI931" s="203">
        <v>0</v>
      </c>
      <c r="AJ931" s="202">
        <v>0</v>
      </c>
      <c r="AK931" s="203">
        <v>0</v>
      </c>
      <c r="AL931" s="203">
        <v>0</v>
      </c>
      <c r="AM931" s="203">
        <v>0</v>
      </c>
      <c r="AN931" s="203"/>
      <c r="AO931" s="203">
        <v>0</v>
      </c>
    </row>
    <row r="932" spans="1:41" s="176" customFormat="1" ht="36" customHeight="1" x14ac:dyDescent="0.25">
      <c r="A932" s="176">
        <v>1</v>
      </c>
      <c r="B932" s="171">
        <f>SUBTOTAL(103,$A$552:A932)</f>
        <v>355</v>
      </c>
      <c r="C932" s="172" t="s">
        <v>124</v>
      </c>
      <c r="D932" s="173">
        <v>1978</v>
      </c>
      <c r="E932" s="173"/>
      <c r="F932" s="174" t="s">
        <v>287</v>
      </c>
      <c r="G932" s="173">
        <v>5</v>
      </c>
      <c r="H932" s="173" t="s">
        <v>308</v>
      </c>
      <c r="I932" s="177">
        <v>4027.2</v>
      </c>
      <c r="J932" s="177">
        <v>3079.4</v>
      </c>
      <c r="K932" s="177">
        <v>3079.4</v>
      </c>
      <c r="L932" s="206">
        <v>157</v>
      </c>
      <c r="M932" s="173" t="s">
        <v>265</v>
      </c>
      <c r="N932" s="173" t="s">
        <v>269</v>
      </c>
      <c r="O932" s="175" t="s">
        <v>285</v>
      </c>
      <c r="P932" s="170">
        <v>4108566.83</v>
      </c>
      <c r="Q932" s="170">
        <v>0</v>
      </c>
      <c r="R932" s="170">
        <v>0</v>
      </c>
      <c r="S932" s="170">
        <f t="shared" si="161"/>
        <v>4108566.83</v>
      </c>
      <c r="T932" s="170">
        <f t="shared" si="160"/>
        <v>1020.2043181366707</v>
      </c>
      <c r="U932" s="170">
        <v>1236.5770910309893</v>
      </c>
      <c r="V932" s="202">
        <f t="shared" si="157"/>
        <v>216.37277289431859</v>
      </c>
      <c r="W932" s="202">
        <f t="shared" si="162"/>
        <v>1198.610614570918</v>
      </c>
      <c r="X932" s="202">
        <v>0</v>
      </c>
      <c r="Y932" s="203">
        <v>0</v>
      </c>
      <c r="Z932" s="203">
        <v>0</v>
      </c>
      <c r="AA932" s="203">
        <v>0</v>
      </c>
      <c r="AB932" s="203">
        <v>0</v>
      </c>
      <c r="AC932" s="203">
        <v>0</v>
      </c>
      <c r="AD932" s="203">
        <v>0</v>
      </c>
      <c r="AE932" s="203">
        <v>773.7</v>
      </c>
      <c r="AF932" s="202">
        <f t="shared" si="163"/>
        <v>1198.610614570918</v>
      </c>
      <c r="AG932" s="203">
        <v>0</v>
      </c>
      <c r="AH932" s="202">
        <v>0</v>
      </c>
      <c r="AI932" s="203">
        <v>0</v>
      </c>
      <c r="AJ932" s="202">
        <v>0</v>
      </c>
      <c r="AK932" s="203">
        <v>0</v>
      </c>
      <c r="AL932" s="203">
        <v>0</v>
      </c>
      <c r="AM932" s="203">
        <v>0</v>
      </c>
      <c r="AN932" s="203"/>
      <c r="AO932" s="203">
        <v>0</v>
      </c>
    </row>
    <row r="933" spans="1:41" s="176" customFormat="1" ht="36" customHeight="1" x14ac:dyDescent="0.25">
      <c r="A933" s="176">
        <v>1</v>
      </c>
      <c r="B933" s="171">
        <f>SUBTOTAL(103,$A$552:A933)</f>
        <v>356</v>
      </c>
      <c r="C933" s="172" t="s">
        <v>125</v>
      </c>
      <c r="D933" s="173">
        <v>1986</v>
      </c>
      <c r="E933" s="173"/>
      <c r="F933" s="174" t="s">
        <v>267</v>
      </c>
      <c r="G933" s="173">
        <v>5</v>
      </c>
      <c r="H933" s="173" t="s">
        <v>304</v>
      </c>
      <c r="I933" s="177">
        <v>2851.99</v>
      </c>
      <c r="J933" s="177">
        <v>2360.59</v>
      </c>
      <c r="K933" s="177">
        <v>2342</v>
      </c>
      <c r="L933" s="206">
        <v>145</v>
      </c>
      <c r="M933" s="173" t="s">
        <v>265</v>
      </c>
      <c r="N933" s="173" t="s">
        <v>269</v>
      </c>
      <c r="O933" s="175" t="s">
        <v>285</v>
      </c>
      <c r="P933" s="170">
        <v>4644926.0999999996</v>
      </c>
      <c r="Q933" s="170">
        <v>0</v>
      </c>
      <c r="R933" s="170">
        <v>0</v>
      </c>
      <c r="S933" s="170">
        <f>P933-Q933-R933</f>
        <v>4644926.0999999996</v>
      </c>
      <c r="T933" s="170">
        <f t="shared" si="160"/>
        <v>1628.6614258815773</v>
      </c>
      <c r="U933" s="170">
        <v>2110.1601162696925</v>
      </c>
      <c r="V933" s="202">
        <f>U933-T933</f>
        <v>481.49869038811516</v>
      </c>
      <c r="W933" s="202">
        <f>X933+Y933+Z933+AA933+AB933+AD933+AF933+AH933+AJ933+AL933+AN933+AO933</f>
        <v>2045.3721261294745</v>
      </c>
      <c r="X933" s="202">
        <v>0</v>
      </c>
      <c r="Y933" s="203">
        <v>0</v>
      </c>
      <c r="Z933" s="203">
        <v>0</v>
      </c>
      <c r="AA933" s="203">
        <v>0</v>
      </c>
      <c r="AB933" s="203">
        <v>0</v>
      </c>
      <c r="AC933" s="203">
        <v>0</v>
      </c>
      <c r="AD933" s="203">
        <v>0</v>
      </c>
      <c r="AE933" s="203">
        <v>935</v>
      </c>
      <c r="AF933" s="202">
        <f t="shared" si="163"/>
        <v>2045.3721261294745</v>
      </c>
      <c r="AG933" s="203">
        <v>0</v>
      </c>
      <c r="AH933" s="202">
        <v>0</v>
      </c>
      <c r="AI933" s="203">
        <v>0</v>
      </c>
      <c r="AJ933" s="202">
        <v>0</v>
      </c>
      <c r="AK933" s="203">
        <v>0</v>
      </c>
      <c r="AL933" s="203">
        <v>0</v>
      </c>
      <c r="AM933" s="203">
        <v>0</v>
      </c>
      <c r="AN933" s="203"/>
      <c r="AO933" s="203">
        <v>0</v>
      </c>
    </row>
    <row r="934" spans="1:41" s="176" customFormat="1" ht="36" customHeight="1" x14ac:dyDescent="0.25">
      <c r="A934" s="176">
        <v>1</v>
      </c>
      <c r="B934" s="171">
        <f>SUBTOTAL(103,$A$552:A934)</f>
        <v>357</v>
      </c>
      <c r="C934" s="172" t="s">
        <v>130</v>
      </c>
      <c r="D934" s="173">
        <v>1978</v>
      </c>
      <c r="E934" s="173"/>
      <c r="F934" s="174" t="s">
        <v>267</v>
      </c>
      <c r="G934" s="173">
        <v>3</v>
      </c>
      <c r="H934" s="173" t="s">
        <v>312</v>
      </c>
      <c r="I934" s="177">
        <v>1582.3</v>
      </c>
      <c r="J934" s="177">
        <v>1471.8</v>
      </c>
      <c r="K934" s="177">
        <v>1471.8</v>
      </c>
      <c r="L934" s="206">
        <v>69</v>
      </c>
      <c r="M934" s="173" t="s">
        <v>265</v>
      </c>
      <c r="N934" s="173" t="s">
        <v>269</v>
      </c>
      <c r="O934" s="175" t="s">
        <v>285</v>
      </c>
      <c r="P934" s="170">
        <v>6607023.6600000001</v>
      </c>
      <c r="Q934" s="170">
        <v>0</v>
      </c>
      <c r="R934" s="170">
        <v>0</v>
      </c>
      <c r="S934" s="170">
        <f t="shared" si="161"/>
        <v>6607023.6600000001</v>
      </c>
      <c r="T934" s="170">
        <f t="shared" si="160"/>
        <v>4175.5821652025534</v>
      </c>
      <c r="U934" s="170">
        <v>8744.2624679264354</v>
      </c>
      <c r="V934" s="202">
        <f t="shared" si="157"/>
        <v>4568.6803027238821</v>
      </c>
      <c r="W934" s="202">
        <f t="shared" si="162"/>
        <v>3686.6465588067999</v>
      </c>
      <c r="X934" s="202">
        <v>0</v>
      </c>
      <c r="Y934" s="203">
        <v>0</v>
      </c>
      <c r="Z934" s="203">
        <v>0</v>
      </c>
      <c r="AA934" s="203">
        <v>0</v>
      </c>
      <c r="AB934" s="203">
        <v>0</v>
      </c>
      <c r="AC934" s="203">
        <v>0</v>
      </c>
      <c r="AD934" s="203">
        <v>0</v>
      </c>
      <c r="AE934" s="203">
        <v>935</v>
      </c>
      <c r="AF934" s="202">
        <f t="shared" si="163"/>
        <v>3686.6465588067999</v>
      </c>
      <c r="AG934" s="203">
        <v>0</v>
      </c>
      <c r="AH934" s="202">
        <v>0</v>
      </c>
      <c r="AI934" s="203">
        <v>0</v>
      </c>
      <c r="AJ934" s="202">
        <v>0</v>
      </c>
      <c r="AK934" s="203">
        <v>0</v>
      </c>
      <c r="AL934" s="203">
        <v>0</v>
      </c>
      <c r="AM934" s="203">
        <v>0</v>
      </c>
      <c r="AN934" s="203"/>
      <c r="AO934" s="203">
        <v>0</v>
      </c>
    </row>
    <row r="935" spans="1:41" s="176" customFormat="1" ht="36" customHeight="1" x14ac:dyDescent="0.25">
      <c r="A935" s="176">
        <v>1</v>
      </c>
      <c r="B935" s="171">
        <f>SUBTOTAL(103,$A$552:A935)</f>
        <v>358</v>
      </c>
      <c r="C935" s="172" t="s">
        <v>114</v>
      </c>
      <c r="D935" s="173">
        <v>1973</v>
      </c>
      <c r="E935" s="173"/>
      <c r="F935" s="174" t="s">
        <v>267</v>
      </c>
      <c r="G935" s="173">
        <v>2</v>
      </c>
      <c r="H935" s="173" t="s">
        <v>303</v>
      </c>
      <c r="I935" s="177">
        <v>781.06</v>
      </c>
      <c r="J935" s="177">
        <v>721</v>
      </c>
      <c r="K935" s="177">
        <v>681.23</v>
      </c>
      <c r="L935" s="206">
        <v>38</v>
      </c>
      <c r="M935" s="173" t="s">
        <v>265</v>
      </c>
      <c r="N935" s="173" t="s">
        <v>269</v>
      </c>
      <c r="O935" s="175" t="s">
        <v>284</v>
      </c>
      <c r="P935" s="170">
        <v>2535216.96</v>
      </c>
      <c r="Q935" s="170">
        <v>0</v>
      </c>
      <c r="R935" s="170">
        <v>0</v>
      </c>
      <c r="S935" s="170">
        <f t="shared" si="161"/>
        <v>2535216.96</v>
      </c>
      <c r="T935" s="170">
        <f t="shared" si="160"/>
        <v>3245.867103679615</v>
      </c>
      <c r="U935" s="170">
        <v>5246.0694415281805</v>
      </c>
      <c r="V935" s="202">
        <f t="shared" si="157"/>
        <v>2000.2023378485655</v>
      </c>
      <c r="W935" s="202">
        <f t="shared" si="162"/>
        <v>5918.1220636058688</v>
      </c>
      <c r="X935" s="202">
        <v>0</v>
      </c>
      <c r="Y935" s="203">
        <v>0</v>
      </c>
      <c r="Z935" s="203">
        <v>0</v>
      </c>
      <c r="AA935" s="203">
        <v>0</v>
      </c>
      <c r="AB935" s="203">
        <v>0</v>
      </c>
      <c r="AC935" s="203">
        <v>0</v>
      </c>
      <c r="AD935" s="203">
        <v>0</v>
      </c>
      <c r="AE935" s="203">
        <v>740.9</v>
      </c>
      <c r="AF935" s="202">
        <f t="shared" si="163"/>
        <v>5918.1220636058688</v>
      </c>
      <c r="AG935" s="203">
        <v>0</v>
      </c>
      <c r="AH935" s="202">
        <v>0</v>
      </c>
      <c r="AI935" s="203">
        <v>0</v>
      </c>
      <c r="AJ935" s="202">
        <v>0</v>
      </c>
      <c r="AK935" s="203">
        <v>0</v>
      </c>
      <c r="AL935" s="203">
        <v>0</v>
      </c>
      <c r="AM935" s="203">
        <v>0</v>
      </c>
      <c r="AN935" s="203"/>
      <c r="AO935" s="203">
        <v>0</v>
      </c>
    </row>
    <row r="936" spans="1:41" s="176" customFormat="1" ht="36" customHeight="1" x14ac:dyDescent="0.25">
      <c r="A936" s="176">
        <v>1</v>
      </c>
      <c r="B936" s="171">
        <f>SUBTOTAL(103,$A$552:A936)</f>
        <v>359</v>
      </c>
      <c r="C936" s="172" t="s">
        <v>1215</v>
      </c>
      <c r="D936" s="173">
        <v>1987</v>
      </c>
      <c r="E936" s="173"/>
      <c r="F936" s="174" t="s">
        <v>267</v>
      </c>
      <c r="G936" s="173">
        <v>2</v>
      </c>
      <c r="H936" s="173" t="s">
        <v>312</v>
      </c>
      <c r="I936" s="170">
        <v>1448.2</v>
      </c>
      <c r="J936" s="170">
        <v>1448.2</v>
      </c>
      <c r="K936" s="170">
        <v>1448.2</v>
      </c>
      <c r="L936" s="206">
        <v>53</v>
      </c>
      <c r="M936" s="173" t="s">
        <v>265</v>
      </c>
      <c r="N936" s="173" t="s">
        <v>269</v>
      </c>
      <c r="O936" s="175" t="s">
        <v>1320</v>
      </c>
      <c r="P936" s="170">
        <v>1106806.3400000001</v>
      </c>
      <c r="Q936" s="170">
        <v>0</v>
      </c>
      <c r="R936" s="170">
        <v>0</v>
      </c>
      <c r="S936" s="170">
        <f t="shared" si="161"/>
        <v>1106806.3400000001</v>
      </c>
      <c r="T936" s="170">
        <f t="shared" si="160"/>
        <v>764.26345808589974</v>
      </c>
      <c r="U936" s="170">
        <v>3811.95</v>
      </c>
      <c r="V936" s="202">
        <f t="shared" si="157"/>
        <v>3047.6865419141</v>
      </c>
      <c r="W936" s="202">
        <f t="shared" si="162"/>
        <v>1967.0531045435712</v>
      </c>
      <c r="X936" s="202">
        <v>0</v>
      </c>
      <c r="Y936" s="203">
        <v>0</v>
      </c>
      <c r="Z936" s="203">
        <v>0</v>
      </c>
      <c r="AA936" s="203">
        <v>0</v>
      </c>
      <c r="AB936" s="203">
        <v>0</v>
      </c>
      <c r="AC936" s="203">
        <v>0</v>
      </c>
      <c r="AD936" s="203">
        <v>0</v>
      </c>
      <c r="AE936" s="203">
        <v>456.6</v>
      </c>
      <c r="AF936" s="202">
        <f>6238.91*AE936/I936</f>
        <v>1967.0531045435712</v>
      </c>
      <c r="AG936" s="203">
        <v>0</v>
      </c>
      <c r="AH936" s="202">
        <v>0</v>
      </c>
      <c r="AI936" s="203">
        <v>0</v>
      </c>
      <c r="AJ936" s="202">
        <v>0</v>
      </c>
      <c r="AK936" s="203">
        <v>0</v>
      </c>
      <c r="AL936" s="203">
        <v>0</v>
      </c>
      <c r="AM936" s="203">
        <v>0</v>
      </c>
      <c r="AN936" s="203"/>
      <c r="AO936" s="203">
        <v>0</v>
      </c>
    </row>
    <row r="937" spans="1:41" s="176" customFormat="1" ht="36" customHeight="1" x14ac:dyDescent="0.25">
      <c r="A937" s="176">
        <v>1</v>
      </c>
      <c r="B937" s="171">
        <f>SUBTOTAL(103,$A$552:A937)</f>
        <v>360</v>
      </c>
      <c r="C937" s="172" t="s">
        <v>119</v>
      </c>
      <c r="D937" s="173">
        <v>1979</v>
      </c>
      <c r="E937" s="173"/>
      <c r="F937" s="174" t="s">
        <v>267</v>
      </c>
      <c r="G937" s="173">
        <v>2</v>
      </c>
      <c r="H937" s="173" t="s">
        <v>312</v>
      </c>
      <c r="I937" s="170">
        <v>1253.7</v>
      </c>
      <c r="J937" s="170">
        <v>1253.7</v>
      </c>
      <c r="K937" s="170">
        <v>1133.5</v>
      </c>
      <c r="L937" s="206">
        <v>56</v>
      </c>
      <c r="M937" s="173" t="s">
        <v>265</v>
      </c>
      <c r="N937" s="173" t="s">
        <v>269</v>
      </c>
      <c r="O937" s="175" t="s">
        <v>285</v>
      </c>
      <c r="P937" s="170">
        <v>2197982.44</v>
      </c>
      <c r="Q937" s="170">
        <v>0</v>
      </c>
      <c r="R937" s="170">
        <v>0</v>
      </c>
      <c r="S937" s="170">
        <f t="shared" si="161"/>
        <v>2197982.44</v>
      </c>
      <c r="T937" s="170">
        <f t="shared" si="160"/>
        <v>1753.19649038845</v>
      </c>
      <c r="U937" s="170">
        <v>3925.04</v>
      </c>
      <c r="V937" s="202">
        <f t="shared" si="157"/>
        <v>2171.84350961155</v>
      </c>
      <c r="W937" s="202">
        <f t="shared" si="162"/>
        <v>3164.9890404402963</v>
      </c>
      <c r="X937" s="202">
        <v>0</v>
      </c>
      <c r="Y937" s="203">
        <v>0</v>
      </c>
      <c r="Z937" s="203">
        <v>0</v>
      </c>
      <c r="AA937" s="203">
        <v>0</v>
      </c>
      <c r="AB937" s="203">
        <v>0</v>
      </c>
      <c r="AC937" s="203">
        <v>0</v>
      </c>
      <c r="AD937" s="203">
        <v>0</v>
      </c>
      <c r="AE937" s="203">
        <v>636</v>
      </c>
      <c r="AF937" s="202">
        <f>6238.91*AE937/I937</f>
        <v>3164.9890404402963</v>
      </c>
      <c r="AG937" s="203">
        <v>0</v>
      </c>
      <c r="AH937" s="202">
        <v>0</v>
      </c>
      <c r="AI937" s="203">
        <v>0</v>
      </c>
      <c r="AJ937" s="202">
        <v>0</v>
      </c>
      <c r="AK937" s="203">
        <v>0</v>
      </c>
      <c r="AL937" s="203">
        <v>0</v>
      </c>
      <c r="AM937" s="203">
        <v>0</v>
      </c>
      <c r="AN937" s="203"/>
      <c r="AO937" s="203">
        <v>0</v>
      </c>
    </row>
    <row r="938" spans="1:41" s="176" customFormat="1" ht="36" customHeight="1" x14ac:dyDescent="0.25">
      <c r="A938" s="176">
        <v>1</v>
      </c>
      <c r="B938" s="171">
        <f>SUBTOTAL(103,$A$552:A938)</f>
        <v>361</v>
      </c>
      <c r="C938" s="172" t="s">
        <v>2294</v>
      </c>
      <c r="D938" s="173">
        <v>1959</v>
      </c>
      <c r="E938" s="173"/>
      <c r="F938" s="174" t="s">
        <v>267</v>
      </c>
      <c r="G938" s="173">
        <v>2</v>
      </c>
      <c r="H938" s="173">
        <v>1</v>
      </c>
      <c r="I938" s="170">
        <v>428.93</v>
      </c>
      <c r="J938" s="170">
        <v>378.98</v>
      </c>
      <c r="K938" s="170">
        <v>378.98</v>
      </c>
      <c r="L938" s="206">
        <v>16</v>
      </c>
      <c r="M938" s="173" t="s">
        <v>265</v>
      </c>
      <c r="N938" s="173" t="s">
        <v>266</v>
      </c>
      <c r="O938" s="175" t="s">
        <v>268</v>
      </c>
      <c r="P938" s="170">
        <v>2275565.65</v>
      </c>
      <c r="Q938" s="170">
        <v>0</v>
      </c>
      <c r="R938" s="170">
        <v>0</v>
      </c>
      <c r="S938" s="170">
        <f t="shared" si="161"/>
        <v>2275565.65</v>
      </c>
      <c r="T938" s="170">
        <f t="shared" si="160"/>
        <v>5305.2144872123654</v>
      </c>
      <c r="U938" s="170">
        <v>5669.2944844147069</v>
      </c>
      <c r="V938" s="202">
        <f t="shared" si="157"/>
        <v>364.07999720234147</v>
      </c>
      <c r="W938" s="202">
        <f t="shared" si="162"/>
        <v>9250.8026018231412</v>
      </c>
      <c r="X938" s="202">
        <v>0</v>
      </c>
      <c r="Y938" s="203">
        <v>0</v>
      </c>
      <c r="Z938" s="203">
        <v>0</v>
      </c>
      <c r="AA938" s="203">
        <v>0</v>
      </c>
      <c r="AB938" s="203">
        <v>0</v>
      </c>
      <c r="AC938" s="203">
        <v>0</v>
      </c>
      <c r="AD938" s="203">
        <v>0</v>
      </c>
      <c r="AE938" s="203">
        <v>636</v>
      </c>
      <c r="AF938" s="202">
        <f t="shared" si="163"/>
        <v>9250.8026018231412</v>
      </c>
      <c r="AG938" s="203">
        <v>0</v>
      </c>
      <c r="AH938" s="202">
        <v>0</v>
      </c>
      <c r="AI938" s="203">
        <v>0</v>
      </c>
      <c r="AJ938" s="202">
        <v>0</v>
      </c>
      <c r="AK938" s="203">
        <v>0</v>
      </c>
      <c r="AL938" s="203">
        <v>0</v>
      </c>
      <c r="AM938" s="203">
        <v>0</v>
      </c>
      <c r="AN938" s="203"/>
      <c r="AO938" s="203">
        <v>0</v>
      </c>
    </row>
    <row r="939" spans="1:41" s="176" customFormat="1" ht="36" customHeight="1" x14ac:dyDescent="0.25">
      <c r="B939" s="172" t="s">
        <v>826</v>
      </c>
      <c r="C939" s="172"/>
      <c r="D939" s="173" t="s">
        <v>882</v>
      </c>
      <c r="E939" s="173" t="s">
        <v>882</v>
      </c>
      <c r="F939" s="173" t="s">
        <v>882</v>
      </c>
      <c r="G939" s="173" t="s">
        <v>882</v>
      </c>
      <c r="H939" s="173" t="s">
        <v>882</v>
      </c>
      <c r="I939" s="170">
        <f>SUM(I940:I941)</f>
        <v>1443.4</v>
      </c>
      <c r="J939" s="170">
        <f>SUM(J940:J941)</f>
        <v>1238.9000000000001</v>
      </c>
      <c r="K939" s="170">
        <f>SUM(K940:K941)</f>
        <v>1204.5999999999999</v>
      </c>
      <c r="L939" s="357">
        <f>SUM(L940:L941)</f>
        <v>68</v>
      </c>
      <c r="M939" s="173" t="s">
        <v>882</v>
      </c>
      <c r="N939" s="173" t="s">
        <v>882</v>
      </c>
      <c r="O939" s="175" t="s">
        <v>882</v>
      </c>
      <c r="P939" s="170">
        <v>5513180.9399999995</v>
      </c>
      <c r="Q939" s="170">
        <f>SUM(Q940:Q941)</f>
        <v>0</v>
      </c>
      <c r="R939" s="170">
        <f>SUM(R940:R941)</f>
        <v>0</v>
      </c>
      <c r="S939" s="170">
        <f>SUM(S940:S941)</f>
        <v>5513180.9399999995</v>
      </c>
      <c r="T939" s="170">
        <f t="shared" si="160"/>
        <v>3819.5794235832059</v>
      </c>
      <c r="U939" s="170">
        <f>MAX(U940:U941)</f>
        <v>4726.5746616541355</v>
      </c>
      <c r="V939" s="202">
        <f>U939-T939</f>
        <v>906.99523807092964</v>
      </c>
      <c r="W939" s="202"/>
      <c r="X939" s="202"/>
      <c r="Y939" s="203"/>
      <c r="Z939" s="203"/>
      <c r="AA939" s="203"/>
      <c r="AB939" s="203"/>
      <c r="AC939" s="203"/>
      <c r="AD939" s="203"/>
      <c r="AE939" s="203"/>
      <c r="AF939" s="203"/>
      <c r="AG939" s="203"/>
      <c r="AH939" s="203"/>
      <c r="AI939" s="203"/>
      <c r="AJ939" s="203"/>
      <c r="AK939" s="203"/>
      <c r="AL939" s="203"/>
      <c r="AM939" s="203"/>
      <c r="AN939" s="203"/>
      <c r="AO939" s="203"/>
    </row>
    <row r="940" spans="1:41" s="176" customFormat="1" ht="36" customHeight="1" x14ac:dyDescent="0.25">
      <c r="A940" s="176">
        <v>1</v>
      </c>
      <c r="B940" s="171">
        <f>SUBTOTAL(103,$A$552:A940)</f>
        <v>362</v>
      </c>
      <c r="C940" s="172" t="s">
        <v>169</v>
      </c>
      <c r="D940" s="173">
        <v>1983</v>
      </c>
      <c r="E940" s="173"/>
      <c r="F940" s="174" t="s">
        <v>267</v>
      </c>
      <c r="G940" s="173">
        <v>2</v>
      </c>
      <c r="H940" s="173" t="s">
        <v>312</v>
      </c>
      <c r="I940" s="177">
        <v>1044.4000000000001</v>
      </c>
      <c r="J940" s="177">
        <v>943.9</v>
      </c>
      <c r="K940" s="177">
        <v>943.9</v>
      </c>
      <c r="L940" s="206">
        <v>47</v>
      </c>
      <c r="M940" s="173" t="s">
        <v>265</v>
      </c>
      <c r="N940" s="173" t="s">
        <v>337</v>
      </c>
      <c r="O940" s="175" t="s">
        <v>802</v>
      </c>
      <c r="P940" s="170">
        <v>4365745.54</v>
      </c>
      <c r="Q940" s="170">
        <v>0</v>
      </c>
      <c r="R940" s="170">
        <v>0</v>
      </c>
      <c r="S940" s="170">
        <f>P940-Q940-R940</f>
        <v>4365745.54</v>
      </c>
      <c r="T940" s="170">
        <f t="shared" si="160"/>
        <v>4180.1470126388358</v>
      </c>
      <c r="U940" s="170">
        <v>1631.0497307570477</v>
      </c>
      <c r="V940" s="202">
        <f>U940-T940</f>
        <v>-2549.0972818817881</v>
      </c>
      <c r="W940" s="202">
        <f>X940+Y940+Z940+AA940+AB940+AD940+AF940+AH940+AJ940+AL940+AN940+AO940</f>
        <v>3269.3861547299884</v>
      </c>
      <c r="X940" s="202">
        <v>0</v>
      </c>
      <c r="Y940" s="203">
        <v>0</v>
      </c>
      <c r="Z940" s="203">
        <v>0</v>
      </c>
      <c r="AA940" s="203">
        <v>0</v>
      </c>
      <c r="AB940" s="203">
        <v>0</v>
      </c>
      <c r="AC940" s="203">
        <v>0</v>
      </c>
      <c r="AD940" s="203">
        <v>0</v>
      </c>
      <c r="AE940" s="203">
        <v>0</v>
      </c>
      <c r="AF940" s="202">
        <v>0</v>
      </c>
      <c r="AG940" s="203">
        <v>0</v>
      </c>
      <c r="AH940" s="202">
        <v>0</v>
      </c>
      <c r="AI940" s="203">
        <v>459</v>
      </c>
      <c r="AJ940" s="202">
        <f>7439.1*AI940/I940</f>
        <v>3269.3861547299884</v>
      </c>
      <c r="AK940" s="203">
        <v>0</v>
      </c>
      <c r="AL940" s="203">
        <v>0</v>
      </c>
      <c r="AM940" s="203">
        <v>0</v>
      </c>
      <c r="AN940" s="203"/>
      <c r="AO940" s="203">
        <v>0</v>
      </c>
    </row>
    <row r="941" spans="1:41" s="176" customFormat="1" ht="36" customHeight="1" x14ac:dyDescent="0.25">
      <c r="A941" s="176">
        <v>1</v>
      </c>
      <c r="B941" s="171">
        <f>SUBTOTAL(103,$A$552:A941)</f>
        <v>363</v>
      </c>
      <c r="C941" s="172" t="s">
        <v>1560</v>
      </c>
      <c r="D941" s="173">
        <v>1967</v>
      </c>
      <c r="E941" s="173"/>
      <c r="F941" s="174" t="s">
        <v>1562</v>
      </c>
      <c r="G941" s="173">
        <v>2</v>
      </c>
      <c r="H941" s="173" t="s">
        <v>304</v>
      </c>
      <c r="I941" s="177">
        <v>399</v>
      </c>
      <c r="J941" s="177">
        <v>295</v>
      </c>
      <c r="K941" s="177">
        <v>260.7</v>
      </c>
      <c r="L941" s="206">
        <v>21</v>
      </c>
      <c r="M941" s="173" t="s">
        <v>265</v>
      </c>
      <c r="N941" s="173" t="s">
        <v>337</v>
      </c>
      <c r="O941" s="175" t="s">
        <v>802</v>
      </c>
      <c r="P941" s="170">
        <v>1147435.3999999999</v>
      </c>
      <c r="Q941" s="170">
        <v>0</v>
      </c>
      <c r="R941" s="170">
        <v>0</v>
      </c>
      <c r="S941" s="170">
        <f>P941-Q941-R941</f>
        <v>1147435.3999999999</v>
      </c>
      <c r="T941" s="170">
        <f t="shared" si="160"/>
        <v>2875.777944862155</v>
      </c>
      <c r="U941" s="170">
        <v>4726.5746616541355</v>
      </c>
      <c r="V941" s="202">
        <f>U941-T941</f>
        <v>1850.7967167919805</v>
      </c>
      <c r="W941" s="202">
        <f>X941+Y941+Z941+AA941+AB941+AD941+AF941+AH941+AJ941+AL941+AN941+AO941</f>
        <v>7933.1755639097755</v>
      </c>
      <c r="X941" s="202">
        <v>0</v>
      </c>
      <c r="Y941" s="203">
        <v>0</v>
      </c>
      <c r="Z941" s="203">
        <v>0</v>
      </c>
      <c r="AA941" s="203">
        <v>0</v>
      </c>
      <c r="AB941" s="203">
        <v>0</v>
      </c>
      <c r="AC941" s="203">
        <v>0</v>
      </c>
      <c r="AD941" s="203">
        <v>0</v>
      </c>
      <c r="AE941" s="203">
        <v>0</v>
      </c>
      <c r="AF941" s="202">
        <v>0</v>
      </c>
      <c r="AG941" s="203">
        <v>0</v>
      </c>
      <c r="AH941" s="202">
        <v>0</v>
      </c>
      <c r="AI941" s="203">
        <v>425.5</v>
      </c>
      <c r="AJ941" s="202">
        <f>7439.1*AI941/I941</f>
        <v>7933.1755639097755</v>
      </c>
      <c r="AK941" s="203">
        <v>0</v>
      </c>
      <c r="AL941" s="203">
        <v>0</v>
      </c>
      <c r="AM941" s="203">
        <v>0</v>
      </c>
      <c r="AN941" s="203"/>
      <c r="AO941" s="203">
        <v>0</v>
      </c>
    </row>
    <row r="942" spans="1:41" s="176" customFormat="1" ht="36" customHeight="1" x14ac:dyDescent="0.25">
      <c r="B942" s="172" t="s">
        <v>828</v>
      </c>
      <c r="C942" s="359"/>
      <c r="D942" s="173" t="s">
        <v>882</v>
      </c>
      <c r="E942" s="173" t="s">
        <v>882</v>
      </c>
      <c r="F942" s="173" t="s">
        <v>882</v>
      </c>
      <c r="G942" s="173" t="s">
        <v>882</v>
      </c>
      <c r="H942" s="173" t="s">
        <v>882</v>
      </c>
      <c r="I942" s="177">
        <f>SUM(I943:I945)</f>
        <v>1854.1999999999998</v>
      </c>
      <c r="J942" s="177">
        <f>SUM(J943:J945)</f>
        <v>1598.8000000000002</v>
      </c>
      <c r="K942" s="177">
        <f>SUM(K943:K945)</f>
        <v>1394.4</v>
      </c>
      <c r="L942" s="357">
        <f>SUM(L943:L945)</f>
        <v>87</v>
      </c>
      <c r="M942" s="173" t="s">
        <v>882</v>
      </c>
      <c r="N942" s="173" t="s">
        <v>882</v>
      </c>
      <c r="O942" s="175" t="s">
        <v>882</v>
      </c>
      <c r="P942" s="170">
        <v>7320616.3300000001</v>
      </c>
      <c r="Q942" s="170">
        <f>SUM(Q943:Q945)</f>
        <v>0</v>
      </c>
      <c r="R942" s="170">
        <f>SUM(R943:R945)</f>
        <v>0</v>
      </c>
      <c r="S942" s="170">
        <f>SUM(S943:S945)</f>
        <v>7320616.3300000001</v>
      </c>
      <c r="T942" s="170">
        <f t="shared" si="160"/>
        <v>3948.1265936792151</v>
      </c>
      <c r="U942" s="170">
        <f>MAX(U943:U945)</f>
        <v>5497.5167155425215</v>
      </c>
      <c r="V942" s="202">
        <f t="shared" si="157"/>
        <v>1549.3901218633064</v>
      </c>
      <c r="W942" s="202"/>
      <c r="X942" s="202"/>
      <c r="Y942" s="203"/>
      <c r="Z942" s="203"/>
      <c r="AA942" s="203"/>
      <c r="AB942" s="203"/>
      <c r="AC942" s="203"/>
      <c r="AD942" s="203"/>
      <c r="AE942" s="203"/>
      <c r="AF942" s="203"/>
      <c r="AG942" s="203"/>
      <c r="AH942" s="203"/>
      <c r="AI942" s="203"/>
      <c r="AJ942" s="203"/>
      <c r="AK942" s="203"/>
      <c r="AL942" s="203"/>
      <c r="AM942" s="203"/>
      <c r="AN942" s="203"/>
      <c r="AO942" s="203"/>
    </row>
    <row r="943" spans="1:41" s="176" customFormat="1" ht="36" customHeight="1" x14ac:dyDescent="0.25">
      <c r="A943" s="176">
        <v>1</v>
      </c>
      <c r="B943" s="171">
        <f>SUBTOTAL(103,$A$552:A943)</f>
        <v>364</v>
      </c>
      <c r="C943" s="172" t="s">
        <v>176</v>
      </c>
      <c r="D943" s="173">
        <v>1968</v>
      </c>
      <c r="E943" s="173">
        <v>2009</v>
      </c>
      <c r="F943" s="174" t="s">
        <v>267</v>
      </c>
      <c r="G943" s="173">
        <v>2</v>
      </c>
      <c r="H943" s="173" t="s">
        <v>303</v>
      </c>
      <c r="I943" s="177">
        <v>791.5</v>
      </c>
      <c r="J943" s="177">
        <v>725.1</v>
      </c>
      <c r="K943" s="177">
        <v>725.1</v>
      </c>
      <c r="L943" s="206">
        <v>42</v>
      </c>
      <c r="M943" s="173" t="s">
        <v>265</v>
      </c>
      <c r="N943" s="173" t="s">
        <v>266</v>
      </c>
      <c r="O943" s="175" t="s">
        <v>268</v>
      </c>
      <c r="P943" s="170">
        <v>3094417.8399999994</v>
      </c>
      <c r="Q943" s="170">
        <v>0</v>
      </c>
      <c r="R943" s="170">
        <v>0</v>
      </c>
      <c r="S943" s="170">
        <f>P943-Q943-R943</f>
        <v>3094417.8399999994</v>
      </c>
      <c r="T943" s="170">
        <f t="shared" si="160"/>
        <v>3909.5613897662656</v>
      </c>
      <c r="U943" s="170">
        <v>5285.8427037271003</v>
      </c>
      <c r="V943" s="202">
        <f>U943-T943</f>
        <v>1376.2813139608347</v>
      </c>
      <c r="W943" s="202">
        <f>X943+Y943+Z943+AA943+AB943+AD943+AF943+AH943+AJ943+AL943+AN943+AO943</f>
        <v>4314.0200884396718</v>
      </c>
      <c r="X943" s="202">
        <v>0</v>
      </c>
      <c r="Y943" s="203">
        <v>0</v>
      </c>
      <c r="Z943" s="203">
        <v>0</v>
      </c>
      <c r="AA943" s="203">
        <v>0</v>
      </c>
      <c r="AB943" s="203">
        <v>0</v>
      </c>
      <c r="AC943" s="203">
        <v>0</v>
      </c>
      <c r="AD943" s="203">
        <v>0</v>
      </c>
      <c r="AE943" s="203">
        <v>0</v>
      </c>
      <c r="AF943" s="202">
        <v>0</v>
      </c>
      <c r="AG943" s="203">
        <v>0</v>
      </c>
      <c r="AH943" s="202">
        <v>0</v>
      </c>
      <c r="AI943" s="203">
        <v>459</v>
      </c>
      <c r="AJ943" s="202">
        <f>7439.1*AI943/I943</f>
        <v>4314.0200884396718</v>
      </c>
      <c r="AK943" s="203">
        <v>0</v>
      </c>
      <c r="AL943" s="203">
        <v>0</v>
      </c>
      <c r="AM943" s="203">
        <v>0</v>
      </c>
      <c r="AN943" s="203"/>
      <c r="AO943" s="203">
        <v>0</v>
      </c>
    </row>
    <row r="944" spans="1:41" s="176" customFormat="1" ht="36" customHeight="1" x14ac:dyDescent="0.25">
      <c r="A944" s="176">
        <v>1</v>
      </c>
      <c r="B944" s="171">
        <f>SUBTOTAL(103,$A$552:A944)</f>
        <v>365</v>
      </c>
      <c r="C944" s="172" t="s">
        <v>181</v>
      </c>
      <c r="D944" s="173">
        <v>1955</v>
      </c>
      <c r="E944" s="173"/>
      <c r="F944" s="174" t="s">
        <v>267</v>
      </c>
      <c r="G944" s="173">
        <v>2</v>
      </c>
      <c r="H944" s="173" t="s">
        <v>304</v>
      </c>
      <c r="I944" s="177">
        <v>545.6</v>
      </c>
      <c r="J944" s="177">
        <v>501.6</v>
      </c>
      <c r="K944" s="177">
        <v>384.3</v>
      </c>
      <c r="L944" s="206">
        <v>27</v>
      </c>
      <c r="M944" s="173" t="s">
        <v>265</v>
      </c>
      <c r="N944" s="173" t="s">
        <v>266</v>
      </c>
      <c r="O944" s="175" t="s">
        <v>268</v>
      </c>
      <c r="P944" s="170">
        <v>2387551.0099999998</v>
      </c>
      <c r="Q944" s="170">
        <v>0</v>
      </c>
      <c r="R944" s="170">
        <v>0</v>
      </c>
      <c r="S944" s="170">
        <f>P944-Q944-R944</f>
        <v>2387551.0099999998</v>
      </c>
      <c r="T944" s="170">
        <f t="shared" si="160"/>
        <v>4376.0099156891492</v>
      </c>
      <c r="U944" s="170">
        <v>5497.5167155425215</v>
      </c>
      <c r="V944" s="202">
        <f>U944-T944</f>
        <v>1121.5067998533723</v>
      </c>
      <c r="W944" s="202">
        <f>X944+Y944+Z944+AA944+AB944+AD944+AF944+AH944+AJ944+AL944+AN944+AO944</f>
        <v>5801.5708394428157</v>
      </c>
      <c r="X944" s="202">
        <v>0</v>
      </c>
      <c r="Y944" s="203">
        <v>0</v>
      </c>
      <c r="Z944" s="203">
        <v>0</v>
      </c>
      <c r="AA944" s="203">
        <v>0</v>
      </c>
      <c r="AB944" s="203">
        <v>0</v>
      </c>
      <c r="AC944" s="203">
        <v>0</v>
      </c>
      <c r="AD944" s="203">
        <v>0</v>
      </c>
      <c r="AE944" s="203">
        <v>0</v>
      </c>
      <c r="AF944" s="202">
        <v>0</v>
      </c>
      <c r="AG944" s="203">
        <v>0</v>
      </c>
      <c r="AH944" s="202">
        <v>0</v>
      </c>
      <c r="AI944" s="203">
        <v>425.5</v>
      </c>
      <c r="AJ944" s="202">
        <f>7439.1*AI944/I944</f>
        <v>5801.5708394428157</v>
      </c>
      <c r="AK944" s="203">
        <v>0</v>
      </c>
      <c r="AL944" s="203">
        <v>0</v>
      </c>
      <c r="AM944" s="203">
        <v>0</v>
      </c>
      <c r="AN944" s="203"/>
      <c r="AO944" s="203">
        <v>0</v>
      </c>
    </row>
    <row r="945" spans="1:41" s="176" customFormat="1" ht="36" customHeight="1" x14ac:dyDescent="0.25">
      <c r="A945" s="176">
        <v>1</v>
      </c>
      <c r="B945" s="171">
        <f>SUBTOTAL(103,$A$552:A945)</f>
        <v>366</v>
      </c>
      <c r="C945" s="172" t="s">
        <v>1559</v>
      </c>
      <c r="D945" s="173">
        <v>1976</v>
      </c>
      <c r="E945" s="173"/>
      <c r="F945" s="174" t="s">
        <v>1562</v>
      </c>
      <c r="G945" s="173">
        <v>2</v>
      </c>
      <c r="H945" s="173" t="s">
        <v>304</v>
      </c>
      <c r="I945" s="177">
        <v>517.1</v>
      </c>
      <c r="J945" s="177">
        <v>372.1</v>
      </c>
      <c r="K945" s="177">
        <v>285</v>
      </c>
      <c r="L945" s="206">
        <v>18</v>
      </c>
      <c r="M945" s="173" t="s">
        <v>265</v>
      </c>
      <c r="N945" s="173" t="s">
        <v>266</v>
      </c>
      <c r="O945" s="175" t="s">
        <v>268</v>
      </c>
      <c r="P945" s="170">
        <v>1838647.48</v>
      </c>
      <c r="Q945" s="170">
        <v>0</v>
      </c>
      <c r="R945" s="170">
        <v>0</v>
      </c>
      <c r="S945" s="170">
        <f>P945-Q945-R945</f>
        <v>1838647.48</v>
      </c>
      <c r="T945" s="170">
        <f t="shared" si="160"/>
        <v>3555.6903500290077</v>
      </c>
      <c r="U945" s="170">
        <v>1631.0497307570477</v>
      </c>
      <c r="V945" s="202">
        <f>U945-T945</f>
        <v>-1924.6406192719601</v>
      </c>
      <c r="W945" s="202">
        <f>X945+Y945+Z945+AA945+AB945+AD945+AF945+AH945+AJ945+AL945+AN945+AO945</f>
        <v>7842.3738155095725</v>
      </c>
      <c r="X945" s="202">
        <v>0</v>
      </c>
      <c r="Y945" s="203">
        <v>0</v>
      </c>
      <c r="Z945" s="203">
        <v>0</v>
      </c>
      <c r="AA945" s="203">
        <v>0</v>
      </c>
      <c r="AB945" s="203">
        <v>0</v>
      </c>
      <c r="AC945" s="203">
        <v>0</v>
      </c>
      <c r="AD945" s="203">
        <v>0</v>
      </c>
      <c r="AE945" s="203">
        <v>650</v>
      </c>
      <c r="AF945" s="202">
        <f>6238.91*AE945/I945</f>
        <v>7842.3738155095725</v>
      </c>
      <c r="AG945" s="203">
        <v>0</v>
      </c>
      <c r="AH945" s="202">
        <v>0</v>
      </c>
      <c r="AI945" s="203">
        <v>0</v>
      </c>
      <c r="AJ945" s="202">
        <v>0</v>
      </c>
      <c r="AK945" s="203">
        <v>0</v>
      </c>
      <c r="AL945" s="203">
        <v>0</v>
      </c>
      <c r="AM945" s="203">
        <v>0</v>
      </c>
      <c r="AN945" s="203"/>
      <c r="AO945" s="203">
        <v>0</v>
      </c>
    </row>
    <row r="946" spans="1:41" s="176" customFormat="1" ht="36" customHeight="1" x14ac:dyDescent="0.25">
      <c r="B946" s="172" t="s">
        <v>827</v>
      </c>
      <c r="C946" s="172"/>
      <c r="D946" s="173" t="s">
        <v>882</v>
      </c>
      <c r="E946" s="173" t="s">
        <v>882</v>
      </c>
      <c r="F946" s="173" t="s">
        <v>882</v>
      </c>
      <c r="G946" s="173" t="s">
        <v>882</v>
      </c>
      <c r="H946" s="173" t="s">
        <v>882</v>
      </c>
      <c r="I946" s="170">
        <f>SUM(I947:I948)</f>
        <v>889.09999999999991</v>
      </c>
      <c r="J946" s="170">
        <f>SUM(J947:J948)</f>
        <v>796.59999999999991</v>
      </c>
      <c r="K946" s="170">
        <f>SUM(K947:K948)</f>
        <v>753.7</v>
      </c>
      <c r="L946" s="357">
        <f>SUM(L947:L948)</f>
        <v>44</v>
      </c>
      <c r="M946" s="173" t="s">
        <v>882</v>
      </c>
      <c r="N946" s="173" t="s">
        <v>882</v>
      </c>
      <c r="O946" s="175" t="s">
        <v>882</v>
      </c>
      <c r="P946" s="170">
        <v>5162888.5</v>
      </c>
      <c r="Q946" s="170">
        <f>SUM(Q947:Q948)</f>
        <v>0</v>
      </c>
      <c r="R946" s="170">
        <f>SUM(R947:R948)</f>
        <v>0</v>
      </c>
      <c r="S946" s="170">
        <f>SUM(S947:S948)</f>
        <v>5162888.5</v>
      </c>
      <c r="T946" s="170">
        <f t="shared" si="160"/>
        <v>5806.8704307726921</v>
      </c>
      <c r="U946" s="170">
        <f>MAX(U947:U948)</f>
        <v>7744.4928555227953</v>
      </c>
      <c r="V946" s="202">
        <f t="shared" si="157"/>
        <v>1937.6224247501032</v>
      </c>
      <c r="W946" s="202"/>
      <c r="X946" s="202"/>
      <c r="Y946" s="203"/>
      <c r="Z946" s="203"/>
      <c r="AA946" s="203"/>
      <c r="AB946" s="203"/>
      <c r="AC946" s="203"/>
      <c r="AD946" s="203"/>
      <c r="AE946" s="203"/>
      <c r="AF946" s="203"/>
      <c r="AG946" s="203"/>
      <c r="AH946" s="203"/>
      <c r="AI946" s="203"/>
      <c r="AJ946" s="203"/>
      <c r="AK946" s="203"/>
      <c r="AL946" s="203"/>
      <c r="AM946" s="203"/>
      <c r="AN946" s="203"/>
      <c r="AO946" s="203"/>
    </row>
    <row r="947" spans="1:41" s="176" customFormat="1" ht="36" customHeight="1" x14ac:dyDescent="0.25">
      <c r="A947" s="176">
        <v>1</v>
      </c>
      <c r="B947" s="171">
        <f>SUBTOTAL(103,$A$552:A947)</f>
        <v>367</v>
      </c>
      <c r="C947" s="172" t="s">
        <v>174</v>
      </c>
      <c r="D947" s="173">
        <v>1955</v>
      </c>
      <c r="E947" s="173"/>
      <c r="F947" s="174" t="s">
        <v>267</v>
      </c>
      <c r="G947" s="173">
        <v>2</v>
      </c>
      <c r="H947" s="173" t="s">
        <v>303</v>
      </c>
      <c r="I947" s="177">
        <v>440.9</v>
      </c>
      <c r="J947" s="177">
        <v>395.2</v>
      </c>
      <c r="K947" s="177">
        <v>395.2</v>
      </c>
      <c r="L947" s="206">
        <v>23</v>
      </c>
      <c r="M947" s="173" t="s">
        <v>265</v>
      </c>
      <c r="N947" s="173" t="s">
        <v>337</v>
      </c>
      <c r="O947" s="175" t="s">
        <v>339</v>
      </c>
      <c r="P947" s="170">
        <v>2662806.4000000004</v>
      </c>
      <c r="Q947" s="170">
        <v>0</v>
      </c>
      <c r="R947" s="170">
        <v>0</v>
      </c>
      <c r="S947" s="170">
        <f>P947-Q947-R947</f>
        <v>2662806.4000000004</v>
      </c>
      <c r="T947" s="170">
        <f t="shared" si="160"/>
        <v>6039.4792469947843</v>
      </c>
      <c r="U947" s="170">
        <v>7744.4928555227953</v>
      </c>
      <c r="V947" s="202">
        <f t="shared" si="157"/>
        <v>1705.013608528011</v>
      </c>
      <c r="W947" s="202">
        <f>X947+Y947+Z947+AA947+AB947+AD947+AF947+AH947+AJ947+AL947+AN947+AO947</f>
        <v>7744.4928555227953</v>
      </c>
      <c r="X947" s="202">
        <v>0</v>
      </c>
      <c r="Y947" s="203">
        <v>0</v>
      </c>
      <c r="Z947" s="203">
        <v>0</v>
      </c>
      <c r="AA947" s="203">
        <v>0</v>
      </c>
      <c r="AB947" s="203">
        <v>0</v>
      </c>
      <c r="AC947" s="203">
        <v>0</v>
      </c>
      <c r="AD947" s="203">
        <v>0</v>
      </c>
      <c r="AE947" s="203">
        <v>0</v>
      </c>
      <c r="AF947" s="202">
        <v>0</v>
      </c>
      <c r="AG947" s="203">
        <v>0</v>
      </c>
      <c r="AH947" s="202">
        <v>0</v>
      </c>
      <c r="AI947" s="203">
        <v>459</v>
      </c>
      <c r="AJ947" s="202">
        <f>7439.1*AI947/I947</f>
        <v>7744.4928555227953</v>
      </c>
      <c r="AK947" s="203">
        <v>0</v>
      </c>
      <c r="AL947" s="203">
        <v>0</v>
      </c>
      <c r="AM947" s="203">
        <v>0</v>
      </c>
      <c r="AN947" s="203"/>
      <c r="AO947" s="203">
        <v>0</v>
      </c>
    </row>
    <row r="948" spans="1:41" s="176" customFormat="1" ht="36" customHeight="1" x14ac:dyDescent="0.25">
      <c r="A948" s="176">
        <v>1</v>
      </c>
      <c r="B948" s="171">
        <f>SUBTOTAL(103,$A$552:A948)</f>
        <v>368</v>
      </c>
      <c r="C948" s="172" t="s">
        <v>175</v>
      </c>
      <c r="D948" s="173">
        <v>1955</v>
      </c>
      <c r="E948" s="173">
        <v>2010</v>
      </c>
      <c r="F948" s="174" t="s">
        <v>267</v>
      </c>
      <c r="G948" s="173">
        <v>2</v>
      </c>
      <c r="H948" s="173" t="s">
        <v>303</v>
      </c>
      <c r="I948" s="177">
        <v>448.2</v>
      </c>
      <c r="J948" s="177">
        <v>401.4</v>
      </c>
      <c r="K948" s="177">
        <v>358.5</v>
      </c>
      <c r="L948" s="206">
        <v>21</v>
      </c>
      <c r="M948" s="173" t="s">
        <v>265</v>
      </c>
      <c r="N948" s="173" t="s">
        <v>337</v>
      </c>
      <c r="O948" s="175" t="s">
        <v>339</v>
      </c>
      <c r="P948" s="170">
        <v>2500082.1</v>
      </c>
      <c r="Q948" s="170">
        <v>0</v>
      </c>
      <c r="R948" s="170">
        <v>0</v>
      </c>
      <c r="S948" s="170">
        <f>P948-Q948-R948</f>
        <v>2500082.1</v>
      </c>
      <c r="T948" s="170">
        <f t="shared" si="160"/>
        <v>5578.0502008032136</v>
      </c>
      <c r="U948" s="170">
        <v>7062.331659973227</v>
      </c>
      <c r="V948" s="202">
        <f t="shared" si="157"/>
        <v>1484.2814591700135</v>
      </c>
      <c r="W948" s="202">
        <f>X948+Y948+Z948+AA948+AB948+AD948+AF948+AH948+AJ948+AL948+AN948+AO948</f>
        <v>7062.331659973227</v>
      </c>
      <c r="X948" s="202">
        <v>0</v>
      </c>
      <c r="Y948" s="203">
        <v>0</v>
      </c>
      <c r="Z948" s="203">
        <v>0</v>
      </c>
      <c r="AA948" s="203">
        <v>0</v>
      </c>
      <c r="AB948" s="203">
        <v>0</v>
      </c>
      <c r="AC948" s="203">
        <v>0</v>
      </c>
      <c r="AD948" s="203">
        <v>0</v>
      </c>
      <c r="AE948" s="203">
        <v>0</v>
      </c>
      <c r="AF948" s="202">
        <v>0</v>
      </c>
      <c r="AG948" s="203">
        <v>0</v>
      </c>
      <c r="AH948" s="202">
        <v>0</v>
      </c>
      <c r="AI948" s="203">
        <v>425.5</v>
      </c>
      <c r="AJ948" s="202">
        <f>7439.1*AI948/I948</f>
        <v>7062.331659973227</v>
      </c>
      <c r="AK948" s="203">
        <v>0</v>
      </c>
      <c r="AL948" s="203">
        <v>0</v>
      </c>
      <c r="AM948" s="203">
        <v>0</v>
      </c>
      <c r="AN948" s="203"/>
      <c r="AO948" s="203">
        <v>0</v>
      </c>
    </row>
    <row r="949" spans="1:41" s="176" customFormat="1" ht="36" customHeight="1" x14ac:dyDescent="0.25">
      <c r="B949" s="172" t="s">
        <v>863</v>
      </c>
      <c r="C949" s="172"/>
      <c r="D949" s="173" t="s">
        <v>882</v>
      </c>
      <c r="E949" s="173" t="s">
        <v>882</v>
      </c>
      <c r="F949" s="173" t="s">
        <v>882</v>
      </c>
      <c r="G949" s="173" t="s">
        <v>882</v>
      </c>
      <c r="H949" s="173" t="s">
        <v>882</v>
      </c>
      <c r="I949" s="170">
        <f>SUM(I950:I951)</f>
        <v>1323.09</v>
      </c>
      <c r="J949" s="170">
        <f>SUM(J950:J951)</f>
        <v>1207.72</v>
      </c>
      <c r="K949" s="170">
        <f>SUM(K950:K951)</f>
        <v>1207.72</v>
      </c>
      <c r="L949" s="357">
        <f>SUM(L950:L951)</f>
        <v>68</v>
      </c>
      <c r="M949" s="173" t="s">
        <v>882</v>
      </c>
      <c r="N949" s="173" t="s">
        <v>882</v>
      </c>
      <c r="O949" s="175" t="s">
        <v>882</v>
      </c>
      <c r="P949" s="170">
        <v>6619041.75</v>
      </c>
      <c r="Q949" s="170">
        <f>SUM(Q950:Q951)</f>
        <v>0</v>
      </c>
      <c r="R949" s="170">
        <f>SUM(R950:R951)</f>
        <v>0</v>
      </c>
      <c r="S949" s="170">
        <f>SUM(S950:S951)</f>
        <v>6619041.75</v>
      </c>
      <c r="T949" s="170">
        <f t="shared" si="160"/>
        <v>5002.7146679364223</v>
      </c>
      <c r="U949" s="170">
        <f>MAX(U950:U951)</f>
        <v>8614.3424317617864</v>
      </c>
      <c r="V949" s="202">
        <f t="shared" si="157"/>
        <v>3611.6277638253641</v>
      </c>
      <c r="W949" s="202"/>
      <c r="X949" s="202"/>
      <c r="Y949" s="203"/>
      <c r="Z949" s="203"/>
      <c r="AA949" s="203"/>
      <c r="AB949" s="203"/>
      <c r="AC949" s="203"/>
      <c r="AD949" s="203"/>
      <c r="AE949" s="203"/>
      <c r="AF949" s="203"/>
      <c r="AG949" s="203"/>
      <c r="AH949" s="203"/>
      <c r="AI949" s="203"/>
      <c r="AJ949" s="203"/>
      <c r="AK949" s="203"/>
      <c r="AL949" s="203"/>
      <c r="AM949" s="203"/>
      <c r="AN949" s="203"/>
      <c r="AO949" s="203"/>
    </row>
    <row r="950" spans="1:41" s="176" customFormat="1" ht="36" customHeight="1" x14ac:dyDescent="0.25">
      <c r="A950" s="176">
        <v>1</v>
      </c>
      <c r="B950" s="171">
        <f>SUBTOTAL(103,$A$552:A950)</f>
        <v>369</v>
      </c>
      <c r="C950" s="172" t="s">
        <v>173</v>
      </c>
      <c r="D950" s="173">
        <v>1969</v>
      </c>
      <c r="E950" s="173"/>
      <c r="F950" s="174" t="s">
        <v>267</v>
      </c>
      <c r="G950" s="173">
        <v>2</v>
      </c>
      <c r="H950" s="173" t="s">
        <v>312</v>
      </c>
      <c r="I950" s="177">
        <v>960.39</v>
      </c>
      <c r="J950" s="177">
        <v>880.42</v>
      </c>
      <c r="K950" s="177">
        <v>880.42</v>
      </c>
      <c r="L950" s="206">
        <v>47</v>
      </c>
      <c r="M950" s="173" t="s">
        <v>265</v>
      </c>
      <c r="N950" s="173" t="s">
        <v>337</v>
      </c>
      <c r="O950" s="175" t="s">
        <v>338</v>
      </c>
      <c r="P950" s="170">
        <v>4128275.26</v>
      </c>
      <c r="Q950" s="170">
        <v>0</v>
      </c>
      <c r="R950" s="170">
        <v>0</v>
      </c>
      <c r="S950" s="170">
        <f>P950-Q950-R950</f>
        <v>4128275.26</v>
      </c>
      <c r="T950" s="170">
        <f t="shared" si="160"/>
        <v>4298.5404471100283</v>
      </c>
      <c r="U950" s="170">
        <v>5468.8287883047506</v>
      </c>
      <c r="V950" s="202">
        <f>U950-T950</f>
        <v>1170.2883411947223</v>
      </c>
      <c r="W950" s="202">
        <f>X950+Y950+Z950+AA950+AB950+AD950+AF950+AH950+AJ950+AL950+AN950+AO950</f>
        <v>5300.9200012494921</v>
      </c>
      <c r="X950" s="202">
        <v>0</v>
      </c>
      <c r="Y950" s="203">
        <v>0</v>
      </c>
      <c r="Z950" s="203">
        <v>0</v>
      </c>
      <c r="AA950" s="203">
        <v>0</v>
      </c>
      <c r="AB950" s="203">
        <v>0</v>
      </c>
      <c r="AC950" s="203">
        <v>0</v>
      </c>
      <c r="AD950" s="203">
        <v>0</v>
      </c>
      <c r="AE950" s="203">
        <v>816</v>
      </c>
      <c r="AF950" s="202">
        <f>6238.91*AE950/I950</f>
        <v>5300.9200012494921</v>
      </c>
      <c r="AG950" s="203">
        <v>0</v>
      </c>
      <c r="AH950" s="202">
        <v>0</v>
      </c>
      <c r="AI950" s="203">
        <v>0</v>
      </c>
      <c r="AJ950" s="202">
        <v>0</v>
      </c>
      <c r="AK950" s="203">
        <v>0</v>
      </c>
      <c r="AL950" s="203">
        <v>0</v>
      </c>
      <c r="AM950" s="203">
        <v>0</v>
      </c>
      <c r="AN950" s="203"/>
      <c r="AO950" s="203">
        <v>0</v>
      </c>
    </row>
    <row r="951" spans="1:41" s="176" customFormat="1" ht="36" customHeight="1" x14ac:dyDescent="0.25">
      <c r="A951" s="176">
        <v>1</v>
      </c>
      <c r="B951" s="171">
        <f>SUBTOTAL(103,$A$552:A951)</f>
        <v>370</v>
      </c>
      <c r="C951" s="172" t="s">
        <v>1941</v>
      </c>
      <c r="D951" s="173">
        <v>1966</v>
      </c>
      <c r="E951" s="173"/>
      <c r="F951" s="174" t="s">
        <v>1562</v>
      </c>
      <c r="G951" s="173" t="s">
        <v>303</v>
      </c>
      <c r="H951" s="173" t="s">
        <v>304</v>
      </c>
      <c r="I951" s="177">
        <v>362.7</v>
      </c>
      <c r="J951" s="177">
        <v>327.3</v>
      </c>
      <c r="K951" s="177">
        <v>327.3</v>
      </c>
      <c r="L951" s="206">
        <v>21</v>
      </c>
      <c r="M951" s="173" t="s">
        <v>265</v>
      </c>
      <c r="N951" s="173" t="s">
        <v>269</v>
      </c>
      <c r="O951" s="175" t="s">
        <v>2257</v>
      </c>
      <c r="P951" s="170">
        <v>2490766.4899999998</v>
      </c>
      <c r="Q951" s="170">
        <v>0</v>
      </c>
      <c r="R951" s="170">
        <v>0</v>
      </c>
      <c r="S951" s="170">
        <f>P951-Q951-R951</f>
        <v>2490766.4899999998</v>
      </c>
      <c r="T951" s="170">
        <f t="shared" si="160"/>
        <v>6867.2911221395088</v>
      </c>
      <c r="U951" s="170">
        <v>8614.3424317617864</v>
      </c>
      <c r="V951" s="202">
        <f>U951-T951</f>
        <v>1747.0513096222776</v>
      </c>
      <c r="W951" s="202">
        <f>X951+Y951+Z951+AA951+AB951+AD951+AF951+AH951+AJ951+AL951+AN951+AO951</f>
        <v>14036.257402812242</v>
      </c>
      <c r="X951" s="202">
        <v>0</v>
      </c>
      <c r="Y951" s="203">
        <v>0</v>
      </c>
      <c r="Z951" s="203">
        <v>0</v>
      </c>
      <c r="AA951" s="203">
        <v>0</v>
      </c>
      <c r="AB951" s="203">
        <v>0</v>
      </c>
      <c r="AC951" s="203">
        <v>0</v>
      </c>
      <c r="AD951" s="203">
        <v>0</v>
      </c>
      <c r="AE951" s="203">
        <v>816</v>
      </c>
      <c r="AF951" s="202">
        <f>6238.91*AE951/I951</f>
        <v>14036.257402812242</v>
      </c>
      <c r="AG951" s="203">
        <v>0</v>
      </c>
      <c r="AH951" s="202">
        <v>0</v>
      </c>
      <c r="AI951" s="203">
        <v>0</v>
      </c>
      <c r="AJ951" s="202">
        <v>0</v>
      </c>
      <c r="AK951" s="203">
        <v>0</v>
      </c>
      <c r="AL951" s="203">
        <v>0</v>
      </c>
      <c r="AM951" s="203">
        <v>0</v>
      </c>
      <c r="AN951" s="203"/>
      <c r="AO951" s="203">
        <v>0</v>
      </c>
    </row>
    <row r="952" spans="1:41" s="176" customFormat="1" ht="36" customHeight="1" x14ac:dyDescent="0.25">
      <c r="B952" s="172" t="s">
        <v>829</v>
      </c>
      <c r="C952" s="172"/>
      <c r="D952" s="173" t="s">
        <v>882</v>
      </c>
      <c r="E952" s="173" t="s">
        <v>882</v>
      </c>
      <c r="F952" s="173" t="s">
        <v>882</v>
      </c>
      <c r="G952" s="173" t="s">
        <v>882</v>
      </c>
      <c r="H952" s="173" t="s">
        <v>882</v>
      </c>
      <c r="I952" s="170">
        <f>SUM(I953:I954)</f>
        <v>804.7</v>
      </c>
      <c r="J952" s="170">
        <f>SUM(J953:J954)</f>
        <v>706.5</v>
      </c>
      <c r="K952" s="170">
        <f>SUM(K953:K954)</f>
        <v>662.5</v>
      </c>
      <c r="L952" s="357">
        <f>SUM(L953:L954)</f>
        <v>36</v>
      </c>
      <c r="M952" s="173" t="s">
        <v>882</v>
      </c>
      <c r="N952" s="173" t="s">
        <v>882</v>
      </c>
      <c r="O952" s="175" t="s">
        <v>882</v>
      </c>
      <c r="P952" s="170">
        <v>3151634.72</v>
      </c>
      <c r="Q952" s="170">
        <f>SUM(Q953:Q954)</f>
        <v>0</v>
      </c>
      <c r="R952" s="170">
        <f>SUM(R953:R954)</f>
        <v>0</v>
      </c>
      <c r="S952" s="170">
        <f>SUM(S953:S954)</f>
        <v>3151634.72</v>
      </c>
      <c r="T952" s="170">
        <f t="shared" si="160"/>
        <v>3916.5337641357028</v>
      </c>
      <c r="U952" s="170">
        <f>MAX(U953:U954)</f>
        <v>5983.9614843749996</v>
      </c>
      <c r="V952" s="202">
        <f t="shared" si="157"/>
        <v>2067.4277202392968</v>
      </c>
      <c r="W952" s="202"/>
      <c r="X952" s="202"/>
      <c r="Y952" s="203"/>
      <c r="Z952" s="203"/>
      <c r="AA952" s="203"/>
      <c r="AB952" s="203"/>
      <c r="AC952" s="203"/>
      <c r="AD952" s="203"/>
      <c r="AE952" s="203"/>
      <c r="AF952" s="203"/>
      <c r="AG952" s="203"/>
      <c r="AH952" s="203"/>
      <c r="AI952" s="203"/>
      <c r="AJ952" s="203"/>
      <c r="AK952" s="203"/>
      <c r="AL952" s="203"/>
      <c r="AM952" s="203"/>
      <c r="AN952" s="203"/>
      <c r="AO952" s="203"/>
    </row>
    <row r="953" spans="1:41" s="176" customFormat="1" ht="36" customHeight="1" x14ac:dyDescent="0.25">
      <c r="A953" s="176">
        <v>1</v>
      </c>
      <c r="B953" s="171">
        <f>SUBTOTAL(103,$A$552:A953)</f>
        <v>371</v>
      </c>
      <c r="C953" s="172" t="s">
        <v>172</v>
      </c>
      <c r="D953" s="173">
        <v>1969</v>
      </c>
      <c r="E953" s="173"/>
      <c r="F953" s="174" t="s">
        <v>267</v>
      </c>
      <c r="G953" s="173">
        <v>2</v>
      </c>
      <c r="H953" s="173" t="s">
        <v>304</v>
      </c>
      <c r="I953" s="177">
        <v>396.8</v>
      </c>
      <c r="J953" s="177">
        <v>354.2</v>
      </c>
      <c r="K953" s="177">
        <v>354.2</v>
      </c>
      <c r="L953" s="206">
        <v>15</v>
      </c>
      <c r="M953" s="173" t="s">
        <v>265</v>
      </c>
      <c r="N953" s="173" t="s">
        <v>337</v>
      </c>
      <c r="O953" s="175" t="s">
        <v>338</v>
      </c>
      <c r="P953" s="170">
        <v>1831907.8</v>
      </c>
      <c r="Q953" s="170">
        <v>0</v>
      </c>
      <c r="R953" s="170">
        <v>0</v>
      </c>
      <c r="S953" s="170">
        <f>P953-Q953-R953</f>
        <v>1831907.8</v>
      </c>
      <c r="T953" s="170">
        <f t="shared" si="160"/>
        <v>4616.703125</v>
      </c>
      <c r="U953" s="170">
        <v>5983.9614843749996</v>
      </c>
      <c r="V953" s="202">
        <f>U953-T953</f>
        <v>1367.2583593749996</v>
      </c>
      <c r="W953" s="202">
        <f>X953+Y953+Z953+AA953+AB953+AD953+AF953+AH953+AJ953+AL953+AN953+AO953</f>
        <v>5800.2366406249994</v>
      </c>
      <c r="X953" s="202">
        <v>0</v>
      </c>
      <c r="Y953" s="203">
        <v>0</v>
      </c>
      <c r="Z953" s="203">
        <v>0</v>
      </c>
      <c r="AA953" s="203">
        <v>0</v>
      </c>
      <c r="AB953" s="203">
        <v>0</v>
      </c>
      <c r="AC953" s="203">
        <v>0</v>
      </c>
      <c r="AD953" s="203">
        <v>0</v>
      </c>
      <c r="AE953" s="203">
        <v>368.9</v>
      </c>
      <c r="AF953" s="202">
        <f>6238.91*AE953/I953</f>
        <v>5800.2366406249994</v>
      </c>
      <c r="AG953" s="203">
        <v>0</v>
      </c>
      <c r="AH953" s="202">
        <v>0</v>
      </c>
      <c r="AI953" s="203">
        <v>0</v>
      </c>
      <c r="AJ953" s="202">
        <v>0</v>
      </c>
      <c r="AK953" s="203">
        <v>0</v>
      </c>
      <c r="AL953" s="203">
        <v>0</v>
      </c>
      <c r="AM953" s="203">
        <v>0</v>
      </c>
      <c r="AN953" s="203"/>
      <c r="AO953" s="203">
        <v>0</v>
      </c>
    </row>
    <row r="954" spans="1:41" s="176" customFormat="1" ht="36" customHeight="1" x14ac:dyDescent="0.25">
      <c r="A954" s="176">
        <v>1</v>
      </c>
      <c r="B954" s="171">
        <f>SUBTOTAL(103,$A$552:A954)</f>
        <v>372</v>
      </c>
      <c r="C954" s="172" t="s">
        <v>167</v>
      </c>
      <c r="D954" s="173">
        <v>1954</v>
      </c>
      <c r="E954" s="173"/>
      <c r="F954" s="174" t="s">
        <v>267</v>
      </c>
      <c r="G954" s="173">
        <v>2</v>
      </c>
      <c r="H954" s="173" t="s">
        <v>304</v>
      </c>
      <c r="I954" s="177">
        <v>407.9</v>
      </c>
      <c r="J954" s="177">
        <v>352.3</v>
      </c>
      <c r="K954" s="177">
        <v>308.3</v>
      </c>
      <c r="L954" s="206">
        <v>21</v>
      </c>
      <c r="M954" s="173" t="s">
        <v>265</v>
      </c>
      <c r="N954" s="173" t="s">
        <v>266</v>
      </c>
      <c r="O954" s="175" t="s">
        <v>268</v>
      </c>
      <c r="P954" s="170">
        <v>1319726.9200000002</v>
      </c>
      <c r="Q954" s="170">
        <v>0</v>
      </c>
      <c r="R954" s="170">
        <v>0</v>
      </c>
      <c r="S954" s="170">
        <f>P954-Q954-R954</f>
        <v>1319726.9200000002</v>
      </c>
      <c r="T954" s="170">
        <f t="shared" si="160"/>
        <v>3235.4177984800203</v>
      </c>
      <c r="U954" s="170">
        <v>5304.1804221622942</v>
      </c>
      <c r="V954" s="202">
        <f>U954-T954</f>
        <v>2068.7626236822739</v>
      </c>
      <c r="W954" s="202">
        <f>X954+Y954+Z954+AA954+AB954+AD954+AF954+AH954+AJ954+AL954+AN954+AO954</f>
        <v>5642.3973988722719</v>
      </c>
      <c r="X954" s="202">
        <v>0</v>
      </c>
      <c r="Y954" s="203">
        <v>0</v>
      </c>
      <c r="Z954" s="203">
        <v>0</v>
      </c>
      <c r="AA954" s="203">
        <v>0</v>
      </c>
      <c r="AB954" s="203">
        <v>0</v>
      </c>
      <c r="AC954" s="203">
        <v>0</v>
      </c>
      <c r="AD954" s="203">
        <v>0</v>
      </c>
      <c r="AE954" s="203">
        <v>368.9</v>
      </c>
      <c r="AF954" s="202">
        <f>6238.91*AE954/I954</f>
        <v>5642.3973988722719</v>
      </c>
      <c r="AG954" s="203">
        <v>0</v>
      </c>
      <c r="AH954" s="202">
        <v>0</v>
      </c>
      <c r="AI954" s="203">
        <v>0</v>
      </c>
      <c r="AJ954" s="202">
        <v>0</v>
      </c>
      <c r="AK954" s="203">
        <v>0</v>
      </c>
      <c r="AL954" s="203">
        <v>0</v>
      </c>
      <c r="AM954" s="203">
        <v>0</v>
      </c>
      <c r="AN954" s="203"/>
      <c r="AO954" s="203">
        <v>0</v>
      </c>
    </row>
    <row r="955" spans="1:41" s="176" customFormat="1" ht="36" customHeight="1" x14ac:dyDescent="0.25">
      <c r="B955" s="172" t="s">
        <v>830</v>
      </c>
      <c r="C955" s="359"/>
      <c r="D955" s="173" t="s">
        <v>882</v>
      </c>
      <c r="E955" s="173" t="s">
        <v>882</v>
      </c>
      <c r="F955" s="173" t="s">
        <v>882</v>
      </c>
      <c r="G955" s="173" t="s">
        <v>882</v>
      </c>
      <c r="H955" s="173" t="s">
        <v>882</v>
      </c>
      <c r="I955" s="177">
        <f>SUM(I956:I963)</f>
        <v>6122.7</v>
      </c>
      <c r="J955" s="177">
        <f>SUM(J956:J963)</f>
        <v>5641.0999999999995</v>
      </c>
      <c r="K955" s="177">
        <f>SUM(K956:K963)</f>
        <v>4582.5999999999995</v>
      </c>
      <c r="L955" s="357">
        <f>SUM(L956:L963)</f>
        <v>226</v>
      </c>
      <c r="M955" s="173" t="s">
        <v>882</v>
      </c>
      <c r="N955" s="173" t="s">
        <v>882</v>
      </c>
      <c r="O955" s="175" t="s">
        <v>882</v>
      </c>
      <c r="P955" s="170">
        <v>25708169.950000003</v>
      </c>
      <c r="Q955" s="170">
        <f>SUM(Q956:Q963)</f>
        <v>0</v>
      </c>
      <c r="R955" s="170">
        <f>SUM(R956:R963)</f>
        <v>0</v>
      </c>
      <c r="S955" s="170">
        <f>SUM(S956:S963)</f>
        <v>25708169.950000003</v>
      </c>
      <c r="T955" s="170">
        <f t="shared" si="160"/>
        <v>4198.8289398468005</v>
      </c>
      <c r="U955" s="170">
        <f>MAX(U956:U963)</f>
        <v>8559.8877628159698</v>
      </c>
      <c r="V955" s="202">
        <f t="shared" si="157"/>
        <v>4361.0588229691693</v>
      </c>
      <c r="W955" s="202"/>
      <c r="X955" s="202"/>
      <c r="Y955" s="203"/>
      <c r="Z955" s="203"/>
      <c r="AA955" s="203"/>
      <c r="AB955" s="203"/>
      <c r="AC955" s="203"/>
      <c r="AD955" s="203"/>
      <c r="AE955" s="203"/>
      <c r="AF955" s="203"/>
      <c r="AG955" s="203"/>
      <c r="AH955" s="203"/>
      <c r="AI955" s="203"/>
      <c r="AJ955" s="203"/>
      <c r="AK955" s="203"/>
      <c r="AL955" s="203"/>
      <c r="AM955" s="203"/>
      <c r="AN955" s="203"/>
      <c r="AO955" s="203"/>
    </row>
    <row r="956" spans="1:41" s="176" customFormat="1" ht="36" customHeight="1" x14ac:dyDescent="0.25">
      <c r="A956" s="176">
        <v>1</v>
      </c>
      <c r="B956" s="171">
        <f>SUBTOTAL(103,$A$552:A956)</f>
        <v>373</v>
      </c>
      <c r="C956" s="172" t="s">
        <v>1665</v>
      </c>
      <c r="D956" s="173">
        <v>1982</v>
      </c>
      <c r="E956" s="173"/>
      <c r="F956" s="174" t="s">
        <v>318</v>
      </c>
      <c r="G956" s="173">
        <v>2</v>
      </c>
      <c r="H956" s="173" t="s">
        <v>303</v>
      </c>
      <c r="I956" s="177">
        <v>626.1</v>
      </c>
      <c r="J956" s="177">
        <v>566.6</v>
      </c>
      <c r="K956" s="177">
        <v>566.6</v>
      </c>
      <c r="L956" s="206">
        <v>21</v>
      </c>
      <c r="M956" s="173" t="s">
        <v>265</v>
      </c>
      <c r="N956" s="173" t="s">
        <v>266</v>
      </c>
      <c r="O956" s="175" t="s">
        <v>268</v>
      </c>
      <c r="P956" s="170">
        <v>2987360.15</v>
      </c>
      <c r="Q956" s="170">
        <v>0</v>
      </c>
      <c r="R956" s="170">
        <v>0</v>
      </c>
      <c r="S956" s="170">
        <f t="shared" ref="S956:S962" si="164">P956-Q956-R956</f>
        <v>2987360.15</v>
      </c>
      <c r="T956" s="170">
        <f t="shared" si="160"/>
        <v>4771.3786136399931</v>
      </c>
      <c r="U956" s="170">
        <v>4771.3786136399931</v>
      </c>
      <c r="V956" s="202">
        <f t="shared" si="157"/>
        <v>0</v>
      </c>
      <c r="W956" s="202">
        <f>T956</f>
        <v>4771.3786136399931</v>
      </c>
      <c r="X956" s="202">
        <v>0</v>
      </c>
      <c r="Y956" s="203">
        <v>0</v>
      </c>
      <c r="Z956" s="203">
        <v>0</v>
      </c>
      <c r="AA956" s="203">
        <v>0</v>
      </c>
      <c r="AB956" s="203">
        <v>0</v>
      </c>
      <c r="AC956" s="203">
        <v>0</v>
      </c>
      <c r="AD956" s="203">
        <v>0</v>
      </c>
      <c r="AE956" s="203">
        <v>368.29</v>
      </c>
      <c r="AF956" s="202">
        <f>6436.53*AE956/I956</f>
        <v>3786.1517867752755</v>
      </c>
      <c r="AG956" s="203">
        <v>0</v>
      </c>
      <c r="AH956" s="202">
        <v>0</v>
      </c>
      <c r="AI956" s="203">
        <v>0</v>
      </c>
      <c r="AJ956" s="202">
        <v>0</v>
      </c>
      <c r="AK956" s="203">
        <v>0</v>
      </c>
      <c r="AL956" s="203">
        <v>0</v>
      </c>
      <c r="AM956" s="203">
        <v>0</v>
      </c>
      <c r="AN956" s="203"/>
      <c r="AO956" s="203">
        <v>0</v>
      </c>
    </row>
    <row r="957" spans="1:41" s="176" customFormat="1" ht="36" customHeight="1" x14ac:dyDescent="0.25">
      <c r="A957" s="176">
        <v>1</v>
      </c>
      <c r="B957" s="171">
        <f>SUBTOTAL(103,$A$552:A957)</f>
        <v>374</v>
      </c>
      <c r="C957" s="172" t="s">
        <v>79</v>
      </c>
      <c r="D957" s="173">
        <v>1962</v>
      </c>
      <c r="E957" s="173"/>
      <c r="F957" s="174" t="s">
        <v>267</v>
      </c>
      <c r="G957" s="173">
        <v>2</v>
      </c>
      <c r="H957" s="173" t="s">
        <v>303</v>
      </c>
      <c r="I957" s="177">
        <v>355.8</v>
      </c>
      <c r="J957" s="177">
        <v>326.10000000000002</v>
      </c>
      <c r="K957" s="177">
        <v>212</v>
      </c>
      <c r="L957" s="206">
        <v>21</v>
      </c>
      <c r="M957" s="173" t="s">
        <v>265</v>
      </c>
      <c r="N957" s="173" t="s">
        <v>266</v>
      </c>
      <c r="O957" s="175" t="s">
        <v>268</v>
      </c>
      <c r="P957" s="170">
        <v>1670230.3</v>
      </c>
      <c r="Q957" s="170">
        <v>0</v>
      </c>
      <c r="R957" s="170">
        <v>0</v>
      </c>
      <c r="S957" s="170">
        <f t="shared" si="164"/>
        <v>1670230.3</v>
      </c>
      <c r="T957" s="170">
        <f t="shared" si="160"/>
        <v>4694.2953906689154</v>
      </c>
      <c r="U957" s="170">
        <v>7778.8305227655983</v>
      </c>
      <c r="V957" s="202">
        <f t="shared" si="157"/>
        <v>3084.5351320966829</v>
      </c>
      <c r="W957" s="202">
        <f t="shared" ref="W957:W963" si="165">X957+Y957+Z957+AA957+AB957+AD957+AF957+AH957+AJ957+AL957+AN957+AO957</f>
        <v>7539.9980326025852</v>
      </c>
      <c r="X957" s="202">
        <v>0</v>
      </c>
      <c r="Y957" s="203">
        <v>0</v>
      </c>
      <c r="Z957" s="203">
        <v>0</v>
      </c>
      <c r="AA957" s="203">
        <v>0</v>
      </c>
      <c r="AB957" s="203">
        <v>0</v>
      </c>
      <c r="AC957" s="203">
        <v>0</v>
      </c>
      <c r="AD957" s="203">
        <v>0</v>
      </c>
      <c r="AE957" s="203">
        <v>430</v>
      </c>
      <c r="AF957" s="202">
        <f t="shared" ref="AF957:AF963" si="166">6238.91*AE957/I957</f>
        <v>7539.9980326025852</v>
      </c>
      <c r="AG957" s="203">
        <v>0</v>
      </c>
      <c r="AH957" s="202">
        <v>0</v>
      </c>
      <c r="AI957" s="203">
        <v>0</v>
      </c>
      <c r="AJ957" s="202">
        <v>0</v>
      </c>
      <c r="AK957" s="203">
        <v>0</v>
      </c>
      <c r="AL957" s="203">
        <v>0</v>
      </c>
      <c r="AM957" s="203">
        <v>0</v>
      </c>
      <c r="AN957" s="203"/>
      <c r="AO957" s="203">
        <v>0</v>
      </c>
    </row>
    <row r="958" spans="1:41" s="176" customFormat="1" ht="36" customHeight="1" x14ac:dyDescent="0.25">
      <c r="A958" s="176">
        <v>1</v>
      </c>
      <c r="B958" s="171">
        <f>SUBTOTAL(103,$A$552:A958)</f>
        <v>375</v>
      </c>
      <c r="C958" s="172" t="s">
        <v>80</v>
      </c>
      <c r="D958" s="173">
        <v>1964</v>
      </c>
      <c r="E958" s="173"/>
      <c r="F958" s="174" t="s">
        <v>267</v>
      </c>
      <c r="G958" s="173">
        <v>2</v>
      </c>
      <c r="H958" s="173" t="s">
        <v>303</v>
      </c>
      <c r="I958" s="177">
        <v>651.6</v>
      </c>
      <c r="J958" s="177">
        <v>628.9</v>
      </c>
      <c r="K958" s="177">
        <v>385</v>
      </c>
      <c r="L958" s="206">
        <v>42</v>
      </c>
      <c r="M958" s="173" t="s">
        <v>265</v>
      </c>
      <c r="N958" s="173" t="s">
        <v>266</v>
      </c>
      <c r="O958" s="175" t="s">
        <v>268</v>
      </c>
      <c r="P958" s="170">
        <v>2548951.23</v>
      </c>
      <c r="Q958" s="170">
        <v>0</v>
      </c>
      <c r="R958" s="170">
        <v>0</v>
      </c>
      <c r="S958" s="170">
        <f t="shared" si="164"/>
        <v>2548951.23</v>
      </c>
      <c r="T958" s="170">
        <f t="shared" si="160"/>
        <v>3911.8343001841617</v>
      </c>
      <c r="U958" s="170">
        <v>4247.5566298342537</v>
      </c>
      <c r="V958" s="202">
        <f>U958-T958</f>
        <v>335.72232965009198</v>
      </c>
      <c r="W958" s="202">
        <f>X958+Y958+Z958+AA958+AB958+AD958+AF958+AH958+AJ958+AL958+AN958+AO958</f>
        <v>4117.1444137507669</v>
      </c>
      <c r="X958" s="202">
        <v>0</v>
      </c>
      <c r="Y958" s="203">
        <v>0</v>
      </c>
      <c r="Z958" s="203">
        <v>0</v>
      </c>
      <c r="AA958" s="203">
        <v>0</v>
      </c>
      <c r="AB958" s="203">
        <v>0</v>
      </c>
      <c r="AC958" s="203">
        <v>0</v>
      </c>
      <c r="AD958" s="203">
        <v>0</v>
      </c>
      <c r="AE958" s="203">
        <v>430</v>
      </c>
      <c r="AF958" s="202">
        <f t="shared" si="166"/>
        <v>4117.1444137507669</v>
      </c>
      <c r="AG958" s="203">
        <v>0</v>
      </c>
      <c r="AH958" s="202">
        <v>0</v>
      </c>
      <c r="AI958" s="203">
        <v>0</v>
      </c>
      <c r="AJ958" s="202">
        <v>0</v>
      </c>
      <c r="AK958" s="203">
        <v>0</v>
      </c>
      <c r="AL958" s="203">
        <v>0</v>
      </c>
      <c r="AM958" s="203">
        <v>0</v>
      </c>
      <c r="AN958" s="203"/>
      <c r="AO958" s="203">
        <v>0</v>
      </c>
    </row>
    <row r="959" spans="1:41" s="176" customFormat="1" ht="36" customHeight="1" x14ac:dyDescent="0.25">
      <c r="A959" s="176">
        <v>1</v>
      </c>
      <c r="B959" s="171">
        <f>SUBTOTAL(103,$A$552:A959)</f>
        <v>376</v>
      </c>
      <c r="C959" s="172" t="s">
        <v>78</v>
      </c>
      <c r="D959" s="173">
        <v>1929</v>
      </c>
      <c r="E959" s="173"/>
      <c r="F959" s="174" t="s">
        <v>267</v>
      </c>
      <c r="G959" s="173" t="s">
        <v>303</v>
      </c>
      <c r="H959" s="173" t="s">
        <v>304</v>
      </c>
      <c r="I959" s="177">
        <v>475.3</v>
      </c>
      <c r="J959" s="177">
        <v>435.5</v>
      </c>
      <c r="K959" s="177">
        <v>253</v>
      </c>
      <c r="L959" s="206">
        <v>5</v>
      </c>
      <c r="M959" s="173" t="s">
        <v>265</v>
      </c>
      <c r="N959" s="173" t="s">
        <v>266</v>
      </c>
      <c r="O959" s="175" t="s">
        <v>268</v>
      </c>
      <c r="P959" s="170">
        <v>2170941.85</v>
      </c>
      <c r="Q959" s="170">
        <v>0</v>
      </c>
      <c r="R959" s="170">
        <v>0</v>
      </c>
      <c r="S959" s="170">
        <f t="shared" si="164"/>
        <v>2170941.85</v>
      </c>
      <c r="T959" s="170">
        <f t="shared" si="160"/>
        <v>4567.5191458026511</v>
      </c>
      <c r="U959" s="170">
        <v>5213.6840942562585</v>
      </c>
      <c r="V959" s="202">
        <f>U959-T959</f>
        <v>646.16494845360739</v>
      </c>
      <c r="W959" s="202">
        <f>X959+Y959+Z959+AA959+AB959+AD959+AF959+AH959+AJ959+AL959+AN959+AO959</f>
        <v>5053.6089837997051</v>
      </c>
      <c r="X959" s="202">
        <v>0</v>
      </c>
      <c r="Y959" s="203">
        <v>0</v>
      </c>
      <c r="Z959" s="203">
        <v>0</v>
      </c>
      <c r="AA959" s="203">
        <v>0</v>
      </c>
      <c r="AB959" s="203">
        <v>0</v>
      </c>
      <c r="AC959" s="203">
        <v>0</v>
      </c>
      <c r="AD959" s="203">
        <v>0</v>
      </c>
      <c r="AE959" s="203">
        <v>385</v>
      </c>
      <c r="AF959" s="202">
        <f t="shared" si="166"/>
        <v>5053.6089837997051</v>
      </c>
      <c r="AG959" s="203">
        <v>0</v>
      </c>
      <c r="AH959" s="202">
        <v>0</v>
      </c>
      <c r="AI959" s="203">
        <v>0</v>
      </c>
      <c r="AJ959" s="202">
        <v>0</v>
      </c>
      <c r="AK959" s="203">
        <v>0</v>
      </c>
      <c r="AL959" s="203">
        <v>0</v>
      </c>
      <c r="AM959" s="203">
        <v>0</v>
      </c>
      <c r="AN959" s="203"/>
      <c r="AO959" s="203">
        <v>0</v>
      </c>
    </row>
    <row r="960" spans="1:41" s="176" customFormat="1" ht="36" customHeight="1" x14ac:dyDescent="0.25">
      <c r="A960" s="176">
        <v>1</v>
      </c>
      <c r="B960" s="171">
        <f>SUBTOTAL(103,$A$552:A960)</f>
        <v>377</v>
      </c>
      <c r="C960" s="172" t="s">
        <v>1664</v>
      </c>
      <c r="D960" s="173">
        <v>1953</v>
      </c>
      <c r="E960" s="173"/>
      <c r="F960" s="174" t="s">
        <v>267</v>
      </c>
      <c r="G960" s="173">
        <v>2</v>
      </c>
      <c r="H960" s="173" t="s">
        <v>312</v>
      </c>
      <c r="I960" s="177">
        <v>996.1</v>
      </c>
      <c r="J960" s="177">
        <v>882.6</v>
      </c>
      <c r="K960" s="177">
        <v>782.6</v>
      </c>
      <c r="L960" s="206">
        <v>30</v>
      </c>
      <c r="M960" s="173" t="s">
        <v>265</v>
      </c>
      <c r="N960" s="173" t="s">
        <v>266</v>
      </c>
      <c r="O960" s="175" t="s">
        <v>268</v>
      </c>
      <c r="P960" s="170">
        <v>4891218.01</v>
      </c>
      <c r="Q960" s="170">
        <v>0</v>
      </c>
      <c r="R960" s="170">
        <v>0</v>
      </c>
      <c r="S960" s="170">
        <f t="shared" si="164"/>
        <v>4891218.01</v>
      </c>
      <c r="T960" s="170">
        <f t="shared" si="160"/>
        <v>4910.3684469430773</v>
      </c>
      <c r="U960" s="170">
        <v>6138.6442124284713</v>
      </c>
      <c r="V960" s="202">
        <f>U960-T960</f>
        <v>1228.275765485394</v>
      </c>
      <c r="W960" s="202">
        <f>X960+Y960+Z960+AA960+AB960+AD960+AF960+AH960+AJ960+AL960+AN960+AO960</f>
        <v>5950.1701636381886</v>
      </c>
      <c r="X960" s="202">
        <v>0</v>
      </c>
      <c r="Y960" s="203">
        <v>0</v>
      </c>
      <c r="Z960" s="203">
        <v>0</v>
      </c>
      <c r="AA960" s="203">
        <v>0</v>
      </c>
      <c r="AB960" s="203">
        <v>0</v>
      </c>
      <c r="AC960" s="203">
        <v>0</v>
      </c>
      <c r="AD960" s="203">
        <v>0</v>
      </c>
      <c r="AE960" s="203">
        <v>950</v>
      </c>
      <c r="AF960" s="202">
        <f t="shared" si="166"/>
        <v>5950.1701636381886</v>
      </c>
      <c r="AG960" s="203">
        <v>0</v>
      </c>
      <c r="AH960" s="202">
        <v>0</v>
      </c>
      <c r="AI960" s="203">
        <v>0</v>
      </c>
      <c r="AJ960" s="202">
        <v>0</v>
      </c>
      <c r="AK960" s="203">
        <v>0</v>
      </c>
      <c r="AL960" s="203">
        <v>0</v>
      </c>
      <c r="AM960" s="203">
        <v>0</v>
      </c>
      <c r="AN960" s="203"/>
      <c r="AO960" s="203">
        <v>0</v>
      </c>
    </row>
    <row r="961" spans="1:41" s="176" customFormat="1" ht="36" customHeight="1" x14ac:dyDescent="0.25">
      <c r="A961" s="176">
        <v>1</v>
      </c>
      <c r="B961" s="171">
        <f>SUBTOTAL(103,$A$552:A961)</f>
        <v>378</v>
      </c>
      <c r="C961" s="172" t="s">
        <v>76</v>
      </c>
      <c r="D961" s="173">
        <v>1948</v>
      </c>
      <c r="E961" s="173"/>
      <c r="F961" s="174" t="s">
        <v>267</v>
      </c>
      <c r="G961" s="173">
        <v>4</v>
      </c>
      <c r="H961" s="173" t="s">
        <v>312</v>
      </c>
      <c r="I961" s="177">
        <v>1954.5</v>
      </c>
      <c r="J961" s="177">
        <v>1781</v>
      </c>
      <c r="K961" s="177">
        <v>1540</v>
      </c>
      <c r="L961" s="206">
        <v>58</v>
      </c>
      <c r="M961" s="173" t="s">
        <v>265</v>
      </c>
      <c r="N961" s="173" t="s">
        <v>269</v>
      </c>
      <c r="O961" s="175" t="s">
        <v>278</v>
      </c>
      <c r="P961" s="170">
        <v>5421953.8200000003</v>
      </c>
      <c r="Q961" s="170">
        <v>0</v>
      </c>
      <c r="R961" s="170">
        <v>0</v>
      </c>
      <c r="S961" s="170">
        <f t="shared" si="164"/>
        <v>5421953.8200000003</v>
      </c>
      <c r="T961" s="170">
        <f t="shared" si="160"/>
        <v>2774.0873983115889</v>
      </c>
      <c r="U961" s="170">
        <v>3141.6984497313892</v>
      </c>
      <c r="V961" s="202">
        <f t="shared" si="157"/>
        <v>367.61105141980033</v>
      </c>
      <c r="W961" s="202">
        <f t="shared" si="165"/>
        <v>1372.5921207469939</v>
      </c>
      <c r="X961" s="202">
        <v>0</v>
      </c>
      <c r="Y961" s="203">
        <v>0</v>
      </c>
      <c r="Z961" s="203">
        <v>0</v>
      </c>
      <c r="AA961" s="203">
        <v>0</v>
      </c>
      <c r="AB961" s="203">
        <v>0</v>
      </c>
      <c r="AC961" s="203">
        <v>0</v>
      </c>
      <c r="AD961" s="203">
        <v>0</v>
      </c>
      <c r="AE961" s="203">
        <v>430</v>
      </c>
      <c r="AF961" s="202">
        <f t="shared" si="166"/>
        <v>1372.5921207469939</v>
      </c>
      <c r="AG961" s="203">
        <v>0</v>
      </c>
      <c r="AH961" s="202">
        <v>0</v>
      </c>
      <c r="AI961" s="203">
        <v>0</v>
      </c>
      <c r="AJ961" s="202">
        <v>0</v>
      </c>
      <c r="AK961" s="203">
        <v>0</v>
      </c>
      <c r="AL961" s="203">
        <v>0</v>
      </c>
      <c r="AM961" s="203">
        <v>0</v>
      </c>
      <c r="AN961" s="203"/>
      <c r="AO961" s="203">
        <v>0</v>
      </c>
    </row>
    <row r="962" spans="1:41" s="176" customFormat="1" ht="36" customHeight="1" x14ac:dyDescent="0.25">
      <c r="A962" s="176">
        <v>1</v>
      </c>
      <c r="B962" s="171">
        <f>SUBTOTAL(103,$A$552:A962)</f>
        <v>379</v>
      </c>
      <c r="C962" s="172" t="s">
        <v>1223</v>
      </c>
      <c r="D962" s="173">
        <v>1955</v>
      </c>
      <c r="E962" s="173"/>
      <c r="F962" s="174" t="s">
        <v>267</v>
      </c>
      <c r="G962" s="173">
        <v>2</v>
      </c>
      <c r="H962" s="173" t="s">
        <v>303</v>
      </c>
      <c r="I962" s="177">
        <v>640</v>
      </c>
      <c r="J962" s="177">
        <v>629</v>
      </c>
      <c r="K962" s="177">
        <v>452</v>
      </c>
      <c r="L962" s="206">
        <v>27</v>
      </c>
      <c r="M962" s="173" t="s">
        <v>265</v>
      </c>
      <c r="N962" s="173" t="s">
        <v>269</v>
      </c>
      <c r="O962" s="175" t="s">
        <v>1294</v>
      </c>
      <c r="P962" s="170">
        <v>2394114.0999999996</v>
      </c>
      <c r="Q962" s="170">
        <v>0</v>
      </c>
      <c r="R962" s="170">
        <v>0</v>
      </c>
      <c r="S962" s="170">
        <f t="shared" si="164"/>
        <v>2394114.0999999996</v>
      </c>
      <c r="T962" s="170">
        <f t="shared" si="160"/>
        <v>3740.8032812499996</v>
      </c>
      <c r="U962" s="170">
        <v>6034.2468749999998</v>
      </c>
      <c r="V962" s="202">
        <f t="shared" si="157"/>
        <v>2293.4435937500002</v>
      </c>
      <c r="W962" s="202">
        <f t="shared" si="165"/>
        <v>3753.0942968750001</v>
      </c>
      <c r="X962" s="202">
        <v>0</v>
      </c>
      <c r="Y962" s="203">
        <v>0</v>
      </c>
      <c r="Z962" s="203">
        <v>0</v>
      </c>
      <c r="AA962" s="203">
        <v>0</v>
      </c>
      <c r="AB962" s="203">
        <v>0</v>
      </c>
      <c r="AC962" s="203">
        <v>0</v>
      </c>
      <c r="AD962" s="203">
        <v>0</v>
      </c>
      <c r="AE962" s="203">
        <v>385</v>
      </c>
      <c r="AF962" s="202">
        <f t="shared" si="166"/>
        <v>3753.0942968750001</v>
      </c>
      <c r="AG962" s="203">
        <v>0</v>
      </c>
      <c r="AH962" s="202">
        <v>0</v>
      </c>
      <c r="AI962" s="203">
        <v>0</v>
      </c>
      <c r="AJ962" s="202">
        <v>0</v>
      </c>
      <c r="AK962" s="203">
        <v>0</v>
      </c>
      <c r="AL962" s="203">
        <v>0</v>
      </c>
      <c r="AM962" s="203">
        <v>0</v>
      </c>
      <c r="AN962" s="203"/>
      <c r="AO962" s="203">
        <v>0</v>
      </c>
    </row>
    <row r="963" spans="1:41" s="176" customFormat="1" ht="36" customHeight="1" x14ac:dyDescent="0.25">
      <c r="A963" s="176">
        <v>1</v>
      </c>
      <c r="B963" s="171">
        <f>SUBTOTAL(103,$A$552:A963)</f>
        <v>380</v>
      </c>
      <c r="C963" s="172" t="s">
        <v>2260</v>
      </c>
      <c r="D963" s="173">
        <v>1958</v>
      </c>
      <c r="E963" s="173"/>
      <c r="F963" s="174" t="s">
        <v>267</v>
      </c>
      <c r="G963" s="173">
        <v>2</v>
      </c>
      <c r="H963" s="173">
        <v>1</v>
      </c>
      <c r="I963" s="177">
        <v>423.3</v>
      </c>
      <c r="J963" s="177">
        <v>391.4</v>
      </c>
      <c r="K963" s="177">
        <f>J963</f>
        <v>391.4</v>
      </c>
      <c r="L963" s="206">
        <v>22</v>
      </c>
      <c r="M963" s="173" t="s">
        <v>265</v>
      </c>
      <c r="N963" s="173" t="s">
        <v>269</v>
      </c>
      <c r="O963" s="175" t="s">
        <v>2261</v>
      </c>
      <c r="P963" s="170">
        <v>3623400.49</v>
      </c>
      <c r="Q963" s="170">
        <v>0</v>
      </c>
      <c r="R963" s="170">
        <v>0</v>
      </c>
      <c r="S963" s="170">
        <f>P963-Q963-R963</f>
        <v>3623400.49</v>
      </c>
      <c r="T963" s="170">
        <f t="shared" si="160"/>
        <v>8559.8877628159698</v>
      </c>
      <c r="U963" s="170">
        <v>8559.8877628159698</v>
      </c>
      <c r="V963" s="202">
        <f t="shared" si="157"/>
        <v>0</v>
      </c>
      <c r="W963" s="202">
        <f t="shared" si="165"/>
        <v>14001.806047720293</v>
      </c>
      <c r="X963" s="202">
        <v>0</v>
      </c>
      <c r="Y963" s="203">
        <v>0</v>
      </c>
      <c r="Z963" s="203">
        <v>0</v>
      </c>
      <c r="AA963" s="203">
        <v>0</v>
      </c>
      <c r="AB963" s="203">
        <v>0</v>
      </c>
      <c r="AC963" s="203">
        <v>0</v>
      </c>
      <c r="AD963" s="203">
        <v>0</v>
      </c>
      <c r="AE963" s="203">
        <v>950</v>
      </c>
      <c r="AF963" s="202">
        <f t="shared" si="166"/>
        <v>14001.806047720293</v>
      </c>
      <c r="AG963" s="203">
        <v>0</v>
      </c>
      <c r="AH963" s="202">
        <v>0</v>
      </c>
      <c r="AI963" s="203">
        <v>0</v>
      </c>
      <c r="AJ963" s="202">
        <v>0</v>
      </c>
      <c r="AK963" s="203">
        <v>0</v>
      </c>
      <c r="AL963" s="203">
        <v>0</v>
      </c>
      <c r="AM963" s="203">
        <v>0</v>
      </c>
      <c r="AN963" s="203"/>
      <c r="AO963" s="203">
        <v>0</v>
      </c>
    </row>
    <row r="964" spans="1:41" s="176" customFormat="1" ht="36" customHeight="1" x14ac:dyDescent="0.25">
      <c r="B964" s="172" t="s">
        <v>864</v>
      </c>
      <c r="C964" s="172"/>
      <c r="D964" s="173" t="s">
        <v>882</v>
      </c>
      <c r="E964" s="173" t="s">
        <v>882</v>
      </c>
      <c r="F964" s="173" t="s">
        <v>882</v>
      </c>
      <c r="G964" s="173" t="s">
        <v>882</v>
      </c>
      <c r="H964" s="173" t="s">
        <v>882</v>
      </c>
      <c r="I964" s="170">
        <f>SUM(I965:I967)</f>
        <v>1222.5999999999999</v>
      </c>
      <c r="J964" s="170">
        <f>SUM(J965:J967)</f>
        <v>1134.8</v>
      </c>
      <c r="K964" s="170">
        <f>SUM(K965:K967)</f>
        <v>1109.2</v>
      </c>
      <c r="L964" s="357">
        <f>SUM(L965:L967)</f>
        <v>66</v>
      </c>
      <c r="M964" s="173" t="s">
        <v>882</v>
      </c>
      <c r="N964" s="173" t="s">
        <v>882</v>
      </c>
      <c r="O964" s="175" t="s">
        <v>882</v>
      </c>
      <c r="P964" s="170">
        <v>2999636.55</v>
      </c>
      <c r="Q964" s="170">
        <f>SUM(Q965:Q967)</f>
        <v>0</v>
      </c>
      <c r="R964" s="170">
        <f>SUM(R965:R967)</f>
        <v>0</v>
      </c>
      <c r="S964" s="170">
        <f>SUM(S965:S967)</f>
        <v>2999636.55</v>
      </c>
      <c r="T964" s="170">
        <f t="shared" si="160"/>
        <v>2453.4897349910029</v>
      </c>
      <c r="U964" s="170">
        <f>MAX(U965:U967)</f>
        <v>5725.9191828455514</v>
      </c>
      <c r="V964" s="202">
        <f t="shared" si="157"/>
        <v>3272.4294478545485</v>
      </c>
      <c r="W964" s="202"/>
      <c r="X964" s="202"/>
      <c r="Y964" s="203"/>
      <c r="Z964" s="203"/>
      <c r="AA964" s="203"/>
      <c r="AB964" s="203"/>
      <c r="AC964" s="203"/>
      <c r="AD964" s="203"/>
      <c r="AE964" s="203"/>
      <c r="AF964" s="203"/>
      <c r="AG964" s="203"/>
      <c r="AH964" s="203"/>
      <c r="AI964" s="203"/>
      <c r="AJ964" s="203"/>
      <c r="AK964" s="203"/>
      <c r="AL964" s="203"/>
      <c r="AM964" s="203"/>
      <c r="AN964" s="203"/>
      <c r="AO964" s="203"/>
    </row>
    <row r="965" spans="1:41" s="176" customFormat="1" ht="36" customHeight="1" x14ac:dyDescent="0.25">
      <c r="A965" s="176">
        <v>1</v>
      </c>
      <c r="B965" s="171">
        <f>SUBTOTAL(103,$A$552:A965)</f>
        <v>381</v>
      </c>
      <c r="C965" s="172" t="s">
        <v>81</v>
      </c>
      <c r="D965" s="173">
        <v>1931</v>
      </c>
      <c r="E965" s="173"/>
      <c r="F965" s="174" t="s">
        <v>267</v>
      </c>
      <c r="G965" s="173">
        <v>2</v>
      </c>
      <c r="H965" s="173" t="s">
        <v>304</v>
      </c>
      <c r="I965" s="177">
        <v>345.1</v>
      </c>
      <c r="J965" s="177">
        <v>319.60000000000002</v>
      </c>
      <c r="K965" s="177">
        <v>297</v>
      </c>
      <c r="L965" s="206">
        <v>9</v>
      </c>
      <c r="M965" s="173" t="s">
        <v>265</v>
      </c>
      <c r="N965" s="173" t="s">
        <v>266</v>
      </c>
      <c r="O965" s="175" t="s">
        <v>268</v>
      </c>
      <c r="P965" s="170">
        <v>1774373.57</v>
      </c>
      <c r="Q965" s="170">
        <v>0</v>
      </c>
      <c r="R965" s="170">
        <v>0</v>
      </c>
      <c r="S965" s="170">
        <f>P965-Q965-R965</f>
        <v>1774373.57</v>
      </c>
      <c r="T965" s="170">
        <f t="shared" si="160"/>
        <v>5141.6214720370908</v>
      </c>
      <c r="U965" s="170">
        <v>5725.9191828455514</v>
      </c>
      <c r="V965" s="202">
        <f t="shared" si="157"/>
        <v>584.29771080846058</v>
      </c>
      <c r="W965" s="202">
        <f>X965+Y965+Z965+AA965+AB965+AD965+AF965+AH965+AJ965+AL965+AN965+AO965</f>
        <v>5550.1169805853369</v>
      </c>
      <c r="X965" s="202">
        <v>0</v>
      </c>
      <c r="Y965" s="203">
        <v>0</v>
      </c>
      <c r="Z965" s="203">
        <v>0</v>
      </c>
      <c r="AA965" s="203">
        <v>0</v>
      </c>
      <c r="AB965" s="203">
        <v>0</v>
      </c>
      <c r="AC965" s="203">
        <v>0</v>
      </c>
      <c r="AD965" s="203">
        <v>0</v>
      </c>
      <c r="AE965" s="203">
        <v>307</v>
      </c>
      <c r="AF965" s="202">
        <f>6238.91*AE965/I965</f>
        <v>5550.1169805853369</v>
      </c>
      <c r="AG965" s="203">
        <v>0</v>
      </c>
      <c r="AH965" s="202">
        <v>0</v>
      </c>
      <c r="AI965" s="203">
        <v>0</v>
      </c>
      <c r="AJ965" s="202">
        <v>0</v>
      </c>
      <c r="AK965" s="203">
        <v>0</v>
      </c>
      <c r="AL965" s="203">
        <v>0</v>
      </c>
      <c r="AM965" s="203">
        <v>0</v>
      </c>
      <c r="AN965" s="203"/>
      <c r="AO965" s="203">
        <v>0</v>
      </c>
    </row>
    <row r="966" spans="1:41" s="176" customFormat="1" ht="36" customHeight="1" x14ac:dyDescent="0.25">
      <c r="A966" s="176">
        <v>1</v>
      </c>
      <c r="B966" s="171">
        <f>SUBTOTAL(103,$A$552:A966)</f>
        <v>382</v>
      </c>
      <c r="C966" s="172" t="s">
        <v>82</v>
      </c>
      <c r="D966" s="173">
        <v>1965</v>
      </c>
      <c r="E966" s="173"/>
      <c r="F966" s="174" t="s">
        <v>267</v>
      </c>
      <c r="G966" s="173">
        <v>2</v>
      </c>
      <c r="H966" s="173" t="s">
        <v>304</v>
      </c>
      <c r="I966" s="177">
        <v>210.5</v>
      </c>
      <c r="J966" s="177">
        <v>187.3</v>
      </c>
      <c r="K966" s="177">
        <v>184.3</v>
      </c>
      <c r="L966" s="206">
        <v>15</v>
      </c>
      <c r="M966" s="173" t="s">
        <v>265</v>
      </c>
      <c r="N966" s="173" t="s">
        <v>269</v>
      </c>
      <c r="O966" s="175" t="s">
        <v>279</v>
      </c>
      <c r="P966" s="170">
        <v>901962.98</v>
      </c>
      <c r="Q966" s="170">
        <v>0</v>
      </c>
      <c r="R966" s="170">
        <v>0</v>
      </c>
      <c r="S966" s="170">
        <f>P966-Q966-R966</f>
        <v>901962.98</v>
      </c>
      <c r="T966" s="170">
        <f t="shared" si="160"/>
        <v>4284.8597624703089</v>
      </c>
      <c r="U966" s="170">
        <v>4892.3743467933491</v>
      </c>
      <c r="V966" s="202">
        <f>U966-T966</f>
        <v>607.51458432304025</v>
      </c>
      <c r="W966" s="202">
        <f>X966+Y966+Z966+AA966+AB966+AD966+AF966+AH966+AJ966+AL966+AN966+AO966</f>
        <v>4742.1643705463184</v>
      </c>
      <c r="X966" s="202">
        <v>0</v>
      </c>
      <c r="Y966" s="203">
        <v>0</v>
      </c>
      <c r="Z966" s="203">
        <v>0</v>
      </c>
      <c r="AA966" s="203">
        <v>0</v>
      </c>
      <c r="AB966" s="203">
        <v>0</v>
      </c>
      <c r="AC966" s="203">
        <v>0</v>
      </c>
      <c r="AD966" s="203">
        <v>0</v>
      </c>
      <c r="AE966" s="203">
        <v>160</v>
      </c>
      <c r="AF966" s="202">
        <f>6238.91*AE966/I966</f>
        <v>4742.1643705463184</v>
      </c>
      <c r="AG966" s="203">
        <v>0</v>
      </c>
      <c r="AH966" s="202">
        <v>0</v>
      </c>
      <c r="AI966" s="203">
        <v>0</v>
      </c>
      <c r="AJ966" s="202">
        <v>0</v>
      </c>
      <c r="AK966" s="203">
        <v>0</v>
      </c>
      <c r="AL966" s="203">
        <v>0</v>
      </c>
      <c r="AM966" s="203">
        <v>0</v>
      </c>
      <c r="AN966" s="203"/>
      <c r="AO966" s="203">
        <v>0</v>
      </c>
    </row>
    <row r="967" spans="1:41" s="176" customFormat="1" ht="36" customHeight="1" x14ac:dyDescent="0.25">
      <c r="A967" s="176">
        <v>1</v>
      </c>
      <c r="B967" s="171">
        <f>SUBTOTAL(103,$A$552:A967)</f>
        <v>383</v>
      </c>
      <c r="C967" s="172" t="s">
        <v>2262</v>
      </c>
      <c r="D967" s="173">
        <v>1966</v>
      </c>
      <c r="E967" s="173"/>
      <c r="F967" s="174" t="s">
        <v>267</v>
      </c>
      <c r="G967" s="173">
        <v>2</v>
      </c>
      <c r="H967" s="173">
        <v>2</v>
      </c>
      <c r="I967" s="177">
        <v>667</v>
      </c>
      <c r="J967" s="177">
        <v>627.9</v>
      </c>
      <c r="K967" s="177">
        <f>J967</f>
        <v>627.9</v>
      </c>
      <c r="L967" s="206">
        <v>42</v>
      </c>
      <c r="M967" s="173" t="s">
        <v>265</v>
      </c>
      <c r="N967" s="173" t="s">
        <v>266</v>
      </c>
      <c r="O967" s="175" t="s">
        <v>268</v>
      </c>
      <c r="P967" s="170">
        <v>323300</v>
      </c>
      <c r="Q967" s="170">
        <v>0</v>
      </c>
      <c r="R967" s="170">
        <v>0</v>
      </c>
      <c r="S967" s="170">
        <f>P967-Q967-R967</f>
        <v>323300</v>
      </c>
      <c r="T967" s="170">
        <f t="shared" ref="T967:T1030" si="167">P967/I967</f>
        <v>484.70764617691157</v>
      </c>
      <c r="U967" s="170">
        <v>484.70764617691157</v>
      </c>
      <c r="V967" s="202">
        <f t="shared" si="157"/>
        <v>0</v>
      </c>
      <c r="W967" s="202">
        <f>X967+Y967+Z967+AA967+AB967+AD967+AF967+AH967+AJ967+AL967+AN967+AO967</f>
        <v>1496.5901049475262</v>
      </c>
      <c r="X967" s="202">
        <v>0</v>
      </c>
      <c r="Y967" s="203">
        <v>0</v>
      </c>
      <c r="Z967" s="203">
        <v>0</v>
      </c>
      <c r="AA967" s="203">
        <v>0</v>
      </c>
      <c r="AB967" s="203">
        <v>0</v>
      </c>
      <c r="AC967" s="203">
        <v>0</v>
      </c>
      <c r="AD967" s="203">
        <v>0</v>
      </c>
      <c r="AE967" s="203">
        <v>160</v>
      </c>
      <c r="AF967" s="202">
        <f>6238.91*AE967/I967</f>
        <v>1496.5901049475262</v>
      </c>
      <c r="AG967" s="203">
        <v>0</v>
      </c>
      <c r="AH967" s="202">
        <v>0</v>
      </c>
      <c r="AI967" s="203">
        <v>0</v>
      </c>
      <c r="AJ967" s="202">
        <v>0</v>
      </c>
      <c r="AK967" s="203">
        <v>0</v>
      </c>
      <c r="AL967" s="203">
        <v>0</v>
      </c>
      <c r="AM967" s="203">
        <v>0</v>
      </c>
      <c r="AN967" s="203"/>
      <c r="AO967" s="203">
        <v>0</v>
      </c>
    </row>
    <row r="968" spans="1:41" s="176" customFormat="1" ht="36" customHeight="1" x14ac:dyDescent="0.25">
      <c r="B968" s="172" t="s">
        <v>865</v>
      </c>
      <c r="C968" s="172"/>
      <c r="D968" s="173" t="s">
        <v>882</v>
      </c>
      <c r="E968" s="173" t="s">
        <v>882</v>
      </c>
      <c r="F968" s="173" t="s">
        <v>882</v>
      </c>
      <c r="G968" s="173" t="s">
        <v>882</v>
      </c>
      <c r="H968" s="173" t="s">
        <v>882</v>
      </c>
      <c r="I968" s="177">
        <f>I969</f>
        <v>654.5</v>
      </c>
      <c r="J968" s="177">
        <f>J969</f>
        <v>614.5</v>
      </c>
      <c r="K968" s="177">
        <f>K969</f>
        <v>614.5</v>
      </c>
      <c r="L968" s="357">
        <f>L969</f>
        <v>32</v>
      </c>
      <c r="M968" s="173" t="s">
        <v>882</v>
      </c>
      <c r="N968" s="173" t="s">
        <v>882</v>
      </c>
      <c r="O968" s="175" t="s">
        <v>882</v>
      </c>
      <c r="P968" s="170">
        <v>3037413.17</v>
      </c>
      <c r="Q968" s="170">
        <f>Q969</f>
        <v>0</v>
      </c>
      <c r="R968" s="170">
        <f>R969</f>
        <v>0</v>
      </c>
      <c r="S968" s="170">
        <f>S969</f>
        <v>3037413.17</v>
      </c>
      <c r="T968" s="170">
        <f t="shared" si="167"/>
        <v>4640.8146218487391</v>
      </c>
      <c r="U968" s="170">
        <f>U969</f>
        <v>4640.8146218487391</v>
      </c>
      <c r="V968" s="202">
        <f t="shared" si="157"/>
        <v>0</v>
      </c>
      <c r="W968" s="202"/>
      <c r="X968" s="202"/>
      <c r="Y968" s="203"/>
      <c r="Z968" s="203"/>
      <c r="AA968" s="203"/>
      <c r="AB968" s="203"/>
      <c r="AC968" s="203"/>
      <c r="AD968" s="203"/>
      <c r="AE968" s="203"/>
      <c r="AF968" s="203"/>
      <c r="AG968" s="203"/>
      <c r="AH968" s="203"/>
      <c r="AI968" s="203"/>
      <c r="AJ968" s="203"/>
      <c r="AK968" s="203"/>
      <c r="AL968" s="203"/>
      <c r="AM968" s="203"/>
      <c r="AN968" s="203"/>
      <c r="AO968" s="203"/>
    </row>
    <row r="969" spans="1:41" s="176" customFormat="1" ht="36" customHeight="1" x14ac:dyDescent="0.25">
      <c r="A969" s="176">
        <v>1</v>
      </c>
      <c r="B969" s="171">
        <f>SUBTOTAL(103,$A$552:A969)</f>
        <v>384</v>
      </c>
      <c r="C969" s="172" t="s">
        <v>83</v>
      </c>
      <c r="D969" s="173">
        <v>1964</v>
      </c>
      <c r="E969" s="173"/>
      <c r="F969" s="174" t="s">
        <v>267</v>
      </c>
      <c r="G969" s="173">
        <v>2</v>
      </c>
      <c r="H969" s="173" t="s">
        <v>303</v>
      </c>
      <c r="I969" s="177">
        <v>654.5</v>
      </c>
      <c r="J969" s="177">
        <v>614.5</v>
      </c>
      <c r="K969" s="177">
        <v>614.5</v>
      </c>
      <c r="L969" s="206">
        <v>32</v>
      </c>
      <c r="M969" s="173" t="s">
        <v>265</v>
      </c>
      <c r="N969" s="173" t="s">
        <v>266</v>
      </c>
      <c r="O969" s="175" t="s">
        <v>268</v>
      </c>
      <c r="P969" s="170">
        <v>3037413.17</v>
      </c>
      <c r="Q969" s="170">
        <v>0</v>
      </c>
      <c r="R969" s="170">
        <v>0</v>
      </c>
      <c r="S969" s="170">
        <f>P969-Q969-R969</f>
        <v>3037413.17</v>
      </c>
      <c r="T969" s="170">
        <f t="shared" si="167"/>
        <v>4640.8146218487391</v>
      </c>
      <c r="U969" s="170">
        <v>4640.8146218487391</v>
      </c>
      <c r="V969" s="202">
        <f>U969-T969</f>
        <v>0</v>
      </c>
      <c r="W969" s="202">
        <f>X969+Y969+Z969+AA969+AB969+AD969+AF969+AH969+AJ969+AL969+AN969+AO969</f>
        <v>3928.1026400305577</v>
      </c>
      <c r="X969" s="202">
        <v>0</v>
      </c>
      <c r="Y969" s="203">
        <v>0</v>
      </c>
      <c r="Z969" s="203">
        <v>0</v>
      </c>
      <c r="AA969" s="203">
        <v>0</v>
      </c>
      <c r="AB969" s="203">
        <v>0</v>
      </c>
      <c r="AC969" s="203">
        <v>0</v>
      </c>
      <c r="AD969" s="203">
        <v>0</v>
      </c>
      <c r="AE969" s="203">
        <v>399.43</v>
      </c>
      <c r="AF969" s="202">
        <f>6436.53*AE969/I969</f>
        <v>3928.1026400305577</v>
      </c>
      <c r="AG969" s="203">
        <v>0</v>
      </c>
      <c r="AH969" s="202">
        <v>0</v>
      </c>
      <c r="AI969" s="203">
        <v>0</v>
      </c>
      <c r="AJ969" s="202">
        <v>0</v>
      </c>
      <c r="AK969" s="203">
        <v>0</v>
      </c>
      <c r="AL969" s="203">
        <v>0</v>
      </c>
      <c r="AM969" s="203">
        <v>0</v>
      </c>
      <c r="AN969" s="203"/>
      <c r="AO969" s="203">
        <v>0</v>
      </c>
    </row>
    <row r="970" spans="1:41" s="176" customFormat="1" ht="36" customHeight="1" x14ac:dyDescent="0.25">
      <c r="B970" s="172" t="s">
        <v>832</v>
      </c>
      <c r="C970" s="359"/>
      <c r="D970" s="173" t="s">
        <v>882</v>
      </c>
      <c r="E970" s="173" t="s">
        <v>882</v>
      </c>
      <c r="F970" s="173" t="s">
        <v>882</v>
      </c>
      <c r="G970" s="173" t="s">
        <v>882</v>
      </c>
      <c r="H970" s="173" t="s">
        <v>882</v>
      </c>
      <c r="I970" s="177">
        <f>SUM(I971:I974)</f>
        <v>7388.82</v>
      </c>
      <c r="J970" s="177">
        <f>SUM(J971:J974)</f>
        <v>4560.7</v>
      </c>
      <c r="K970" s="177">
        <f>SUM(K971:K974)</f>
        <v>4073.3</v>
      </c>
      <c r="L970" s="357">
        <f>SUM(L971:L974)</f>
        <v>208</v>
      </c>
      <c r="M970" s="173" t="s">
        <v>882</v>
      </c>
      <c r="N970" s="173" t="s">
        <v>882</v>
      </c>
      <c r="O970" s="175" t="s">
        <v>882</v>
      </c>
      <c r="P970" s="170">
        <v>13139008.529999999</v>
      </c>
      <c r="Q970" s="170">
        <f>SUM(Q971:Q974)</f>
        <v>0</v>
      </c>
      <c r="R970" s="170">
        <f>SUM(R971:R974)</f>
        <v>0</v>
      </c>
      <c r="S970" s="170">
        <f>SUM(S971:S974)</f>
        <v>13139008.529999999</v>
      </c>
      <c r="T970" s="170">
        <f t="shared" si="167"/>
        <v>1778.2282597221206</v>
      </c>
      <c r="U970" s="170">
        <f>MAX(U971:U974)</f>
        <v>3528.4050628491618</v>
      </c>
      <c r="V970" s="202">
        <f t="shared" si="157"/>
        <v>1750.1768031270412</v>
      </c>
      <c r="W970" s="202"/>
      <c r="X970" s="202"/>
      <c r="Y970" s="203"/>
      <c r="Z970" s="203"/>
      <c r="AA970" s="203"/>
      <c r="AB970" s="203"/>
      <c r="AC970" s="203"/>
      <c r="AD970" s="203"/>
      <c r="AE970" s="203"/>
      <c r="AF970" s="203"/>
      <c r="AG970" s="203"/>
      <c r="AH970" s="203"/>
      <c r="AI970" s="203"/>
      <c r="AJ970" s="203"/>
      <c r="AK970" s="203"/>
      <c r="AL970" s="203"/>
      <c r="AM970" s="203"/>
      <c r="AN970" s="203"/>
      <c r="AO970" s="203"/>
    </row>
    <row r="971" spans="1:41" s="176" customFormat="1" ht="36" customHeight="1" x14ac:dyDescent="0.25">
      <c r="A971" s="176">
        <v>1</v>
      </c>
      <c r="B971" s="171">
        <f>SUBTOTAL(103,$A$552:A971)</f>
        <v>385</v>
      </c>
      <c r="C971" s="172" t="s">
        <v>106</v>
      </c>
      <c r="D971" s="173">
        <v>1975</v>
      </c>
      <c r="E971" s="173"/>
      <c r="F971" s="174" t="s">
        <v>267</v>
      </c>
      <c r="G971" s="173">
        <v>2</v>
      </c>
      <c r="H971" s="173" t="s">
        <v>303</v>
      </c>
      <c r="I971" s="177">
        <v>1244.4000000000001</v>
      </c>
      <c r="J971" s="177">
        <v>727.8</v>
      </c>
      <c r="K971" s="177">
        <v>584.79999999999995</v>
      </c>
      <c r="L971" s="206">
        <v>34</v>
      </c>
      <c r="M971" s="173" t="s">
        <v>265</v>
      </c>
      <c r="N971" s="173" t="s">
        <v>266</v>
      </c>
      <c r="O971" s="175" t="s">
        <v>268</v>
      </c>
      <c r="P971" s="170">
        <v>2911346.1599999997</v>
      </c>
      <c r="Q971" s="170">
        <v>0</v>
      </c>
      <c r="R971" s="170">
        <v>0</v>
      </c>
      <c r="S971" s="170">
        <f>P971-Q971-R971</f>
        <v>2911346.1599999997</v>
      </c>
      <c r="T971" s="170">
        <f t="shared" si="167"/>
        <v>2339.5581485053035</v>
      </c>
      <c r="U971" s="170">
        <v>2953.4383076181289</v>
      </c>
      <c r="V971" s="202">
        <f t="shared" si="157"/>
        <v>613.88015911282537</v>
      </c>
      <c r="W971" s="202">
        <f>X971+Y971+Z971+AA971+AB971+AD971+AF971+AH971+AJ971+AL971+AN971+AO971</f>
        <v>2862.7592494374794</v>
      </c>
      <c r="X971" s="202">
        <v>0</v>
      </c>
      <c r="Y971" s="203">
        <v>0</v>
      </c>
      <c r="Z971" s="203">
        <v>0</v>
      </c>
      <c r="AA971" s="203">
        <v>0</v>
      </c>
      <c r="AB971" s="203">
        <v>0</v>
      </c>
      <c r="AC971" s="203">
        <v>0</v>
      </c>
      <c r="AD971" s="203">
        <v>0</v>
      </c>
      <c r="AE971" s="203">
        <v>571</v>
      </c>
      <c r="AF971" s="202">
        <f>6238.91*AE971/I971</f>
        <v>2862.7592494374794</v>
      </c>
      <c r="AG971" s="203">
        <v>0</v>
      </c>
      <c r="AH971" s="202">
        <v>0</v>
      </c>
      <c r="AI971" s="203">
        <v>0</v>
      </c>
      <c r="AJ971" s="202">
        <v>0</v>
      </c>
      <c r="AK971" s="203">
        <v>0</v>
      </c>
      <c r="AL971" s="203">
        <v>0</v>
      </c>
      <c r="AM971" s="203">
        <v>0</v>
      </c>
      <c r="AN971" s="203"/>
      <c r="AO971" s="203">
        <v>0</v>
      </c>
    </row>
    <row r="972" spans="1:41" s="176" customFormat="1" ht="36" customHeight="1" x14ac:dyDescent="0.25">
      <c r="A972" s="176">
        <v>1</v>
      </c>
      <c r="B972" s="171">
        <f>SUBTOTAL(103,$A$552:A972)</f>
        <v>386</v>
      </c>
      <c r="C972" s="172" t="s">
        <v>1227</v>
      </c>
      <c r="D972" s="173">
        <v>1962</v>
      </c>
      <c r="E972" s="173"/>
      <c r="F972" s="174" t="s">
        <v>330</v>
      </c>
      <c r="G972" s="173">
        <v>2</v>
      </c>
      <c r="H972" s="173" t="s">
        <v>304</v>
      </c>
      <c r="I972" s="170">
        <v>620.52</v>
      </c>
      <c r="J972" s="170">
        <v>390.8</v>
      </c>
      <c r="K972" s="170">
        <v>355.2</v>
      </c>
      <c r="L972" s="206">
        <v>21</v>
      </c>
      <c r="M972" s="173" t="s">
        <v>265</v>
      </c>
      <c r="N972" s="173" t="s">
        <v>266</v>
      </c>
      <c r="O972" s="175" t="s">
        <v>268</v>
      </c>
      <c r="P972" s="170">
        <v>1129889.3199999998</v>
      </c>
      <c r="Q972" s="170">
        <v>0</v>
      </c>
      <c r="R972" s="170">
        <v>0</v>
      </c>
      <c r="S972" s="170">
        <f>P972-Q972-R972</f>
        <v>1129889.3199999998</v>
      </c>
      <c r="T972" s="170">
        <f t="shared" si="167"/>
        <v>1820.8749435956938</v>
      </c>
      <c r="U972" s="170">
        <v>3474.8880777412492</v>
      </c>
      <c r="V972" s="202">
        <f>U972-T972</f>
        <v>1654.0131341455553</v>
      </c>
      <c r="W972" s="202">
        <f>X972+Y972+Z972+AA972+AB972+AD972+AF972+AH972+AJ972+AL972+AN972+AO972</f>
        <v>3368.1990105073164</v>
      </c>
      <c r="X972" s="202">
        <v>0</v>
      </c>
      <c r="Y972" s="203">
        <v>0</v>
      </c>
      <c r="Z972" s="203">
        <v>0</v>
      </c>
      <c r="AA972" s="203">
        <v>0</v>
      </c>
      <c r="AB972" s="203">
        <v>0</v>
      </c>
      <c r="AC972" s="203">
        <v>0</v>
      </c>
      <c r="AD972" s="203">
        <v>0</v>
      </c>
      <c r="AE972" s="203">
        <v>335</v>
      </c>
      <c r="AF972" s="202">
        <f>6238.91*AE972/I972</f>
        <v>3368.1990105073164</v>
      </c>
      <c r="AG972" s="203">
        <v>0</v>
      </c>
      <c r="AH972" s="202">
        <v>0</v>
      </c>
      <c r="AI972" s="203">
        <v>0</v>
      </c>
      <c r="AJ972" s="202">
        <v>0</v>
      </c>
      <c r="AK972" s="203">
        <v>0</v>
      </c>
      <c r="AL972" s="203">
        <v>0</v>
      </c>
      <c r="AM972" s="203">
        <v>0</v>
      </c>
      <c r="AN972" s="203"/>
      <c r="AO972" s="203">
        <v>0</v>
      </c>
    </row>
    <row r="973" spans="1:41" s="176" customFormat="1" ht="36" customHeight="1" x14ac:dyDescent="0.25">
      <c r="A973" s="176">
        <v>1</v>
      </c>
      <c r="B973" s="171">
        <f>SUBTOTAL(103,$A$552:A973)</f>
        <v>387</v>
      </c>
      <c r="C973" s="172" t="s">
        <v>1226</v>
      </c>
      <c r="D973" s="173">
        <v>1985</v>
      </c>
      <c r="E973" s="173"/>
      <c r="F973" s="174" t="s">
        <v>267</v>
      </c>
      <c r="G973" s="173">
        <v>5</v>
      </c>
      <c r="H973" s="173" t="s">
        <v>308</v>
      </c>
      <c r="I973" s="170">
        <v>4091.9</v>
      </c>
      <c r="J973" s="170">
        <v>2619.4</v>
      </c>
      <c r="K973" s="170">
        <v>2310.6</v>
      </c>
      <c r="L973" s="206">
        <v>119</v>
      </c>
      <c r="M973" s="173" t="s">
        <v>265</v>
      </c>
      <c r="N973" s="173" t="s">
        <v>269</v>
      </c>
      <c r="O973" s="175" t="s">
        <v>1328</v>
      </c>
      <c r="P973" s="170">
        <v>4756503.38</v>
      </c>
      <c r="Q973" s="170">
        <v>0</v>
      </c>
      <c r="R973" s="170">
        <v>0</v>
      </c>
      <c r="S973" s="170">
        <f>P973-Q973-R973</f>
        <v>4756503.38</v>
      </c>
      <c r="T973" s="170">
        <f t="shared" si="167"/>
        <v>1162.4192624453187</v>
      </c>
      <c r="U973" s="170">
        <v>1631.0497307570477</v>
      </c>
      <c r="V973" s="202">
        <f>U973-T973</f>
        <v>468.63046831172892</v>
      </c>
      <c r="W973" s="202">
        <f>X973+Y973+Z973+AA973+AB973+AD973+AF973+AH973+AJ973+AL973+AN973+AO973</f>
        <v>510.77368704025019</v>
      </c>
      <c r="X973" s="202">
        <v>0</v>
      </c>
      <c r="Y973" s="203">
        <v>0</v>
      </c>
      <c r="Z973" s="203">
        <v>0</v>
      </c>
      <c r="AA973" s="203">
        <v>0</v>
      </c>
      <c r="AB973" s="203">
        <v>0</v>
      </c>
      <c r="AC973" s="203">
        <v>0</v>
      </c>
      <c r="AD973" s="203">
        <v>0</v>
      </c>
      <c r="AE973" s="203">
        <v>335</v>
      </c>
      <c r="AF973" s="202">
        <f>6238.91*AE973/I973</f>
        <v>510.77368704025019</v>
      </c>
      <c r="AG973" s="203">
        <v>0</v>
      </c>
      <c r="AH973" s="202">
        <v>0</v>
      </c>
      <c r="AI973" s="203">
        <v>0</v>
      </c>
      <c r="AJ973" s="202">
        <v>0</v>
      </c>
      <c r="AK973" s="203">
        <v>0</v>
      </c>
      <c r="AL973" s="203">
        <v>0</v>
      </c>
      <c r="AM973" s="203">
        <v>0</v>
      </c>
      <c r="AN973" s="203"/>
      <c r="AO973" s="203">
        <v>0</v>
      </c>
    </row>
    <row r="974" spans="1:41" s="176" customFormat="1" ht="36" customHeight="1" x14ac:dyDescent="0.25">
      <c r="A974" s="176">
        <v>1</v>
      </c>
      <c r="B974" s="171">
        <f>SUBTOTAL(103,$A$552:A974)</f>
        <v>388</v>
      </c>
      <c r="C974" s="172" t="s">
        <v>2299</v>
      </c>
      <c r="D974" s="173">
        <v>1979</v>
      </c>
      <c r="E974" s="173"/>
      <c r="F974" s="174" t="s">
        <v>267</v>
      </c>
      <c r="G974" s="173">
        <v>2</v>
      </c>
      <c r="H974" s="173">
        <v>3</v>
      </c>
      <c r="I974" s="170">
        <v>1432</v>
      </c>
      <c r="J974" s="170">
        <v>822.7</v>
      </c>
      <c r="K974" s="170">
        <v>822.7</v>
      </c>
      <c r="L974" s="206">
        <v>34</v>
      </c>
      <c r="M974" s="173" t="s">
        <v>265</v>
      </c>
      <c r="N974" s="173" t="s">
        <v>266</v>
      </c>
      <c r="O974" s="175" t="s">
        <v>268</v>
      </c>
      <c r="P974" s="170">
        <v>4341269.67</v>
      </c>
      <c r="Q974" s="170">
        <v>0</v>
      </c>
      <c r="R974" s="170">
        <v>0</v>
      </c>
      <c r="S974" s="170">
        <f>P974-Q974-R974</f>
        <v>4341269.67</v>
      </c>
      <c r="T974" s="170">
        <f t="shared" si="167"/>
        <v>3031.6128980446929</v>
      </c>
      <c r="U974" s="170">
        <v>3528.4050628491618</v>
      </c>
      <c r="V974" s="202">
        <f t="shared" si="157"/>
        <v>496.79216480446894</v>
      </c>
      <c r="W974" s="202">
        <f>X974+Y974+Z974+AA974+AB974+AD974+AF974+AH974+AJ974+AL974+AN974+AO974</f>
        <v>1459.5215432960892</v>
      </c>
      <c r="X974" s="202">
        <v>0</v>
      </c>
      <c r="Y974" s="203">
        <v>0</v>
      </c>
      <c r="Z974" s="203">
        <v>0</v>
      </c>
      <c r="AA974" s="203">
        <v>0</v>
      </c>
      <c r="AB974" s="203">
        <v>0</v>
      </c>
      <c r="AC974" s="203">
        <v>0</v>
      </c>
      <c r="AD974" s="203">
        <v>0</v>
      </c>
      <c r="AE974" s="203">
        <v>335</v>
      </c>
      <c r="AF974" s="202">
        <f>6238.91*AE974/I974</f>
        <v>1459.5215432960892</v>
      </c>
      <c r="AG974" s="203">
        <v>0</v>
      </c>
      <c r="AH974" s="202">
        <v>0</v>
      </c>
      <c r="AI974" s="203">
        <v>0</v>
      </c>
      <c r="AJ974" s="202">
        <v>0</v>
      </c>
      <c r="AK974" s="203">
        <v>0</v>
      </c>
      <c r="AL974" s="203">
        <v>0</v>
      </c>
      <c r="AM974" s="203">
        <v>0</v>
      </c>
      <c r="AN974" s="203"/>
      <c r="AO974" s="203">
        <v>0</v>
      </c>
    </row>
    <row r="975" spans="1:41" s="176" customFormat="1" ht="36" customHeight="1" x14ac:dyDescent="0.25">
      <c r="B975" s="172" t="s">
        <v>2296</v>
      </c>
      <c r="C975" s="172"/>
      <c r="D975" s="173" t="s">
        <v>882</v>
      </c>
      <c r="E975" s="173" t="s">
        <v>882</v>
      </c>
      <c r="F975" s="173" t="s">
        <v>882</v>
      </c>
      <c r="G975" s="173" t="s">
        <v>882</v>
      </c>
      <c r="H975" s="173" t="s">
        <v>882</v>
      </c>
      <c r="I975" s="177">
        <f>I976</f>
        <v>327.60000000000002</v>
      </c>
      <c r="J975" s="177">
        <f>J976</f>
        <v>295.2</v>
      </c>
      <c r="K975" s="177">
        <f>K976</f>
        <v>295.2</v>
      </c>
      <c r="L975" s="357">
        <f>L976</f>
        <v>21</v>
      </c>
      <c r="M975" s="173" t="s">
        <v>882</v>
      </c>
      <c r="N975" s="173" t="s">
        <v>882</v>
      </c>
      <c r="O975" s="175" t="s">
        <v>882</v>
      </c>
      <c r="P975" s="170">
        <v>962789.91</v>
      </c>
      <c r="Q975" s="170">
        <f>Q976</f>
        <v>0</v>
      </c>
      <c r="R975" s="170">
        <f>R976</f>
        <v>0</v>
      </c>
      <c r="S975" s="170">
        <f>S976</f>
        <v>962789.91</v>
      </c>
      <c r="T975" s="170">
        <f t="shared" si="167"/>
        <v>2938.919139194139</v>
      </c>
      <c r="U975" s="170">
        <f>U976</f>
        <v>3112.7592185592184</v>
      </c>
      <c r="V975" s="202">
        <f t="shared" si="157"/>
        <v>173.84007936507942</v>
      </c>
      <c r="W975" s="202"/>
      <c r="X975" s="202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  <c r="AJ975" s="203"/>
      <c r="AK975" s="203"/>
      <c r="AL975" s="203"/>
      <c r="AM975" s="203"/>
      <c r="AN975" s="203"/>
      <c r="AO975" s="203"/>
    </row>
    <row r="976" spans="1:41" s="176" customFormat="1" ht="36" customHeight="1" x14ac:dyDescent="0.25">
      <c r="A976" s="176">
        <v>1</v>
      </c>
      <c r="B976" s="171">
        <f>SUBTOTAL(103,$A$552:A976)</f>
        <v>389</v>
      </c>
      <c r="C976" s="172" t="s">
        <v>2297</v>
      </c>
      <c r="D976" s="173">
        <v>1964</v>
      </c>
      <c r="E976" s="173"/>
      <c r="F976" s="174" t="s">
        <v>267</v>
      </c>
      <c r="G976" s="173">
        <v>2</v>
      </c>
      <c r="H976" s="173">
        <v>1</v>
      </c>
      <c r="I976" s="177">
        <v>327.60000000000002</v>
      </c>
      <c r="J976" s="177">
        <v>295.2</v>
      </c>
      <c r="K976" s="177">
        <v>295.2</v>
      </c>
      <c r="L976" s="206">
        <v>21</v>
      </c>
      <c r="M976" s="173" t="s">
        <v>265</v>
      </c>
      <c r="N976" s="173" t="s">
        <v>266</v>
      </c>
      <c r="O976" s="175" t="s">
        <v>268</v>
      </c>
      <c r="P976" s="170">
        <v>962789.91</v>
      </c>
      <c r="Q976" s="170">
        <v>0</v>
      </c>
      <c r="R976" s="170">
        <v>0</v>
      </c>
      <c r="S976" s="170">
        <f>P976-Q976-R976</f>
        <v>962789.91</v>
      </c>
      <c r="T976" s="170">
        <f t="shared" si="167"/>
        <v>2938.919139194139</v>
      </c>
      <c r="U976" s="170">
        <v>3112.7592185592184</v>
      </c>
      <c r="V976" s="202">
        <f>U976-T976</f>
        <v>173.84007936507942</v>
      </c>
      <c r="W976" s="202">
        <f>X976+Y976+Z976+AA976+AB976+AD976+AF976+AH976+AJ976+AL976+AN976+AO976</f>
        <v>15646.790158730159</v>
      </c>
      <c r="X976" s="202">
        <v>0</v>
      </c>
      <c r="Y976" s="203">
        <v>0</v>
      </c>
      <c r="Z976" s="203">
        <v>0</v>
      </c>
      <c r="AA976" s="203">
        <v>0</v>
      </c>
      <c r="AB976" s="203">
        <v>0</v>
      </c>
      <c r="AC976" s="203">
        <v>0</v>
      </c>
      <c r="AD976" s="203">
        <v>0</v>
      </c>
      <c r="AE976" s="203">
        <v>821.6</v>
      </c>
      <c r="AF976" s="202">
        <f>6238.91*AE976/I976</f>
        <v>15646.790158730159</v>
      </c>
      <c r="AG976" s="203">
        <v>0</v>
      </c>
      <c r="AH976" s="202">
        <v>0</v>
      </c>
      <c r="AI976" s="203">
        <v>0</v>
      </c>
      <c r="AJ976" s="202">
        <v>0</v>
      </c>
      <c r="AK976" s="203">
        <v>0</v>
      </c>
      <c r="AL976" s="203">
        <v>0</v>
      </c>
      <c r="AM976" s="203">
        <v>0</v>
      </c>
      <c r="AN976" s="203"/>
      <c r="AO976" s="203">
        <v>0</v>
      </c>
    </row>
    <row r="977" spans="1:41" s="176" customFormat="1" ht="36" customHeight="1" x14ac:dyDescent="0.25">
      <c r="B977" s="172" t="s">
        <v>866</v>
      </c>
      <c r="C977" s="172"/>
      <c r="D977" s="173" t="s">
        <v>882</v>
      </c>
      <c r="E977" s="173" t="s">
        <v>882</v>
      </c>
      <c r="F977" s="173" t="s">
        <v>882</v>
      </c>
      <c r="G977" s="173" t="s">
        <v>882</v>
      </c>
      <c r="H977" s="173" t="s">
        <v>882</v>
      </c>
      <c r="I977" s="177">
        <f>I978</f>
        <v>948.3</v>
      </c>
      <c r="J977" s="177">
        <f>J978</f>
        <v>848.3</v>
      </c>
      <c r="K977" s="177">
        <f>K978</f>
        <v>803.9</v>
      </c>
      <c r="L977" s="357">
        <f>L978</f>
        <v>64</v>
      </c>
      <c r="M977" s="173" t="s">
        <v>882</v>
      </c>
      <c r="N977" s="173" t="s">
        <v>882</v>
      </c>
      <c r="O977" s="175" t="s">
        <v>882</v>
      </c>
      <c r="P977" s="170">
        <v>3760087.36</v>
      </c>
      <c r="Q977" s="170">
        <f>Q978</f>
        <v>0</v>
      </c>
      <c r="R977" s="170">
        <f>R978</f>
        <v>0</v>
      </c>
      <c r="S977" s="170">
        <f>S978</f>
        <v>3760087.36</v>
      </c>
      <c r="T977" s="170">
        <f t="shared" si="167"/>
        <v>3965.0821048191501</v>
      </c>
      <c r="U977" s="170">
        <f>U978</f>
        <v>5688.2825390699145</v>
      </c>
      <c r="V977" s="202">
        <f t="shared" si="157"/>
        <v>1723.2004342507644</v>
      </c>
      <c r="W977" s="202"/>
      <c r="X977" s="202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  <c r="AJ977" s="203"/>
      <c r="AK977" s="203"/>
      <c r="AL977" s="203"/>
      <c r="AM977" s="203"/>
      <c r="AN977" s="203"/>
      <c r="AO977" s="203"/>
    </row>
    <row r="978" spans="1:41" s="176" customFormat="1" ht="36" customHeight="1" x14ac:dyDescent="0.25">
      <c r="A978" s="176">
        <v>1</v>
      </c>
      <c r="B978" s="171">
        <f>SUBTOTAL(103,$A$552:A978)</f>
        <v>390</v>
      </c>
      <c r="C978" s="172" t="s">
        <v>112</v>
      </c>
      <c r="D978" s="173">
        <v>1978</v>
      </c>
      <c r="E978" s="173"/>
      <c r="F978" s="174" t="s">
        <v>267</v>
      </c>
      <c r="G978" s="173">
        <v>2</v>
      </c>
      <c r="H978" s="173" t="s">
        <v>312</v>
      </c>
      <c r="I978" s="177">
        <v>948.3</v>
      </c>
      <c r="J978" s="177">
        <v>848.3</v>
      </c>
      <c r="K978" s="177">
        <v>803.9</v>
      </c>
      <c r="L978" s="206">
        <v>64</v>
      </c>
      <c r="M978" s="173" t="s">
        <v>265</v>
      </c>
      <c r="N978" s="173" t="s">
        <v>266</v>
      </c>
      <c r="O978" s="175" t="s">
        <v>268</v>
      </c>
      <c r="P978" s="170">
        <v>3760087.36</v>
      </c>
      <c r="Q978" s="170">
        <v>0</v>
      </c>
      <c r="R978" s="170">
        <v>0</v>
      </c>
      <c r="S978" s="170">
        <f>P978-Q978-R978</f>
        <v>3760087.36</v>
      </c>
      <c r="T978" s="170">
        <f t="shared" si="167"/>
        <v>3965.0821048191501</v>
      </c>
      <c r="U978" s="170">
        <v>5688.2825390699145</v>
      </c>
      <c r="V978" s="202">
        <f>U978-T978</f>
        <v>1723.2004342507644</v>
      </c>
      <c r="W978" s="202">
        <f>X978+Y978+Z978+AA978+AB978+AD978+AF978+AH978+AJ978+AL978+AN978+AO978</f>
        <v>5405.3447811873884</v>
      </c>
      <c r="X978" s="202">
        <v>0</v>
      </c>
      <c r="Y978" s="203">
        <v>0</v>
      </c>
      <c r="Z978" s="203">
        <v>0</v>
      </c>
      <c r="AA978" s="203">
        <v>0</v>
      </c>
      <c r="AB978" s="203">
        <v>0</v>
      </c>
      <c r="AC978" s="203">
        <v>0</v>
      </c>
      <c r="AD978" s="203">
        <v>0</v>
      </c>
      <c r="AE978" s="203">
        <v>821.6</v>
      </c>
      <c r="AF978" s="202">
        <f>6238.91*AE978/I978</f>
        <v>5405.3447811873884</v>
      </c>
      <c r="AG978" s="203">
        <v>0</v>
      </c>
      <c r="AH978" s="202">
        <v>0</v>
      </c>
      <c r="AI978" s="203">
        <v>0</v>
      </c>
      <c r="AJ978" s="202">
        <v>0</v>
      </c>
      <c r="AK978" s="203">
        <v>0</v>
      </c>
      <c r="AL978" s="203">
        <v>0</v>
      </c>
      <c r="AM978" s="203">
        <v>0</v>
      </c>
      <c r="AN978" s="203"/>
      <c r="AO978" s="203">
        <v>0</v>
      </c>
    </row>
    <row r="979" spans="1:41" s="176" customFormat="1" ht="36" customHeight="1" x14ac:dyDescent="0.25">
      <c r="B979" s="172" t="s">
        <v>867</v>
      </c>
      <c r="C979" s="172"/>
      <c r="D979" s="173" t="s">
        <v>882</v>
      </c>
      <c r="E979" s="173" t="s">
        <v>882</v>
      </c>
      <c r="F979" s="173" t="s">
        <v>882</v>
      </c>
      <c r="G979" s="173" t="s">
        <v>882</v>
      </c>
      <c r="H979" s="173" t="s">
        <v>882</v>
      </c>
      <c r="I979" s="177">
        <f>I980</f>
        <v>779.2</v>
      </c>
      <c r="J979" s="177">
        <f>J980</f>
        <v>778.9</v>
      </c>
      <c r="K979" s="177">
        <f>K980</f>
        <v>720.2</v>
      </c>
      <c r="L979" s="357">
        <f>L980</f>
        <v>33</v>
      </c>
      <c r="M979" s="173" t="s">
        <v>882</v>
      </c>
      <c r="N979" s="173" t="s">
        <v>882</v>
      </c>
      <c r="O979" s="175" t="s">
        <v>882</v>
      </c>
      <c r="P979" s="170">
        <v>2964091.65</v>
      </c>
      <c r="Q979" s="170">
        <f>Q980</f>
        <v>0</v>
      </c>
      <c r="R979" s="170">
        <f>R980</f>
        <v>0</v>
      </c>
      <c r="S979" s="170">
        <f>S980</f>
        <v>2964091.65</v>
      </c>
      <c r="T979" s="170">
        <f t="shared" si="167"/>
        <v>3804.0190580082131</v>
      </c>
      <c r="U979" s="170">
        <f>U980</f>
        <v>5295.1032605236132</v>
      </c>
      <c r="V979" s="202">
        <f t="shared" si="157"/>
        <v>1491.0842025154002</v>
      </c>
      <c r="W979" s="202"/>
      <c r="X979" s="202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  <c r="AJ979" s="203"/>
      <c r="AK979" s="203"/>
      <c r="AL979" s="203"/>
      <c r="AM979" s="203"/>
      <c r="AN979" s="203"/>
      <c r="AO979" s="203"/>
    </row>
    <row r="980" spans="1:41" s="176" customFormat="1" ht="36" customHeight="1" x14ac:dyDescent="0.25">
      <c r="A980" s="176">
        <v>1</v>
      </c>
      <c r="B980" s="171">
        <f>SUBTOTAL(103,$A$552:A980)</f>
        <v>391</v>
      </c>
      <c r="C980" s="172" t="s">
        <v>111</v>
      </c>
      <c r="D980" s="173">
        <v>1974</v>
      </c>
      <c r="E980" s="173"/>
      <c r="F980" s="174" t="s">
        <v>267</v>
      </c>
      <c r="G980" s="173">
        <v>2</v>
      </c>
      <c r="H980" s="173" t="s">
        <v>303</v>
      </c>
      <c r="I980" s="177">
        <v>779.2</v>
      </c>
      <c r="J980" s="177">
        <v>778.9</v>
      </c>
      <c r="K980" s="177">
        <v>720.2</v>
      </c>
      <c r="L980" s="206">
        <v>33</v>
      </c>
      <c r="M980" s="173" t="s">
        <v>265</v>
      </c>
      <c r="N980" s="173" t="s">
        <v>266</v>
      </c>
      <c r="O980" s="175" t="s">
        <v>268</v>
      </c>
      <c r="P980" s="170">
        <v>2964091.65</v>
      </c>
      <c r="Q980" s="170">
        <v>0</v>
      </c>
      <c r="R980" s="170">
        <v>0</v>
      </c>
      <c r="S980" s="170">
        <f>P980-Q980-R980</f>
        <v>2964091.65</v>
      </c>
      <c r="T980" s="170">
        <f t="shared" si="167"/>
        <v>3804.0190580082131</v>
      </c>
      <c r="U980" s="170">
        <v>5295.1032605236132</v>
      </c>
      <c r="V980" s="202">
        <f>U980-T980</f>
        <v>1491.0842025154002</v>
      </c>
      <c r="W980" s="202">
        <f>X980+Y980+Z980+AA980+AB980+AD980+AF980+AH980+AJ980+AL980+AN980+AO980</f>
        <v>4451.7889630390137</v>
      </c>
      <c r="X980" s="202">
        <v>0</v>
      </c>
      <c r="Y980" s="203">
        <v>0</v>
      </c>
      <c r="Z980" s="203">
        <v>0</v>
      </c>
      <c r="AA980" s="203">
        <v>0</v>
      </c>
      <c r="AB980" s="203">
        <v>0</v>
      </c>
      <c r="AC980" s="203">
        <v>0</v>
      </c>
      <c r="AD980" s="203">
        <v>0</v>
      </c>
      <c r="AE980" s="203">
        <v>556</v>
      </c>
      <c r="AF980" s="202">
        <f>6238.91*AE980/I980</f>
        <v>4451.7889630390137</v>
      </c>
      <c r="AG980" s="203">
        <v>0</v>
      </c>
      <c r="AH980" s="202">
        <v>0</v>
      </c>
      <c r="AI980" s="203">
        <v>0</v>
      </c>
      <c r="AJ980" s="202">
        <v>0</v>
      </c>
      <c r="AK980" s="203">
        <v>0</v>
      </c>
      <c r="AL980" s="203">
        <v>0</v>
      </c>
      <c r="AM980" s="203">
        <v>0</v>
      </c>
      <c r="AN980" s="203"/>
      <c r="AO980" s="203">
        <v>0</v>
      </c>
    </row>
    <row r="981" spans="1:41" s="176" customFormat="1" ht="36" customHeight="1" x14ac:dyDescent="0.25">
      <c r="B981" s="172" t="s">
        <v>833</v>
      </c>
      <c r="C981" s="359"/>
      <c r="D981" s="173" t="s">
        <v>882</v>
      </c>
      <c r="E981" s="173" t="s">
        <v>882</v>
      </c>
      <c r="F981" s="173" t="s">
        <v>882</v>
      </c>
      <c r="G981" s="173" t="s">
        <v>882</v>
      </c>
      <c r="H981" s="173" t="s">
        <v>882</v>
      </c>
      <c r="I981" s="177">
        <f>I982</f>
        <v>1015.6</v>
      </c>
      <c r="J981" s="177">
        <f>J982</f>
        <v>497.5</v>
      </c>
      <c r="K981" s="177">
        <f>K982</f>
        <v>497.5</v>
      </c>
      <c r="L981" s="357">
        <f>L982</f>
        <v>45</v>
      </c>
      <c r="M981" s="173" t="s">
        <v>882</v>
      </c>
      <c r="N981" s="173" t="s">
        <v>882</v>
      </c>
      <c r="O981" s="175" t="s">
        <v>882</v>
      </c>
      <c r="P981" s="170">
        <v>3826397.3</v>
      </c>
      <c r="Q981" s="170">
        <f>Q982</f>
        <v>0</v>
      </c>
      <c r="R981" s="170">
        <f>R982</f>
        <v>2523423.19</v>
      </c>
      <c r="S981" s="170">
        <f>S982</f>
        <v>1302974.1099999999</v>
      </c>
      <c r="T981" s="170">
        <f t="shared" si="167"/>
        <v>3767.6223907050016</v>
      </c>
      <c r="U981" s="170">
        <f>U982</f>
        <v>5034.0052963765256</v>
      </c>
      <c r="V981" s="202">
        <f t="shared" si="157"/>
        <v>1266.382905671524</v>
      </c>
      <c r="W981" s="202"/>
      <c r="X981" s="202"/>
      <c r="Y981" s="203"/>
      <c r="Z981" s="203"/>
      <c r="AA981" s="203"/>
      <c r="AB981" s="203"/>
      <c r="AC981" s="203"/>
      <c r="AD981" s="203"/>
      <c r="AE981" s="203"/>
      <c r="AF981" s="203"/>
      <c r="AG981" s="203"/>
      <c r="AH981" s="203"/>
      <c r="AI981" s="203"/>
      <c r="AJ981" s="203"/>
      <c r="AK981" s="203"/>
      <c r="AL981" s="203"/>
      <c r="AM981" s="203"/>
      <c r="AN981" s="203"/>
      <c r="AO981" s="203"/>
    </row>
    <row r="982" spans="1:41" s="176" customFormat="1" ht="36" customHeight="1" x14ac:dyDescent="0.25">
      <c r="A982" s="176">
        <v>1</v>
      </c>
      <c r="B982" s="171">
        <f>SUBTOTAL(103,$A$552:A982)</f>
        <v>392</v>
      </c>
      <c r="C982" s="172" t="s">
        <v>57</v>
      </c>
      <c r="D982" s="173">
        <v>1972</v>
      </c>
      <c r="E982" s="173"/>
      <c r="F982" s="174" t="s">
        <v>267</v>
      </c>
      <c r="G982" s="173">
        <v>2</v>
      </c>
      <c r="H982" s="173" t="s">
        <v>312</v>
      </c>
      <c r="I982" s="177">
        <v>1015.6</v>
      </c>
      <c r="J982" s="177">
        <v>497.5</v>
      </c>
      <c r="K982" s="177">
        <v>497.5</v>
      </c>
      <c r="L982" s="206">
        <v>45</v>
      </c>
      <c r="M982" s="173" t="s">
        <v>265</v>
      </c>
      <c r="N982" s="173" t="s">
        <v>266</v>
      </c>
      <c r="O982" s="175" t="s">
        <v>268</v>
      </c>
      <c r="P982" s="170">
        <v>3826397.3</v>
      </c>
      <c r="Q982" s="170">
        <v>0</v>
      </c>
      <c r="R982" s="170">
        <v>2523423.19</v>
      </c>
      <c r="S982" s="170">
        <f>P982-Q982-R982</f>
        <v>1302974.1099999999</v>
      </c>
      <c r="T982" s="170">
        <f t="shared" si="167"/>
        <v>3767.6223907050016</v>
      </c>
      <c r="U982" s="170">
        <v>5034.0052963765256</v>
      </c>
      <c r="V982" s="202">
        <f>U982-T982</f>
        <v>1266.382905671524</v>
      </c>
      <c r="W982" s="202">
        <f>X982+Y982+Z982+AA982+AB982+AD982+AF982+AH982+AJ982+AL982+AN982+AO982</f>
        <v>4879.4468422607324</v>
      </c>
      <c r="X982" s="202">
        <v>0</v>
      </c>
      <c r="Y982" s="203">
        <v>0</v>
      </c>
      <c r="Z982" s="203">
        <v>0</v>
      </c>
      <c r="AA982" s="203">
        <v>0</v>
      </c>
      <c r="AB982" s="203">
        <v>0</v>
      </c>
      <c r="AC982" s="203">
        <v>0</v>
      </c>
      <c r="AD982" s="203">
        <v>0</v>
      </c>
      <c r="AE982" s="203">
        <v>794.3</v>
      </c>
      <c r="AF982" s="202">
        <f>6238.91*AE982/I982</f>
        <v>4879.4468422607324</v>
      </c>
      <c r="AG982" s="203">
        <v>0</v>
      </c>
      <c r="AH982" s="202">
        <v>0</v>
      </c>
      <c r="AI982" s="203">
        <v>0</v>
      </c>
      <c r="AJ982" s="202">
        <v>0</v>
      </c>
      <c r="AK982" s="203">
        <v>0</v>
      </c>
      <c r="AL982" s="203">
        <v>0</v>
      </c>
      <c r="AM982" s="203">
        <v>0</v>
      </c>
      <c r="AN982" s="203"/>
      <c r="AO982" s="203">
        <v>0</v>
      </c>
    </row>
    <row r="983" spans="1:41" s="176" customFormat="1" ht="36" customHeight="1" x14ac:dyDescent="0.25">
      <c r="B983" s="172" t="s">
        <v>834</v>
      </c>
      <c r="C983" s="172"/>
      <c r="D983" s="173" t="s">
        <v>882</v>
      </c>
      <c r="E983" s="173" t="s">
        <v>882</v>
      </c>
      <c r="F983" s="173" t="s">
        <v>882</v>
      </c>
      <c r="G983" s="173" t="s">
        <v>882</v>
      </c>
      <c r="H983" s="173" t="s">
        <v>882</v>
      </c>
      <c r="I983" s="177">
        <f>SUM(I984:I987)</f>
        <v>23824.84</v>
      </c>
      <c r="J983" s="177">
        <f>SUM(J984:J987)</f>
        <v>19966.379999999997</v>
      </c>
      <c r="K983" s="177">
        <f>SUM(K984:K987)</f>
        <v>14766.89</v>
      </c>
      <c r="L983" s="357">
        <f>SUM(L984:L987)</f>
        <v>837</v>
      </c>
      <c r="M983" s="173" t="s">
        <v>882</v>
      </c>
      <c r="N983" s="173" t="s">
        <v>882</v>
      </c>
      <c r="O983" s="175" t="s">
        <v>882</v>
      </c>
      <c r="P983" s="170">
        <v>27427227.939999998</v>
      </c>
      <c r="Q983" s="170">
        <f>SUM(Q984:Q987)</f>
        <v>0</v>
      </c>
      <c r="R983" s="170">
        <f>SUM(R984:R987)</f>
        <v>0</v>
      </c>
      <c r="S983" s="170">
        <f>SUM(S984:S987)</f>
        <v>27427227.939999998</v>
      </c>
      <c r="T983" s="170">
        <f t="shared" si="167"/>
        <v>1151.2030275964078</v>
      </c>
      <c r="U983" s="170">
        <f>MAX(U984:U987)</f>
        <v>1910.847997658447</v>
      </c>
      <c r="V983" s="202">
        <f t="shared" si="157"/>
        <v>759.64497006203919</v>
      </c>
      <c r="W983" s="202"/>
      <c r="X983" s="202"/>
      <c r="Y983" s="203"/>
      <c r="Z983" s="203"/>
      <c r="AA983" s="203"/>
      <c r="AB983" s="203"/>
      <c r="AC983" s="203"/>
      <c r="AD983" s="203"/>
      <c r="AE983" s="203"/>
      <c r="AF983" s="203"/>
      <c r="AG983" s="203"/>
      <c r="AH983" s="203"/>
      <c r="AI983" s="203"/>
      <c r="AJ983" s="203"/>
      <c r="AK983" s="203"/>
      <c r="AL983" s="203"/>
      <c r="AM983" s="203"/>
      <c r="AN983" s="203"/>
      <c r="AO983" s="203"/>
    </row>
    <row r="984" spans="1:41" s="176" customFormat="1" ht="36" customHeight="1" x14ac:dyDescent="0.25">
      <c r="A984" s="176">
        <v>1</v>
      </c>
      <c r="B984" s="171">
        <f>SUBTOTAL(103,$A$552:A984)</f>
        <v>393</v>
      </c>
      <c r="C984" s="172" t="s">
        <v>41</v>
      </c>
      <c r="D984" s="173">
        <v>1974</v>
      </c>
      <c r="E984" s="173"/>
      <c r="F984" s="174" t="s">
        <v>267</v>
      </c>
      <c r="G984" s="173">
        <v>5</v>
      </c>
      <c r="H984" s="173" t="s">
        <v>370</v>
      </c>
      <c r="I984" s="177">
        <v>5979.1</v>
      </c>
      <c r="J984" s="177">
        <v>4563.9399999999996</v>
      </c>
      <c r="K984" s="177">
        <v>4563.9399999999996</v>
      </c>
      <c r="L984" s="206">
        <v>217</v>
      </c>
      <c r="M984" s="173" t="s">
        <v>265</v>
      </c>
      <c r="N984" s="173" t="s">
        <v>269</v>
      </c>
      <c r="O984" s="175" t="s">
        <v>270</v>
      </c>
      <c r="P984" s="170">
        <v>8424219.5199999996</v>
      </c>
      <c r="Q984" s="170">
        <v>0</v>
      </c>
      <c r="R984" s="170">
        <v>0</v>
      </c>
      <c r="S984" s="170">
        <f>P984-Q984-R984</f>
        <v>8424219.5199999996</v>
      </c>
      <c r="T984" s="170">
        <f t="shared" si="167"/>
        <v>1408.9444096937664</v>
      </c>
      <c r="U984" s="170">
        <v>1696.5716044220701</v>
      </c>
      <c r="V984" s="202">
        <f t="shared" si="157"/>
        <v>287.62719472830372</v>
      </c>
      <c r="W984" s="202">
        <f>X984+Y984+Z984+AA984+AB984+AD984+AF984+AH984+AJ984+AL984+AN984+AO984</f>
        <v>1644.4819722031743</v>
      </c>
      <c r="X984" s="202">
        <v>0</v>
      </c>
      <c r="Y984" s="203">
        <v>0</v>
      </c>
      <c r="Z984" s="203">
        <v>0</v>
      </c>
      <c r="AA984" s="203">
        <v>0</v>
      </c>
      <c r="AB984" s="203">
        <v>0</v>
      </c>
      <c r="AC984" s="203">
        <v>0</v>
      </c>
      <c r="AD984" s="203">
        <v>0</v>
      </c>
      <c r="AE984" s="203">
        <v>1576</v>
      </c>
      <c r="AF984" s="202">
        <f>6238.91*AE984/I984</f>
        <v>1644.4819722031743</v>
      </c>
      <c r="AG984" s="203">
        <v>0</v>
      </c>
      <c r="AH984" s="202">
        <v>0</v>
      </c>
      <c r="AI984" s="203">
        <v>0</v>
      </c>
      <c r="AJ984" s="202">
        <v>0</v>
      </c>
      <c r="AK984" s="203">
        <v>0</v>
      </c>
      <c r="AL984" s="203">
        <v>0</v>
      </c>
      <c r="AM984" s="203">
        <v>0</v>
      </c>
      <c r="AN984" s="203"/>
      <c r="AO984" s="203">
        <v>0</v>
      </c>
    </row>
    <row r="985" spans="1:41" s="176" customFormat="1" ht="36" customHeight="1" x14ac:dyDescent="0.25">
      <c r="A985" s="176">
        <v>1</v>
      </c>
      <c r="B985" s="171">
        <f>SUBTOTAL(103,$A$552:A985)</f>
        <v>394</v>
      </c>
      <c r="C985" s="172" t="s">
        <v>1538</v>
      </c>
      <c r="D985" s="173">
        <v>1971</v>
      </c>
      <c r="E985" s="173"/>
      <c r="F985" s="174" t="s">
        <v>267</v>
      </c>
      <c r="G985" s="173">
        <v>5</v>
      </c>
      <c r="H985" s="173" t="s">
        <v>370</v>
      </c>
      <c r="I985" s="170">
        <v>5891.84</v>
      </c>
      <c r="J985" s="170">
        <v>5891.84</v>
      </c>
      <c r="K985" s="170">
        <v>4081.34</v>
      </c>
      <c r="L985" s="206">
        <v>212</v>
      </c>
      <c r="M985" s="173" t="s">
        <v>265</v>
      </c>
      <c r="N985" s="173" t="s">
        <v>269</v>
      </c>
      <c r="O985" s="175" t="s">
        <v>1291</v>
      </c>
      <c r="P985" s="170">
        <v>5709104.1399999997</v>
      </c>
      <c r="Q985" s="170">
        <v>0</v>
      </c>
      <c r="R985" s="170">
        <v>0</v>
      </c>
      <c r="S985" s="170">
        <f>P985-R985-Q985</f>
        <v>5709104.1399999997</v>
      </c>
      <c r="T985" s="170">
        <f t="shared" si="167"/>
        <v>968.98492491310003</v>
      </c>
      <c r="U985" s="170">
        <v>1454.0485535927655</v>
      </c>
      <c r="V985" s="202">
        <f>U985-T985</f>
        <v>485.0636286796655</v>
      </c>
      <c r="W985" s="202">
        <f>X985+Y985+Z985+AA985+AB985+AD985+AF985+AH985+AJ985+AL985+AN985+AO985</f>
        <v>1409.4050771915056</v>
      </c>
      <c r="X985" s="202">
        <v>0</v>
      </c>
      <c r="Y985" s="203">
        <v>0</v>
      </c>
      <c r="Z985" s="203">
        <v>0</v>
      </c>
      <c r="AA985" s="203">
        <v>0</v>
      </c>
      <c r="AB985" s="203">
        <v>0</v>
      </c>
      <c r="AC985" s="203">
        <v>0</v>
      </c>
      <c r="AD985" s="203">
        <v>0</v>
      </c>
      <c r="AE985" s="203">
        <v>1331</v>
      </c>
      <c r="AF985" s="202">
        <f>6238.91*AE985/I985</f>
        <v>1409.4050771915056</v>
      </c>
      <c r="AG985" s="203">
        <v>0</v>
      </c>
      <c r="AH985" s="202">
        <v>0</v>
      </c>
      <c r="AI985" s="203">
        <v>0</v>
      </c>
      <c r="AJ985" s="202">
        <v>0</v>
      </c>
      <c r="AK985" s="203">
        <v>0</v>
      </c>
      <c r="AL985" s="203">
        <v>0</v>
      </c>
      <c r="AM985" s="203">
        <v>0</v>
      </c>
      <c r="AN985" s="203"/>
      <c r="AO985" s="203">
        <v>0</v>
      </c>
    </row>
    <row r="986" spans="1:41" s="176" customFormat="1" ht="36" customHeight="1" x14ac:dyDescent="0.25">
      <c r="A986" s="176">
        <v>1</v>
      </c>
      <c r="B986" s="171">
        <f>SUBTOTAL(103,$A$552:A986)</f>
        <v>395</v>
      </c>
      <c r="C986" s="172" t="s">
        <v>63</v>
      </c>
      <c r="D986" s="173">
        <v>1976</v>
      </c>
      <c r="E986" s="173"/>
      <c r="F986" s="174" t="s">
        <v>267</v>
      </c>
      <c r="G986" s="173">
        <v>5</v>
      </c>
      <c r="H986" s="173" t="s">
        <v>370</v>
      </c>
      <c r="I986" s="170">
        <v>4783.1499999999996</v>
      </c>
      <c r="J986" s="170">
        <v>4417.7</v>
      </c>
      <c r="K986" s="170">
        <v>3106.56</v>
      </c>
      <c r="L986" s="206">
        <v>190</v>
      </c>
      <c r="M986" s="173" t="s">
        <v>265</v>
      </c>
      <c r="N986" s="173" t="s">
        <v>269</v>
      </c>
      <c r="O986" s="175" t="s">
        <v>270</v>
      </c>
      <c r="P986" s="170">
        <v>6173366.919999999</v>
      </c>
      <c r="Q986" s="170">
        <v>0</v>
      </c>
      <c r="R986" s="170">
        <v>0</v>
      </c>
      <c r="S986" s="170">
        <f>P986-R986-Q986</f>
        <v>6173366.919999999</v>
      </c>
      <c r="T986" s="170">
        <f t="shared" si="167"/>
        <v>1290.6488234740702</v>
      </c>
      <c r="U986" s="170">
        <v>1910.847997658447</v>
      </c>
      <c r="V986" s="202">
        <f>U986-T986</f>
        <v>620.19917418437672</v>
      </c>
      <c r="W986" s="202">
        <f>X986+Y986+Z986+AA986+AB986+AD986+AF986+AH986+AJ986+AL986+AN986+AO986</f>
        <v>1736.0921589329209</v>
      </c>
      <c r="X986" s="202">
        <v>0</v>
      </c>
      <c r="Y986" s="203">
        <v>0</v>
      </c>
      <c r="Z986" s="203">
        <v>0</v>
      </c>
      <c r="AA986" s="203">
        <v>0</v>
      </c>
      <c r="AB986" s="203">
        <v>0</v>
      </c>
      <c r="AC986" s="203">
        <v>0</v>
      </c>
      <c r="AD986" s="203">
        <v>0</v>
      </c>
      <c r="AE986" s="203">
        <v>1331</v>
      </c>
      <c r="AF986" s="202">
        <f>6238.91*AE986/I986</f>
        <v>1736.0921589329209</v>
      </c>
      <c r="AG986" s="203">
        <v>0</v>
      </c>
      <c r="AH986" s="202">
        <v>0</v>
      </c>
      <c r="AI986" s="203">
        <v>0</v>
      </c>
      <c r="AJ986" s="202">
        <v>0</v>
      </c>
      <c r="AK986" s="203">
        <v>0</v>
      </c>
      <c r="AL986" s="203">
        <v>0</v>
      </c>
      <c r="AM986" s="203">
        <v>0</v>
      </c>
      <c r="AN986" s="203"/>
      <c r="AO986" s="203">
        <v>0</v>
      </c>
    </row>
    <row r="987" spans="1:41" s="176" customFormat="1" ht="36" customHeight="1" x14ac:dyDescent="0.25">
      <c r="A987" s="176">
        <v>1</v>
      </c>
      <c r="B987" s="171">
        <f>SUBTOTAL(103,$A$552:A987)</f>
        <v>396</v>
      </c>
      <c r="C987" s="172" t="s">
        <v>52</v>
      </c>
      <c r="D987" s="173">
        <v>1981</v>
      </c>
      <c r="E987" s="173"/>
      <c r="F987" s="174" t="s">
        <v>267</v>
      </c>
      <c r="G987" s="173">
        <v>5</v>
      </c>
      <c r="H987" s="173" t="s">
        <v>2250</v>
      </c>
      <c r="I987" s="170">
        <v>7170.75</v>
      </c>
      <c r="J987" s="170">
        <v>5092.8999999999996</v>
      </c>
      <c r="K987" s="170">
        <v>3015.05</v>
      </c>
      <c r="L987" s="206">
        <v>218</v>
      </c>
      <c r="M987" s="173" t="s">
        <v>265</v>
      </c>
      <c r="N987" s="173" t="s">
        <v>269</v>
      </c>
      <c r="O987" s="175" t="s">
        <v>270</v>
      </c>
      <c r="P987" s="170">
        <v>7120537.3600000003</v>
      </c>
      <c r="Q987" s="170">
        <v>0</v>
      </c>
      <c r="R987" s="170">
        <v>0</v>
      </c>
      <c r="S987" s="170">
        <f>P987-R987-Q987</f>
        <v>7120537.3600000003</v>
      </c>
      <c r="T987" s="170">
        <f t="shared" si="167"/>
        <v>992.99757487013221</v>
      </c>
      <c r="U987" s="170">
        <v>1221.6458989645434</v>
      </c>
      <c r="V987" s="202">
        <f>U987-T987</f>
        <v>228.64832409441124</v>
      </c>
      <c r="W987" s="202">
        <f>X987+Y987+Z987+AA987+AB987+AD987+AF987+AH987+AJ987+AL987+AN987+AO987</f>
        <v>1158.0363574242583</v>
      </c>
      <c r="X987" s="202">
        <v>0</v>
      </c>
      <c r="Y987" s="203">
        <v>0</v>
      </c>
      <c r="Z987" s="203">
        <v>0</v>
      </c>
      <c r="AA987" s="203">
        <v>0</v>
      </c>
      <c r="AB987" s="203">
        <v>0</v>
      </c>
      <c r="AC987" s="203">
        <v>0</v>
      </c>
      <c r="AD987" s="203">
        <v>0</v>
      </c>
      <c r="AE987" s="203">
        <v>1331</v>
      </c>
      <c r="AF987" s="202">
        <f>6238.91*AE987/I987</f>
        <v>1158.0363574242583</v>
      </c>
      <c r="AG987" s="203">
        <v>0</v>
      </c>
      <c r="AH987" s="202">
        <v>0</v>
      </c>
      <c r="AI987" s="203">
        <v>0</v>
      </c>
      <c r="AJ987" s="202">
        <v>0</v>
      </c>
      <c r="AK987" s="203">
        <v>0</v>
      </c>
      <c r="AL987" s="203">
        <v>0</v>
      </c>
      <c r="AM987" s="203">
        <v>0</v>
      </c>
      <c r="AN987" s="203"/>
      <c r="AO987" s="203">
        <v>0</v>
      </c>
    </row>
    <row r="988" spans="1:41" s="176" customFormat="1" ht="36" customHeight="1" x14ac:dyDescent="0.25">
      <c r="B988" s="172" t="s">
        <v>868</v>
      </c>
      <c r="C988" s="172"/>
      <c r="D988" s="173" t="s">
        <v>882</v>
      </c>
      <c r="E988" s="173" t="s">
        <v>882</v>
      </c>
      <c r="F988" s="173" t="s">
        <v>882</v>
      </c>
      <c r="G988" s="173" t="s">
        <v>882</v>
      </c>
      <c r="H988" s="173" t="s">
        <v>882</v>
      </c>
      <c r="I988" s="177">
        <f>SUM(I989:I990)</f>
        <v>1431.7</v>
      </c>
      <c r="J988" s="177">
        <f>SUM(J989:J990)</f>
        <v>1325.1999999999998</v>
      </c>
      <c r="K988" s="177">
        <f>SUM(K989:K990)</f>
        <v>962.8</v>
      </c>
      <c r="L988" s="357">
        <f>SUM(L989:L990)</f>
        <v>54</v>
      </c>
      <c r="M988" s="173" t="s">
        <v>882</v>
      </c>
      <c r="N988" s="173" t="s">
        <v>882</v>
      </c>
      <c r="O988" s="175" t="s">
        <v>882</v>
      </c>
      <c r="P988" s="170">
        <v>5796065.7599999998</v>
      </c>
      <c r="Q988" s="170">
        <f>SUM(Q989:Q990)</f>
        <v>0</v>
      </c>
      <c r="R988" s="170">
        <f>SUM(R989:R990)</f>
        <v>492144.32</v>
      </c>
      <c r="S988" s="170">
        <f>SUM(S989:S990)</f>
        <v>5303921.4399999995</v>
      </c>
      <c r="T988" s="170">
        <f t="shared" si="167"/>
        <v>4048.3800796256196</v>
      </c>
      <c r="U988" s="170">
        <f>MAX(U989:U990)</f>
        <v>5404.7843379819524</v>
      </c>
      <c r="V988" s="202">
        <f t="shared" ref="V988:V1072" si="168">U988-T988</f>
        <v>1356.4042583563328</v>
      </c>
      <c r="W988" s="202"/>
      <c r="X988" s="202"/>
      <c r="Y988" s="203"/>
      <c r="Z988" s="203"/>
      <c r="AA988" s="203"/>
      <c r="AB988" s="203"/>
      <c r="AC988" s="203"/>
      <c r="AD988" s="203"/>
      <c r="AE988" s="203"/>
      <c r="AF988" s="203"/>
      <c r="AG988" s="203"/>
      <c r="AH988" s="203"/>
      <c r="AI988" s="203"/>
      <c r="AJ988" s="203"/>
      <c r="AK988" s="203"/>
      <c r="AL988" s="203"/>
      <c r="AM988" s="203"/>
      <c r="AN988" s="203"/>
      <c r="AO988" s="203"/>
    </row>
    <row r="989" spans="1:41" s="176" customFormat="1" ht="36" customHeight="1" x14ac:dyDescent="0.25">
      <c r="A989" s="176">
        <v>1</v>
      </c>
      <c r="B989" s="171">
        <f>SUBTOTAL(103,$A$552:A989)</f>
        <v>397</v>
      </c>
      <c r="C989" s="172" t="s">
        <v>55</v>
      </c>
      <c r="D989" s="173">
        <v>1968</v>
      </c>
      <c r="E989" s="173"/>
      <c r="F989" s="174" t="s">
        <v>267</v>
      </c>
      <c r="G989" s="173">
        <v>2</v>
      </c>
      <c r="H989" s="173" t="s">
        <v>303</v>
      </c>
      <c r="I989" s="177">
        <v>822.2</v>
      </c>
      <c r="J989" s="177">
        <v>760.8</v>
      </c>
      <c r="K989" s="177">
        <v>760.8</v>
      </c>
      <c r="L989" s="206">
        <v>36</v>
      </c>
      <c r="M989" s="173" t="s">
        <v>265</v>
      </c>
      <c r="N989" s="173" t="s">
        <v>269</v>
      </c>
      <c r="O989" s="175" t="s">
        <v>274</v>
      </c>
      <c r="P989" s="170">
        <v>3274450.4</v>
      </c>
      <c r="Q989" s="170">
        <v>0</v>
      </c>
      <c r="R989" s="170">
        <v>0</v>
      </c>
      <c r="S989" s="170">
        <f>P989-Q989-R989</f>
        <v>3274450.4</v>
      </c>
      <c r="T989" s="170">
        <f t="shared" si="167"/>
        <v>3982.5473120895158</v>
      </c>
      <c r="U989" s="170">
        <v>4773.7727973729006</v>
      </c>
      <c r="V989" s="202">
        <f>U989-T989</f>
        <v>791.22548528338484</v>
      </c>
      <c r="W989" s="202">
        <f>X989+Y989+Z989+AA989+AB989+AD989+AF989+AH989+AJ989+AL989+AN989+AO989</f>
        <v>4627.2042301143265</v>
      </c>
      <c r="X989" s="202">
        <v>0</v>
      </c>
      <c r="Y989" s="203">
        <v>0</v>
      </c>
      <c r="Z989" s="203">
        <v>0</v>
      </c>
      <c r="AA989" s="203">
        <v>0</v>
      </c>
      <c r="AB989" s="203">
        <v>0</v>
      </c>
      <c r="AC989" s="203">
        <v>0</v>
      </c>
      <c r="AD989" s="203">
        <v>0</v>
      </c>
      <c r="AE989" s="203">
        <v>609.79999999999995</v>
      </c>
      <c r="AF989" s="202">
        <f>6238.91*AE989/I989</f>
        <v>4627.2042301143265</v>
      </c>
      <c r="AG989" s="203">
        <v>0</v>
      </c>
      <c r="AH989" s="202">
        <v>0</v>
      </c>
      <c r="AI989" s="203">
        <v>0</v>
      </c>
      <c r="AJ989" s="202">
        <v>0</v>
      </c>
      <c r="AK989" s="203">
        <v>0</v>
      </c>
      <c r="AL989" s="203">
        <v>0</v>
      </c>
      <c r="AM989" s="203">
        <v>0</v>
      </c>
      <c r="AN989" s="203"/>
      <c r="AO989" s="203">
        <v>0</v>
      </c>
    </row>
    <row r="990" spans="1:41" s="176" customFormat="1" ht="36" customHeight="1" x14ac:dyDescent="0.25">
      <c r="A990" s="176">
        <v>1</v>
      </c>
      <c r="B990" s="171">
        <f>SUBTOTAL(103,$A$552:A990)</f>
        <v>398</v>
      </c>
      <c r="C990" s="172" t="s">
        <v>1241</v>
      </c>
      <c r="D990" s="173">
        <v>1917</v>
      </c>
      <c r="E990" s="173"/>
      <c r="F990" s="174" t="s">
        <v>267</v>
      </c>
      <c r="G990" s="173">
        <v>2</v>
      </c>
      <c r="H990" s="173" t="s">
        <v>304</v>
      </c>
      <c r="I990" s="170">
        <v>609.5</v>
      </c>
      <c r="J990" s="170">
        <v>564.4</v>
      </c>
      <c r="K990" s="170">
        <v>202</v>
      </c>
      <c r="L990" s="206">
        <v>18</v>
      </c>
      <c r="M990" s="173" t="s">
        <v>265</v>
      </c>
      <c r="N990" s="173" t="s">
        <v>266</v>
      </c>
      <c r="O990" s="175" t="s">
        <v>268</v>
      </c>
      <c r="P990" s="170">
        <v>2521615.3599999999</v>
      </c>
      <c r="Q990" s="170">
        <v>0</v>
      </c>
      <c r="R990" s="170">
        <v>492144.32</v>
      </c>
      <c r="S990" s="170">
        <f>P990-Q990-R990</f>
        <v>2029471.0399999998</v>
      </c>
      <c r="T990" s="170">
        <f t="shared" si="167"/>
        <v>4137.1868088597212</v>
      </c>
      <c r="U990" s="170">
        <v>5404.7843379819524</v>
      </c>
      <c r="V990" s="202">
        <f>U990-T990</f>
        <v>1267.5975291222312</v>
      </c>
      <c r="W990" s="202">
        <f>X990+Y990+Z990+AA990+AB990+AD990+AF990+AH990+AJ990+AL990+AN990+AO990</f>
        <v>5238.8418999179648</v>
      </c>
      <c r="X990" s="202">
        <v>0</v>
      </c>
      <c r="Y990" s="203">
        <v>0</v>
      </c>
      <c r="Z990" s="203">
        <v>0</v>
      </c>
      <c r="AA990" s="203">
        <v>0</v>
      </c>
      <c r="AB990" s="203">
        <v>0</v>
      </c>
      <c r="AC990" s="203">
        <v>0</v>
      </c>
      <c r="AD990" s="203">
        <v>0</v>
      </c>
      <c r="AE990" s="203">
        <v>511.8</v>
      </c>
      <c r="AF990" s="202">
        <f>6238.91*AE990/I990</f>
        <v>5238.8418999179648</v>
      </c>
      <c r="AG990" s="203">
        <v>0</v>
      </c>
      <c r="AH990" s="202">
        <v>0</v>
      </c>
      <c r="AI990" s="203">
        <v>0</v>
      </c>
      <c r="AJ990" s="202">
        <v>0</v>
      </c>
      <c r="AK990" s="203">
        <v>0</v>
      </c>
      <c r="AL990" s="203">
        <v>0</v>
      </c>
      <c r="AM990" s="203">
        <v>0</v>
      </c>
      <c r="AN990" s="203"/>
      <c r="AO990" s="203">
        <v>0</v>
      </c>
    </row>
    <row r="991" spans="1:41" s="176" customFormat="1" ht="36" customHeight="1" x14ac:dyDescent="0.25">
      <c r="B991" s="172" t="s">
        <v>835</v>
      </c>
      <c r="C991" s="172"/>
      <c r="D991" s="173" t="s">
        <v>882</v>
      </c>
      <c r="E991" s="173" t="s">
        <v>882</v>
      </c>
      <c r="F991" s="173" t="s">
        <v>882</v>
      </c>
      <c r="G991" s="173" t="s">
        <v>882</v>
      </c>
      <c r="H991" s="173" t="s">
        <v>882</v>
      </c>
      <c r="I991" s="177">
        <f>SUM(I992:I996)</f>
        <v>13217.54</v>
      </c>
      <c r="J991" s="177">
        <f>SUM(J992:J996)</f>
        <v>11365.689999999999</v>
      </c>
      <c r="K991" s="177">
        <f>SUM(K992:K996)</f>
        <v>10013.82</v>
      </c>
      <c r="L991" s="357">
        <f>SUM(L992:L996)</f>
        <v>505</v>
      </c>
      <c r="M991" s="173" t="s">
        <v>882</v>
      </c>
      <c r="N991" s="173" t="s">
        <v>882</v>
      </c>
      <c r="O991" s="175" t="s">
        <v>882</v>
      </c>
      <c r="P991" s="170">
        <v>21179945.890000001</v>
      </c>
      <c r="Q991" s="170">
        <f>SUM(Q992:Q996)</f>
        <v>0</v>
      </c>
      <c r="R991" s="170">
        <f>SUM(R992:R996)</f>
        <v>0</v>
      </c>
      <c r="S991" s="170">
        <f>SUM(S992:S996)</f>
        <v>21179945.890000001</v>
      </c>
      <c r="T991" s="170">
        <f t="shared" si="167"/>
        <v>1602.4120895416243</v>
      </c>
      <c r="U991" s="170">
        <f>MAX(U992:U996)</f>
        <v>6184.8503564698485</v>
      </c>
      <c r="V991" s="202">
        <f t="shared" si="168"/>
        <v>4582.438266928224</v>
      </c>
      <c r="W991" s="202"/>
      <c r="X991" s="202"/>
      <c r="Y991" s="203"/>
      <c r="Z991" s="203"/>
      <c r="AA991" s="203"/>
      <c r="AB991" s="203"/>
      <c r="AC991" s="203"/>
      <c r="AD991" s="203"/>
      <c r="AE991" s="203"/>
      <c r="AF991" s="203"/>
      <c r="AG991" s="203"/>
      <c r="AH991" s="203"/>
      <c r="AI991" s="203"/>
      <c r="AJ991" s="203"/>
      <c r="AK991" s="203"/>
      <c r="AL991" s="203"/>
      <c r="AM991" s="203"/>
      <c r="AN991" s="203"/>
      <c r="AO991" s="203"/>
    </row>
    <row r="992" spans="1:41" s="176" customFormat="1" ht="36" customHeight="1" x14ac:dyDescent="0.25">
      <c r="A992" s="176">
        <v>1</v>
      </c>
      <c r="B992" s="171">
        <f>SUBTOTAL(103,$A$552:A992)</f>
        <v>399</v>
      </c>
      <c r="C992" s="172" t="s">
        <v>56</v>
      </c>
      <c r="D992" s="173">
        <v>1972</v>
      </c>
      <c r="E992" s="173"/>
      <c r="F992" s="174" t="s">
        <v>267</v>
      </c>
      <c r="G992" s="173">
        <v>5</v>
      </c>
      <c r="H992" s="173" t="s">
        <v>2250</v>
      </c>
      <c r="I992" s="177">
        <v>4571.29</v>
      </c>
      <c r="J992" s="177">
        <v>4234.29</v>
      </c>
      <c r="K992" s="177">
        <v>2975.61</v>
      </c>
      <c r="L992" s="206">
        <v>227</v>
      </c>
      <c r="M992" s="173" t="s">
        <v>265</v>
      </c>
      <c r="N992" s="173" t="s">
        <v>269</v>
      </c>
      <c r="O992" s="175" t="s">
        <v>271</v>
      </c>
      <c r="P992" s="170">
        <v>4640326.08</v>
      </c>
      <c r="Q992" s="170">
        <v>0</v>
      </c>
      <c r="R992" s="170">
        <v>0</v>
      </c>
      <c r="S992" s="170">
        <f>P992-Q992-R992</f>
        <v>4640326.08</v>
      </c>
      <c r="T992" s="170">
        <f t="shared" si="167"/>
        <v>1015.1021002824149</v>
      </c>
      <c r="U992" s="170">
        <v>3811.95</v>
      </c>
      <c r="V992" s="202">
        <f t="shared" si="168"/>
        <v>2796.8478997175848</v>
      </c>
      <c r="W992" s="202">
        <f>X992+Y992+Z992+AA992+AB992+AD992+AF992+AH992+AJ992+AL992+AN992+AO992</f>
        <v>3444.64</v>
      </c>
      <c r="X992" s="202">
        <v>0</v>
      </c>
      <c r="Y992" s="203">
        <v>0</v>
      </c>
      <c r="Z992" s="203">
        <v>3259.66</v>
      </c>
      <c r="AA992" s="203">
        <v>184.98</v>
      </c>
      <c r="AB992" s="203">
        <v>0</v>
      </c>
      <c r="AC992" s="203">
        <v>0</v>
      </c>
      <c r="AD992" s="203">
        <v>0</v>
      </c>
      <c r="AE992" s="203">
        <v>0</v>
      </c>
      <c r="AF992" s="202">
        <v>0</v>
      </c>
      <c r="AG992" s="203">
        <v>0</v>
      </c>
      <c r="AH992" s="202">
        <v>0</v>
      </c>
      <c r="AI992" s="203">
        <v>0</v>
      </c>
      <c r="AJ992" s="202">
        <v>0</v>
      </c>
      <c r="AK992" s="203">
        <v>0</v>
      </c>
      <c r="AL992" s="203">
        <v>0</v>
      </c>
      <c r="AM992" s="203">
        <v>0</v>
      </c>
      <c r="AN992" s="203"/>
      <c r="AO992" s="203">
        <v>0</v>
      </c>
    </row>
    <row r="993" spans="1:41" s="176" customFormat="1" ht="36" customHeight="1" x14ac:dyDescent="0.25">
      <c r="A993" s="176">
        <v>1</v>
      </c>
      <c r="B993" s="171">
        <f>SUBTOTAL(103,$A$552:A993)</f>
        <v>400</v>
      </c>
      <c r="C993" s="172" t="s">
        <v>46</v>
      </c>
      <c r="D993" s="173">
        <v>1972</v>
      </c>
      <c r="E993" s="173"/>
      <c r="F993" s="174" t="s">
        <v>267</v>
      </c>
      <c r="G993" s="173">
        <v>2</v>
      </c>
      <c r="H993" s="173" t="s">
        <v>303</v>
      </c>
      <c r="I993" s="177">
        <v>716.4</v>
      </c>
      <c r="J993" s="177">
        <v>656.7</v>
      </c>
      <c r="K993" s="177">
        <v>656.7</v>
      </c>
      <c r="L993" s="206">
        <v>28</v>
      </c>
      <c r="M993" s="173" t="s">
        <v>265</v>
      </c>
      <c r="N993" s="173" t="s">
        <v>269</v>
      </c>
      <c r="O993" s="175" t="s">
        <v>271</v>
      </c>
      <c r="P993" s="170">
        <v>3192942.81</v>
      </c>
      <c r="Q993" s="170">
        <v>0</v>
      </c>
      <c r="R993" s="170">
        <v>0</v>
      </c>
      <c r="S993" s="170">
        <f>P993-Q993-R993</f>
        <v>3192942.81</v>
      </c>
      <c r="T993" s="170">
        <f t="shared" si="167"/>
        <v>4456.9274288107208</v>
      </c>
      <c r="U993" s="170">
        <v>5795.482518844221</v>
      </c>
      <c r="V993" s="202">
        <f>U993-T993</f>
        <v>1338.5550900335002</v>
      </c>
      <c r="W993" s="202">
        <f>X993+Y993+Z993+AA993+AB993+AD993+AF993+AH993+AJ993+AL993+AN993+AO993</f>
        <v>6241.5226088777226</v>
      </c>
      <c r="X993" s="202">
        <v>0</v>
      </c>
      <c r="Y993" s="203">
        <v>0</v>
      </c>
      <c r="Z993" s="203">
        <v>0</v>
      </c>
      <c r="AA993" s="203">
        <v>0</v>
      </c>
      <c r="AB993" s="203">
        <v>0</v>
      </c>
      <c r="AC993" s="203">
        <v>0</v>
      </c>
      <c r="AD993" s="203">
        <v>0</v>
      </c>
      <c r="AE993" s="203">
        <v>716.7</v>
      </c>
      <c r="AF993" s="202">
        <f>6238.91*AE993/I993</f>
        <v>6241.5226088777226</v>
      </c>
      <c r="AG993" s="203">
        <v>0</v>
      </c>
      <c r="AH993" s="202">
        <v>0</v>
      </c>
      <c r="AI993" s="203">
        <v>0</v>
      </c>
      <c r="AJ993" s="202">
        <v>0</v>
      </c>
      <c r="AK993" s="203">
        <v>0</v>
      </c>
      <c r="AL993" s="203">
        <v>0</v>
      </c>
      <c r="AM993" s="203">
        <v>0</v>
      </c>
      <c r="AN993" s="203"/>
      <c r="AO993" s="203">
        <v>0</v>
      </c>
    </row>
    <row r="994" spans="1:41" s="176" customFormat="1" ht="36" customHeight="1" x14ac:dyDescent="0.25">
      <c r="A994" s="176">
        <v>1</v>
      </c>
      <c r="B994" s="171">
        <f>SUBTOTAL(103,$A$552:A994)</f>
        <v>401</v>
      </c>
      <c r="C994" s="172" t="s">
        <v>1585</v>
      </c>
      <c r="D994" s="173">
        <v>1963</v>
      </c>
      <c r="E994" s="173"/>
      <c r="F994" s="174" t="s">
        <v>267</v>
      </c>
      <c r="G994" s="173">
        <v>2</v>
      </c>
      <c r="H994" s="173" t="s">
        <v>303</v>
      </c>
      <c r="I994" s="170">
        <v>636.79999999999995</v>
      </c>
      <c r="J994" s="170">
        <v>636.79999999999995</v>
      </c>
      <c r="K994" s="170">
        <v>591.59999999999991</v>
      </c>
      <c r="L994" s="206">
        <v>27</v>
      </c>
      <c r="M994" s="173" t="s">
        <v>265</v>
      </c>
      <c r="N994" s="173" t="s">
        <v>266</v>
      </c>
      <c r="O994" s="175" t="s">
        <v>268</v>
      </c>
      <c r="P994" s="170">
        <v>2642741.11</v>
      </c>
      <c r="Q994" s="170">
        <v>0</v>
      </c>
      <c r="R994" s="170">
        <v>0</v>
      </c>
      <c r="S994" s="170">
        <f>P994-Q994-R994</f>
        <v>2642741.11</v>
      </c>
      <c r="T994" s="170">
        <f t="shared" si="167"/>
        <v>4150.0331501256278</v>
      </c>
      <c r="U994" s="170">
        <v>6184.8503564698485</v>
      </c>
      <c r="V994" s="202">
        <f>U994-T994</f>
        <v>2034.8172063442207</v>
      </c>
      <c r="W994" s="202">
        <f>X994+Y994+Z994+AA994+AB994+AD994+AF994+AH994+AJ994+AL994+AN994+AO994</f>
        <v>5994.9576460427133</v>
      </c>
      <c r="X994" s="202">
        <v>0</v>
      </c>
      <c r="Y994" s="203">
        <v>0</v>
      </c>
      <c r="Z994" s="203">
        <v>0</v>
      </c>
      <c r="AA994" s="203">
        <v>0</v>
      </c>
      <c r="AB994" s="203">
        <v>0</v>
      </c>
      <c r="AC994" s="203">
        <v>0</v>
      </c>
      <c r="AD994" s="203">
        <v>0</v>
      </c>
      <c r="AE994" s="203">
        <v>611.9</v>
      </c>
      <c r="AF994" s="202">
        <f>6238.91*AE994/I994</f>
        <v>5994.9576460427133</v>
      </c>
      <c r="AG994" s="203">
        <v>0</v>
      </c>
      <c r="AH994" s="202">
        <v>0</v>
      </c>
      <c r="AI994" s="203">
        <v>0</v>
      </c>
      <c r="AJ994" s="202">
        <v>0</v>
      </c>
      <c r="AK994" s="203">
        <v>0</v>
      </c>
      <c r="AL994" s="203">
        <v>0</v>
      </c>
      <c r="AM994" s="203">
        <v>0</v>
      </c>
      <c r="AN994" s="203"/>
      <c r="AO994" s="203">
        <v>0</v>
      </c>
    </row>
    <row r="995" spans="1:41" s="176" customFormat="1" ht="36" customHeight="1" x14ac:dyDescent="0.25">
      <c r="A995" s="176">
        <v>1</v>
      </c>
      <c r="B995" s="171">
        <f>SUBTOTAL(103,$A$552:A995)</f>
        <v>402</v>
      </c>
      <c r="C995" s="172" t="s">
        <v>47</v>
      </c>
      <c r="D995" s="173">
        <v>1964</v>
      </c>
      <c r="E995" s="173"/>
      <c r="F995" s="174" t="s">
        <v>267</v>
      </c>
      <c r="G995" s="173">
        <v>3</v>
      </c>
      <c r="H995" s="173" t="s">
        <v>303</v>
      </c>
      <c r="I995" s="177">
        <v>961.6</v>
      </c>
      <c r="J995" s="177">
        <v>723.4</v>
      </c>
      <c r="K995" s="177">
        <v>723.4</v>
      </c>
      <c r="L995" s="206">
        <v>25</v>
      </c>
      <c r="M995" s="173" t="s">
        <v>265</v>
      </c>
      <c r="N995" s="173" t="s">
        <v>269</v>
      </c>
      <c r="O995" s="175" t="s">
        <v>271</v>
      </c>
      <c r="P995" s="170">
        <v>4031324.4100000006</v>
      </c>
      <c r="Q995" s="170">
        <v>0</v>
      </c>
      <c r="R995" s="170">
        <v>0</v>
      </c>
      <c r="S995" s="170">
        <f>P995-Q995-R995</f>
        <v>4031324.4100000006</v>
      </c>
      <c r="T995" s="170">
        <f t="shared" si="167"/>
        <v>4192.3090786189687</v>
      </c>
      <c r="U995" s="170">
        <v>4194.8558142678867</v>
      </c>
      <c r="V995" s="202">
        <f t="shared" si="168"/>
        <v>2.546735648918002</v>
      </c>
      <c r="W995" s="202">
        <f>X995+Y995+Z995+AA995+AB995+AD995+AF995+AH995+AJ995+AL995+AN995+AO995</f>
        <v>4649.9862697587359</v>
      </c>
      <c r="X995" s="202">
        <v>0</v>
      </c>
      <c r="Y995" s="203">
        <v>0</v>
      </c>
      <c r="Z995" s="203">
        <v>0</v>
      </c>
      <c r="AA995" s="203">
        <v>0</v>
      </c>
      <c r="AB995" s="203">
        <v>0</v>
      </c>
      <c r="AC995" s="203">
        <v>0</v>
      </c>
      <c r="AD995" s="203">
        <v>0</v>
      </c>
      <c r="AE995" s="203">
        <v>716.7</v>
      </c>
      <c r="AF995" s="202">
        <f>6238.91*AE995/I995</f>
        <v>4649.9862697587359</v>
      </c>
      <c r="AG995" s="203">
        <v>0</v>
      </c>
      <c r="AH995" s="202">
        <v>0</v>
      </c>
      <c r="AI995" s="203">
        <v>0</v>
      </c>
      <c r="AJ995" s="202">
        <v>0</v>
      </c>
      <c r="AK995" s="203">
        <v>0</v>
      </c>
      <c r="AL995" s="203">
        <v>0</v>
      </c>
      <c r="AM995" s="203">
        <v>0</v>
      </c>
      <c r="AN995" s="203"/>
      <c r="AO995" s="203">
        <v>0</v>
      </c>
    </row>
    <row r="996" spans="1:41" s="176" customFormat="1" ht="36" customHeight="1" x14ac:dyDescent="0.25">
      <c r="A996" s="176">
        <v>1</v>
      </c>
      <c r="B996" s="171">
        <f>SUBTOTAL(103,$A$552:A996)</f>
        <v>403</v>
      </c>
      <c r="C996" s="172" t="s">
        <v>1231</v>
      </c>
      <c r="D996" s="173">
        <v>1982</v>
      </c>
      <c r="E996" s="173"/>
      <c r="F996" s="174" t="s">
        <v>267</v>
      </c>
      <c r="G996" s="173">
        <v>5</v>
      </c>
      <c r="H996" s="173" t="s">
        <v>2251</v>
      </c>
      <c r="I996" s="170">
        <v>6331.45</v>
      </c>
      <c r="J996" s="170">
        <v>5114.5</v>
      </c>
      <c r="K996" s="170">
        <v>5066.51</v>
      </c>
      <c r="L996" s="206">
        <v>198</v>
      </c>
      <c r="M996" s="173" t="s">
        <v>265</v>
      </c>
      <c r="N996" s="173" t="s">
        <v>269</v>
      </c>
      <c r="O996" s="175" t="s">
        <v>271</v>
      </c>
      <c r="P996" s="170">
        <v>6672611.4800000004</v>
      </c>
      <c r="Q996" s="170">
        <v>0</v>
      </c>
      <c r="R996" s="170">
        <v>0</v>
      </c>
      <c r="S996" s="170">
        <f>P996-Q996-R996</f>
        <v>6672611.4800000004</v>
      </c>
      <c r="T996" s="170">
        <f t="shared" si="167"/>
        <v>1053.8836253938673</v>
      </c>
      <c r="U996" s="170">
        <v>4998.25</v>
      </c>
      <c r="V996" s="202">
        <f t="shared" si="168"/>
        <v>3944.3663746061329</v>
      </c>
      <c r="W996" s="202">
        <f>X996+Y996+Z996+AA996+AB996+AD996+AF996+AH996+AJ996+AL996+AN996+AO996</f>
        <v>602.95651533219086</v>
      </c>
      <c r="X996" s="202">
        <v>0</v>
      </c>
      <c r="Y996" s="203">
        <v>0</v>
      </c>
      <c r="Z996" s="203">
        <v>0</v>
      </c>
      <c r="AA996" s="203">
        <v>0</v>
      </c>
      <c r="AB996" s="203">
        <v>0</v>
      </c>
      <c r="AC996" s="203">
        <v>0</v>
      </c>
      <c r="AD996" s="203">
        <v>0</v>
      </c>
      <c r="AE996" s="203">
        <v>611.9</v>
      </c>
      <c r="AF996" s="202">
        <f>6238.91*AE996/I996</f>
        <v>602.95651533219086</v>
      </c>
      <c r="AG996" s="203">
        <v>0</v>
      </c>
      <c r="AH996" s="202">
        <v>0</v>
      </c>
      <c r="AI996" s="203">
        <v>0</v>
      </c>
      <c r="AJ996" s="202">
        <v>0</v>
      </c>
      <c r="AK996" s="203">
        <v>0</v>
      </c>
      <c r="AL996" s="203">
        <v>0</v>
      </c>
      <c r="AM996" s="203">
        <v>0</v>
      </c>
      <c r="AN996" s="203"/>
      <c r="AO996" s="203">
        <v>0</v>
      </c>
    </row>
    <row r="997" spans="1:41" s="176" customFormat="1" ht="36" customHeight="1" x14ac:dyDescent="0.25">
      <c r="B997" s="172" t="s">
        <v>836</v>
      </c>
      <c r="C997" s="172"/>
      <c r="D997" s="173" t="s">
        <v>882</v>
      </c>
      <c r="E997" s="173" t="s">
        <v>882</v>
      </c>
      <c r="F997" s="173" t="s">
        <v>882</v>
      </c>
      <c r="G997" s="173" t="s">
        <v>882</v>
      </c>
      <c r="H997" s="173" t="s">
        <v>882</v>
      </c>
      <c r="I997" s="177">
        <f>SUM(I998:I1000)</f>
        <v>8831.67</v>
      </c>
      <c r="J997" s="177">
        <f>SUM(J998:J1000)</f>
        <v>7120.7900000000009</v>
      </c>
      <c r="K997" s="177">
        <f>SUM(K998:K1000)</f>
        <v>6353.68</v>
      </c>
      <c r="L997" s="357">
        <f>SUM(L998:L1000)</f>
        <v>282</v>
      </c>
      <c r="M997" s="173" t="s">
        <v>882</v>
      </c>
      <c r="N997" s="173" t="s">
        <v>882</v>
      </c>
      <c r="O997" s="175" t="s">
        <v>882</v>
      </c>
      <c r="P997" s="170">
        <v>12690176.640000001</v>
      </c>
      <c r="Q997" s="170">
        <f>SUM(Q998:Q1000)</f>
        <v>0</v>
      </c>
      <c r="R997" s="170">
        <f>SUM(R998:R1000)</f>
        <v>0</v>
      </c>
      <c r="S997" s="170">
        <f>SUM(S998:S1000)</f>
        <v>12690176.640000001</v>
      </c>
      <c r="T997" s="170">
        <f t="shared" si="167"/>
        <v>1436.8943404814718</v>
      </c>
      <c r="U997" s="170">
        <f>MAX(U998:U1000)</f>
        <v>4666.5307374423774</v>
      </c>
      <c r="V997" s="202">
        <f t="shared" si="168"/>
        <v>3229.6363969609056</v>
      </c>
      <c r="W997" s="202"/>
      <c r="X997" s="202"/>
      <c r="Y997" s="203"/>
      <c r="Z997" s="203"/>
      <c r="AA997" s="203"/>
      <c r="AB997" s="203"/>
      <c r="AC997" s="203"/>
      <c r="AD997" s="203"/>
      <c r="AE997" s="203"/>
      <c r="AF997" s="203"/>
      <c r="AG997" s="203"/>
      <c r="AH997" s="203"/>
      <c r="AI997" s="203"/>
      <c r="AJ997" s="203"/>
      <c r="AK997" s="203"/>
      <c r="AL997" s="203"/>
      <c r="AM997" s="203"/>
      <c r="AN997" s="203"/>
      <c r="AO997" s="203"/>
    </row>
    <row r="998" spans="1:41" s="176" customFormat="1" ht="36" customHeight="1" x14ac:dyDescent="0.25">
      <c r="A998" s="176">
        <v>1</v>
      </c>
      <c r="B998" s="171">
        <f>SUBTOTAL(103,$A$552:A998)</f>
        <v>404</v>
      </c>
      <c r="C998" s="172" t="s">
        <v>54</v>
      </c>
      <c r="D998" s="173">
        <v>1989</v>
      </c>
      <c r="E998" s="173"/>
      <c r="F998" s="174" t="s">
        <v>267</v>
      </c>
      <c r="G998" s="173">
        <v>5</v>
      </c>
      <c r="H998" s="173" t="s">
        <v>370</v>
      </c>
      <c r="I998" s="177">
        <v>5889.36</v>
      </c>
      <c r="J998" s="177">
        <v>4270.6000000000004</v>
      </c>
      <c r="K998" s="177">
        <v>4123.1000000000004</v>
      </c>
      <c r="L998" s="206">
        <v>193</v>
      </c>
      <c r="M998" s="173" t="s">
        <v>265</v>
      </c>
      <c r="N998" s="173" t="s">
        <v>269</v>
      </c>
      <c r="O998" s="175" t="s">
        <v>272</v>
      </c>
      <c r="P998" s="170">
        <v>9262560.1899999995</v>
      </c>
      <c r="Q998" s="170">
        <v>0</v>
      </c>
      <c r="R998" s="170">
        <v>0</v>
      </c>
      <c r="S998" s="170">
        <f>P998-Q998-R998</f>
        <v>9262560.1899999995</v>
      </c>
      <c r="T998" s="170">
        <f t="shared" si="167"/>
        <v>1572.7617584932827</v>
      </c>
      <c r="U998" s="170">
        <v>1824.2824137087903</v>
      </c>
      <c r="V998" s="202">
        <f t="shared" si="168"/>
        <v>251.52065521550753</v>
      </c>
      <c r="W998" s="202">
        <f>X998+Y998+Z998+AA998+AB998+AD998+AF998+AH998+AJ998+AL998+AN998+AO998</f>
        <v>1768.2716920004891</v>
      </c>
      <c r="X998" s="202">
        <v>0</v>
      </c>
      <c r="Y998" s="203">
        <v>0</v>
      </c>
      <c r="Z998" s="203">
        <v>0</v>
      </c>
      <c r="AA998" s="203">
        <v>0</v>
      </c>
      <c r="AB998" s="203">
        <v>0</v>
      </c>
      <c r="AC998" s="203">
        <v>0</v>
      </c>
      <c r="AD998" s="203">
        <v>0</v>
      </c>
      <c r="AE998" s="203">
        <v>1669.2</v>
      </c>
      <c r="AF998" s="202">
        <f>6238.91*AE998/I998</f>
        <v>1768.2716920004891</v>
      </c>
      <c r="AG998" s="203">
        <v>0</v>
      </c>
      <c r="AH998" s="202">
        <v>0</v>
      </c>
      <c r="AI998" s="203">
        <v>0</v>
      </c>
      <c r="AJ998" s="202">
        <v>0</v>
      </c>
      <c r="AK998" s="203">
        <v>0</v>
      </c>
      <c r="AL998" s="203">
        <v>0</v>
      </c>
      <c r="AM998" s="203">
        <v>0</v>
      </c>
      <c r="AN998" s="203"/>
      <c r="AO998" s="203">
        <v>0</v>
      </c>
    </row>
    <row r="999" spans="1:41" s="176" customFormat="1" ht="36" customHeight="1" x14ac:dyDescent="0.25">
      <c r="A999" s="176">
        <v>1</v>
      </c>
      <c r="B999" s="171">
        <f>SUBTOTAL(103,$A$552:A999)</f>
        <v>405</v>
      </c>
      <c r="C999" s="172" t="s">
        <v>1671</v>
      </c>
      <c r="D999" s="173">
        <v>1958</v>
      </c>
      <c r="E999" s="173"/>
      <c r="F999" s="174" t="s">
        <v>267</v>
      </c>
      <c r="G999" s="173">
        <v>2</v>
      </c>
      <c r="H999" s="173" t="s">
        <v>303</v>
      </c>
      <c r="I999" s="177">
        <v>796.13</v>
      </c>
      <c r="J999" s="177">
        <v>704.01</v>
      </c>
      <c r="K999" s="177">
        <v>474.19</v>
      </c>
      <c r="L999" s="206">
        <v>11</v>
      </c>
      <c r="M999" s="173" t="s">
        <v>265</v>
      </c>
      <c r="N999" s="173" t="s">
        <v>269</v>
      </c>
      <c r="O999" s="175" t="s">
        <v>272</v>
      </c>
      <c r="P999" s="170">
        <v>3224616.45</v>
      </c>
      <c r="Q999" s="170">
        <v>0</v>
      </c>
      <c r="R999" s="170">
        <v>0</v>
      </c>
      <c r="S999" s="170">
        <f>P999-Q999-R999</f>
        <v>3224616.45</v>
      </c>
      <c r="T999" s="170">
        <f t="shared" si="167"/>
        <v>4050.3641993141828</v>
      </c>
      <c r="U999" s="170">
        <v>4666.5307374423774</v>
      </c>
      <c r="V999" s="202">
        <f t="shared" si="168"/>
        <v>616.16653812819459</v>
      </c>
      <c r="W999" s="202">
        <f>X999+Y999+Z999+AA999+AB999+AD999+AF999+AH999+AJ999+AL999+AN999+AO999</f>
        <v>4523.2548101440725</v>
      </c>
      <c r="X999" s="202">
        <v>0</v>
      </c>
      <c r="Y999" s="203">
        <v>0</v>
      </c>
      <c r="Z999" s="203">
        <v>0</v>
      </c>
      <c r="AA999" s="203">
        <v>0</v>
      </c>
      <c r="AB999" s="203">
        <v>0</v>
      </c>
      <c r="AC999" s="203">
        <v>0</v>
      </c>
      <c r="AD999" s="203">
        <v>0</v>
      </c>
      <c r="AE999" s="203">
        <v>577.20000000000005</v>
      </c>
      <c r="AF999" s="202">
        <f>6238.91*AE999/I999</f>
        <v>4523.2548101440725</v>
      </c>
      <c r="AG999" s="203">
        <v>0</v>
      </c>
      <c r="AH999" s="202">
        <v>0</v>
      </c>
      <c r="AI999" s="203">
        <v>0</v>
      </c>
      <c r="AJ999" s="202">
        <v>0</v>
      </c>
      <c r="AK999" s="203">
        <v>0</v>
      </c>
      <c r="AL999" s="203">
        <v>0</v>
      </c>
      <c r="AM999" s="203">
        <v>0</v>
      </c>
      <c r="AN999" s="203"/>
      <c r="AO999" s="203">
        <v>0</v>
      </c>
    </row>
    <row r="1000" spans="1:41" s="176" customFormat="1" ht="36" customHeight="1" x14ac:dyDescent="0.25">
      <c r="A1000" s="176">
        <v>1</v>
      </c>
      <c r="B1000" s="171">
        <f>SUBTOTAL(103,$A$552:A1000)</f>
        <v>406</v>
      </c>
      <c r="C1000" s="172" t="s">
        <v>1238</v>
      </c>
      <c r="D1000" s="173">
        <v>1974</v>
      </c>
      <c r="E1000" s="173"/>
      <c r="F1000" s="174" t="s">
        <v>267</v>
      </c>
      <c r="G1000" s="173">
        <v>5</v>
      </c>
      <c r="H1000" s="173" t="s">
        <v>303</v>
      </c>
      <c r="I1000" s="170">
        <v>2146.1799999999998</v>
      </c>
      <c r="J1000" s="170">
        <v>2146.1799999999998</v>
      </c>
      <c r="K1000" s="170">
        <v>1756.39</v>
      </c>
      <c r="L1000" s="206">
        <v>78</v>
      </c>
      <c r="M1000" s="173" t="s">
        <v>265</v>
      </c>
      <c r="N1000" s="173" t="s">
        <v>269</v>
      </c>
      <c r="O1000" s="175" t="s">
        <v>272</v>
      </c>
      <c r="P1000" s="170">
        <v>203000</v>
      </c>
      <c r="Q1000" s="170">
        <v>0</v>
      </c>
      <c r="R1000" s="170">
        <v>0</v>
      </c>
      <c r="S1000" s="170">
        <f>P1000-Q1000-R1000</f>
        <v>203000</v>
      </c>
      <c r="T1000" s="170">
        <f t="shared" si="167"/>
        <v>94.586660951085193</v>
      </c>
      <c r="U1000" s="170">
        <v>184.98</v>
      </c>
      <c r="V1000" s="202">
        <f t="shared" si="168"/>
        <v>90.393339048914797</v>
      </c>
      <c r="W1000" s="202">
        <f>T1000</f>
        <v>94.586660951085193</v>
      </c>
      <c r="X1000" s="202">
        <v>0</v>
      </c>
      <c r="Y1000" s="203">
        <v>0</v>
      </c>
      <c r="Z1000" s="203">
        <v>0</v>
      </c>
      <c r="AA1000" s="203">
        <v>184.98</v>
      </c>
      <c r="AB1000" s="203">
        <v>0</v>
      </c>
      <c r="AC1000" s="203">
        <v>0</v>
      </c>
      <c r="AD1000" s="203">
        <v>0</v>
      </c>
      <c r="AE1000" s="203">
        <v>0</v>
      </c>
      <c r="AF1000" s="202">
        <v>0</v>
      </c>
      <c r="AG1000" s="203">
        <v>0</v>
      </c>
      <c r="AH1000" s="202">
        <v>0</v>
      </c>
      <c r="AI1000" s="203">
        <v>0</v>
      </c>
      <c r="AJ1000" s="202">
        <v>0</v>
      </c>
      <c r="AK1000" s="203">
        <v>0</v>
      </c>
      <c r="AL1000" s="203">
        <v>0</v>
      </c>
      <c r="AM1000" s="203">
        <v>0</v>
      </c>
      <c r="AN1000" s="203"/>
      <c r="AO1000" s="203">
        <v>0</v>
      </c>
    </row>
    <row r="1001" spans="1:41" s="176" customFormat="1" ht="36" customHeight="1" x14ac:dyDescent="0.25">
      <c r="B1001" s="172" t="s">
        <v>837</v>
      </c>
      <c r="C1001" s="172"/>
      <c r="D1001" s="173" t="s">
        <v>882</v>
      </c>
      <c r="E1001" s="173" t="s">
        <v>882</v>
      </c>
      <c r="F1001" s="173" t="s">
        <v>882</v>
      </c>
      <c r="G1001" s="173" t="s">
        <v>882</v>
      </c>
      <c r="H1001" s="173" t="s">
        <v>882</v>
      </c>
      <c r="I1001" s="177">
        <f>I1002</f>
        <v>485.3</v>
      </c>
      <c r="J1001" s="177">
        <f>J1002</f>
        <v>441.3</v>
      </c>
      <c r="K1001" s="177">
        <f>K1002</f>
        <v>441.3</v>
      </c>
      <c r="L1001" s="357">
        <f>L1002</f>
        <v>16</v>
      </c>
      <c r="M1001" s="173" t="s">
        <v>882</v>
      </c>
      <c r="N1001" s="173" t="s">
        <v>882</v>
      </c>
      <c r="O1001" s="175" t="s">
        <v>882</v>
      </c>
      <c r="P1001" s="170">
        <v>2077656.16</v>
      </c>
      <c r="Q1001" s="170">
        <f>Q1002</f>
        <v>0</v>
      </c>
      <c r="R1001" s="170">
        <f>R1002</f>
        <v>0</v>
      </c>
      <c r="S1001" s="170">
        <f>S1002</f>
        <v>2077656.16</v>
      </c>
      <c r="T1001" s="170">
        <f t="shared" si="167"/>
        <v>4281.1789820729446</v>
      </c>
      <c r="U1001" s="170">
        <f>U1002</f>
        <v>5753.6185437873473</v>
      </c>
      <c r="V1001" s="202">
        <f t="shared" si="168"/>
        <v>1472.4395617144028</v>
      </c>
      <c r="W1001" s="202"/>
      <c r="X1001" s="202"/>
      <c r="Y1001" s="203"/>
      <c r="Z1001" s="203"/>
      <c r="AA1001" s="203"/>
      <c r="AB1001" s="203"/>
      <c r="AC1001" s="203"/>
      <c r="AD1001" s="203"/>
      <c r="AE1001" s="203"/>
      <c r="AF1001" s="203"/>
      <c r="AG1001" s="203"/>
      <c r="AH1001" s="203"/>
      <c r="AI1001" s="203"/>
      <c r="AJ1001" s="203"/>
      <c r="AK1001" s="203"/>
      <c r="AL1001" s="203"/>
      <c r="AM1001" s="203"/>
      <c r="AN1001" s="203"/>
      <c r="AO1001" s="203"/>
    </row>
    <row r="1002" spans="1:41" s="176" customFormat="1" ht="36" customHeight="1" x14ac:dyDescent="0.25">
      <c r="A1002" s="176">
        <v>1</v>
      </c>
      <c r="B1002" s="171">
        <f>SUBTOTAL(103,$A$552:A1002)</f>
        <v>407</v>
      </c>
      <c r="C1002" s="172" t="s">
        <v>53</v>
      </c>
      <c r="D1002" s="173">
        <v>1952</v>
      </c>
      <c r="E1002" s="173"/>
      <c r="F1002" s="174" t="s">
        <v>267</v>
      </c>
      <c r="G1002" s="173">
        <v>2</v>
      </c>
      <c r="H1002" s="173" t="s">
        <v>303</v>
      </c>
      <c r="I1002" s="177">
        <v>485.3</v>
      </c>
      <c r="J1002" s="177">
        <v>441.3</v>
      </c>
      <c r="K1002" s="177">
        <v>441.3</v>
      </c>
      <c r="L1002" s="206">
        <v>16</v>
      </c>
      <c r="M1002" s="173" t="s">
        <v>265</v>
      </c>
      <c r="N1002" s="173" t="s">
        <v>269</v>
      </c>
      <c r="O1002" s="175" t="s">
        <v>273</v>
      </c>
      <c r="P1002" s="170">
        <v>2077656.16</v>
      </c>
      <c r="Q1002" s="170">
        <v>0</v>
      </c>
      <c r="R1002" s="170">
        <v>0</v>
      </c>
      <c r="S1002" s="170">
        <f>P1002-Q1002-R1002</f>
        <v>2077656.16</v>
      </c>
      <c r="T1002" s="170">
        <f t="shared" si="167"/>
        <v>4281.1789820729446</v>
      </c>
      <c r="U1002" s="170">
        <v>5753.6185437873473</v>
      </c>
      <c r="V1002" s="202">
        <f>U1002-T1002</f>
        <v>1472.4395617144028</v>
      </c>
      <c r="W1002" s="202">
        <f>X1002+Y1002+Z1002+AA1002+AB1002+AD1002+AF1002+AH1002+AJ1002+AL1002+AN1002+AO1002</f>
        <v>5707.9662888934681</v>
      </c>
      <c r="X1002" s="202">
        <v>0</v>
      </c>
      <c r="Y1002" s="203">
        <v>0</v>
      </c>
      <c r="Z1002" s="203">
        <v>0</v>
      </c>
      <c r="AA1002" s="203">
        <v>0</v>
      </c>
      <c r="AB1002" s="203">
        <v>0</v>
      </c>
      <c r="AC1002" s="203">
        <v>0</v>
      </c>
      <c r="AD1002" s="203">
        <v>0</v>
      </c>
      <c r="AE1002" s="203">
        <v>444</v>
      </c>
      <c r="AF1002" s="202">
        <f>6238.91*AE1002/I1002</f>
        <v>5707.9662888934681</v>
      </c>
      <c r="AG1002" s="203">
        <v>0</v>
      </c>
      <c r="AH1002" s="202">
        <v>0</v>
      </c>
      <c r="AI1002" s="203">
        <v>0</v>
      </c>
      <c r="AJ1002" s="202">
        <v>0</v>
      </c>
      <c r="AK1002" s="203">
        <v>0</v>
      </c>
      <c r="AL1002" s="203">
        <v>0</v>
      </c>
      <c r="AM1002" s="203">
        <v>0</v>
      </c>
      <c r="AN1002" s="203"/>
      <c r="AO1002" s="203">
        <v>0</v>
      </c>
    </row>
    <row r="1003" spans="1:41" s="176" customFormat="1" ht="36" customHeight="1" x14ac:dyDescent="0.25">
      <c r="B1003" s="172" t="s">
        <v>838</v>
      </c>
      <c r="C1003" s="172"/>
      <c r="D1003" s="173" t="s">
        <v>882</v>
      </c>
      <c r="E1003" s="173" t="s">
        <v>882</v>
      </c>
      <c r="F1003" s="173" t="s">
        <v>882</v>
      </c>
      <c r="G1003" s="173" t="s">
        <v>882</v>
      </c>
      <c r="H1003" s="173" t="s">
        <v>882</v>
      </c>
      <c r="I1003" s="177">
        <f>SUM(I1004:I1011)</f>
        <v>10895.89</v>
      </c>
      <c r="J1003" s="177">
        <f>SUM(J1004:J1011)</f>
        <v>10456.06</v>
      </c>
      <c r="K1003" s="177">
        <f>SUM(K1004:K1011)</f>
        <v>8905.7999999999993</v>
      </c>
      <c r="L1003" s="357">
        <f>SUM(L1004:L1011)</f>
        <v>502</v>
      </c>
      <c r="M1003" s="173" t="s">
        <v>882</v>
      </c>
      <c r="N1003" s="173" t="s">
        <v>882</v>
      </c>
      <c r="O1003" s="175" t="s">
        <v>882</v>
      </c>
      <c r="P1003" s="170">
        <v>26983289.199999999</v>
      </c>
      <c r="Q1003" s="170">
        <f>SUM(Q1004:Q1011)</f>
        <v>0</v>
      </c>
      <c r="R1003" s="170">
        <f>SUM(R1004:R1011)</f>
        <v>0</v>
      </c>
      <c r="S1003" s="170">
        <f>SUM(S1004:S1011)</f>
        <v>26983289.199999999</v>
      </c>
      <c r="T1003" s="170">
        <f t="shared" si="167"/>
        <v>2476.4649055744871</v>
      </c>
      <c r="U1003" s="170">
        <f>MAX(U1004:U1011)</f>
        <v>7197.7461877329706</v>
      </c>
      <c r="V1003" s="202">
        <f t="shared" si="168"/>
        <v>4721.281282158483</v>
      </c>
      <c r="W1003" s="202"/>
      <c r="X1003" s="202"/>
      <c r="Y1003" s="203"/>
      <c r="Z1003" s="203"/>
      <c r="AA1003" s="203"/>
      <c r="AB1003" s="203"/>
      <c r="AC1003" s="203"/>
      <c r="AD1003" s="203"/>
      <c r="AE1003" s="203"/>
      <c r="AF1003" s="203"/>
      <c r="AG1003" s="203"/>
      <c r="AH1003" s="203"/>
      <c r="AI1003" s="203"/>
      <c r="AJ1003" s="203"/>
      <c r="AK1003" s="203"/>
      <c r="AL1003" s="203"/>
      <c r="AM1003" s="203"/>
      <c r="AN1003" s="203"/>
      <c r="AO1003" s="203"/>
    </row>
    <row r="1004" spans="1:41" s="176" customFormat="1" ht="36" customHeight="1" x14ac:dyDescent="0.25">
      <c r="A1004" s="176">
        <v>1</v>
      </c>
      <c r="B1004" s="171">
        <f>SUBTOTAL(103,$A$552:A1004)</f>
        <v>408</v>
      </c>
      <c r="C1004" s="172" t="s">
        <v>60</v>
      </c>
      <c r="D1004" s="173">
        <v>1970</v>
      </c>
      <c r="E1004" s="173"/>
      <c r="F1004" s="174" t="s">
        <v>267</v>
      </c>
      <c r="G1004" s="173">
        <v>5</v>
      </c>
      <c r="H1004" s="173" t="s">
        <v>303</v>
      </c>
      <c r="I1004" s="177">
        <v>2323.8000000000002</v>
      </c>
      <c r="J1004" s="177">
        <v>2094.89</v>
      </c>
      <c r="K1004" s="177">
        <v>1789.25</v>
      </c>
      <c r="L1004" s="206">
        <v>79</v>
      </c>
      <c r="M1004" s="173" t="s">
        <v>265</v>
      </c>
      <c r="N1004" s="173" t="s">
        <v>269</v>
      </c>
      <c r="O1004" s="175" t="s">
        <v>275</v>
      </c>
      <c r="P1004" s="170">
        <v>3431912.32</v>
      </c>
      <c r="Q1004" s="170">
        <v>0</v>
      </c>
      <c r="R1004" s="170">
        <v>0</v>
      </c>
      <c r="S1004" s="170">
        <f t="shared" ref="S1004:S1011" si="169">P1004-Q1004-R1004</f>
        <v>3431912.32</v>
      </c>
      <c r="T1004" s="170">
        <f t="shared" si="167"/>
        <v>1476.8535674326533</v>
      </c>
      <c r="U1004" s="170">
        <v>1836.3970178156464</v>
      </c>
      <c r="V1004" s="202">
        <f t="shared" si="168"/>
        <v>359.54345038299311</v>
      </c>
      <c r="W1004" s="202">
        <f t="shared" ref="W1004:W1009" si="170">X1004+Y1004+Z1004+AA1004+AB1004+AD1004+AF1004+AH1004+AJ1004+AL1004+AN1004+AO1004</f>
        <v>1780.0143428866511</v>
      </c>
      <c r="X1004" s="202">
        <v>0</v>
      </c>
      <c r="Y1004" s="203">
        <v>0</v>
      </c>
      <c r="Z1004" s="203">
        <v>0</v>
      </c>
      <c r="AA1004" s="203">
        <v>0</v>
      </c>
      <c r="AB1004" s="203">
        <v>0</v>
      </c>
      <c r="AC1004" s="203">
        <v>0</v>
      </c>
      <c r="AD1004" s="203">
        <v>0</v>
      </c>
      <c r="AE1004" s="203">
        <v>663</v>
      </c>
      <c r="AF1004" s="202">
        <f t="shared" ref="AF1004:AF1009" si="171">6238.91*AE1004/I1004</f>
        <v>1780.0143428866511</v>
      </c>
      <c r="AG1004" s="203">
        <v>0</v>
      </c>
      <c r="AH1004" s="202">
        <v>0</v>
      </c>
      <c r="AI1004" s="203">
        <v>0</v>
      </c>
      <c r="AJ1004" s="202">
        <v>0</v>
      </c>
      <c r="AK1004" s="203">
        <v>0</v>
      </c>
      <c r="AL1004" s="203">
        <v>0</v>
      </c>
      <c r="AM1004" s="203">
        <v>0</v>
      </c>
      <c r="AN1004" s="203"/>
      <c r="AO1004" s="203">
        <v>0</v>
      </c>
    </row>
    <row r="1005" spans="1:41" s="176" customFormat="1" ht="36" customHeight="1" x14ac:dyDescent="0.25">
      <c r="A1005" s="176">
        <v>1</v>
      </c>
      <c r="B1005" s="171">
        <f>SUBTOTAL(103,$A$552:A1005)</f>
        <v>409</v>
      </c>
      <c r="C1005" s="172" t="s">
        <v>61</v>
      </c>
      <c r="D1005" s="173">
        <v>1972</v>
      </c>
      <c r="E1005" s="173"/>
      <c r="F1005" s="174" t="s">
        <v>267</v>
      </c>
      <c r="G1005" s="173">
        <v>2</v>
      </c>
      <c r="H1005" s="173" t="s">
        <v>303</v>
      </c>
      <c r="I1005" s="177">
        <v>590.20000000000005</v>
      </c>
      <c r="J1005" s="177">
        <v>590.20000000000005</v>
      </c>
      <c r="K1005" s="177">
        <v>529.79999999999995</v>
      </c>
      <c r="L1005" s="206">
        <v>36</v>
      </c>
      <c r="M1005" s="173" t="s">
        <v>265</v>
      </c>
      <c r="N1005" s="173" t="s">
        <v>266</v>
      </c>
      <c r="O1005" s="175" t="s">
        <v>268</v>
      </c>
      <c r="P1005" s="170">
        <v>3373798.59</v>
      </c>
      <c r="Q1005" s="170">
        <v>0</v>
      </c>
      <c r="R1005" s="170">
        <v>0</v>
      </c>
      <c r="S1005" s="170">
        <f t="shared" si="169"/>
        <v>3373798.59</v>
      </c>
      <c r="T1005" s="170">
        <f t="shared" si="167"/>
        <v>5716.3649440867493</v>
      </c>
      <c r="U1005" s="170">
        <v>7197.7461877329706</v>
      </c>
      <c r="V1005" s="202">
        <f t="shared" si="168"/>
        <v>1481.3812436462213</v>
      </c>
      <c r="W1005" s="202">
        <f t="shared" si="170"/>
        <v>6976.754659437478</v>
      </c>
      <c r="X1005" s="202">
        <v>0</v>
      </c>
      <c r="Y1005" s="203">
        <v>0</v>
      </c>
      <c r="Z1005" s="203">
        <v>0</v>
      </c>
      <c r="AA1005" s="203">
        <v>0</v>
      </c>
      <c r="AB1005" s="203">
        <v>0</v>
      </c>
      <c r="AC1005" s="203">
        <v>0</v>
      </c>
      <c r="AD1005" s="203">
        <v>0</v>
      </c>
      <c r="AE1005" s="203">
        <v>660</v>
      </c>
      <c r="AF1005" s="202">
        <f t="shared" si="171"/>
        <v>6976.754659437478</v>
      </c>
      <c r="AG1005" s="203">
        <v>0</v>
      </c>
      <c r="AH1005" s="202">
        <v>0</v>
      </c>
      <c r="AI1005" s="203">
        <v>0</v>
      </c>
      <c r="AJ1005" s="202">
        <v>0</v>
      </c>
      <c r="AK1005" s="203">
        <v>0</v>
      </c>
      <c r="AL1005" s="203">
        <v>0</v>
      </c>
      <c r="AM1005" s="203">
        <v>0</v>
      </c>
      <c r="AN1005" s="203"/>
      <c r="AO1005" s="203">
        <v>0</v>
      </c>
    </row>
    <row r="1006" spans="1:41" s="176" customFormat="1" ht="36" customHeight="1" x14ac:dyDescent="0.25">
      <c r="A1006" s="176">
        <v>1</v>
      </c>
      <c r="B1006" s="171">
        <f>SUBTOTAL(103,$A$552:A1006)</f>
        <v>410</v>
      </c>
      <c r="C1006" s="172" t="s">
        <v>59</v>
      </c>
      <c r="D1006" s="173">
        <v>1973</v>
      </c>
      <c r="E1006" s="173"/>
      <c r="F1006" s="174" t="s">
        <v>267</v>
      </c>
      <c r="G1006" s="173">
        <v>2</v>
      </c>
      <c r="H1006" s="173" t="s">
        <v>303</v>
      </c>
      <c r="I1006" s="177">
        <v>701.7</v>
      </c>
      <c r="J1006" s="177">
        <v>600.70000000000005</v>
      </c>
      <c r="K1006" s="177">
        <v>482.5</v>
      </c>
      <c r="L1006" s="206">
        <v>31</v>
      </c>
      <c r="M1006" s="173" t="s">
        <v>265</v>
      </c>
      <c r="N1006" s="173" t="s">
        <v>266</v>
      </c>
      <c r="O1006" s="175" t="s">
        <v>268</v>
      </c>
      <c r="P1006" s="170">
        <v>2799677.08</v>
      </c>
      <c r="Q1006" s="170">
        <v>0</v>
      </c>
      <c r="R1006" s="170">
        <v>0</v>
      </c>
      <c r="S1006" s="170">
        <f t="shared" si="169"/>
        <v>2799677.08</v>
      </c>
      <c r="T1006" s="170">
        <f t="shared" si="167"/>
        <v>3989.849052301553</v>
      </c>
      <c r="U1006" s="170">
        <v>5524.4818627618633</v>
      </c>
      <c r="V1006" s="202">
        <f>U1006-T1006</f>
        <v>1534.6328104603103</v>
      </c>
      <c r="W1006" s="202">
        <f t="shared" si="170"/>
        <v>5752.5648710275045</v>
      </c>
      <c r="X1006" s="202">
        <v>0</v>
      </c>
      <c r="Y1006" s="203">
        <v>0</v>
      </c>
      <c r="Z1006" s="203">
        <v>0</v>
      </c>
      <c r="AA1006" s="203">
        <v>0</v>
      </c>
      <c r="AB1006" s="203">
        <v>0</v>
      </c>
      <c r="AC1006" s="203">
        <v>0</v>
      </c>
      <c r="AD1006" s="203">
        <v>0</v>
      </c>
      <c r="AE1006" s="203">
        <v>647</v>
      </c>
      <c r="AF1006" s="202">
        <f t="shared" si="171"/>
        <v>5752.5648710275045</v>
      </c>
      <c r="AG1006" s="203">
        <v>0</v>
      </c>
      <c r="AH1006" s="202">
        <v>0</v>
      </c>
      <c r="AI1006" s="203">
        <v>0</v>
      </c>
      <c r="AJ1006" s="202">
        <v>0</v>
      </c>
      <c r="AK1006" s="203">
        <v>0</v>
      </c>
      <c r="AL1006" s="203">
        <v>0</v>
      </c>
      <c r="AM1006" s="203">
        <v>0</v>
      </c>
      <c r="AN1006" s="203"/>
      <c r="AO1006" s="203">
        <v>0</v>
      </c>
    </row>
    <row r="1007" spans="1:41" s="176" customFormat="1" ht="36" customHeight="1" x14ac:dyDescent="0.25">
      <c r="A1007" s="176">
        <v>1</v>
      </c>
      <c r="B1007" s="171">
        <f>SUBTOTAL(103,$A$552:A1007)</f>
        <v>411</v>
      </c>
      <c r="C1007" s="172" t="s">
        <v>62</v>
      </c>
      <c r="D1007" s="173">
        <v>1982</v>
      </c>
      <c r="E1007" s="173"/>
      <c r="F1007" s="174" t="s">
        <v>267</v>
      </c>
      <c r="G1007" s="173">
        <v>2</v>
      </c>
      <c r="H1007" s="173" t="s">
        <v>303</v>
      </c>
      <c r="I1007" s="177">
        <v>549.6</v>
      </c>
      <c r="J1007" s="177">
        <v>502.6</v>
      </c>
      <c r="K1007" s="177">
        <v>318.10000000000002</v>
      </c>
      <c r="L1007" s="206">
        <v>28</v>
      </c>
      <c r="M1007" s="173" t="s">
        <v>265</v>
      </c>
      <c r="N1007" s="173" t="s">
        <v>266</v>
      </c>
      <c r="O1007" s="175" t="s">
        <v>268</v>
      </c>
      <c r="P1007" s="170">
        <v>2861229.32</v>
      </c>
      <c r="Q1007" s="170">
        <v>0</v>
      </c>
      <c r="R1007" s="170">
        <v>0</v>
      </c>
      <c r="S1007" s="170">
        <f t="shared" si="169"/>
        <v>2861229.32</v>
      </c>
      <c r="T1007" s="170">
        <f t="shared" si="167"/>
        <v>5206.0213245997084</v>
      </c>
      <c r="U1007" s="170">
        <v>6473.7719312227064</v>
      </c>
      <c r="V1007" s="202">
        <f>U1007-T1007</f>
        <v>1267.750606622998</v>
      </c>
      <c r="W1007" s="202">
        <f t="shared" si="170"/>
        <v>6086.7968377001462</v>
      </c>
      <c r="X1007" s="202">
        <v>0</v>
      </c>
      <c r="Y1007" s="203">
        <v>0</v>
      </c>
      <c r="Z1007" s="203">
        <v>0</v>
      </c>
      <c r="AA1007" s="203">
        <v>0</v>
      </c>
      <c r="AB1007" s="203">
        <v>0</v>
      </c>
      <c r="AC1007" s="203">
        <v>0</v>
      </c>
      <c r="AD1007" s="203">
        <v>0</v>
      </c>
      <c r="AE1007" s="203">
        <v>536.20000000000005</v>
      </c>
      <c r="AF1007" s="202">
        <f t="shared" si="171"/>
        <v>6086.7968377001462</v>
      </c>
      <c r="AG1007" s="203">
        <v>0</v>
      </c>
      <c r="AH1007" s="202">
        <v>0</v>
      </c>
      <c r="AI1007" s="203">
        <v>0</v>
      </c>
      <c r="AJ1007" s="202">
        <v>0</v>
      </c>
      <c r="AK1007" s="203">
        <v>0</v>
      </c>
      <c r="AL1007" s="203">
        <v>0</v>
      </c>
      <c r="AM1007" s="203">
        <v>0</v>
      </c>
      <c r="AN1007" s="203"/>
      <c r="AO1007" s="203">
        <v>0</v>
      </c>
    </row>
    <row r="1008" spans="1:41" s="176" customFormat="1" ht="36" customHeight="1" x14ac:dyDescent="0.25">
      <c r="A1008" s="176">
        <v>1</v>
      </c>
      <c r="B1008" s="171">
        <f>SUBTOTAL(103,$A$552:A1008)</f>
        <v>412</v>
      </c>
      <c r="C1008" s="172" t="s">
        <v>58</v>
      </c>
      <c r="D1008" s="173">
        <v>1970</v>
      </c>
      <c r="E1008" s="173"/>
      <c r="F1008" s="174" t="s">
        <v>267</v>
      </c>
      <c r="G1008" s="173">
        <v>2</v>
      </c>
      <c r="H1008" s="173" t="s">
        <v>303</v>
      </c>
      <c r="I1008" s="177">
        <v>726.6</v>
      </c>
      <c r="J1008" s="177">
        <v>665.68</v>
      </c>
      <c r="K1008" s="177">
        <v>482.19</v>
      </c>
      <c r="L1008" s="206">
        <v>33</v>
      </c>
      <c r="M1008" s="173" t="s">
        <v>265</v>
      </c>
      <c r="N1008" s="173" t="s">
        <v>266</v>
      </c>
      <c r="O1008" s="175" t="s">
        <v>268</v>
      </c>
      <c r="P1008" s="170">
        <v>2725030.39</v>
      </c>
      <c r="Q1008" s="170">
        <v>0</v>
      </c>
      <c r="R1008" s="170">
        <v>0</v>
      </c>
      <c r="S1008" s="170">
        <f t="shared" si="169"/>
        <v>2725030.39</v>
      </c>
      <c r="T1008" s="170">
        <f t="shared" si="167"/>
        <v>3750.3858932012113</v>
      </c>
      <c r="U1008" s="170">
        <v>5651.6737407101564</v>
      </c>
      <c r="V1008" s="202">
        <f t="shared" si="168"/>
        <v>1901.2878475089451</v>
      </c>
      <c r="W1008" s="202">
        <f t="shared" si="170"/>
        <v>5555.429080649601</v>
      </c>
      <c r="X1008" s="202">
        <v>0</v>
      </c>
      <c r="Y1008" s="203">
        <v>0</v>
      </c>
      <c r="Z1008" s="203">
        <v>0</v>
      </c>
      <c r="AA1008" s="203">
        <v>0</v>
      </c>
      <c r="AB1008" s="203">
        <v>0</v>
      </c>
      <c r="AC1008" s="203">
        <v>0</v>
      </c>
      <c r="AD1008" s="203">
        <v>0</v>
      </c>
      <c r="AE1008" s="203">
        <v>647</v>
      </c>
      <c r="AF1008" s="202">
        <f t="shared" si="171"/>
        <v>5555.429080649601</v>
      </c>
      <c r="AG1008" s="203">
        <v>0</v>
      </c>
      <c r="AH1008" s="202">
        <v>0</v>
      </c>
      <c r="AI1008" s="203">
        <v>0</v>
      </c>
      <c r="AJ1008" s="202">
        <v>0</v>
      </c>
      <c r="AK1008" s="203">
        <v>0</v>
      </c>
      <c r="AL1008" s="203">
        <v>0</v>
      </c>
      <c r="AM1008" s="203">
        <v>0</v>
      </c>
      <c r="AN1008" s="203"/>
      <c r="AO1008" s="203">
        <v>0</v>
      </c>
    </row>
    <row r="1009" spans="1:41" s="176" customFormat="1" ht="36" customHeight="1" x14ac:dyDescent="0.25">
      <c r="A1009" s="176">
        <v>1</v>
      </c>
      <c r="B1009" s="171">
        <f>SUBTOTAL(103,$A$552:A1009)</f>
        <v>413</v>
      </c>
      <c r="C1009" s="172" t="s">
        <v>1235</v>
      </c>
      <c r="D1009" s="173">
        <v>1974</v>
      </c>
      <c r="E1009" s="173"/>
      <c r="F1009" s="174" t="s">
        <v>311</v>
      </c>
      <c r="G1009" s="173">
        <v>5</v>
      </c>
      <c r="H1009" s="173" t="s">
        <v>351</v>
      </c>
      <c r="I1009" s="177">
        <v>3399.85</v>
      </c>
      <c r="J1009" s="177">
        <v>3399.85</v>
      </c>
      <c r="K1009" s="177">
        <v>2776.82</v>
      </c>
      <c r="L1009" s="206">
        <v>166</v>
      </c>
      <c r="M1009" s="173" t="s">
        <v>265</v>
      </c>
      <c r="N1009" s="173" t="s">
        <v>269</v>
      </c>
      <c r="O1009" s="175" t="s">
        <v>1292</v>
      </c>
      <c r="P1009" s="170">
        <v>4087052.6</v>
      </c>
      <c r="Q1009" s="170">
        <v>0</v>
      </c>
      <c r="R1009" s="170">
        <v>0</v>
      </c>
      <c r="S1009" s="170">
        <f t="shared" si="169"/>
        <v>4087052.6</v>
      </c>
      <c r="T1009" s="170">
        <f t="shared" si="167"/>
        <v>1202.1273291468742</v>
      </c>
      <c r="U1009" s="170">
        <v>6624.3639085547884</v>
      </c>
      <c r="V1009" s="202">
        <f>U1009-T1009</f>
        <v>5422.2365794079142</v>
      </c>
      <c r="W1009" s="202">
        <f t="shared" si="170"/>
        <v>983.95621630366054</v>
      </c>
      <c r="X1009" s="202">
        <v>0</v>
      </c>
      <c r="Y1009" s="203">
        <v>0</v>
      </c>
      <c r="Z1009" s="203">
        <v>0</v>
      </c>
      <c r="AA1009" s="203">
        <v>0</v>
      </c>
      <c r="AB1009" s="203">
        <v>0</v>
      </c>
      <c r="AC1009" s="203">
        <v>0</v>
      </c>
      <c r="AD1009" s="203">
        <v>0</v>
      </c>
      <c r="AE1009" s="203">
        <v>536.20000000000005</v>
      </c>
      <c r="AF1009" s="202">
        <f t="shared" si="171"/>
        <v>983.95621630366054</v>
      </c>
      <c r="AG1009" s="203">
        <v>0</v>
      </c>
      <c r="AH1009" s="202">
        <v>0</v>
      </c>
      <c r="AI1009" s="203">
        <v>0</v>
      </c>
      <c r="AJ1009" s="202">
        <v>0</v>
      </c>
      <c r="AK1009" s="203">
        <v>0</v>
      </c>
      <c r="AL1009" s="203">
        <v>0</v>
      </c>
      <c r="AM1009" s="203">
        <v>0</v>
      </c>
      <c r="AN1009" s="203"/>
      <c r="AO1009" s="203">
        <v>0</v>
      </c>
    </row>
    <row r="1010" spans="1:41" s="176" customFormat="1" ht="36" customHeight="1" x14ac:dyDescent="0.25">
      <c r="A1010" s="176">
        <v>1</v>
      </c>
      <c r="B1010" s="171">
        <f>SUBTOTAL(103,$A$552:A1010)</f>
        <v>414</v>
      </c>
      <c r="C1010" s="172" t="s">
        <v>49</v>
      </c>
      <c r="D1010" s="173">
        <v>1962</v>
      </c>
      <c r="E1010" s="173"/>
      <c r="F1010" s="174" t="s">
        <v>267</v>
      </c>
      <c r="G1010" s="173">
        <v>4</v>
      </c>
      <c r="H1010" s="173" t="s">
        <v>312</v>
      </c>
      <c r="I1010" s="170">
        <v>1905.34</v>
      </c>
      <c r="J1010" s="170">
        <v>1905.34</v>
      </c>
      <c r="K1010" s="170">
        <v>1830.34</v>
      </c>
      <c r="L1010" s="206">
        <v>101</v>
      </c>
      <c r="M1010" s="173" t="s">
        <v>265</v>
      </c>
      <c r="N1010" s="173" t="s">
        <v>266</v>
      </c>
      <c r="O1010" s="175" t="s">
        <v>268</v>
      </c>
      <c r="P1010" s="170">
        <v>4298452.99</v>
      </c>
      <c r="Q1010" s="170">
        <v>0</v>
      </c>
      <c r="R1010" s="170">
        <v>0</v>
      </c>
      <c r="S1010" s="170">
        <f t="shared" si="169"/>
        <v>4298452.99</v>
      </c>
      <c r="T1010" s="170">
        <f t="shared" si="167"/>
        <v>2256.0031228022299</v>
      </c>
      <c r="U1010" s="170">
        <v>3087.057538234646</v>
      </c>
      <c r="V1010" s="202">
        <v>194.03382650865387</v>
      </c>
      <c r="W1010" s="202">
        <v>2936.8398180902095</v>
      </c>
      <c r="X1010" s="202">
        <v>0</v>
      </c>
      <c r="Y1010" s="203">
        <v>0</v>
      </c>
      <c r="Z1010" s="203">
        <v>0</v>
      </c>
      <c r="AA1010" s="203">
        <v>0</v>
      </c>
      <c r="AB1010" s="203">
        <v>0</v>
      </c>
      <c r="AC1010" s="203">
        <v>0</v>
      </c>
      <c r="AD1010" s="203">
        <v>0</v>
      </c>
      <c r="AE1010" s="203">
        <v>896.9</v>
      </c>
      <c r="AF1010" s="202">
        <v>2936.8398180902095</v>
      </c>
      <c r="AG1010" s="203">
        <v>0</v>
      </c>
      <c r="AH1010" s="202">
        <v>0</v>
      </c>
      <c r="AI1010" s="203">
        <v>0</v>
      </c>
      <c r="AJ1010" s="202">
        <v>0</v>
      </c>
      <c r="AK1010" s="203">
        <v>0</v>
      </c>
      <c r="AL1010" s="203">
        <v>0</v>
      </c>
      <c r="AM1010" s="203">
        <v>0</v>
      </c>
      <c r="AN1010" s="203"/>
      <c r="AO1010" s="203">
        <v>0</v>
      </c>
    </row>
    <row r="1011" spans="1:41" s="176" customFormat="1" ht="36" customHeight="1" x14ac:dyDescent="0.25">
      <c r="A1011" s="176">
        <v>1</v>
      </c>
      <c r="B1011" s="171">
        <f>SUBTOTAL(103,$A$552:A1011)</f>
        <v>415</v>
      </c>
      <c r="C1011" s="172" t="s">
        <v>2288</v>
      </c>
      <c r="D1011" s="173">
        <v>1967</v>
      </c>
      <c r="E1011" s="173"/>
      <c r="F1011" s="174" t="s">
        <v>267</v>
      </c>
      <c r="G1011" s="173">
        <v>2</v>
      </c>
      <c r="H1011" s="173" t="s">
        <v>303</v>
      </c>
      <c r="I1011" s="170">
        <v>698.8</v>
      </c>
      <c r="J1011" s="170">
        <v>696.8</v>
      </c>
      <c r="K1011" s="170">
        <v>696.8</v>
      </c>
      <c r="L1011" s="206">
        <v>28</v>
      </c>
      <c r="M1011" s="173" t="s">
        <v>265</v>
      </c>
      <c r="N1011" s="173" t="s">
        <v>266</v>
      </c>
      <c r="O1011" s="175" t="s">
        <v>268</v>
      </c>
      <c r="P1011" s="170">
        <v>3406135.9099999997</v>
      </c>
      <c r="Q1011" s="170">
        <v>0</v>
      </c>
      <c r="R1011" s="170">
        <v>0</v>
      </c>
      <c r="S1011" s="170">
        <f t="shared" si="169"/>
        <v>3406135.9099999997</v>
      </c>
      <c r="T1011" s="170">
        <f t="shared" si="167"/>
        <v>4874.2643245563822</v>
      </c>
      <c r="U1011" s="170">
        <v>6143.6255151688611</v>
      </c>
      <c r="V1011" s="202">
        <v>194.03382650865387</v>
      </c>
      <c r="W1011" s="202">
        <v>2936.8398180902095</v>
      </c>
      <c r="X1011" s="202">
        <v>0</v>
      </c>
      <c r="Y1011" s="203">
        <v>0</v>
      </c>
      <c r="Z1011" s="203">
        <v>0</v>
      </c>
      <c r="AA1011" s="203">
        <v>0</v>
      </c>
      <c r="AB1011" s="203">
        <v>0</v>
      </c>
      <c r="AC1011" s="203">
        <v>0</v>
      </c>
      <c r="AD1011" s="203">
        <v>0</v>
      </c>
      <c r="AE1011" s="203">
        <v>896.9</v>
      </c>
      <c r="AF1011" s="202">
        <v>2936.8398180902095</v>
      </c>
      <c r="AG1011" s="203">
        <v>0</v>
      </c>
      <c r="AH1011" s="202">
        <v>0</v>
      </c>
      <c r="AI1011" s="203">
        <v>0</v>
      </c>
      <c r="AJ1011" s="202">
        <v>0</v>
      </c>
      <c r="AK1011" s="203">
        <v>0</v>
      </c>
      <c r="AL1011" s="203">
        <v>0</v>
      </c>
      <c r="AM1011" s="203">
        <v>0</v>
      </c>
      <c r="AN1011" s="203"/>
      <c r="AO1011" s="203">
        <v>0</v>
      </c>
    </row>
    <row r="1012" spans="1:41" s="176" customFormat="1" ht="36" customHeight="1" x14ac:dyDescent="0.25">
      <c r="B1012" s="172" t="s">
        <v>839</v>
      </c>
      <c r="C1012" s="359"/>
      <c r="D1012" s="173" t="s">
        <v>882</v>
      </c>
      <c r="E1012" s="173" t="s">
        <v>882</v>
      </c>
      <c r="F1012" s="173" t="s">
        <v>882</v>
      </c>
      <c r="G1012" s="173" t="s">
        <v>882</v>
      </c>
      <c r="H1012" s="173" t="s">
        <v>882</v>
      </c>
      <c r="I1012" s="177">
        <f>SUM(I1013:I1015)</f>
        <v>4675.3</v>
      </c>
      <c r="J1012" s="177">
        <f>SUM(J1013:J1015)</f>
        <v>3635.9999999999995</v>
      </c>
      <c r="K1012" s="177">
        <f>SUM(K1013:K1015)</f>
        <v>3472.5999999999995</v>
      </c>
      <c r="L1012" s="357">
        <f>SUM(L1013:L1015)</f>
        <v>143</v>
      </c>
      <c r="M1012" s="173" t="s">
        <v>882</v>
      </c>
      <c r="N1012" s="173" t="s">
        <v>882</v>
      </c>
      <c r="O1012" s="175" t="s">
        <v>882</v>
      </c>
      <c r="P1012" s="170">
        <v>8494956.25</v>
      </c>
      <c r="Q1012" s="170">
        <f>SUM(Q1013:Q1015)</f>
        <v>0</v>
      </c>
      <c r="R1012" s="170">
        <f>SUM(R1013:R1015)</f>
        <v>0</v>
      </c>
      <c r="S1012" s="170">
        <f>SUM(S1013:S1015)</f>
        <v>8494956.25</v>
      </c>
      <c r="T1012" s="170">
        <f t="shared" si="167"/>
        <v>1816.9863431223664</v>
      </c>
      <c r="U1012" s="170">
        <f>MAX(U1013:U1015)</f>
        <v>6005.7712355212352</v>
      </c>
      <c r="V1012" s="202">
        <f t="shared" si="168"/>
        <v>4188.7848923988686</v>
      </c>
      <c r="W1012" s="202"/>
      <c r="X1012" s="202"/>
      <c r="Y1012" s="203"/>
      <c r="Z1012" s="203"/>
      <c r="AA1012" s="203"/>
      <c r="AB1012" s="203"/>
      <c r="AC1012" s="203"/>
      <c r="AD1012" s="203"/>
      <c r="AE1012" s="203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</row>
    <row r="1013" spans="1:41" s="176" customFormat="1" ht="36" customHeight="1" x14ac:dyDescent="0.25">
      <c r="A1013" s="176">
        <v>1</v>
      </c>
      <c r="B1013" s="171">
        <f>SUBTOTAL(103,$A$552:A1013)</f>
        <v>416</v>
      </c>
      <c r="C1013" s="172" t="s">
        <v>229</v>
      </c>
      <c r="D1013" s="173">
        <v>1988</v>
      </c>
      <c r="E1013" s="173"/>
      <c r="F1013" s="174" t="s">
        <v>267</v>
      </c>
      <c r="G1013" s="173">
        <v>5</v>
      </c>
      <c r="H1013" s="173" t="s">
        <v>308</v>
      </c>
      <c r="I1013" s="177">
        <v>3662.2</v>
      </c>
      <c r="J1013" s="177">
        <v>2766.2</v>
      </c>
      <c r="K1013" s="177">
        <v>2766.2</v>
      </c>
      <c r="L1013" s="206">
        <v>110</v>
      </c>
      <c r="M1013" s="173" t="s">
        <v>265</v>
      </c>
      <c r="N1013" s="173" t="s">
        <v>269</v>
      </c>
      <c r="O1013" s="175" t="s">
        <v>694</v>
      </c>
      <c r="P1013" s="170">
        <v>4629612.0299999993</v>
      </c>
      <c r="Q1013" s="170">
        <v>0</v>
      </c>
      <c r="R1013" s="170">
        <v>0</v>
      </c>
      <c r="S1013" s="170">
        <f>P1013-Q1013-R1013</f>
        <v>4629612.0299999993</v>
      </c>
      <c r="T1013" s="170">
        <f t="shared" si="167"/>
        <v>1264.1614412102015</v>
      </c>
      <c r="U1013" s="170">
        <v>1507.9850199333735</v>
      </c>
      <c r="V1013" s="202">
        <f t="shared" si="168"/>
        <v>243.82357872317198</v>
      </c>
      <c r="W1013" s="202">
        <f>X1013+Y1013+Z1013+AA1013+AB1013+AD1013+AF1013+AH1013+AJ1013+AL1013+AN1013+AO1013</f>
        <v>1461.6855387472012</v>
      </c>
      <c r="X1013" s="202">
        <v>0</v>
      </c>
      <c r="Y1013" s="203">
        <v>0</v>
      </c>
      <c r="Z1013" s="203">
        <v>0</v>
      </c>
      <c r="AA1013" s="203">
        <v>0</v>
      </c>
      <c r="AB1013" s="203">
        <v>0</v>
      </c>
      <c r="AC1013" s="203">
        <v>0</v>
      </c>
      <c r="AD1013" s="203">
        <v>0</v>
      </c>
      <c r="AE1013" s="203">
        <v>858</v>
      </c>
      <c r="AF1013" s="202">
        <f>6238.91*AE1013/I1013</f>
        <v>1461.6855387472012</v>
      </c>
      <c r="AG1013" s="203">
        <v>0</v>
      </c>
      <c r="AH1013" s="202">
        <v>0</v>
      </c>
      <c r="AI1013" s="203">
        <v>0</v>
      </c>
      <c r="AJ1013" s="202">
        <v>0</v>
      </c>
      <c r="AK1013" s="203">
        <v>0</v>
      </c>
      <c r="AL1013" s="203">
        <v>0</v>
      </c>
      <c r="AM1013" s="203">
        <v>0</v>
      </c>
      <c r="AN1013" s="203"/>
      <c r="AO1013" s="203">
        <v>0</v>
      </c>
    </row>
    <row r="1014" spans="1:41" s="176" customFormat="1" ht="36" customHeight="1" x14ac:dyDescent="0.25">
      <c r="A1014" s="176">
        <v>1</v>
      </c>
      <c r="B1014" s="171">
        <f>SUBTOTAL(103,$A$552:A1014)</f>
        <v>417</v>
      </c>
      <c r="C1014" s="172" t="s">
        <v>228</v>
      </c>
      <c r="D1014" s="173">
        <v>1966</v>
      </c>
      <c r="E1014" s="173"/>
      <c r="F1014" s="174" t="s">
        <v>267</v>
      </c>
      <c r="G1014" s="173">
        <v>2</v>
      </c>
      <c r="H1014" s="173" t="s">
        <v>304</v>
      </c>
      <c r="I1014" s="177">
        <v>391.5</v>
      </c>
      <c r="J1014" s="177">
        <v>367.2</v>
      </c>
      <c r="K1014" s="177">
        <v>367.2</v>
      </c>
      <c r="L1014" s="206">
        <v>8</v>
      </c>
      <c r="M1014" s="173" t="s">
        <v>265</v>
      </c>
      <c r="N1014" s="173" t="s">
        <v>269</v>
      </c>
      <c r="O1014" s="175" t="s">
        <v>694</v>
      </c>
      <c r="P1014" s="170">
        <v>1801520.9999999998</v>
      </c>
      <c r="Q1014" s="170">
        <v>0</v>
      </c>
      <c r="R1014" s="170">
        <v>0</v>
      </c>
      <c r="S1014" s="170">
        <f>P1014-Q1014-R1014</f>
        <v>1801520.9999999998</v>
      </c>
      <c r="T1014" s="170">
        <f t="shared" si="167"/>
        <v>4601.5862068965507</v>
      </c>
      <c r="U1014" s="170">
        <v>5672.0379310344833</v>
      </c>
      <c r="V1014" s="202">
        <f t="shared" si="168"/>
        <v>1070.4517241379326</v>
      </c>
      <c r="W1014" s="202">
        <f>X1014+Y1014+Z1014+AA1014+AB1014+AD1014+AF1014+AH1014+AJ1014+AL1014+AN1014+AO1014</f>
        <v>5497.8900383141754</v>
      </c>
      <c r="X1014" s="202">
        <v>0</v>
      </c>
      <c r="Y1014" s="203">
        <v>0</v>
      </c>
      <c r="Z1014" s="203">
        <v>0</v>
      </c>
      <c r="AA1014" s="203">
        <v>0</v>
      </c>
      <c r="AB1014" s="203">
        <v>0</v>
      </c>
      <c r="AC1014" s="203">
        <v>0</v>
      </c>
      <c r="AD1014" s="203">
        <v>0</v>
      </c>
      <c r="AE1014" s="203">
        <v>345</v>
      </c>
      <c r="AF1014" s="202">
        <f>6238.91*AE1014/I1014</f>
        <v>5497.8900383141754</v>
      </c>
      <c r="AG1014" s="203">
        <v>0</v>
      </c>
      <c r="AH1014" s="202">
        <v>0</v>
      </c>
      <c r="AI1014" s="203">
        <v>0</v>
      </c>
      <c r="AJ1014" s="202">
        <v>0</v>
      </c>
      <c r="AK1014" s="203">
        <v>0</v>
      </c>
      <c r="AL1014" s="203">
        <v>0</v>
      </c>
      <c r="AM1014" s="203">
        <v>0</v>
      </c>
      <c r="AN1014" s="203"/>
      <c r="AO1014" s="203">
        <v>0</v>
      </c>
    </row>
    <row r="1015" spans="1:41" s="176" customFormat="1" ht="36" customHeight="1" x14ac:dyDescent="0.25">
      <c r="A1015" s="176">
        <v>1</v>
      </c>
      <c r="B1015" s="171">
        <f>SUBTOTAL(103,$A$552:A1015)</f>
        <v>418</v>
      </c>
      <c r="C1015" s="172" t="s">
        <v>1891</v>
      </c>
      <c r="D1015" s="173">
        <v>1987</v>
      </c>
      <c r="E1015" s="173"/>
      <c r="F1015" s="174" t="s">
        <v>267</v>
      </c>
      <c r="G1015" s="173">
        <v>2</v>
      </c>
      <c r="H1015" s="173" t="s">
        <v>303</v>
      </c>
      <c r="I1015" s="177">
        <v>621.6</v>
      </c>
      <c r="J1015" s="177">
        <v>502.6</v>
      </c>
      <c r="K1015" s="177">
        <v>339.2</v>
      </c>
      <c r="L1015" s="206">
        <v>25</v>
      </c>
      <c r="M1015" s="173" t="s">
        <v>265</v>
      </c>
      <c r="N1015" s="173" t="s">
        <v>266</v>
      </c>
      <c r="O1015" s="175" t="s">
        <v>268</v>
      </c>
      <c r="P1015" s="170">
        <v>2063823.2199999997</v>
      </c>
      <c r="Q1015" s="170">
        <v>0</v>
      </c>
      <c r="R1015" s="170">
        <v>0</v>
      </c>
      <c r="S1015" s="170">
        <f>P1015-Q1015-R1015</f>
        <v>2063823.2199999997</v>
      </c>
      <c r="T1015" s="170">
        <f t="shared" si="167"/>
        <v>3320.178925353925</v>
      </c>
      <c r="U1015" s="170">
        <v>6005.7712355212352</v>
      </c>
      <c r="V1015" s="202">
        <f t="shared" si="168"/>
        <v>2685.5923101673102</v>
      </c>
      <c r="W1015" s="202">
        <f>X1015+Y1015+Z1015+AA1015+AB1015+AD1015+AF1015+AH1015+AJ1015+AL1015+AN1015+AO1015</f>
        <v>5821.3767696267687</v>
      </c>
      <c r="X1015" s="202">
        <v>0</v>
      </c>
      <c r="Y1015" s="203">
        <v>0</v>
      </c>
      <c r="Z1015" s="203">
        <v>0</v>
      </c>
      <c r="AA1015" s="203">
        <v>0</v>
      </c>
      <c r="AB1015" s="203">
        <v>0</v>
      </c>
      <c r="AC1015" s="203">
        <v>0</v>
      </c>
      <c r="AD1015" s="203">
        <v>0</v>
      </c>
      <c r="AE1015" s="203">
        <v>580</v>
      </c>
      <c r="AF1015" s="202">
        <f>6238.91*AE1015/I1015</f>
        <v>5821.3767696267687</v>
      </c>
      <c r="AG1015" s="203">
        <v>0</v>
      </c>
      <c r="AH1015" s="202">
        <v>0</v>
      </c>
      <c r="AI1015" s="203">
        <v>0</v>
      </c>
      <c r="AJ1015" s="202">
        <v>0</v>
      </c>
      <c r="AK1015" s="203">
        <v>0</v>
      </c>
      <c r="AL1015" s="203">
        <v>0</v>
      </c>
      <c r="AM1015" s="203">
        <v>0</v>
      </c>
      <c r="AN1015" s="203"/>
      <c r="AO1015" s="203">
        <v>0</v>
      </c>
    </row>
    <row r="1016" spans="1:41" s="176" customFormat="1" ht="36" customHeight="1" x14ac:dyDescent="0.25">
      <c r="B1016" s="172" t="s">
        <v>1279</v>
      </c>
      <c r="C1016" s="359"/>
      <c r="D1016" s="173" t="s">
        <v>882</v>
      </c>
      <c r="E1016" s="173" t="s">
        <v>882</v>
      </c>
      <c r="F1016" s="173" t="s">
        <v>882</v>
      </c>
      <c r="G1016" s="173" t="s">
        <v>882</v>
      </c>
      <c r="H1016" s="173" t="s">
        <v>882</v>
      </c>
      <c r="I1016" s="177">
        <f>I1017</f>
        <v>953.9</v>
      </c>
      <c r="J1016" s="177">
        <f>J1017</f>
        <v>865.7</v>
      </c>
      <c r="K1016" s="177">
        <f>K1017</f>
        <v>857.7</v>
      </c>
      <c r="L1016" s="357">
        <f>L1017</f>
        <v>28</v>
      </c>
      <c r="M1016" s="173" t="s">
        <v>882</v>
      </c>
      <c r="N1016" s="173" t="s">
        <v>882</v>
      </c>
      <c r="O1016" s="175" t="s">
        <v>882</v>
      </c>
      <c r="P1016" s="170">
        <v>3567998.53</v>
      </c>
      <c r="Q1016" s="170">
        <f>Q1017</f>
        <v>0</v>
      </c>
      <c r="R1016" s="170">
        <f>R1017</f>
        <v>0</v>
      </c>
      <c r="S1016" s="170">
        <f>S1017</f>
        <v>3567998.53</v>
      </c>
      <c r="T1016" s="170">
        <f t="shared" si="167"/>
        <v>3740.4324667155884</v>
      </c>
      <c r="U1016" s="170">
        <f>U1017</f>
        <v>5195.6474473215221</v>
      </c>
      <c r="V1016" s="202">
        <f>U1016-T1016</f>
        <v>1455.2149806059338</v>
      </c>
      <c r="W1016" s="202"/>
      <c r="X1016" s="202"/>
      <c r="Y1016" s="203"/>
      <c r="Z1016" s="203"/>
      <c r="AA1016" s="203"/>
      <c r="AB1016" s="203"/>
      <c r="AC1016" s="203"/>
      <c r="AD1016" s="203"/>
      <c r="AE1016" s="203"/>
      <c r="AF1016" s="203"/>
      <c r="AG1016" s="203"/>
      <c r="AH1016" s="203"/>
      <c r="AI1016" s="203"/>
      <c r="AJ1016" s="203"/>
      <c r="AK1016" s="203"/>
      <c r="AL1016" s="203"/>
      <c r="AM1016" s="203"/>
      <c r="AN1016" s="203"/>
      <c r="AO1016" s="203"/>
    </row>
    <row r="1017" spans="1:41" s="176" customFormat="1" ht="36" customHeight="1" x14ac:dyDescent="0.25">
      <c r="A1017" s="176">
        <v>1</v>
      </c>
      <c r="B1017" s="171">
        <f>SUBTOTAL(103,$A$552:A1017)</f>
        <v>419</v>
      </c>
      <c r="C1017" s="172" t="s">
        <v>1280</v>
      </c>
      <c r="D1017" s="173">
        <v>1984</v>
      </c>
      <c r="E1017" s="173"/>
      <c r="F1017" s="174" t="s">
        <v>267</v>
      </c>
      <c r="G1017" s="173">
        <v>2</v>
      </c>
      <c r="H1017" s="173" t="s">
        <v>312</v>
      </c>
      <c r="I1017" s="177">
        <v>953.9</v>
      </c>
      <c r="J1017" s="177">
        <v>865.7</v>
      </c>
      <c r="K1017" s="177">
        <v>857.7</v>
      </c>
      <c r="L1017" s="206">
        <v>28</v>
      </c>
      <c r="M1017" s="173" t="s">
        <v>265</v>
      </c>
      <c r="N1017" s="173" t="s">
        <v>266</v>
      </c>
      <c r="O1017" s="175" t="s">
        <v>268</v>
      </c>
      <c r="P1017" s="170">
        <v>3567998.53</v>
      </c>
      <c r="Q1017" s="170">
        <v>0</v>
      </c>
      <c r="R1017" s="170">
        <v>0</v>
      </c>
      <c r="S1017" s="170">
        <f>P1017-Q1017-R1017</f>
        <v>3567998.53</v>
      </c>
      <c r="T1017" s="170">
        <f t="shared" si="167"/>
        <v>3740.4324667155884</v>
      </c>
      <c r="U1017" s="170">
        <v>5195.6474473215221</v>
      </c>
      <c r="V1017" s="202">
        <f>U1017-T1017</f>
        <v>1455.2149806059338</v>
      </c>
      <c r="W1017" s="202">
        <f>X1017+Y1017+Z1017+AA1017+AB1017+AD1017+AF1017+AH1017+AJ1017+AL1017+AN1017+AO1017</f>
        <v>2757.4370573435372</v>
      </c>
      <c r="X1017" s="202">
        <v>0</v>
      </c>
      <c r="Y1017" s="203">
        <v>0</v>
      </c>
      <c r="Z1017" s="203">
        <v>0</v>
      </c>
      <c r="AA1017" s="203">
        <v>0</v>
      </c>
      <c r="AB1017" s="203">
        <v>795.31</v>
      </c>
      <c r="AC1017" s="203">
        <v>0</v>
      </c>
      <c r="AD1017" s="203">
        <v>0</v>
      </c>
      <c r="AE1017" s="203">
        <v>300</v>
      </c>
      <c r="AF1017" s="202">
        <f>6238.91*AE1017/I1017</f>
        <v>1962.1270573435372</v>
      </c>
      <c r="AG1017" s="203">
        <v>0</v>
      </c>
      <c r="AH1017" s="202">
        <v>0</v>
      </c>
      <c r="AI1017" s="203">
        <v>0</v>
      </c>
      <c r="AJ1017" s="202">
        <v>0</v>
      </c>
      <c r="AK1017" s="203">
        <v>0</v>
      </c>
      <c r="AL1017" s="203">
        <v>0</v>
      </c>
      <c r="AM1017" s="203">
        <v>0</v>
      </c>
      <c r="AN1017" s="203"/>
      <c r="AO1017" s="203">
        <v>0</v>
      </c>
    </row>
    <row r="1018" spans="1:41" s="176" customFormat="1" ht="36" customHeight="1" x14ac:dyDescent="0.25">
      <c r="B1018" s="172" t="s">
        <v>841</v>
      </c>
      <c r="C1018" s="359"/>
      <c r="D1018" s="173" t="s">
        <v>882</v>
      </c>
      <c r="E1018" s="173" t="s">
        <v>882</v>
      </c>
      <c r="F1018" s="173" t="s">
        <v>882</v>
      </c>
      <c r="G1018" s="173" t="s">
        <v>882</v>
      </c>
      <c r="H1018" s="173" t="s">
        <v>882</v>
      </c>
      <c r="I1018" s="177">
        <f>SUM(I1019:I1020)</f>
        <v>1991.7200000000003</v>
      </c>
      <c r="J1018" s="177">
        <f>SUM(J1019:J1020)</f>
        <v>1312.72</v>
      </c>
      <c r="K1018" s="177">
        <f>SUM(K1019:K1020)</f>
        <v>433.34000000000003</v>
      </c>
      <c r="L1018" s="357">
        <f>SUM(L1019:L1020)</f>
        <v>99</v>
      </c>
      <c r="M1018" s="173" t="s">
        <v>882</v>
      </c>
      <c r="N1018" s="173" t="s">
        <v>882</v>
      </c>
      <c r="O1018" s="175" t="s">
        <v>882</v>
      </c>
      <c r="P1018" s="170">
        <v>7040608.0200000005</v>
      </c>
      <c r="Q1018" s="170">
        <f>SUM(Q1019:Q1020)</f>
        <v>0</v>
      </c>
      <c r="R1018" s="170">
        <f>SUM(R1019:R1020)</f>
        <v>0</v>
      </c>
      <c r="S1018" s="170">
        <f>SUM(S1019:S1020)</f>
        <v>7040608.0200000005</v>
      </c>
      <c r="T1018" s="170">
        <f t="shared" si="167"/>
        <v>3534.938656035989</v>
      </c>
      <c r="U1018" s="170">
        <f>MAX(U1019:U1020)</f>
        <v>4361.0941799527091</v>
      </c>
      <c r="V1018" s="202">
        <f t="shared" si="168"/>
        <v>826.15552391672009</v>
      </c>
      <c r="W1018" s="202"/>
      <c r="X1018" s="202"/>
      <c r="Y1018" s="203"/>
      <c r="Z1018" s="203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</row>
    <row r="1019" spans="1:41" s="176" customFormat="1" ht="36" customHeight="1" x14ac:dyDescent="0.25">
      <c r="A1019" s="176">
        <v>1</v>
      </c>
      <c r="B1019" s="171">
        <f>SUBTOTAL(103,$A$552:A1019)</f>
        <v>420</v>
      </c>
      <c r="C1019" s="172" t="s">
        <v>149</v>
      </c>
      <c r="D1019" s="173">
        <v>1968</v>
      </c>
      <c r="E1019" s="173"/>
      <c r="F1019" s="174" t="s">
        <v>267</v>
      </c>
      <c r="G1019" s="173">
        <v>2</v>
      </c>
      <c r="H1019" s="173" t="s">
        <v>304</v>
      </c>
      <c r="I1019" s="177">
        <v>545.34</v>
      </c>
      <c r="J1019" s="177">
        <v>316.54000000000002</v>
      </c>
      <c r="K1019" s="177">
        <v>204.04</v>
      </c>
      <c r="L1019" s="206">
        <v>21</v>
      </c>
      <c r="M1019" s="173" t="s">
        <v>265</v>
      </c>
      <c r="N1019" s="173" t="s">
        <v>269</v>
      </c>
      <c r="O1019" s="175" t="s">
        <v>984</v>
      </c>
      <c r="P1019" s="170">
        <v>1822040.62</v>
      </c>
      <c r="Q1019" s="170">
        <v>0</v>
      </c>
      <c r="R1019" s="170">
        <v>0</v>
      </c>
      <c r="S1019" s="170">
        <f>P1019-Q1019-R1019</f>
        <v>1822040.62</v>
      </c>
      <c r="T1019" s="170">
        <f t="shared" si="167"/>
        <v>3341.1094363149596</v>
      </c>
      <c r="U1019" s="170">
        <v>4351.2950753658261</v>
      </c>
      <c r="V1019" s="202">
        <f>U1019-T1019</f>
        <v>1010.1856390508665</v>
      </c>
      <c r="W1019" s="202">
        <f>X1019+Y1019+Z1019+AA1019+AB1019+AD1019+AF1019+AH1019+AJ1019+AL1019+AN1019+AO1019</f>
        <v>4227.4312454615465</v>
      </c>
      <c r="X1019" s="202">
        <v>0</v>
      </c>
      <c r="Y1019" s="203">
        <v>0</v>
      </c>
      <c r="Z1019" s="203">
        <v>0</v>
      </c>
      <c r="AA1019" s="203">
        <v>0</v>
      </c>
      <c r="AB1019" s="203">
        <v>795.31</v>
      </c>
      <c r="AC1019" s="203">
        <v>0</v>
      </c>
      <c r="AD1019" s="203">
        <v>0</v>
      </c>
      <c r="AE1019" s="203">
        <v>300</v>
      </c>
      <c r="AF1019" s="202">
        <f>6238.91*AE1019/I1019</f>
        <v>3432.1212454615466</v>
      </c>
      <c r="AG1019" s="203">
        <v>0</v>
      </c>
      <c r="AH1019" s="202">
        <v>0</v>
      </c>
      <c r="AI1019" s="203">
        <v>0</v>
      </c>
      <c r="AJ1019" s="202">
        <v>0</v>
      </c>
      <c r="AK1019" s="203">
        <v>0</v>
      </c>
      <c r="AL1019" s="203">
        <v>0</v>
      </c>
      <c r="AM1019" s="203">
        <v>0</v>
      </c>
      <c r="AN1019" s="203"/>
      <c r="AO1019" s="203">
        <v>0</v>
      </c>
    </row>
    <row r="1020" spans="1:41" s="176" customFormat="1" ht="36" customHeight="1" x14ac:dyDescent="0.25">
      <c r="A1020" s="176">
        <v>1</v>
      </c>
      <c r="B1020" s="171">
        <f>SUBTOTAL(103,$A$552:A1020)</f>
        <v>421</v>
      </c>
      <c r="C1020" s="172" t="s">
        <v>139</v>
      </c>
      <c r="D1020" s="173">
        <v>1969</v>
      </c>
      <c r="E1020" s="173"/>
      <c r="F1020" s="174" t="s">
        <v>267</v>
      </c>
      <c r="G1020" s="173">
        <v>2</v>
      </c>
      <c r="H1020" s="173" t="s">
        <v>304</v>
      </c>
      <c r="I1020" s="177">
        <v>1446.38</v>
      </c>
      <c r="J1020" s="177">
        <v>996.18</v>
      </c>
      <c r="K1020" s="177">
        <v>229.3</v>
      </c>
      <c r="L1020" s="206">
        <v>78</v>
      </c>
      <c r="M1020" s="173" t="s">
        <v>265</v>
      </c>
      <c r="N1020" s="173" t="s">
        <v>269</v>
      </c>
      <c r="O1020" s="175" t="s">
        <v>984</v>
      </c>
      <c r="P1020" s="170">
        <v>5218567.4000000004</v>
      </c>
      <c r="Q1020" s="170">
        <v>0</v>
      </c>
      <c r="R1020" s="170">
        <v>0</v>
      </c>
      <c r="S1020" s="170">
        <f>P1020-Q1020-R1020</f>
        <v>5218567.4000000004</v>
      </c>
      <c r="T1020" s="170">
        <f t="shared" si="167"/>
        <v>3608.0196075720073</v>
      </c>
      <c r="U1020" s="170">
        <v>4361.0941799527091</v>
      </c>
      <c r="V1020" s="202">
        <f>U1020-T1020</f>
        <v>753.07457238070174</v>
      </c>
      <c r="W1020" s="202">
        <f>X1020+Y1020+Z1020+AA1020+AB1020+AD1020+AF1020+AH1020+AJ1020+AL1020+AN1020+AO1020</f>
        <v>2089.3496023175098</v>
      </c>
      <c r="X1020" s="202">
        <v>0</v>
      </c>
      <c r="Y1020" s="203">
        <v>0</v>
      </c>
      <c r="Z1020" s="203">
        <v>0</v>
      </c>
      <c r="AA1020" s="203">
        <v>0</v>
      </c>
      <c r="AB1020" s="203">
        <v>795.31</v>
      </c>
      <c r="AC1020" s="203">
        <v>0</v>
      </c>
      <c r="AD1020" s="203">
        <v>0</v>
      </c>
      <c r="AE1020" s="203">
        <v>300</v>
      </c>
      <c r="AF1020" s="202">
        <f>6238.91*AE1020/I1020</f>
        <v>1294.0396023175099</v>
      </c>
      <c r="AG1020" s="203">
        <v>0</v>
      </c>
      <c r="AH1020" s="202">
        <v>0</v>
      </c>
      <c r="AI1020" s="203">
        <v>0</v>
      </c>
      <c r="AJ1020" s="202">
        <v>0</v>
      </c>
      <c r="AK1020" s="203">
        <v>0</v>
      </c>
      <c r="AL1020" s="203">
        <v>0</v>
      </c>
      <c r="AM1020" s="203">
        <v>0</v>
      </c>
      <c r="AN1020" s="203"/>
      <c r="AO1020" s="203">
        <v>0</v>
      </c>
    </row>
    <row r="1021" spans="1:41" s="176" customFormat="1" ht="36" customHeight="1" x14ac:dyDescent="0.25">
      <c r="B1021" s="172" t="s">
        <v>869</v>
      </c>
      <c r="C1021" s="172"/>
      <c r="D1021" s="173" t="s">
        <v>882</v>
      </c>
      <c r="E1021" s="173" t="s">
        <v>882</v>
      </c>
      <c r="F1021" s="173" t="s">
        <v>882</v>
      </c>
      <c r="G1021" s="173" t="s">
        <v>882</v>
      </c>
      <c r="H1021" s="173" t="s">
        <v>882</v>
      </c>
      <c r="I1021" s="177">
        <f>I1022</f>
        <v>938.37</v>
      </c>
      <c r="J1021" s="177">
        <f>J1022</f>
        <v>938.37</v>
      </c>
      <c r="K1021" s="177">
        <f>K1022</f>
        <v>458.1</v>
      </c>
      <c r="L1021" s="357">
        <f>L1022</f>
        <v>47</v>
      </c>
      <c r="M1021" s="173" t="s">
        <v>882</v>
      </c>
      <c r="N1021" s="173" t="s">
        <v>882</v>
      </c>
      <c r="O1021" s="175" t="s">
        <v>882</v>
      </c>
      <c r="P1021" s="170">
        <v>3974620.0799999996</v>
      </c>
      <c r="Q1021" s="170">
        <f>Q1022</f>
        <v>0</v>
      </c>
      <c r="R1021" s="170">
        <f>R1022</f>
        <v>0</v>
      </c>
      <c r="S1021" s="170">
        <f>S1022</f>
        <v>3974620.0799999996</v>
      </c>
      <c r="T1021" s="170">
        <f t="shared" si="167"/>
        <v>4235.6640557562578</v>
      </c>
      <c r="U1021" s="170">
        <f>U1022</f>
        <v>4527.1159563924675</v>
      </c>
      <c r="V1021" s="202">
        <f t="shared" si="168"/>
        <v>291.45190063620976</v>
      </c>
      <c r="W1021" s="202"/>
      <c r="X1021" s="202"/>
      <c r="Y1021" s="203"/>
      <c r="Z1021" s="203"/>
      <c r="AA1021" s="203"/>
      <c r="AB1021" s="203"/>
      <c r="AC1021" s="203"/>
      <c r="AD1021" s="203"/>
      <c r="AE1021" s="203"/>
      <c r="AF1021" s="203"/>
      <c r="AG1021" s="203"/>
      <c r="AH1021" s="203"/>
      <c r="AI1021" s="203"/>
      <c r="AJ1021" s="203"/>
      <c r="AK1021" s="203"/>
      <c r="AL1021" s="203"/>
      <c r="AM1021" s="203"/>
      <c r="AN1021" s="203"/>
      <c r="AO1021" s="203"/>
    </row>
    <row r="1022" spans="1:41" s="176" customFormat="1" ht="36" customHeight="1" x14ac:dyDescent="0.25">
      <c r="A1022" s="176">
        <v>1</v>
      </c>
      <c r="B1022" s="171">
        <f>SUBTOTAL(103,$A$552:A1022)</f>
        <v>422</v>
      </c>
      <c r="C1022" s="172" t="s">
        <v>150</v>
      </c>
      <c r="D1022" s="173">
        <v>1979</v>
      </c>
      <c r="E1022" s="173"/>
      <c r="F1022" s="174" t="s">
        <v>267</v>
      </c>
      <c r="G1022" s="173">
        <v>2</v>
      </c>
      <c r="H1022" s="173" t="s">
        <v>312</v>
      </c>
      <c r="I1022" s="177">
        <v>938.37</v>
      </c>
      <c r="J1022" s="177">
        <v>938.37</v>
      </c>
      <c r="K1022" s="177">
        <v>458.1</v>
      </c>
      <c r="L1022" s="206">
        <v>47</v>
      </c>
      <c r="M1022" s="173" t="s">
        <v>265</v>
      </c>
      <c r="N1022" s="173" t="s">
        <v>269</v>
      </c>
      <c r="O1022" s="175" t="s">
        <v>288</v>
      </c>
      <c r="P1022" s="170">
        <v>3974620.0799999996</v>
      </c>
      <c r="Q1022" s="170">
        <v>0</v>
      </c>
      <c r="R1022" s="170">
        <v>0</v>
      </c>
      <c r="S1022" s="170">
        <f>P1022-Q1022-R1022</f>
        <v>3974620.0799999996</v>
      </c>
      <c r="T1022" s="170">
        <f t="shared" si="167"/>
        <v>4235.6640557562578</v>
      </c>
      <c r="U1022" s="170">
        <v>4527.1159563924675</v>
      </c>
      <c r="V1022" s="202">
        <f>U1022-T1022</f>
        <v>291.45190063620976</v>
      </c>
      <c r="W1022" s="202">
        <f>X1022+Y1022+Z1022+AA1022+AB1022+AD1022+AF1022+AH1022+AJ1022+AL1022+AN1022+AO1022</f>
        <v>4388.1462730261565</v>
      </c>
      <c r="X1022" s="202">
        <v>0</v>
      </c>
      <c r="Y1022" s="203">
        <v>0</v>
      </c>
      <c r="Z1022" s="203">
        <v>0</v>
      </c>
      <c r="AA1022" s="203">
        <v>0</v>
      </c>
      <c r="AB1022" s="203">
        <v>0</v>
      </c>
      <c r="AC1022" s="203">
        <v>0</v>
      </c>
      <c r="AD1022" s="203">
        <v>0</v>
      </c>
      <c r="AE1022" s="203">
        <v>660.00388180300001</v>
      </c>
      <c r="AF1022" s="202">
        <f>6238.91*AE1022/I1022</f>
        <v>4388.1462730261565</v>
      </c>
      <c r="AG1022" s="203">
        <v>0</v>
      </c>
      <c r="AH1022" s="202">
        <v>0</v>
      </c>
      <c r="AI1022" s="203">
        <v>0</v>
      </c>
      <c r="AJ1022" s="202">
        <v>0</v>
      </c>
      <c r="AK1022" s="203">
        <v>0</v>
      </c>
      <c r="AL1022" s="203">
        <v>0</v>
      </c>
      <c r="AM1022" s="203">
        <v>0</v>
      </c>
      <c r="AN1022" s="203"/>
      <c r="AO1022" s="203">
        <v>0</v>
      </c>
    </row>
    <row r="1023" spans="1:41" s="176" customFormat="1" ht="36" customHeight="1" x14ac:dyDescent="0.25">
      <c r="B1023" s="172" t="s">
        <v>870</v>
      </c>
      <c r="C1023" s="172"/>
      <c r="D1023" s="173" t="s">
        <v>882</v>
      </c>
      <c r="E1023" s="173" t="s">
        <v>882</v>
      </c>
      <c r="F1023" s="173" t="s">
        <v>882</v>
      </c>
      <c r="G1023" s="173" t="s">
        <v>882</v>
      </c>
      <c r="H1023" s="173" t="s">
        <v>882</v>
      </c>
      <c r="I1023" s="177">
        <f>I1024</f>
        <v>1367.9</v>
      </c>
      <c r="J1023" s="177">
        <f>J1024</f>
        <v>926.7</v>
      </c>
      <c r="K1023" s="177">
        <f>K1024</f>
        <v>324.89999999999998</v>
      </c>
      <c r="L1023" s="357">
        <f>L1024</f>
        <v>78</v>
      </c>
      <c r="M1023" s="173" t="s">
        <v>882</v>
      </c>
      <c r="N1023" s="173" t="s">
        <v>882</v>
      </c>
      <c r="O1023" s="175" t="s">
        <v>882</v>
      </c>
      <c r="P1023" s="170">
        <v>3001841.1700000004</v>
      </c>
      <c r="Q1023" s="170">
        <f>Q1024</f>
        <v>0</v>
      </c>
      <c r="R1023" s="170">
        <f>R1024</f>
        <v>0</v>
      </c>
      <c r="S1023" s="170">
        <f>S1024</f>
        <v>3001841.1700000004</v>
      </c>
      <c r="T1023" s="170">
        <f t="shared" si="167"/>
        <v>2194.4887564880473</v>
      </c>
      <c r="U1023" s="170">
        <f>U1024</f>
        <v>2823.2458513049196</v>
      </c>
      <c r="V1023" s="202">
        <f t="shared" si="168"/>
        <v>628.75709481687227</v>
      </c>
      <c r="W1023" s="202"/>
      <c r="X1023" s="202"/>
      <c r="Y1023" s="203"/>
      <c r="Z1023" s="203"/>
      <c r="AA1023" s="203"/>
      <c r="AB1023" s="203"/>
      <c r="AC1023" s="203"/>
      <c r="AD1023" s="203"/>
      <c r="AE1023" s="203"/>
      <c r="AF1023" s="203"/>
      <c r="AG1023" s="203"/>
      <c r="AH1023" s="203"/>
      <c r="AI1023" s="203"/>
      <c r="AJ1023" s="203"/>
      <c r="AK1023" s="203"/>
      <c r="AL1023" s="203"/>
      <c r="AM1023" s="203"/>
      <c r="AN1023" s="203"/>
      <c r="AO1023" s="203"/>
    </row>
    <row r="1024" spans="1:41" s="176" customFormat="1" ht="36" customHeight="1" x14ac:dyDescent="0.25">
      <c r="A1024" s="176">
        <v>1</v>
      </c>
      <c r="B1024" s="171">
        <f>SUBTOTAL(103,$A$552:A1024)</f>
        <v>423</v>
      </c>
      <c r="C1024" s="172" t="s">
        <v>155</v>
      </c>
      <c r="D1024" s="173">
        <v>1974</v>
      </c>
      <c r="E1024" s="173"/>
      <c r="F1024" s="174" t="s">
        <v>267</v>
      </c>
      <c r="G1024" s="173">
        <v>2</v>
      </c>
      <c r="H1024" s="173" t="s">
        <v>304</v>
      </c>
      <c r="I1024" s="177">
        <v>1367.9</v>
      </c>
      <c r="J1024" s="177">
        <v>926.7</v>
      </c>
      <c r="K1024" s="177">
        <v>324.89999999999998</v>
      </c>
      <c r="L1024" s="206">
        <v>78</v>
      </c>
      <c r="M1024" s="173" t="s">
        <v>265</v>
      </c>
      <c r="N1024" s="173" t="s">
        <v>269</v>
      </c>
      <c r="O1024" s="175" t="s">
        <v>984</v>
      </c>
      <c r="P1024" s="170">
        <v>3001841.1700000004</v>
      </c>
      <c r="Q1024" s="170">
        <v>0</v>
      </c>
      <c r="R1024" s="170">
        <v>0</v>
      </c>
      <c r="S1024" s="170">
        <f>P1024-Q1024-R1024</f>
        <v>3001841.1700000004</v>
      </c>
      <c r="T1024" s="170">
        <f t="shared" si="167"/>
        <v>2194.4887564880473</v>
      </c>
      <c r="U1024" s="170">
        <v>2823.2458513049196</v>
      </c>
      <c r="V1024" s="202">
        <f>U1024-T1024</f>
        <v>628.75709481687227</v>
      </c>
      <c r="W1024" s="202">
        <f>X1024+Y1024+Z1024+AA1024+AB1024+AD1024+AF1024+AH1024+AJ1024+AL1024+AN1024+AO1024</f>
        <v>2736.5640763213682</v>
      </c>
      <c r="X1024" s="202">
        <v>0</v>
      </c>
      <c r="Y1024" s="203">
        <v>0</v>
      </c>
      <c r="Z1024" s="203">
        <v>0</v>
      </c>
      <c r="AA1024" s="203">
        <v>0</v>
      </c>
      <c r="AB1024" s="203">
        <v>0</v>
      </c>
      <c r="AC1024" s="203">
        <v>0</v>
      </c>
      <c r="AD1024" s="203">
        <v>0</v>
      </c>
      <c r="AE1024" s="203">
        <v>600</v>
      </c>
      <c r="AF1024" s="202">
        <f>6238.91*AE1024/I1024</f>
        <v>2736.5640763213682</v>
      </c>
      <c r="AG1024" s="203">
        <v>0</v>
      </c>
      <c r="AH1024" s="202">
        <v>0</v>
      </c>
      <c r="AI1024" s="203">
        <v>0</v>
      </c>
      <c r="AJ1024" s="202">
        <v>0</v>
      </c>
      <c r="AK1024" s="203">
        <v>0</v>
      </c>
      <c r="AL1024" s="203">
        <v>0</v>
      </c>
      <c r="AM1024" s="203">
        <v>0</v>
      </c>
      <c r="AN1024" s="203"/>
      <c r="AO1024" s="203">
        <v>0</v>
      </c>
    </row>
    <row r="1025" spans="1:191" s="176" customFormat="1" ht="36" customHeight="1" x14ac:dyDescent="0.25">
      <c r="B1025" s="172" t="s">
        <v>842</v>
      </c>
      <c r="C1025" s="172"/>
      <c r="D1025" s="173" t="s">
        <v>882</v>
      </c>
      <c r="E1025" s="173" t="s">
        <v>882</v>
      </c>
      <c r="F1025" s="173" t="s">
        <v>882</v>
      </c>
      <c r="G1025" s="173" t="s">
        <v>882</v>
      </c>
      <c r="H1025" s="173" t="s">
        <v>882</v>
      </c>
      <c r="I1025" s="177">
        <f>I1026</f>
        <v>676.3</v>
      </c>
      <c r="J1025" s="177">
        <f>J1026</f>
        <v>633.29999999999995</v>
      </c>
      <c r="K1025" s="177">
        <f>K1026</f>
        <v>546.79</v>
      </c>
      <c r="L1025" s="357">
        <f>L1026</f>
        <v>32</v>
      </c>
      <c r="M1025" s="173" t="s">
        <v>882</v>
      </c>
      <c r="N1025" s="173" t="s">
        <v>882</v>
      </c>
      <c r="O1025" s="175" t="s">
        <v>882</v>
      </c>
      <c r="P1025" s="170">
        <v>2594808.33</v>
      </c>
      <c r="Q1025" s="170">
        <f>Q1026</f>
        <v>0</v>
      </c>
      <c r="R1025" s="170">
        <f>R1026</f>
        <v>0</v>
      </c>
      <c r="S1025" s="170">
        <f>S1026</f>
        <v>2594808.33</v>
      </c>
      <c r="T1025" s="170">
        <f t="shared" si="167"/>
        <v>3836.7711518556857</v>
      </c>
      <c r="U1025" s="170">
        <f>U1026</f>
        <v>5987.314835132338</v>
      </c>
      <c r="V1025" s="202">
        <f>U1025-T1025</f>
        <v>2150.5436832766522</v>
      </c>
      <c r="W1025" s="202"/>
      <c r="X1025" s="202"/>
      <c r="Y1025" s="203"/>
      <c r="Z1025" s="203"/>
      <c r="AA1025" s="203"/>
      <c r="AB1025" s="203"/>
      <c r="AC1025" s="203"/>
      <c r="AD1025" s="203"/>
      <c r="AE1025" s="203"/>
      <c r="AF1025" s="203"/>
      <c r="AG1025" s="203"/>
      <c r="AH1025" s="203"/>
      <c r="AI1025" s="203"/>
      <c r="AJ1025" s="203"/>
      <c r="AK1025" s="203"/>
      <c r="AL1025" s="203"/>
      <c r="AM1025" s="203"/>
      <c r="AN1025" s="203"/>
      <c r="AO1025" s="203"/>
    </row>
    <row r="1026" spans="1:191" s="176" customFormat="1" ht="36" customHeight="1" x14ac:dyDescent="0.25">
      <c r="A1026" s="176">
        <v>1</v>
      </c>
      <c r="B1026" s="171">
        <f>SUBTOTAL(103,$A$552:A1026)</f>
        <v>424</v>
      </c>
      <c r="C1026" s="172" t="s">
        <v>144</v>
      </c>
      <c r="D1026" s="173">
        <v>1965</v>
      </c>
      <c r="E1026" s="173"/>
      <c r="F1026" s="174" t="s">
        <v>267</v>
      </c>
      <c r="G1026" s="173">
        <v>2</v>
      </c>
      <c r="H1026" s="173" t="s">
        <v>303</v>
      </c>
      <c r="I1026" s="177">
        <v>676.3</v>
      </c>
      <c r="J1026" s="177">
        <v>633.29999999999995</v>
      </c>
      <c r="K1026" s="177">
        <v>546.79</v>
      </c>
      <c r="L1026" s="206">
        <v>32</v>
      </c>
      <c r="M1026" s="173" t="s">
        <v>265</v>
      </c>
      <c r="N1026" s="173" t="s">
        <v>269</v>
      </c>
      <c r="O1026" s="175" t="s">
        <v>288</v>
      </c>
      <c r="P1026" s="170">
        <v>2594808.33</v>
      </c>
      <c r="Q1026" s="170">
        <v>0</v>
      </c>
      <c r="R1026" s="170">
        <v>0</v>
      </c>
      <c r="S1026" s="170">
        <f>P1026-Q1026-R1026</f>
        <v>2594808.33</v>
      </c>
      <c r="T1026" s="170">
        <f t="shared" si="167"/>
        <v>3836.7711518556857</v>
      </c>
      <c r="U1026" s="170">
        <v>5987.314835132338</v>
      </c>
      <c r="V1026" s="202">
        <f>U1026-T1026</f>
        <v>2150.5436832766522</v>
      </c>
      <c r="W1026" s="202">
        <f>X1026+Y1026+Z1026+AA1026+AB1026+AD1026+AF1026+AH1026+AJ1026+AL1026+AN1026+AO1026</f>
        <v>5535.0377051604319</v>
      </c>
      <c r="X1026" s="202">
        <v>0</v>
      </c>
      <c r="Y1026" s="203">
        <v>0</v>
      </c>
      <c r="Z1026" s="203">
        <v>0</v>
      </c>
      <c r="AA1026" s="203">
        <v>0</v>
      </c>
      <c r="AB1026" s="203">
        <v>0</v>
      </c>
      <c r="AC1026" s="203">
        <v>0</v>
      </c>
      <c r="AD1026" s="203">
        <v>0</v>
      </c>
      <c r="AE1026" s="203">
        <v>600</v>
      </c>
      <c r="AF1026" s="202">
        <f>6238.91*AE1026/I1026</f>
        <v>5535.0377051604319</v>
      </c>
      <c r="AG1026" s="203">
        <v>0</v>
      </c>
      <c r="AH1026" s="202">
        <v>0</v>
      </c>
      <c r="AI1026" s="203">
        <v>0</v>
      </c>
      <c r="AJ1026" s="202">
        <v>0</v>
      </c>
      <c r="AK1026" s="203">
        <v>0</v>
      </c>
      <c r="AL1026" s="203">
        <v>0</v>
      </c>
      <c r="AM1026" s="203">
        <v>0</v>
      </c>
      <c r="AN1026" s="203"/>
      <c r="AO1026" s="203">
        <v>0</v>
      </c>
    </row>
    <row r="1027" spans="1:191" s="176" customFormat="1" ht="36" customHeight="1" x14ac:dyDescent="0.25">
      <c r="B1027" s="172" t="s">
        <v>843</v>
      </c>
      <c r="C1027" s="172"/>
      <c r="D1027" s="173" t="s">
        <v>882</v>
      </c>
      <c r="E1027" s="173" t="s">
        <v>882</v>
      </c>
      <c r="F1027" s="173" t="s">
        <v>882</v>
      </c>
      <c r="G1027" s="173" t="s">
        <v>882</v>
      </c>
      <c r="H1027" s="173" t="s">
        <v>882</v>
      </c>
      <c r="I1027" s="177">
        <f>SUM(I1028:I1030)</f>
        <v>4397.6899999999996</v>
      </c>
      <c r="J1027" s="177">
        <f>SUM(J1028:J1030)</f>
        <v>4258.3</v>
      </c>
      <c r="K1027" s="177">
        <f>SUM(K1028:K1030)</f>
        <v>2465.9899999999998</v>
      </c>
      <c r="L1027" s="357">
        <f>SUM(L1028:L1030)</f>
        <v>167</v>
      </c>
      <c r="M1027" s="173" t="s">
        <v>882</v>
      </c>
      <c r="N1027" s="173" t="s">
        <v>882</v>
      </c>
      <c r="O1027" s="175" t="s">
        <v>882</v>
      </c>
      <c r="P1027" s="170">
        <v>12428636.060000001</v>
      </c>
      <c r="Q1027" s="170">
        <f>SUM(Q1028:Q1030)</f>
        <v>0</v>
      </c>
      <c r="R1027" s="170">
        <f>SUM(R1028:R1030)</f>
        <v>0</v>
      </c>
      <c r="S1027" s="170">
        <f>SUM(S1028:S1030)</f>
        <v>12428636.060000001</v>
      </c>
      <c r="T1027" s="170">
        <f t="shared" si="167"/>
        <v>2826.1737548576643</v>
      </c>
      <c r="U1027" s="170">
        <f>MAX(U1028:U1030)</f>
        <v>4788.4830516080765</v>
      </c>
      <c r="V1027" s="202">
        <f t="shared" si="168"/>
        <v>1962.3092967504122</v>
      </c>
      <c r="W1027" s="202"/>
      <c r="X1027" s="202"/>
      <c r="Y1027" s="203"/>
      <c r="Z1027" s="203"/>
      <c r="AA1027" s="203"/>
      <c r="AB1027" s="203"/>
      <c r="AC1027" s="203"/>
      <c r="AD1027" s="203"/>
      <c r="AE1027" s="203"/>
      <c r="AF1027" s="203"/>
      <c r="AG1027" s="203"/>
      <c r="AH1027" s="203"/>
      <c r="AI1027" s="203"/>
      <c r="AJ1027" s="203"/>
      <c r="AK1027" s="203"/>
      <c r="AL1027" s="203"/>
      <c r="AM1027" s="203"/>
      <c r="AN1027" s="203"/>
      <c r="AO1027" s="203"/>
    </row>
    <row r="1028" spans="1:191" s="176" customFormat="1" ht="36" customHeight="1" x14ac:dyDescent="0.25">
      <c r="A1028" s="176">
        <v>1</v>
      </c>
      <c r="B1028" s="171">
        <f>SUBTOTAL(103,$A$552:A1028)</f>
        <v>425</v>
      </c>
      <c r="C1028" s="172" t="s">
        <v>154</v>
      </c>
      <c r="D1028" s="173">
        <v>1970</v>
      </c>
      <c r="E1028" s="173"/>
      <c r="F1028" s="174" t="s">
        <v>267</v>
      </c>
      <c r="G1028" s="173" t="s">
        <v>308</v>
      </c>
      <c r="H1028" s="173" t="s">
        <v>312</v>
      </c>
      <c r="I1028" s="177">
        <v>2208.39</v>
      </c>
      <c r="J1028" s="177">
        <v>2171</v>
      </c>
      <c r="K1028" s="177">
        <v>446.69</v>
      </c>
      <c r="L1028" s="206">
        <v>73</v>
      </c>
      <c r="M1028" s="173" t="s">
        <v>265</v>
      </c>
      <c r="N1028" s="173" t="s">
        <v>269</v>
      </c>
      <c r="O1028" s="175" t="s">
        <v>289</v>
      </c>
      <c r="P1028" s="170">
        <v>4621140.7</v>
      </c>
      <c r="Q1028" s="170">
        <v>0</v>
      </c>
      <c r="R1028" s="170">
        <v>0</v>
      </c>
      <c r="S1028" s="170">
        <f>P1028-Q1028-R1028</f>
        <v>4621140.7</v>
      </c>
      <c r="T1028" s="170">
        <f t="shared" si="167"/>
        <v>2092.5383197714173</v>
      </c>
      <c r="U1028" s="170">
        <v>2287.9455395106843</v>
      </c>
      <c r="V1028" s="202">
        <f>U1028-T1028</f>
        <v>195.40721973926702</v>
      </c>
      <c r="W1028" s="202">
        <f>X1028+Y1028+Z1028+AA1028+AB1028+AD1028+AF1028+AH1028+AJ1028+AL1028+AN1028+AO1028</f>
        <v>2217.6990250816207</v>
      </c>
      <c r="X1028" s="202">
        <v>0</v>
      </c>
      <c r="Y1028" s="203">
        <v>0</v>
      </c>
      <c r="Z1028" s="203">
        <v>0</v>
      </c>
      <c r="AA1028" s="203">
        <v>0</v>
      </c>
      <c r="AB1028" s="203">
        <v>0</v>
      </c>
      <c r="AC1028" s="203">
        <v>0</v>
      </c>
      <c r="AD1028" s="203">
        <v>0</v>
      </c>
      <c r="AE1028" s="203">
        <v>785</v>
      </c>
      <c r="AF1028" s="202">
        <f>6238.91*AE1028/I1028</f>
        <v>2217.6990250816207</v>
      </c>
      <c r="AG1028" s="203">
        <v>0</v>
      </c>
      <c r="AH1028" s="202">
        <v>0</v>
      </c>
      <c r="AI1028" s="203">
        <v>0</v>
      </c>
      <c r="AJ1028" s="202">
        <v>0</v>
      </c>
      <c r="AK1028" s="203">
        <v>0</v>
      </c>
      <c r="AL1028" s="203">
        <v>0</v>
      </c>
      <c r="AM1028" s="203">
        <v>0</v>
      </c>
      <c r="AN1028" s="203"/>
      <c r="AO1028" s="203">
        <v>0</v>
      </c>
    </row>
    <row r="1029" spans="1:191" s="176" customFormat="1" ht="36" customHeight="1" x14ac:dyDescent="0.25">
      <c r="A1029" s="176">
        <v>1</v>
      </c>
      <c r="B1029" s="171">
        <f>SUBTOTAL(103,$A$552:A1029)</f>
        <v>426</v>
      </c>
      <c r="C1029" s="172" t="s">
        <v>142</v>
      </c>
      <c r="D1029" s="173">
        <v>1983</v>
      </c>
      <c r="E1029" s="173"/>
      <c r="F1029" s="174" t="s">
        <v>267</v>
      </c>
      <c r="G1029" s="173">
        <v>3</v>
      </c>
      <c r="H1029" s="173" t="s">
        <v>303</v>
      </c>
      <c r="I1029" s="177">
        <v>1387.1</v>
      </c>
      <c r="J1029" s="177">
        <v>1285.0999999999999</v>
      </c>
      <c r="K1029" s="177">
        <v>1285.0999999999999</v>
      </c>
      <c r="L1029" s="206">
        <v>58</v>
      </c>
      <c r="M1029" s="173" t="s">
        <v>265</v>
      </c>
      <c r="N1029" s="173" t="s">
        <v>269</v>
      </c>
      <c r="O1029" s="175" t="s">
        <v>289</v>
      </c>
      <c r="P1029" s="170">
        <v>4828153.3899999997</v>
      </c>
      <c r="Q1029" s="170">
        <v>0</v>
      </c>
      <c r="R1029" s="170">
        <v>0</v>
      </c>
      <c r="S1029" s="170">
        <f>P1029-Q1029-R1029</f>
        <v>4828153.3899999997</v>
      </c>
      <c r="T1029" s="170">
        <f t="shared" si="167"/>
        <v>3480.7536515031361</v>
      </c>
      <c r="U1029" s="170">
        <v>1631.0497307570477</v>
      </c>
      <c r="V1029" s="202">
        <f>U1029-T1029</f>
        <v>-1849.7039207460884</v>
      </c>
      <c r="W1029" s="202">
        <f>X1029+Y1029+Z1029+AA1029+AB1029+AD1029+AF1029+AH1029+AJ1029+AL1029+AN1029+AO1029</f>
        <v>3530.7795760940089</v>
      </c>
      <c r="X1029" s="202">
        <v>0</v>
      </c>
      <c r="Y1029" s="203">
        <v>0</v>
      </c>
      <c r="Z1029" s="203">
        <v>0</v>
      </c>
      <c r="AA1029" s="203">
        <v>0</v>
      </c>
      <c r="AB1029" s="203">
        <v>0</v>
      </c>
      <c r="AC1029" s="203">
        <v>0</v>
      </c>
      <c r="AD1029" s="203">
        <v>0</v>
      </c>
      <c r="AE1029" s="203">
        <v>785</v>
      </c>
      <c r="AF1029" s="202">
        <f>6238.91*AE1029/I1029</f>
        <v>3530.7795760940089</v>
      </c>
      <c r="AG1029" s="203">
        <v>0</v>
      </c>
      <c r="AH1029" s="202">
        <v>0</v>
      </c>
      <c r="AI1029" s="203">
        <v>0</v>
      </c>
      <c r="AJ1029" s="202">
        <v>0</v>
      </c>
      <c r="AK1029" s="203">
        <v>0</v>
      </c>
      <c r="AL1029" s="203">
        <v>0</v>
      </c>
      <c r="AM1029" s="203">
        <v>0</v>
      </c>
      <c r="AN1029" s="203"/>
      <c r="AO1029" s="203">
        <v>0</v>
      </c>
    </row>
    <row r="1030" spans="1:191" s="176" customFormat="1" ht="36" customHeight="1" x14ac:dyDescent="0.25">
      <c r="A1030" s="176">
        <v>1</v>
      </c>
      <c r="B1030" s="171">
        <f>SUBTOTAL(103,$A$552:A1030)</f>
        <v>427</v>
      </c>
      <c r="C1030" s="172" t="s">
        <v>1286</v>
      </c>
      <c r="D1030" s="173">
        <v>1974</v>
      </c>
      <c r="E1030" s="173"/>
      <c r="F1030" s="174" t="s">
        <v>267</v>
      </c>
      <c r="G1030" s="173">
        <v>2</v>
      </c>
      <c r="H1030" s="173" t="s">
        <v>303</v>
      </c>
      <c r="I1030" s="177">
        <v>802.2</v>
      </c>
      <c r="J1030" s="177">
        <v>802.2</v>
      </c>
      <c r="K1030" s="177">
        <v>734.2</v>
      </c>
      <c r="L1030" s="206">
        <v>36</v>
      </c>
      <c r="M1030" s="173" t="s">
        <v>265</v>
      </c>
      <c r="N1030" s="173" t="s">
        <v>266</v>
      </c>
      <c r="O1030" s="175" t="s">
        <v>268</v>
      </c>
      <c r="P1030" s="170">
        <v>2979341.97</v>
      </c>
      <c r="Q1030" s="170">
        <v>0</v>
      </c>
      <c r="R1030" s="170">
        <v>0</v>
      </c>
      <c r="S1030" s="170">
        <f>P1030-Q1030-R1030</f>
        <v>2979341.97</v>
      </c>
      <c r="T1030" s="170">
        <f t="shared" si="167"/>
        <v>3713.9640613313391</v>
      </c>
      <c r="U1030" s="170">
        <v>4788.4830516080765</v>
      </c>
      <c r="V1030" s="202">
        <f>U1030-T1030</f>
        <v>1074.5189902767374</v>
      </c>
      <c r="W1030" s="202">
        <f>X1030+Y1030+Z1030+AA1030+AB1030+AD1030+AF1030+AH1030+AJ1030+AL1030+AN1030+AO1030</f>
        <v>6105.141298927947</v>
      </c>
      <c r="X1030" s="202">
        <v>0</v>
      </c>
      <c r="Y1030" s="203">
        <v>0</v>
      </c>
      <c r="Z1030" s="203">
        <v>0</v>
      </c>
      <c r="AA1030" s="203">
        <v>0</v>
      </c>
      <c r="AB1030" s="203">
        <v>0</v>
      </c>
      <c r="AC1030" s="203">
        <v>0</v>
      </c>
      <c r="AD1030" s="203">
        <v>0</v>
      </c>
      <c r="AE1030" s="203">
        <v>785</v>
      </c>
      <c r="AF1030" s="202">
        <f>6238.91*AE1030/I1030</f>
        <v>6105.141298927947</v>
      </c>
      <c r="AG1030" s="203">
        <v>0</v>
      </c>
      <c r="AH1030" s="202">
        <v>0</v>
      </c>
      <c r="AI1030" s="203">
        <v>0</v>
      </c>
      <c r="AJ1030" s="202">
        <v>0</v>
      </c>
      <c r="AK1030" s="203">
        <v>0</v>
      </c>
      <c r="AL1030" s="203">
        <v>0</v>
      </c>
      <c r="AM1030" s="203">
        <v>0</v>
      </c>
      <c r="AN1030" s="203"/>
      <c r="AO1030" s="203">
        <v>0</v>
      </c>
    </row>
    <row r="1031" spans="1:191" s="176" customFormat="1" ht="36" customHeight="1" x14ac:dyDescent="0.25">
      <c r="B1031" s="172" t="s">
        <v>844</v>
      </c>
      <c r="C1031" s="172"/>
      <c r="D1031" s="173" t="s">
        <v>882</v>
      </c>
      <c r="E1031" s="173" t="s">
        <v>882</v>
      </c>
      <c r="F1031" s="173" t="s">
        <v>882</v>
      </c>
      <c r="G1031" s="173" t="s">
        <v>882</v>
      </c>
      <c r="H1031" s="173" t="s">
        <v>882</v>
      </c>
      <c r="I1031" s="177">
        <f>SUM(I1032:I1036)</f>
        <v>8018.76</v>
      </c>
      <c r="J1031" s="177">
        <f>SUM(J1032:J1036)</f>
        <v>6785.5800000000008</v>
      </c>
      <c r="K1031" s="177">
        <f>SUM(K1032:K1036)</f>
        <v>6268.3200000000006</v>
      </c>
      <c r="L1031" s="357">
        <f>SUM(L1032:L1036)</f>
        <v>440</v>
      </c>
      <c r="M1031" s="173" t="s">
        <v>882</v>
      </c>
      <c r="N1031" s="173" t="s">
        <v>882</v>
      </c>
      <c r="O1031" s="175" t="s">
        <v>882</v>
      </c>
      <c r="P1031" s="177">
        <v>18337846.370000001</v>
      </c>
      <c r="Q1031" s="177">
        <f>SUM(Q1032:Q1036)</f>
        <v>0</v>
      </c>
      <c r="R1031" s="177">
        <f>SUM(R1032:R1036)</f>
        <v>0</v>
      </c>
      <c r="S1031" s="177">
        <f>SUM(S1032:S1036)</f>
        <v>18337846.370000001</v>
      </c>
      <c r="T1031" s="170">
        <f t="shared" ref="T1031:T1092" si="172">P1031/I1031</f>
        <v>2286.8680905775955</v>
      </c>
      <c r="U1031" s="170">
        <f>MAX(U1032:U1036)</f>
        <v>6817.9333935018049</v>
      </c>
      <c r="V1031" s="202">
        <f t="shared" si="168"/>
        <v>4531.0653029242094</v>
      </c>
      <c r="W1031" s="202"/>
      <c r="X1031" s="202"/>
      <c r="Y1031" s="203"/>
      <c r="Z1031" s="203"/>
      <c r="AA1031" s="203"/>
      <c r="AB1031" s="203"/>
      <c r="AC1031" s="203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</row>
    <row r="1032" spans="1:191" s="176" customFormat="1" ht="36" customHeight="1" x14ac:dyDescent="0.25">
      <c r="A1032" s="176">
        <v>1</v>
      </c>
      <c r="B1032" s="171">
        <f>SUBTOTAL(103,$A$552:A1032)</f>
        <v>428</v>
      </c>
      <c r="C1032" s="172" t="s">
        <v>153</v>
      </c>
      <c r="D1032" s="173">
        <v>1978</v>
      </c>
      <c r="E1032" s="173"/>
      <c r="F1032" s="174" t="s">
        <v>267</v>
      </c>
      <c r="G1032" s="173">
        <v>2</v>
      </c>
      <c r="H1032" s="173" t="s">
        <v>303</v>
      </c>
      <c r="I1032" s="177">
        <v>1501</v>
      </c>
      <c r="J1032" s="177">
        <v>739.5</v>
      </c>
      <c r="K1032" s="177">
        <v>358.85</v>
      </c>
      <c r="L1032" s="206">
        <v>42</v>
      </c>
      <c r="M1032" s="173" t="s">
        <v>265</v>
      </c>
      <c r="N1032" s="173" t="s">
        <v>269</v>
      </c>
      <c r="O1032" s="175" t="s">
        <v>294</v>
      </c>
      <c r="P1032" s="170">
        <v>4318665.72</v>
      </c>
      <c r="Q1032" s="170">
        <v>0</v>
      </c>
      <c r="R1032" s="170">
        <v>0</v>
      </c>
      <c r="S1032" s="170">
        <f>P1032-Q1032-R1032</f>
        <v>4318665.72</v>
      </c>
      <c r="T1032" s="170">
        <f t="shared" si="172"/>
        <v>2877.1923517654895</v>
      </c>
      <c r="U1032" s="170">
        <v>2877.8823784143906</v>
      </c>
      <c r="V1032" s="202">
        <f>U1032-T1032</f>
        <v>0.69002664890103915</v>
      </c>
      <c r="W1032" s="202">
        <f>X1032+Y1032+Z1032+AA1032+AB1032+AD1032+AF1032+AH1032+AJ1032+AL1032+AN1032+AO1032</f>
        <v>3262.8543304463687</v>
      </c>
      <c r="X1032" s="202">
        <v>0</v>
      </c>
      <c r="Y1032" s="203">
        <v>0</v>
      </c>
      <c r="Z1032" s="203">
        <v>0</v>
      </c>
      <c r="AA1032" s="203">
        <v>0</v>
      </c>
      <c r="AB1032" s="203">
        <v>0</v>
      </c>
      <c r="AC1032" s="203">
        <v>0</v>
      </c>
      <c r="AD1032" s="203">
        <v>0</v>
      </c>
      <c r="AE1032" s="203">
        <v>785</v>
      </c>
      <c r="AF1032" s="202">
        <f>6238.91*AE1032/I1032</f>
        <v>3262.8543304463687</v>
      </c>
      <c r="AG1032" s="203">
        <v>0</v>
      </c>
      <c r="AH1032" s="202">
        <v>0</v>
      </c>
      <c r="AI1032" s="203">
        <v>0</v>
      </c>
      <c r="AJ1032" s="202">
        <v>0</v>
      </c>
      <c r="AK1032" s="203">
        <v>0</v>
      </c>
      <c r="AL1032" s="203">
        <v>0</v>
      </c>
      <c r="AM1032" s="203">
        <v>0</v>
      </c>
      <c r="AN1032" s="203"/>
      <c r="AO1032" s="203">
        <v>0</v>
      </c>
    </row>
    <row r="1033" spans="1:191" s="176" customFormat="1" ht="36" customHeight="1" x14ac:dyDescent="0.25">
      <c r="A1033" s="176">
        <v>1</v>
      </c>
      <c r="B1033" s="171">
        <f>SUBTOTAL(103,$A$552:A1033)</f>
        <v>429</v>
      </c>
      <c r="C1033" s="172" t="s">
        <v>1244</v>
      </c>
      <c r="D1033" s="173">
        <v>1964</v>
      </c>
      <c r="E1033" s="173"/>
      <c r="F1033" s="174" t="s">
        <v>267</v>
      </c>
      <c r="G1033" s="173">
        <v>2</v>
      </c>
      <c r="H1033" s="173" t="s">
        <v>308</v>
      </c>
      <c r="I1033" s="177">
        <v>768.3</v>
      </c>
      <c r="J1033" s="177">
        <v>297</v>
      </c>
      <c r="K1033" s="177">
        <v>253.5</v>
      </c>
      <c r="L1033" s="206">
        <v>80</v>
      </c>
      <c r="M1033" s="173" t="s">
        <v>265</v>
      </c>
      <c r="N1033" s="173" t="s">
        <v>269</v>
      </c>
      <c r="O1033" s="175" t="s">
        <v>288</v>
      </c>
      <c r="P1033" s="170">
        <v>506000</v>
      </c>
      <c r="Q1033" s="170">
        <v>0</v>
      </c>
      <c r="R1033" s="170">
        <v>0</v>
      </c>
      <c r="S1033" s="170">
        <f>P1033-Q1033-R1033</f>
        <v>506000</v>
      </c>
      <c r="T1033" s="170">
        <f t="shared" si="172"/>
        <v>658.5969022517246</v>
      </c>
      <c r="U1033" s="170">
        <v>658.5969022517246</v>
      </c>
      <c r="V1033" s="202">
        <f>U1033-T1033</f>
        <v>0</v>
      </c>
      <c r="W1033" s="202">
        <f>X1033+Y1033+Z1033+AA1033+AB1033+AD1033+AF1033+AH1033+AJ1033+AL1033+AN1033+AO1033</f>
        <v>6374.5208251984905</v>
      </c>
      <c r="X1033" s="202">
        <v>0</v>
      </c>
      <c r="Y1033" s="203">
        <v>0</v>
      </c>
      <c r="Z1033" s="203">
        <v>0</v>
      </c>
      <c r="AA1033" s="203">
        <v>0</v>
      </c>
      <c r="AB1033" s="203">
        <v>0</v>
      </c>
      <c r="AC1033" s="203">
        <v>0</v>
      </c>
      <c r="AD1033" s="203">
        <v>0</v>
      </c>
      <c r="AE1033" s="203">
        <v>785</v>
      </c>
      <c r="AF1033" s="202">
        <f>6238.91*AE1033/I1033</f>
        <v>6374.5208251984905</v>
      </c>
      <c r="AG1033" s="203">
        <v>0</v>
      </c>
      <c r="AH1033" s="202">
        <v>0</v>
      </c>
      <c r="AI1033" s="203">
        <v>0</v>
      </c>
      <c r="AJ1033" s="202">
        <v>0</v>
      </c>
      <c r="AK1033" s="203">
        <v>0</v>
      </c>
      <c r="AL1033" s="203">
        <v>0</v>
      </c>
      <c r="AM1033" s="203">
        <v>0</v>
      </c>
      <c r="AN1033" s="203"/>
      <c r="AO1033" s="203">
        <v>0</v>
      </c>
    </row>
    <row r="1034" spans="1:191" s="176" customFormat="1" ht="36" customHeight="1" x14ac:dyDescent="0.25">
      <c r="A1034" s="176">
        <v>1</v>
      </c>
      <c r="B1034" s="171">
        <f>SUBTOTAL(103,$A$552:A1034)</f>
        <v>430</v>
      </c>
      <c r="C1034" s="172" t="s">
        <v>1272</v>
      </c>
      <c r="D1034" s="173">
        <v>1958</v>
      </c>
      <c r="E1034" s="173"/>
      <c r="F1034" s="174" t="s">
        <v>267</v>
      </c>
      <c r="G1034" s="173">
        <v>2</v>
      </c>
      <c r="H1034" s="173" t="s">
        <v>303</v>
      </c>
      <c r="I1034" s="177">
        <v>554</v>
      </c>
      <c r="J1034" s="177">
        <v>554</v>
      </c>
      <c r="K1034" s="177">
        <v>521.69000000000005</v>
      </c>
      <c r="L1034" s="206">
        <v>30</v>
      </c>
      <c r="M1034" s="173" t="s">
        <v>265</v>
      </c>
      <c r="N1034" s="173" t="s">
        <v>269</v>
      </c>
      <c r="O1034" s="175" t="s">
        <v>288</v>
      </c>
      <c r="P1034" s="170">
        <v>3777135.1</v>
      </c>
      <c r="Q1034" s="170">
        <v>0</v>
      </c>
      <c r="R1034" s="170">
        <v>0</v>
      </c>
      <c r="S1034" s="170">
        <f>P1034-Q1034-R1034</f>
        <v>3777135.1</v>
      </c>
      <c r="T1034" s="170">
        <f t="shared" si="172"/>
        <v>6817.9333935018049</v>
      </c>
      <c r="U1034" s="170">
        <v>6817.9333935018049</v>
      </c>
      <c r="V1034" s="202">
        <f>U1034-T1034</f>
        <v>0</v>
      </c>
      <c r="W1034" s="202">
        <f>X1034+Y1034+Z1034+AA1034+AB1034+AD1034+AF1034+AH1034+AJ1034+AL1034+AN1034+AO1034</f>
        <v>8840.3327617328505</v>
      </c>
      <c r="X1034" s="202">
        <v>0</v>
      </c>
      <c r="Y1034" s="203">
        <v>0</v>
      </c>
      <c r="Z1034" s="203">
        <v>0</v>
      </c>
      <c r="AA1034" s="203">
        <v>0</v>
      </c>
      <c r="AB1034" s="203">
        <v>0</v>
      </c>
      <c r="AC1034" s="203">
        <v>0</v>
      </c>
      <c r="AD1034" s="203">
        <v>0</v>
      </c>
      <c r="AE1034" s="203">
        <v>785</v>
      </c>
      <c r="AF1034" s="202">
        <f>6238.91*AE1034/I1034</f>
        <v>8840.3327617328505</v>
      </c>
      <c r="AG1034" s="203">
        <v>0</v>
      </c>
      <c r="AH1034" s="202">
        <v>0</v>
      </c>
      <c r="AI1034" s="203">
        <v>0</v>
      </c>
      <c r="AJ1034" s="202">
        <v>0</v>
      </c>
      <c r="AK1034" s="203">
        <v>0</v>
      </c>
      <c r="AL1034" s="203">
        <v>0</v>
      </c>
      <c r="AM1034" s="203">
        <v>0</v>
      </c>
      <c r="AN1034" s="203"/>
      <c r="AO1034" s="203">
        <v>0</v>
      </c>
    </row>
    <row r="1035" spans="1:191" s="176" customFormat="1" ht="36" customHeight="1" x14ac:dyDescent="0.25">
      <c r="A1035" s="176">
        <v>1</v>
      </c>
      <c r="B1035" s="171">
        <f>SUBTOTAL(103,$A$552:A1035)</f>
        <v>431</v>
      </c>
      <c r="C1035" s="172" t="s">
        <v>1273</v>
      </c>
      <c r="D1035" s="173">
        <v>1973</v>
      </c>
      <c r="E1035" s="173"/>
      <c r="F1035" s="174" t="s">
        <v>267</v>
      </c>
      <c r="G1035" s="173">
        <v>5</v>
      </c>
      <c r="H1035" s="173" t="s">
        <v>312</v>
      </c>
      <c r="I1035" s="177">
        <v>3131.46</v>
      </c>
      <c r="J1035" s="177">
        <v>3131.28</v>
      </c>
      <c r="K1035" s="177">
        <v>3070.48</v>
      </c>
      <c r="L1035" s="206">
        <v>208</v>
      </c>
      <c r="M1035" s="173" t="s">
        <v>265</v>
      </c>
      <c r="N1035" s="173" t="s">
        <v>269</v>
      </c>
      <c r="O1035" s="175" t="s">
        <v>1345</v>
      </c>
      <c r="P1035" s="170">
        <v>4895345</v>
      </c>
      <c r="Q1035" s="170">
        <v>0</v>
      </c>
      <c r="R1035" s="170">
        <v>0</v>
      </c>
      <c r="S1035" s="170">
        <f>P1035-Q1035-R1035</f>
        <v>4895345</v>
      </c>
      <c r="T1035" s="170">
        <f t="shared" si="172"/>
        <v>1563.2787900851361</v>
      </c>
      <c r="U1035" s="170">
        <v>1969.1120882910843</v>
      </c>
      <c r="V1035" s="202">
        <f>U1035-T1035</f>
        <v>405.83329820594827</v>
      </c>
      <c r="W1035" s="202">
        <f>X1035+Y1035+Z1035+AA1035+AB1035+AD1035+AF1035+AH1035+AJ1035+AL1035+AN1035+AO1035</f>
        <v>1563.9811302076346</v>
      </c>
      <c r="X1035" s="202">
        <v>0</v>
      </c>
      <c r="Y1035" s="203">
        <v>0</v>
      </c>
      <c r="Z1035" s="203">
        <v>0</v>
      </c>
      <c r="AA1035" s="203">
        <v>0</v>
      </c>
      <c r="AB1035" s="203">
        <v>0</v>
      </c>
      <c r="AC1035" s="203">
        <v>0</v>
      </c>
      <c r="AD1035" s="203">
        <v>0</v>
      </c>
      <c r="AE1035" s="203">
        <v>785</v>
      </c>
      <c r="AF1035" s="202">
        <f>6238.91*AE1035/I1035</f>
        <v>1563.9811302076346</v>
      </c>
      <c r="AG1035" s="203">
        <v>0</v>
      </c>
      <c r="AH1035" s="202">
        <v>0</v>
      </c>
      <c r="AI1035" s="203">
        <v>0</v>
      </c>
      <c r="AJ1035" s="202">
        <v>0</v>
      </c>
      <c r="AK1035" s="203">
        <v>0</v>
      </c>
      <c r="AL1035" s="203">
        <v>0</v>
      </c>
      <c r="AM1035" s="203">
        <v>0</v>
      </c>
      <c r="AN1035" s="203"/>
      <c r="AO1035" s="203">
        <v>0</v>
      </c>
    </row>
    <row r="1036" spans="1:191" s="176" customFormat="1" ht="36" customHeight="1" x14ac:dyDescent="0.25">
      <c r="A1036" s="176">
        <v>1</v>
      </c>
      <c r="B1036" s="171">
        <f>SUBTOTAL(103,$A$552:A1036)</f>
        <v>432</v>
      </c>
      <c r="C1036" s="172" t="s">
        <v>1930</v>
      </c>
      <c r="D1036" s="173">
        <v>1984</v>
      </c>
      <c r="E1036" s="173"/>
      <c r="F1036" s="174" t="s">
        <v>1562</v>
      </c>
      <c r="G1036" s="173" t="s">
        <v>312</v>
      </c>
      <c r="H1036" s="173" t="s">
        <v>312</v>
      </c>
      <c r="I1036" s="177">
        <v>2064</v>
      </c>
      <c r="J1036" s="177">
        <v>2063.8000000000002</v>
      </c>
      <c r="K1036" s="177">
        <v>2063.8000000000002</v>
      </c>
      <c r="L1036" s="206">
        <v>80</v>
      </c>
      <c r="M1036" s="173" t="s">
        <v>265</v>
      </c>
      <c r="N1036" s="173" t="s">
        <v>269</v>
      </c>
      <c r="O1036" s="175" t="s">
        <v>288</v>
      </c>
      <c r="P1036" s="170">
        <v>4840700.55</v>
      </c>
      <c r="Q1036" s="170">
        <v>0</v>
      </c>
      <c r="R1036" s="170">
        <v>0</v>
      </c>
      <c r="S1036" s="170">
        <f>P1036-Q1036-R1036</f>
        <v>4840700.55</v>
      </c>
      <c r="T1036" s="170">
        <f t="shared" si="172"/>
        <v>2345.3006540697675</v>
      </c>
      <c r="U1036" s="170">
        <v>3488.9485290697671</v>
      </c>
      <c r="V1036" s="202">
        <f>U1036-T1036</f>
        <v>1143.6478749999997</v>
      </c>
      <c r="W1036" s="202">
        <f>X1036+Y1036+Z1036+AA1036+AB1036+AD1036+AF1036+AH1036+AJ1036+AL1036+AN1036+AO1036</f>
        <v>2372.841254844961</v>
      </c>
      <c r="X1036" s="202">
        <v>0</v>
      </c>
      <c r="Y1036" s="203">
        <v>0</v>
      </c>
      <c r="Z1036" s="203">
        <v>0</v>
      </c>
      <c r="AA1036" s="203">
        <v>0</v>
      </c>
      <c r="AB1036" s="203">
        <v>0</v>
      </c>
      <c r="AC1036" s="203">
        <v>0</v>
      </c>
      <c r="AD1036" s="203">
        <v>0</v>
      </c>
      <c r="AE1036" s="203">
        <v>785</v>
      </c>
      <c r="AF1036" s="202">
        <f>6238.91*AE1036/I1036</f>
        <v>2372.841254844961</v>
      </c>
      <c r="AG1036" s="203">
        <v>0</v>
      </c>
      <c r="AH1036" s="202">
        <v>0</v>
      </c>
      <c r="AI1036" s="203">
        <v>0</v>
      </c>
      <c r="AJ1036" s="202">
        <v>0</v>
      </c>
      <c r="AK1036" s="203">
        <v>0</v>
      </c>
      <c r="AL1036" s="203">
        <v>0</v>
      </c>
      <c r="AM1036" s="203">
        <v>0</v>
      </c>
      <c r="AN1036" s="203"/>
      <c r="AO1036" s="203">
        <v>0</v>
      </c>
    </row>
    <row r="1037" spans="1:191" s="176" customFormat="1" ht="36" customHeight="1" x14ac:dyDescent="0.25">
      <c r="B1037" s="172" t="s">
        <v>845</v>
      </c>
      <c r="C1037" s="172"/>
      <c r="D1037" s="173" t="s">
        <v>882</v>
      </c>
      <c r="E1037" s="173" t="s">
        <v>882</v>
      </c>
      <c r="F1037" s="173" t="s">
        <v>882</v>
      </c>
      <c r="G1037" s="173" t="s">
        <v>882</v>
      </c>
      <c r="H1037" s="173" t="s">
        <v>882</v>
      </c>
      <c r="I1037" s="177">
        <f>SUM(I1038:I1043)</f>
        <v>22450.780000000002</v>
      </c>
      <c r="J1037" s="177">
        <f>SUM(J1038:J1043)</f>
        <v>17809.669999999998</v>
      </c>
      <c r="K1037" s="177">
        <f>SUM(K1038:K1043)</f>
        <v>15033.87</v>
      </c>
      <c r="L1037" s="357">
        <f>SUM(L1038:L1043)</f>
        <v>905</v>
      </c>
      <c r="M1037" s="173" t="s">
        <v>882</v>
      </c>
      <c r="N1037" s="173" t="s">
        <v>882</v>
      </c>
      <c r="O1037" s="175" t="s">
        <v>882</v>
      </c>
      <c r="P1037" s="170">
        <v>32249890.369999997</v>
      </c>
      <c r="Q1037" s="170">
        <f>SUM(Q1038:Q1043)</f>
        <v>0</v>
      </c>
      <c r="R1037" s="170">
        <f>SUM(R1038:R1043)</f>
        <v>0</v>
      </c>
      <c r="S1037" s="170">
        <f>SUM(S1038:S1043)</f>
        <v>32249890.369999997</v>
      </c>
      <c r="T1037" s="170">
        <f t="shared" si="172"/>
        <v>1436.4708206129139</v>
      </c>
      <c r="U1037" s="170">
        <f>MAX(U1038:U1043)</f>
        <v>8773.5968648832859</v>
      </c>
      <c r="V1037" s="202">
        <f t="shared" si="168"/>
        <v>7337.1260442703715</v>
      </c>
      <c r="W1037" s="202"/>
      <c r="X1037" s="202"/>
      <c r="Y1037" s="203"/>
      <c r="Z1037" s="203"/>
      <c r="AA1037" s="203"/>
      <c r="AB1037" s="203"/>
      <c r="AC1037" s="203"/>
      <c r="AD1037" s="203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</row>
    <row r="1038" spans="1:191" s="176" customFormat="1" ht="36" customHeight="1" x14ac:dyDescent="0.25">
      <c r="A1038" s="176">
        <v>1</v>
      </c>
      <c r="B1038" s="171">
        <f>SUBTOTAL(103,$A$552:A1038)</f>
        <v>433</v>
      </c>
      <c r="C1038" s="172" t="s">
        <v>146</v>
      </c>
      <c r="D1038" s="173">
        <v>1989</v>
      </c>
      <c r="E1038" s="173"/>
      <c r="F1038" s="174" t="s">
        <v>287</v>
      </c>
      <c r="G1038" s="173">
        <v>5</v>
      </c>
      <c r="H1038" s="173" t="s">
        <v>351</v>
      </c>
      <c r="I1038" s="177">
        <v>3901.1</v>
      </c>
      <c r="J1038" s="177">
        <v>3901.1</v>
      </c>
      <c r="K1038" s="177">
        <v>2252.1999999999998</v>
      </c>
      <c r="L1038" s="206">
        <v>188</v>
      </c>
      <c r="M1038" s="173" t="s">
        <v>265</v>
      </c>
      <c r="N1038" s="173" t="s">
        <v>291</v>
      </c>
      <c r="O1038" s="175" t="s">
        <v>295</v>
      </c>
      <c r="P1038" s="170">
        <v>5635592.7800000003</v>
      </c>
      <c r="Q1038" s="170">
        <v>0</v>
      </c>
      <c r="R1038" s="170">
        <v>0</v>
      </c>
      <c r="S1038" s="170">
        <f t="shared" ref="S1038:S1043" si="173">P1038-Q1038-R1038</f>
        <v>5635592.7800000003</v>
      </c>
      <c r="T1038" s="170">
        <f t="shared" si="172"/>
        <v>1444.6163338545539</v>
      </c>
      <c r="U1038" s="170">
        <v>1817.8895065494348</v>
      </c>
      <c r="V1038" s="202">
        <f t="shared" si="168"/>
        <v>373.27317269488094</v>
      </c>
      <c r="W1038" s="202">
        <f t="shared" ref="W1038:W1043" si="174">X1038+Y1038+Z1038+AA1038+AB1038+AD1038+AF1038+AH1038+AJ1038+AL1038+AN1038+AO1038</f>
        <v>1762.0750654943477</v>
      </c>
      <c r="X1038" s="202">
        <v>0</v>
      </c>
      <c r="Y1038" s="203">
        <v>0</v>
      </c>
      <c r="Z1038" s="203">
        <v>0</v>
      </c>
      <c r="AA1038" s="203">
        <v>0</v>
      </c>
      <c r="AB1038" s="203">
        <v>0</v>
      </c>
      <c r="AC1038" s="203">
        <v>0</v>
      </c>
      <c r="AD1038" s="203">
        <v>0</v>
      </c>
      <c r="AE1038" s="203">
        <v>1101.8</v>
      </c>
      <c r="AF1038" s="202">
        <f t="shared" ref="AF1038:AF1043" si="175">6238.91*AE1038/I1038</f>
        <v>1762.0750654943477</v>
      </c>
      <c r="AG1038" s="203">
        <v>0</v>
      </c>
      <c r="AH1038" s="202">
        <v>0</v>
      </c>
      <c r="AI1038" s="203">
        <v>0</v>
      </c>
      <c r="AJ1038" s="202">
        <v>0</v>
      </c>
      <c r="AK1038" s="203">
        <v>0</v>
      </c>
      <c r="AL1038" s="203">
        <v>0</v>
      </c>
      <c r="AM1038" s="203">
        <v>0</v>
      </c>
      <c r="AN1038" s="203"/>
      <c r="AO1038" s="203">
        <v>0</v>
      </c>
    </row>
    <row r="1039" spans="1:191" s="176" customFormat="1" ht="36" customHeight="1" x14ac:dyDescent="0.25">
      <c r="A1039" s="176">
        <v>1</v>
      </c>
      <c r="B1039" s="171">
        <f>SUBTOTAL(103,$A$552:A1039)</f>
        <v>434</v>
      </c>
      <c r="C1039" s="172" t="s">
        <v>157</v>
      </c>
      <c r="D1039" s="173">
        <v>1975</v>
      </c>
      <c r="E1039" s="173"/>
      <c r="F1039" s="174" t="s">
        <v>287</v>
      </c>
      <c r="G1039" s="173">
        <v>5</v>
      </c>
      <c r="H1039" s="173" t="s">
        <v>2250</v>
      </c>
      <c r="I1039" s="177">
        <v>8270.9699999999993</v>
      </c>
      <c r="J1039" s="177">
        <v>6155.11</v>
      </c>
      <c r="K1039" s="177">
        <v>6155.11</v>
      </c>
      <c r="L1039" s="206">
        <v>231</v>
      </c>
      <c r="M1039" s="173" t="s">
        <v>265</v>
      </c>
      <c r="N1039" s="173" t="s">
        <v>269</v>
      </c>
      <c r="O1039" s="175" t="s">
        <v>294</v>
      </c>
      <c r="P1039" s="170">
        <v>6774880.0600000005</v>
      </c>
      <c r="Q1039" s="170">
        <v>0</v>
      </c>
      <c r="R1039" s="170">
        <v>0</v>
      </c>
      <c r="S1039" s="170">
        <f t="shared" si="173"/>
        <v>6774880.0600000005</v>
      </c>
      <c r="T1039" s="170">
        <f t="shared" si="172"/>
        <v>819.11554025706789</v>
      </c>
      <c r="U1039" s="170">
        <v>1199.8790686582106</v>
      </c>
      <c r="V1039" s="202">
        <f>U1039-T1039</f>
        <v>380.76352840114271</v>
      </c>
      <c r="W1039" s="202">
        <f t="shared" si="174"/>
        <v>1163.0393271284988</v>
      </c>
      <c r="X1039" s="202">
        <v>0</v>
      </c>
      <c r="Y1039" s="203">
        <v>0</v>
      </c>
      <c r="Z1039" s="203">
        <v>0</v>
      </c>
      <c r="AA1039" s="203">
        <v>0</v>
      </c>
      <c r="AB1039" s="203">
        <v>0</v>
      </c>
      <c r="AC1039" s="203">
        <v>0</v>
      </c>
      <c r="AD1039" s="203">
        <v>0</v>
      </c>
      <c r="AE1039" s="203">
        <v>1541.85</v>
      </c>
      <c r="AF1039" s="202">
        <f t="shared" si="175"/>
        <v>1163.0393271284988</v>
      </c>
      <c r="AG1039" s="203">
        <v>0</v>
      </c>
      <c r="AH1039" s="202">
        <v>0</v>
      </c>
      <c r="AI1039" s="203">
        <v>0</v>
      </c>
      <c r="AJ1039" s="202">
        <v>0</v>
      </c>
      <c r="AK1039" s="203">
        <v>0</v>
      </c>
      <c r="AL1039" s="203">
        <v>0</v>
      </c>
      <c r="AM1039" s="203">
        <v>0</v>
      </c>
      <c r="AN1039" s="203"/>
      <c r="AO1039" s="203">
        <v>0</v>
      </c>
    </row>
    <row r="1040" spans="1:191" s="144" customFormat="1" ht="36" customHeight="1" x14ac:dyDescent="0.25">
      <c r="A1040" s="176">
        <v>1</v>
      </c>
      <c r="B1040" s="171">
        <f>SUBTOTAL(103,$A$552:A1040)</f>
        <v>435</v>
      </c>
      <c r="C1040" s="184" t="s">
        <v>158</v>
      </c>
      <c r="D1040" s="173">
        <v>1979</v>
      </c>
      <c r="E1040" s="173"/>
      <c r="F1040" s="185" t="s">
        <v>267</v>
      </c>
      <c r="G1040" s="173">
        <v>2</v>
      </c>
      <c r="H1040" s="173" t="s">
        <v>312</v>
      </c>
      <c r="I1040" s="177">
        <v>1556.1</v>
      </c>
      <c r="J1040" s="177">
        <v>863</v>
      </c>
      <c r="K1040" s="177">
        <v>863</v>
      </c>
      <c r="L1040" s="208">
        <v>32</v>
      </c>
      <c r="M1040" s="173" t="s">
        <v>265</v>
      </c>
      <c r="N1040" s="173" t="s">
        <v>269</v>
      </c>
      <c r="O1040" s="173" t="s">
        <v>294</v>
      </c>
      <c r="P1040" s="177">
        <v>3810781.02</v>
      </c>
      <c r="Q1040" s="177">
        <v>0</v>
      </c>
      <c r="R1040" s="177">
        <v>0</v>
      </c>
      <c r="S1040" s="177">
        <f t="shared" si="173"/>
        <v>3810781.02</v>
      </c>
      <c r="T1040" s="170">
        <f t="shared" si="172"/>
        <v>2448.9306728359361</v>
      </c>
      <c r="U1040" s="170">
        <v>3068.2819797570846</v>
      </c>
      <c r="V1040" s="202">
        <f>U1040-T1040</f>
        <v>619.35130692114853</v>
      </c>
      <c r="W1040" s="202">
        <f t="shared" si="174"/>
        <v>2974.0768902384166</v>
      </c>
      <c r="X1040" s="202">
        <v>0</v>
      </c>
      <c r="Y1040" s="203">
        <v>0</v>
      </c>
      <c r="Z1040" s="203">
        <v>0</v>
      </c>
      <c r="AA1040" s="203">
        <v>0</v>
      </c>
      <c r="AB1040" s="203">
        <v>0</v>
      </c>
      <c r="AC1040" s="203">
        <v>0</v>
      </c>
      <c r="AD1040" s="203">
        <v>0</v>
      </c>
      <c r="AE1040" s="203">
        <v>741.79</v>
      </c>
      <c r="AF1040" s="202">
        <f t="shared" si="175"/>
        <v>2974.0768902384166</v>
      </c>
      <c r="AG1040" s="203">
        <v>0</v>
      </c>
      <c r="AH1040" s="202">
        <v>0</v>
      </c>
      <c r="AI1040" s="203">
        <v>0</v>
      </c>
      <c r="AJ1040" s="202">
        <v>0</v>
      </c>
      <c r="AK1040" s="203">
        <v>0</v>
      </c>
      <c r="AL1040" s="203">
        <v>0</v>
      </c>
      <c r="AM1040" s="203">
        <v>0</v>
      </c>
      <c r="AN1040" s="203"/>
      <c r="AO1040" s="203">
        <v>0</v>
      </c>
      <c r="AP1040" s="176"/>
      <c r="DQ1040" s="186"/>
      <c r="DR1040" s="186"/>
      <c r="DS1040" s="186"/>
      <c r="EP1040" s="187"/>
      <c r="FS1040" s="188"/>
      <c r="GI1040" s="189"/>
    </row>
    <row r="1041" spans="1:191" s="176" customFormat="1" ht="36" customHeight="1" x14ac:dyDescent="0.25">
      <c r="A1041" s="176">
        <v>1</v>
      </c>
      <c r="B1041" s="171">
        <f>SUBTOTAL(103,$A$552:A1041)</f>
        <v>436</v>
      </c>
      <c r="C1041" s="172" t="s">
        <v>1247</v>
      </c>
      <c r="D1041" s="173">
        <v>1928</v>
      </c>
      <c r="E1041" s="173"/>
      <c r="F1041" s="174" t="s">
        <v>267</v>
      </c>
      <c r="G1041" s="173">
        <v>3</v>
      </c>
      <c r="H1041" s="173" t="s">
        <v>312</v>
      </c>
      <c r="I1041" s="177">
        <v>1739</v>
      </c>
      <c r="J1041" s="177">
        <v>1665.2</v>
      </c>
      <c r="K1041" s="177">
        <v>538.29999999999995</v>
      </c>
      <c r="L1041" s="206">
        <v>235</v>
      </c>
      <c r="M1041" s="173" t="s">
        <v>265</v>
      </c>
      <c r="N1041" s="173" t="s">
        <v>269</v>
      </c>
      <c r="O1041" s="175" t="s">
        <v>288</v>
      </c>
      <c r="P1041" s="170">
        <v>4749951.8099999996</v>
      </c>
      <c r="Q1041" s="170">
        <v>0</v>
      </c>
      <c r="R1041" s="170">
        <v>0</v>
      </c>
      <c r="S1041" s="170">
        <f t="shared" si="173"/>
        <v>4749951.8099999996</v>
      </c>
      <c r="T1041" s="170">
        <f t="shared" si="172"/>
        <v>2731.4271477860839</v>
      </c>
      <c r="U1041" s="170">
        <v>4089.9169925244391</v>
      </c>
      <c r="V1041" s="202">
        <f t="shared" si="168"/>
        <v>1358.4898447383553</v>
      </c>
      <c r="W1041" s="202">
        <f t="shared" si="174"/>
        <v>5531.6063159861978</v>
      </c>
      <c r="X1041" s="202">
        <v>0</v>
      </c>
      <c r="Y1041" s="203">
        <v>0</v>
      </c>
      <c r="Z1041" s="203">
        <v>0</v>
      </c>
      <c r="AA1041" s="203">
        <v>0</v>
      </c>
      <c r="AB1041" s="203">
        <v>0</v>
      </c>
      <c r="AC1041" s="203">
        <v>0</v>
      </c>
      <c r="AD1041" s="203">
        <v>0</v>
      </c>
      <c r="AE1041" s="203">
        <v>1541.85</v>
      </c>
      <c r="AF1041" s="202">
        <f t="shared" si="175"/>
        <v>5531.6063159861978</v>
      </c>
      <c r="AG1041" s="203">
        <v>0</v>
      </c>
      <c r="AH1041" s="202">
        <v>0</v>
      </c>
      <c r="AI1041" s="203">
        <v>0</v>
      </c>
      <c r="AJ1041" s="202">
        <v>0</v>
      </c>
      <c r="AK1041" s="203">
        <v>0</v>
      </c>
      <c r="AL1041" s="203">
        <v>0</v>
      </c>
      <c r="AM1041" s="203">
        <v>0</v>
      </c>
      <c r="AN1041" s="203"/>
      <c r="AO1041" s="203">
        <v>0</v>
      </c>
    </row>
    <row r="1042" spans="1:191" s="144" customFormat="1" ht="36" customHeight="1" x14ac:dyDescent="0.25">
      <c r="A1042" s="176">
        <v>1</v>
      </c>
      <c r="B1042" s="171">
        <f>SUBTOTAL(103,$A$552:A1042)</f>
        <v>437</v>
      </c>
      <c r="C1042" s="184" t="s">
        <v>1940</v>
      </c>
      <c r="D1042" s="173">
        <v>1991</v>
      </c>
      <c r="E1042" s="173"/>
      <c r="F1042" s="185" t="s">
        <v>318</v>
      </c>
      <c r="G1042" s="173" t="s">
        <v>351</v>
      </c>
      <c r="H1042" s="173" t="s">
        <v>370</v>
      </c>
      <c r="I1042" s="177">
        <v>6396.71</v>
      </c>
      <c r="J1042" s="177">
        <v>4687.3900000000003</v>
      </c>
      <c r="K1042" s="177">
        <v>4687.3900000000003</v>
      </c>
      <c r="L1042" s="208">
        <v>185</v>
      </c>
      <c r="M1042" s="173" t="s">
        <v>265</v>
      </c>
      <c r="N1042" s="173" t="s">
        <v>269</v>
      </c>
      <c r="O1042" s="173" t="s">
        <v>294</v>
      </c>
      <c r="P1042" s="177">
        <v>6346289.7000000002</v>
      </c>
      <c r="Q1042" s="177">
        <v>0</v>
      </c>
      <c r="R1042" s="177">
        <v>0</v>
      </c>
      <c r="S1042" s="177">
        <f t="shared" si="173"/>
        <v>6346289.7000000002</v>
      </c>
      <c r="T1042" s="170">
        <f t="shared" si="172"/>
        <v>992.11777616931204</v>
      </c>
      <c r="U1042" s="170">
        <v>1240.8968870872682</v>
      </c>
      <c r="V1042" s="202">
        <f t="shared" si="168"/>
        <v>248.77911091795613</v>
      </c>
      <c r="W1042" s="202">
        <f t="shared" si="174"/>
        <v>723.49083339716822</v>
      </c>
      <c r="X1042" s="202">
        <v>0</v>
      </c>
      <c r="Y1042" s="203">
        <v>0</v>
      </c>
      <c r="Z1042" s="203">
        <v>0</v>
      </c>
      <c r="AA1042" s="203">
        <v>0</v>
      </c>
      <c r="AB1042" s="203">
        <v>0</v>
      </c>
      <c r="AC1042" s="203">
        <v>0</v>
      </c>
      <c r="AD1042" s="203">
        <v>0</v>
      </c>
      <c r="AE1042" s="203">
        <v>741.79</v>
      </c>
      <c r="AF1042" s="202">
        <f t="shared" si="175"/>
        <v>723.49083339716822</v>
      </c>
      <c r="AG1042" s="203">
        <v>0</v>
      </c>
      <c r="AH1042" s="202">
        <v>0</v>
      </c>
      <c r="AI1042" s="203">
        <v>0</v>
      </c>
      <c r="AJ1042" s="202">
        <v>0</v>
      </c>
      <c r="AK1042" s="203">
        <v>0</v>
      </c>
      <c r="AL1042" s="203">
        <v>0</v>
      </c>
      <c r="AM1042" s="203">
        <v>0</v>
      </c>
      <c r="AN1042" s="203"/>
      <c r="AO1042" s="203">
        <v>0</v>
      </c>
      <c r="AP1042" s="176"/>
      <c r="DQ1042" s="186"/>
      <c r="DR1042" s="186"/>
      <c r="DS1042" s="186"/>
      <c r="EP1042" s="187"/>
      <c r="FS1042" s="188"/>
      <c r="GI1042" s="189"/>
    </row>
    <row r="1043" spans="1:191" s="144" customFormat="1" ht="36" customHeight="1" x14ac:dyDescent="0.25">
      <c r="A1043" s="176">
        <v>1</v>
      </c>
      <c r="B1043" s="171">
        <f>SUBTOTAL(103,$A$552:A1043)</f>
        <v>438</v>
      </c>
      <c r="C1043" s="184" t="s">
        <v>2295</v>
      </c>
      <c r="D1043" s="173">
        <v>1956</v>
      </c>
      <c r="E1043" s="173"/>
      <c r="F1043" s="174" t="s">
        <v>267</v>
      </c>
      <c r="G1043" s="173">
        <v>2</v>
      </c>
      <c r="H1043" s="173">
        <v>2</v>
      </c>
      <c r="I1043" s="177">
        <v>586.9</v>
      </c>
      <c r="J1043" s="177">
        <v>537.87</v>
      </c>
      <c r="K1043" s="177">
        <v>537.87</v>
      </c>
      <c r="L1043" s="208">
        <v>34</v>
      </c>
      <c r="M1043" s="173" t="s">
        <v>265</v>
      </c>
      <c r="N1043" s="173" t="s">
        <v>266</v>
      </c>
      <c r="O1043" s="175" t="s">
        <v>268</v>
      </c>
      <c r="P1043" s="177">
        <v>4932395</v>
      </c>
      <c r="Q1043" s="177">
        <v>0</v>
      </c>
      <c r="R1043" s="177">
        <v>0</v>
      </c>
      <c r="S1043" s="177">
        <f t="shared" si="173"/>
        <v>4932395</v>
      </c>
      <c r="T1043" s="170">
        <f t="shared" si="172"/>
        <v>8404.1489180439603</v>
      </c>
      <c r="U1043" s="170">
        <v>8773.5968648832859</v>
      </c>
      <c r="V1043" s="202">
        <f t="shared" si="168"/>
        <v>369.4479468393256</v>
      </c>
      <c r="W1043" s="202">
        <f t="shared" si="174"/>
        <v>7885.4337176691088</v>
      </c>
      <c r="X1043" s="202">
        <v>0</v>
      </c>
      <c r="Y1043" s="203">
        <v>0</v>
      </c>
      <c r="Z1043" s="203">
        <v>0</v>
      </c>
      <c r="AA1043" s="203">
        <v>0</v>
      </c>
      <c r="AB1043" s="203">
        <v>0</v>
      </c>
      <c r="AC1043" s="203">
        <v>0</v>
      </c>
      <c r="AD1043" s="203">
        <v>0</v>
      </c>
      <c r="AE1043" s="203">
        <v>741.79</v>
      </c>
      <c r="AF1043" s="202">
        <f t="shared" si="175"/>
        <v>7885.4337176691088</v>
      </c>
      <c r="AG1043" s="203">
        <v>0</v>
      </c>
      <c r="AH1043" s="202">
        <v>0</v>
      </c>
      <c r="AI1043" s="203">
        <v>0</v>
      </c>
      <c r="AJ1043" s="202">
        <v>0</v>
      </c>
      <c r="AK1043" s="203">
        <v>0</v>
      </c>
      <c r="AL1043" s="203">
        <v>0</v>
      </c>
      <c r="AM1043" s="203">
        <v>0</v>
      </c>
      <c r="AN1043" s="203"/>
      <c r="AO1043" s="203">
        <v>0</v>
      </c>
      <c r="AP1043" s="176"/>
      <c r="DQ1043" s="186"/>
      <c r="DR1043" s="186"/>
      <c r="DS1043" s="186"/>
      <c r="EP1043" s="187"/>
      <c r="FS1043" s="188"/>
      <c r="GI1043" s="189"/>
    </row>
    <row r="1044" spans="1:191" s="176" customFormat="1" ht="36" customHeight="1" x14ac:dyDescent="0.25">
      <c r="B1044" s="172" t="s">
        <v>846</v>
      </c>
      <c r="C1044" s="359"/>
      <c r="D1044" s="173" t="s">
        <v>882</v>
      </c>
      <c r="E1044" s="173" t="s">
        <v>882</v>
      </c>
      <c r="F1044" s="173" t="s">
        <v>882</v>
      </c>
      <c r="G1044" s="173" t="s">
        <v>882</v>
      </c>
      <c r="H1044" s="173" t="s">
        <v>882</v>
      </c>
      <c r="I1044" s="177">
        <f>SUM(I1045:I1047)</f>
        <v>4721.28</v>
      </c>
      <c r="J1044" s="177">
        <f>SUM(J1045:J1047)</f>
        <v>3756.3999999999996</v>
      </c>
      <c r="K1044" s="177">
        <f>SUM(K1045:K1047)</f>
        <v>3632.2</v>
      </c>
      <c r="L1044" s="357">
        <f>SUM(L1045:L1047)</f>
        <v>152</v>
      </c>
      <c r="M1044" s="173" t="s">
        <v>882</v>
      </c>
      <c r="N1044" s="173" t="s">
        <v>882</v>
      </c>
      <c r="O1044" s="175" t="s">
        <v>882</v>
      </c>
      <c r="P1044" s="170">
        <v>14837581.219999999</v>
      </c>
      <c r="Q1044" s="170">
        <f>SUM(Q1045:Q1047)</f>
        <v>0</v>
      </c>
      <c r="R1044" s="170">
        <f>SUM(R1045:R1047)</f>
        <v>0</v>
      </c>
      <c r="S1044" s="170">
        <f>SUM(S1045:S1047)</f>
        <v>14837581.219999999</v>
      </c>
      <c r="T1044" s="170">
        <f t="shared" si="172"/>
        <v>3142.7030847566762</v>
      </c>
      <c r="U1044" s="170">
        <f>MAX(U1045:U1047)</f>
        <v>24211.803609771378</v>
      </c>
      <c r="V1044" s="202">
        <f t="shared" si="168"/>
        <v>21069.100525014703</v>
      </c>
      <c r="W1044" s="202"/>
      <c r="X1044" s="202"/>
      <c r="Y1044" s="203"/>
      <c r="Z1044" s="203"/>
      <c r="AA1044" s="203"/>
      <c r="AB1044" s="203"/>
      <c r="AC1044" s="203"/>
      <c r="AD1044" s="203"/>
      <c r="AE1044" s="203"/>
      <c r="AF1044" s="203"/>
      <c r="AG1044" s="203"/>
      <c r="AH1044" s="203"/>
      <c r="AI1044" s="203"/>
      <c r="AJ1044" s="203"/>
      <c r="AK1044" s="203"/>
      <c r="AL1044" s="203"/>
      <c r="AM1044" s="203"/>
      <c r="AN1044" s="203"/>
      <c r="AO1044" s="203"/>
    </row>
    <row r="1045" spans="1:191" s="176" customFormat="1" ht="36" customHeight="1" x14ac:dyDescent="0.25">
      <c r="A1045" s="176">
        <v>1</v>
      </c>
      <c r="B1045" s="171">
        <f>SUBTOTAL(103,$A$552:A1045)</f>
        <v>439</v>
      </c>
      <c r="C1045" s="172" t="s">
        <v>96</v>
      </c>
      <c r="D1045" s="173">
        <v>1967</v>
      </c>
      <c r="E1045" s="173"/>
      <c r="F1045" s="174" t="s">
        <v>267</v>
      </c>
      <c r="G1045" s="173">
        <v>2</v>
      </c>
      <c r="H1045" s="173" t="s">
        <v>312</v>
      </c>
      <c r="I1045" s="177">
        <v>987</v>
      </c>
      <c r="J1045" s="177">
        <v>987</v>
      </c>
      <c r="K1045" s="177">
        <v>915.8</v>
      </c>
      <c r="L1045" s="206">
        <v>20</v>
      </c>
      <c r="M1045" s="173" t="s">
        <v>265</v>
      </c>
      <c r="N1045" s="173" t="s">
        <v>269</v>
      </c>
      <c r="O1045" s="175" t="s">
        <v>282</v>
      </c>
      <c r="P1045" s="170">
        <v>4020786</v>
      </c>
      <c r="Q1045" s="170">
        <v>0</v>
      </c>
      <c r="R1045" s="170">
        <v>0</v>
      </c>
      <c r="S1045" s="170">
        <f>P1045-Q1045-R1045</f>
        <v>4020786</v>
      </c>
      <c r="T1045" s="170">
        <f t="shared" si="172"/>
        <v>4073.744680851064</v>
      </c>
      <c r="U1045" s="170">
        <v>5021.4063829787228</v>
      </c>
      <c r="V1045" s="202">
        <f t="shared" si="168"/>
        <v>947.66170212765883</v>
      </c>
      <c r="W1045" s="202">
        <f>X1045+Y1045+Z1045+AA1045+AB1045+AD1045+AF1045+AH1045+AJ1045+AL1045+AN1045+AO1045</f>
        <v>4867.2347517730495</v>
      </c>
      <c r="X1045" s="202">
        <v>0</v>
      </c>
      <c r="Y1045" s="203">
        <v>0</v>
      </c>
      <c r="Z1045" s="203">
        <v>0</v>
      </c>
      <c r="AA1045" s="203">
        <v>0</v>
      </c>
      <c r="AB1045" s="203">
        <v>0</v>
      </c>
      <c r="AC1045" s="203">
        <v>0</v>
      </c>
      <c r="AD1045" s="203">
        <v>0</v>
      </c>
      <c r="AE1045" s="203">
        <v>770</v>
      </c>
      <c r="AF1045" s="202">
        <f>6238.91*AE1045/I1045</f>
        <v>4867.2347517730495</v>
      </c>
      <c r="AG1045" s="203">
        <v>0</v>
      </c>
      <c r="AH1045" s="202">
        <v>0</v>
      </c>
      <c r="AI1045" s="203">
        <v>0</v>
      </c>
      <c r="AJ1045" s="202">
        <v>0</v>
      </c>
      <c r="AK1045" s="203">
        <v>0</v>
      </c>
      <c r="AL1045" s="203">
        <v>0</v>
      </c>
      <c r="AM1045" s="203">
        <v>0</v>
      </c>
      <c r="AN1045" s="203"/>
      <c r="AO1045" s="203">
        <v>0</v>
      </c>
    </row>
    <row r="1046" spans="1:191" s="176" customFormat="1" ht="36" customHeight="1" x14ac:dyDescent="0.25">
      <c r="A1046" s="176">
        <v>1</v>
      </c>
      <c r="B1046" s="171">
        <f>SUBTOTAL(103,$A$552:A1046)</f>
        <v>440</v>
      </c>
      <c r="C1046" s="172" t="s">
        <v>95</v>
      </c>
      <c r="D1046" s="173">
        <v>1971</v>
      </c>
      <c r="E1046" s="173"/>
      <c r="F1046" s="174" t="s">
        <v>267</v>
      </c>
      <c r="G1046" s="173">
        <v>5</v>
      </c>
      <c r="H1046" s="173" t="s">
        <v>308</v>
      </c>
      <c r="I1046" s="177">
        <v>3414.98</v>
      </c>
      <c r="J1046" s="177">
        <v>2564.1999999999998</v>
      </c>
      <c r="K1046" s="177">
        <v>2564.1999999999998</v>
      </c>
      <c r="L1046" s="206">
        <v>118</v>
      </c>
      <c r="M1046" s="173" t="s">
        <v>265</v>
      </c>
      <c r="N1046" s="173" t="s">
        <v>269</v>
      </c>
      <c r="O1046" s="175" t="s">
        <v>280</v>
      </c>
      <c r="P1046" s="170">
        <v>5034262.3099999996</v>
      </c>
      <c r="Q1046" s="170">
        <v>0</v>
      </c>
      <c r="R1046" s="170">
        <v>0</v>
      </c>
      <c r="S1046" s="170">
        <f>P1046-Q1046-R1046</f>
        <v>5034262.3099999996</v>
      </c>
      <c r="T1046" s="170">
        <f t="shared" si="172"/>
        <v>1474.1703641016929</v>
      </c>
      <c r="U1046" s="170">
        <v>1805.6315820297627</v>
      </c>
      <c r="V1046" s="202">
        <f>U1046-T1046</f>
        <v>331.4612179280698</v>
      </c>
      <c r="W1046" s="202">
        <f>X1046+Y1046+Z1046+AA1046+AB1046+AD1046+AF1046+AH1046+AJ1046+AL1046+AN1046+AO1046</f>
        <v>1750.1934945446239</v>
      </c>
      <c r="X1046" s="202">
        <v>0</v>
      </c>
      <c r="Y1046" s="203">
        <v>0</v>
      </c>
      <c r="Z1046" s="203">
        <v>0</v>
      </c>
      <c r="AA1046" s="203">
        <v>0</v>
      </c>
      <c r="AB1046" s="203">
        <v>0</v>
      </c>
      <c r="AC1046" s="203">
        <v>0</v>
      </c>
      <c r="AD1046" s="203">
        <v>0</v>
      </c>
      <c r="AE1046" s="203">
        <v>958</v>
      </c>
      <c r="AF1046" s="202">
        <f>6238.91*AE1046/I1046</f>
        <v>1750.1934945446239</v>
      </c>
      <c r="AG1046" s="203">
        <v>0</v>
      </c>
      <c r="AH1046" s="202">
        <v>0</v>
      </c>
      <c r="AI1046" s="203">
        <v>0</v>
      </c>
      <c r="AJ1046" s="202">
        <v>0</v>
      </c>
      <c r="AK1046" s="203">
        <v>0</v>
      </c>
      <c r="AL1046" s="203">
        <v>0</v>
      </c>
      <c r="AM1046" s="203">
        <v>0</v>
      </c>
      <c r="AN1046" s="203"/>
      <c r="AO1046" s="203">
        <v>0</v>
      </c>
    </row>
    <row r="1047" spans="1:191" s="176" customFormat="1" ht="36" customHeight="1" x14ac:dyDescent="0.25">
      <c r="A1047" s="176">
        <v>1</v>
      </c>
      <c r="B1047" s="171">
        <f>SUBTOTAL(103,$A$552:A1047)</f>
        <v>441</v>
      </c>
      <c r="C1047" s="172" t="s">
        <v>1253</v>
      </c>
      <c r="D1047" s="173">
        <v>1917</v>
      </c>
      <c r="E1047" s="173"/>
      <c r="F1047" s="174" t="s">
        <v>267</v>
      </c>
      <c r="G1047" s="173">
        <v>2</v>
      </c>
      <c r="H1047" s="173" t="s">
        <v>304</v>
      </c>
      <c r="I1047" s="170">
        <v>319.3</v>
      </c>
      <c r="J1047" s="170">
        <v>205.2</v>
      </c>
      <c r="K1047" s="170">
        <v>152.19999999999999</v>
      </c>
      <c r="L1047" s="206">
        <v>14</v>
      </c>
      <c r="M1047" s="173" t="s">
        <v>265</v>
      </c>
      <c r="N1047" s="173" t="s">
        <v>266</v>
      </c>
      <c r="O1047" s="175" t="s">
        <v>268</v>
      </c>
      <c r="P1047" s="170">
        <v>5782532.9099999992</v>
      </c>
      <c r="Q1047" s="170">
        <v>0</v>
      </c>
      <c r="R1047" s="170">
        <v>0</v>
      </c>
      <c r="S1047" s="170">
        <f>P1047-Q1047-R1047</f>
        <v>5782532.9099999992</v>
      </c>
      <c r="T1047" s="170">
        <f t="shared" si="172"/>
        <v>18110.031036642653</v>
      </c>
      <c r="U1047" s="170">
        <v>24211.803609771378</v>
      </c>
      <c r="V1047" s="202">
        <f>U1047-T1047</f>
        <v>6101.7725731287246</v>
      </c>
      <c r="W1047" s="202">
        <f>X1047+Y1047+Z1047+AA1047+AB1047+AD1047+AF1047+AH1047+AJ1047+AL1047+AN1047+AO1047</f>
        <v>7003.2888261822736</v>
      </c>
      <c r="X1047" s="202">
        <v>0</v>
      </c>
      <c r="Y1047" s="203">
        <v>0</v>
      </c>
      <c r="Z1047" s="203">
        <v>0</v>
      </c>
      <c r="AA1047" s="203">
        <v>0</v>
      </c>
      <c r="AB1047" s="203">
        <v>0</v>
      </c>
      <c r="AC1047" s="203">
        <v>0</v>
      </c>
      <c r="AD1047" s="203">
        <v>0</v>
      </c>
      <c r="AE1047" s="203">
        <v>358.42</v>
      </c>
      <c r="AF1047" s="202">
        <f>6238.91*AE1047/I1047</f>
        <v>7003.2888261822736</v>
      </c>
      <c r="AG1047" s="203">
        <v>0</v>
      </c>
      <c r="AH1047" s="202">
        <v>0</v>
      </c>
      <c r="AI1047" s="203">
        <v>0</v>
      </c>
      <c r="AJ1047" s="202">
        <v>0</v>
      </c>
      <c r="AK1047" s="203">
        <v>0</v>
      </c>
      <c r="AL1047" s="203">
        <v>0</v>
      </c>
      <c r="AM1047" s="203">
        <v>0</v>
      </c>
      <c r="AN1047" s="203"/>
      <c r="AO1047" s="203">
        <v>0</v>
      </c>
    </row>
    <row r="1048" spans="1:191" s="176" customFormat="1" ht="36" customHeight="1" x14ac:dyDescent="0.25">
      <c r="B1048" s="172" t="s">
        <v>847</v>
      </c>
      <c r="C1048" s="172"/>
      <c r="D1048" s="173" t="s">
        <v>882</v>
      </c>
      <c r="E1048" s="173" t="s">
        <v>882</v>
      </c>
      <c r="F1048" s="173" t="s">
        <v>882</v>
      </c>
      <c r="G1048" s="173" t="s">
        <v>882</v>
      </c>
      <c r="H1048" s="173" t="s">
        <v>882</v>
      </c>
      <c r="I1048" s="177">
        <f>I1049</f>
        <v>708.1</v>
      </c>
      <c r="J1048" s="177">
        <f>J1049</f>
        <v>708.1</v>
      </c>
      <c r="K1048" s="177">
        <f>K1049</f>
        <v>650.9</v>
      </c>
      <c r="L1048" s="357">
        <f>L1049</f>
        <v>42</v>
      </c>
      <c r="M1048" s="173" t="s">
        <v>882</v>
      </c>
      <c r="N1048" s="173" t="s">
        <v>882</v>
      </c>
      <c r="O1048" s="175" t="s">
        <v>882</v>
      </c>
      <c r="P1048" s="170">
        <v>3029954.81</v>
      </c>
      <c r="Q1048" s="170">
        <f>Q1049</f>
        <v>0</v>
      </c>
      <c r="R1048" s="170">
        <f>R1049</f>
        <v>0</v>
      </c>
      <c r="S1048" s="170">
        <f>S1049</f>
        <v>3029954.81</v>
      </c>
      <c r="T1048" s="170">
        <f t="shared" si="172"/>
        <v>4278.9928117497529</v>
      </c>
      <c r="U1048" s="170">
        <f>U1049</f>
        <v>5363.0175116508963</v>
      </c>
      <c r="V1048" s="202">
        <f t="shared" si="168"/>
        <v>1084.0246999011433</v>
      </c>
      <c r="W1048" s="202"/>
      <c r="X1048" s="202"/>
      <c r="Y1048" s="203"/>
      <c r="Z1048" s="203"/>
      <c r="AA1048" s="203"/>
      <c r="AB1048" s="203"/>
      <c r="AC1048" s="203"/>
      <c r="AD1048" s="203"/>
      <c r="AE1048" s="203"/>
      <c r="AF1048" s="203"/>
      <c r="AG1048" s="203"/>
      <c r="AH1048" s="203"/>
      <c r="AI1048" s="203"/>
      <c r="AJ1048" s="203"/>
      <c r="AK1048" s="203"/>
      <c r="AL1048" s="203"/>
      <c r="AM1048" s="203"/>
      <c r="AN1048" s="203"/>
      <c r="AO1048" s="203"/>
    </row>
    <row r="1049" spans="1:191" s="176" customFormat="1" ht="36" customHeight="1" x14ac:dyDescent="0.25">
      <c r="A1049" s="176">
        <v>1</v>
      </c>
      <c r="B1049" s="171">
        <f>SUBTOTAL(103,$A$552:A1049)</f>
        <v>442</v>
      </c>
      <c r="C1049" s="172" t="s">
        <v>97</v>
      </c>
      <c r="D1049" s="173">
        <v>1969</v>
      </c>
      <c r="E1049" s="173"/>
      <c r="F1049" s="174" t="s">
        <v>267</v>
      </c>
      <c r="G1049" s="173">
        <v>2</v>
      </c>
      <c r="H1049" s="173" t="s">
        <v>303</v>
      </c>
      <c r="I1049" s="177">
        <v>708.1</v>
      </c>
      <c r="J1049" s="177">
        <v>708.1</v>
      </c>
      <c r="K1049" s="177">
        <v>650.9</v>
      </c>
      <c r="L1049" s="206">
        <v>42</v>
      </c>
      <c r="M1049" s="173" t="s">
        <v>265</v>
      </c>
      <c r="N1049" s="173" t="s">
        <v>269</v>
      </c>
      <c r="O1049" s="175" t="s">
        <v>985</v>
      </c>
      <c r="P1049" s="170">
        <v>3029954.81</v>
      </c>
      <c r="Q1049" s="170">
        <v>0</v>
      </c>
      <c r="R1049" s="170">
        <v>0</v>
      </c>
      <c r="S1049" s="170">
        <f>P1049-Q1049-R1049</f>
        <v>3029954.81</v>
      </c>
      <c r="T1049" s="170">
        <f t="shared" si="172"/>
        <v>4278.9928117497529</v>
      </c>
      <c r="U1049" s="170">
        <v>5363.0175116508963</v>
      </c>
      <c r="V1049" s="202">
        <f>U1049-T1049</f>
        <v>1084.0246999011433</v>
      </c>
      <c r="W1049" s="202">
        <f>X1049+Y1049+Z1049+AA1049+AB1049+AD1049+AF1049+AH1049+AJ1049+AL1049+AN1049+AO1049</f>
        <v>5198.3574353904814</v>
      </c>
      <c r="X1049" s="202">
        <v>0</v>
      </c>
      <c r="Y1049" s="203">
        <v>0</v>
      </c>
      <c r="Z1049" s="203">
        <v>0</v>
      </c>
      <c r="AA1049" s="203">
        <v>0</v>
      </c>
      <c r="AB1049" s="203">
        <v>0</v>
      </c>
      <c r="AC1049" s="203">
        <v>0</v>
      </c>
      <c r="AD1049" s="203">
        <v>0</v>
      </c>
      <c r="AE1049" s="203">
        <v>590</v>
      </c>
      <c r="AF1049" s="202">
        <f>6238.91*AE1049/I1049</f>
        <v>5198.3574353904814</v>
      </c>
      <c r="AG1049" s="203">
        <v>0</v>
      </c>
      <c r="AH1049" s="202">
        <v>0</v>
      </c>
      <c r="AI1049" s="203">
        <v>0</v>
      </c>
      <c r="AJ1049" s="202">
        <v>0</v>
      </c>
      <c r="AK1049" s="203">
        <v>0</v>
      </c>
      <c r="AL1049" s="203">
        <v>0</v>
      </c>
      <c r="AM1049" s="203">
        <v>0</v>
      </c>
      <c r="AN1049" s="203"/>
      <c r="AO1049" s="203">
        <v>0</v>
      </c>
    </row>
    <row r="1050" spans="1:191" s="176" customFormat="1" ht="36" customHeight="1" x14ac:dyDescent="0.25">
      <c r="B1050" s="172" t="s">
        <v>871</v>
      </c>
      <c r="C1050" s="172"/>
      <c r="D1050" s="173" t="s">
        <v>882</v>
      </c>
      <c r="E1050" s="173" t="s">
        <v>882</v>
      </c>
      <c r="F1050" s="173" t="s">
        <v>882</v>
      </c>
      <c r="G1050" s="173" t="s">
        <v>882</v>
      </c>
      <c r="H1050" s="173" t="s">
        <v>882</v>
      </c>
      <c r="I1050" s="177">
        <f>I1051</f>
        <v>788.3</v>
      </c>
      <c r="J1050" s="177">
        <f>J1051</f>
        <v>726.9</v>
      </c>
      <c r="K1050" s="177">
        <f>K1051</f>
        <v>726.9</v>
      </c>
      <c r="L1050" s="357">
        <f>L1051</f>
        <v>16</v>
      </c>
      <c r="M1050" s="173" t="s">
        <v>882</v>
      </c>
      <c r="N1050" s="173" t="s">
        <v>882</v>
      </c>
      <c r="O1050" s="175" t="s">
        <v>882</v>
      </c>
      <c r="P1050" s="170">
        <v>4784142.67</v>
      </c>
      <c r="Q1050" s="170">
        <f>Q1051</f>
        <v>0</v>
      </c>
      <c r="R1050" s="170">
        <f>R1051</f>
        <v>0</v>
      </c>
      <c r="S1050" s="170">
        <f>S1051</f>
        <v>4784142.67</v>
      </c>
      <c r="T1050" s="170">
        <f t="shared" si="172"/>
        <v>6068.9365343143472</v>
      </c>
      <c r="U1050" s="170">
        <f>U1051</f>
        <v>6202.1616135988843</v>
      </c>
      <c r="V1050" s="202">
        <f t="shared" si="168"/>
        <v>133.22507928453706</v>
      </c>
      <c r="W1050" s="202"/>
      <c r="X1050" s="202"/>
      <c r="Y1050" s="203"/>
      <c r="Z1050" s="203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</row>
    <row r="1051" spans="1:191" s="176" customFormat="1" ht="36" customHeight="1" x14ac:dyDescent="0.25">
      <c r="A1051" s="176">
        <v>1</v>
      </c>
      <c r="B1051" s="171">
        <f>SUBTOTAL(103,$A$552:A1051)</f>
        <v>443</v>
      </c>
      <c r="C1051" s="172" t="s">
        <v>98</v>
      </c>
      <c r="D1051" s="173">
        <v>1972</v>
      </c>
      <c r="E1051" s="173"/>
      <c r="F1051" s="174" t="s">
        <v>267</v>
      </c>
      <c r="G1051" s="173">
        <v>2</v>
      </c>
      <c r="H1051" s="173" t="s">
        <v>303</v>
      </c>
      <c r="I1051" s="177">
        <v>788.3</v>
      </c>
      <c r="J1051" s="177">
        <v>726.9</v>
      </c>
      <c r="K1051" s="177">
        <v>726.9</v>
      </c>
      <c r="L1051" s="206">
        <v>16</v>
      </c>
      <c r="M1051" s="173" t="s">
        <v>265</v>
      </c>
      <c r="N1051" s="173" t="s">
        <v>283</v>
      </c>
      <c r="O1051" s="175" t="s">
        <v>268</v>
      </c>
      <c r="P1051" s="170">
        <v>4784142.67</v>
      </c>
      <c r="Q1051" s="170">
        <v>0</v>
      </c>
      <c r="R1051" s="170">
        <v>0</v>
      </c>
      <c r="S1051" s="170">
        <f>P1051-Q1051-R1051</f>
        <v>4784142.67</v>
      </c>
      <c r="T1051" s="170">
        <f t="shared" si="172"/>
        <v>6068.9365343143472</v>
      </c>
      <c r="U1051" s="170">
        <v>6202.1616135988843</v>
      </c>
      <c r="V1051" s="202">
        <f>U1051-T1051</f>
        <v>133.22507928453706</v>
      </c>
      <c r="W1051" s="202">
        <f>X1051+Y1051+Z1051+AA1051+AB1051+AD1051+AF1051+AH1051+AJ1051+AL1051+AN1051+AO1051</f>
        <v>5540.0697703919832</v>
      </c>
      <c r="X1051" s="202">
        <v>0</v>
      </c>
      <c r="Y1051" s="203">
        <v>0</v>
      </c>
      <c r="Z1051" s="203">
        <v>0</v>
      </c>
      <c r="AA1051" s="203">
        <v>0</v>
      </c>
      <c r="AB1051" s="203">
        <v>0</v>
      </c>
      <c r="AC1051" s="203">
        <v>0</v>
      </c>
      <c r="AD1051" s="203">
        <v>0</v>
      </c>
      <c r="AE1051" s="203">
        <v>700</v>
      </c>
      <c r="AF1051" s="202">
        <f>6238.91*AE1051/I1051</f>
        <v>5540.0697703919832</v>
      </c>
      <c r="AG1051" s="203">
        <v>0</v>
      </c>
      <c r="AH1051" s="202">
        <v>0</v>
      </c>
      <c r="AI1051" s="203">
        <v>0</v>
      </c>
      <c r="AJ1051" s="202">
        <v>0</v>
      </c>
      <c r="AK1051" s="203">
        <v>0</v>
      </c>
      <c r="AL1051" s="203">
        <v>0</v>
      </c>
      <c r="AM1051" s="203">
        <v>0</v>
      </c>
      <c r="AN1051" s="203"/>
      <c r="AO1051" s="203">
        <v>0</v>
      </c>
    </row>
    <row r="1052" spans="1:191" s="176" customFormat="1" ht="36" customHeight="1" x14ac:dyDescent="0.25">
      <c r="B1052" s="172" t="s">
        <v>848</v>
      </c>
      <c r="C1052" s="172"/>
      <c r="D1052" s="173" t="s">
        <v>882</v>
      </c>
      <c r="E1052" s="173" t="s">
        <v>882</v>
      </c>
      <c r="F1052" s="173" t="s">
        <v>882</v>
      </c>
      <c r="G1052" s="173" t="s">
        <v>882</v>
      </c>
      <c r="H1052" s="173" t="s">
        <v>882</v>
      </c>
      <c r="I1052" s="177">
        <f>I1053</f>
        <v>758.5</v>
      </c>
      <c r="J1052" s="177">
        <f>J1053</f>
        <v>758.5</v>
      </c>
      <c r="K1052" s="177">
        <f>K1053</f>
        <v>400</v>
      </c>
      <c r="L1052" s="357">
        <f>L1053</f>
        <v>31</v>
      </c>
      <c r="M1052" s="173" t="s">
        <v>882</v>
      </c>
      <c r="N1052" s="173" t="s">
        <v>882</v>
      </c>
      <c r="O1052" s="175" t="s">
        <v>882</v>
      </c>
      <c r="P1052" s="170">
        <v>877727.45000000007</v>
      </c>
      <c r="Q1052" s="170">
        <f>Q1053</f>
        <v>0</v>
      </c>
      <c r="R1052" s="170">
        <f>R1053</f>
        <v>0</v>
      </c>
      <c r="S1052" s="170">
        <f>S1053</f>
        <v>877727.45000000007</v>
      </c>
      <c r="T1052" s="170">
        <f t="shared" si="172"/>
        <v>1157.1884640738301</v>
      </c>
      <c r="U1052" s="170">
        <f>U1053</f>
        <v>1157.1884640738301</v>
      </c>
      <c r="V1052" s="202">
        <f>U1052-T1052</f>
        <v>0</v>
      </c>
      <c r="W1052" s="202"/>
      <c r="X1052" s="202"/>
      <c r="Y1052" s="203"/>
      <c r="Z1052" s="203"/>
      <c r="AA1052" s="203"/>
      <c r="AB1052" s="203"/>
      <c r="AC1052" s="203"/>
      <c r="AD1052" s="203"/>
      <c r="AE1052" s="203"/>
      <c r="AF1052" s="203"/>
      <c r="AG1052" s="203"/>
      <c r="AH1052" s="203"/>
      <c r="AI1052" s="203"/>
      <c r="AJ1052" s="203"/>
      <c r="AK1052" s="203"/>
      <c r="AL1052" s="203"/>
      <c r="AM1052" s="203"/>
      <c r="AN1052" s="203"/>
      <c r="AO1052" s="203"/>
    </row>
    <row r="1053" spans="1:191" s="176" customFormat="1" ht="36" customHeight="1" x14ac:dyDescent="0.25">
      <c r="A1053" s="176">
        <v>1</v>
      </c>
      <c r="B1053" s="171">
        <f>SUBTOTAL(103,$A$552:A1053)</f>
        <v>444</v>
      </c>
      <c r="C1053" s="172" t="s">
        <v>1597</v>
      </c>
      <c r="D1053" s="173">
        <v>1974</v>
      </c>
      <c r="E1053" s="173"/>
      <c r="F1053" s="174" t="s">
        <v>1332</v>
      </c>
      <c r="G1053" s="173">
        <v>2</v>
      </c>
      <c r="H1053" s="173" t="s">
        <v>312</v>
      </c>
      <c r="I1053" s="177">
        <v>758.5</v>
      </c>
      <c r="J1053" s="177">
        <v>758.5</v>
      </c>
      <c r="K1053" s="177">
        <v>400</v>
      </c>
      <c r="L1053" s="206">
        <v>31</v>
      </c>
      <c r="M1053" s="173" t="s">
        <v>265</v>
      </c>
      <c r="N1053" s="173" t="s">
        <v>266</v>
      </c>
      <c r="O1053" s="175" t="s">
        <v>268</v>
      </c>
      <c r="P1053" s="170">
        <v>877727.45000000007</v>
      </c>
      <c r="Q1053" s="170">
        <v>0</v>
      </c>
      <c r="R1053" s="170">
        <v>0</v>
      </c>
      <c r="S1053" s="170">
        <f>P1053-Q1053-R1053</f>
        <v>877727.45000000007</v>
      </c>
      <c r="T1053" s="170">
        <f t="shared" si="172"/>
        <v>1157.1884640738301</v>
      </c>
      <c r="U1053" s="170">
        <v>1157.1884640738301</v>
      </c>
      <c r="V1053" s="202">
        <f>U1053-T1053</f>
        <v>0</v>
      </c>
      <c r="W1053" s="202">
        <f>X1053+Y1053+Z1053+AA1053+AB1053+AD1053+AF1053+AH1053+AJ1053+AL1053+AN1053+AO1053</f>
        <v>5757.7284113381675</v>
      </c>
      <c r="X1053" s="202">
        <v>0</v>
      </c>
      <c r="Y1053" s="203">
        <v>0</v>
      </c>
      <c r="Z1053" s="203">
        <v>0</v>
      </c>
      <c r="AA1053" s="203">
        <v>0</v>
      </c>
      <c r="AB1053" s="203">
        <v>0</v>
      </c>
      <c r="AC1053" s="203">
        <v>0</v>
      </c>
      <c r="AD1053" s="203">
        <v>0</v>
      </c>
      <c r="AE1053" s="203">
        <v>700</v>
      </c>
      <c r="AF1053" s="202">
        <f>6238.91*AE1053/I1053</f>
        <v>5757.7284113381675</v>
      </c>
      <c r="AG1053" s="203">
        <v>0</v>
      </c>
      <c r="AH1053" s="202">
        <v>0</v>
      </c>
      <c r="AI1053" s="203">
        <v>0</v>
      </c>
      <c r="AJ1053" s="202">
        <v>0</v>
      </c>
      <c r="AK1053" s="203">
        <v>0</v>
      </c>
      <c r="AL1053" s="203">
        <v>0</v>
      </c>
      <c r="AM1053" s="203">
        <v>0</v>
      </c>
      <c r="AN1053" s="203"/>
      <c r="AO1053" s="203">
        <v>0</v>
      </c>
    </row>
    <row r="1054" spans="1:191" s="176" customFormat="1" ht="36" customHeight="1" x14ac:dyDescent="0.25">
      <c r="B1054" s="172" t="s">
        <v>849</v>
      </c>
      <c r="C1054" s="172"/>
      <c r="D1054" s="173" t="s">
        <v>882</v>
      </c>
      <c r="E1054" s="173" t="s">
        <v>882</v>
      </c>
      <c r="F1054" s="173" t="s">
        <v>882</v>
      </c>
      <c r="G1054" s="173" t="s">
        <v>882</v>
      </c>
      <c r="H1054" s="173" t="s">
        <v>882</v>
      </c>
      <c r="I1054" s="177">
        <f>I1055</f>
        <v>707.1</v>
      </c>
      <c r="J1054" s="177">
        <f>J1055</f>
        <v>649.5</v>
      </c>
      <c r="K1054" s="177">
        <f>K1055</f>
        <v>464</v>
      </c>
      <c r="L1054" s="357">
        <f>L1055</f>
        <v>16</v>
      </c>
      <c r="M1054" s="173" t="s">
        <v>882</v>
      </c>
      <c r="N1054" s="173" t="s">
        <v>882</v>
      </c>
      <c r="O1054" s="175" t="s">
        <v>882</v>
      </c>
      <c r="P1054" s="170">
        <v>3108475.73</v>
      </c>
      <c r="Q1054" s="170">
        <f>Q1055</f>
        <v>0</v>
      </c>
      <c r="R1054" s="170">
        <f>R1055</f>
        <v>0</v>
      </c>
      <c r="S1054" s="170">
        <f>S1055</f>
        <v>3108475.73</v>
      </c>
      <c r="T1054" s="170">
        <f t="shared" si="172"/>
        <v>4396.090694385518</v>
      </c>
      <c r="U1054" s="170">
        <f>U1055</f>
        <v>5370.6020364870592</v>
      </c>
      <c r="V1054" s="202">
        <f t="shared" si="168"/>
        <v>974.51134210154123</v>
      </c>
      <c r="W1054" s="202"/>
      <c r="X1054" s="202"/>
      <c r="Y1054" s="203"/>
      <c r="Z1054" s="203"/>
      <c r="AA1054" s="203"/>
      <c r="AB1054" s="203"/>
      <c r="AC1054" s="203"/>
      <c r="AD1054" s="203"/>
      <c r="AE1054" s="203"/>
      <c r="AF1054" s="203"/>
      <c r="AG1054" s="203"/>
      <c r="AH1054" s="203"/>
      <c r="AI1054" s="203"/>
      <c r="AJ1054" s="203"/>
      <c r="AK1054" s="203"/>
      <c r="AL1054" s="203"/>
      <c r="AM1054" s="203"/>
      <c r="AN1054" s="203"/>
      <c r="AO1054" s="203"/>
    </row>
    <row r="1055" spans="1:191" s="176" customFormat="1" ht="36" customHeight="1" x14ac:dyDescent="0.25">
      <c r="A1055" s="176">
        <v>1</v>
      </c>
      <c r="B1055" s="171">
        <f>SUBTOTAL(103,$A$552:A1055)</f>
        <v>445</v>
      </c>
      <c r="C1055" s="172" t="s">
        <v>99</v>
      </c>
      <c r="D1055" s="173">
        <v>1971</v>
      </c>
      <c r="E1055" s="173"/>
      <c r="F1055" s="174" t="s">
        <v>267</v>
      </c>
      <c r="G1055" s="173">
        <v>2</v>
      </c>
      <c r="H1055" s="173" t="s">
        <v>303</v>
      </c>
      <c r="I1055" s="177">
        <v>707.1</v>
      </c>
      <c r="J1055" s="177">
        <v>649.5</v>
      </c>
      <c r="K1055" s="177">
        <v>464</v>
      </c>
      <c r="L1055" s="206">
        <v>16</v>
      </c>
      <c r="M1055" s="173" t="s">
        <v>265</v>
      </c>
      <c r="N1055" s="173" t="s">
        <v>269</v>
      </c>
      <c r="O1055" s="175" t="s">
        <v>282</v>
      </c>
      <c r="P1055" s="170">
        <v>3108475.73</v>
      </c>
      <c r="Q1055" s="170">
        <v>0</v>
      </c>
      <c r="R1055" s="170">
        <v>0</v>
      </c>
      <c r="S1055" s="170">
        <f>P1055-Q1055-R1055</f>
        <v>3108475.73</v>
      </c>
      <c r="T1055" s="170">
        <f t="shared" si="172"/>
        <v>4396.090694385518</v>
      </c>
      <c r="U1055" s="170">
        <v>5370.6020364870592</v>
      </c>
      <c r="V1055" s="202">
        <f>U1055-T1055</f>
        <v>974.51134210154123</v>
      </c>
      <c r="W1055" s="202">
        <f>X1055+Y1055+Z1055+AA1055+AB1055+AD1055+AF1055+AH1055+AJ1055+AL1055+AN1055+AO1055</f>
        <v>5205.7090934804128</v>
      </c>
      <c r="X1055" s="202">
        <v>0</v>
      </c>
      <c r="Y1055" s="203">
        <v>0</v>
      </c>
      <c r="Z1055" s="203">
        <v>0</v>
      </c>
      <c r="AA1055" s="203">
        <v>0</v>
      </c>
      <c r="AB1055" s="203">
        <v>0</v>
      </c>
      <c r="AC1055" s="203">
        <v>0</v>
      </c>
      <c r="AD1055" s="203">
        <v>0</v>
      </c>
      <c r="AE1055" s="203">
        <v>590</v>
      </c>
      <c r="AF1055" s="202">
        <f>6238.91*AE1055/I1055</f>
        <v>5205.7090934804128</v>
      </c>
      <c r="AG1055" s="203">
        <v>0</v>
      </c>
      <c r="AH1055" s="202">
        <v>0</v>
      </c>
      <c r="AI1055" s="203">
        <v>0</v>
      </c>
      <c r="AJ1055" s="202">
        <v>0</v>
      </c>
      <c r="AK1055" s="203">
        <v>0</v>
      </c>
      <c r="AL1055" s="203">
        <v>0</v>
      </c>
      <c r="AM1055" s="203">
        <v>0</v>
      </c>
      <c r="AN1055" s="203"/>
      <c r="AO1055" s="203">
        <v>0</v>
      </c>
    </row>
    <row r="1056" spans="1:191" s="176" customFormat="1" ht="36" customHeight="1" x14ac:dyDescent="0.25">
      <c r="B1056" s="172" t="s">
        <v>850</v>
      </c>
      <c r="C1056" s="359"/>
      <c r="D1056" s="173" t="s">
        <v>882</v>
      </c>
      <c r="E1056" s="173" t="s">
        <v>882</v>
      </c>
      <c r="F1056" s="173" t="s">
        <v>882</v>
      </c>
      <c r="G1056" s="173" t="s">
        <v>882</v>
      </c>
      <c r="H1056" s="173" t="s">
        <v>882</v>
      </c>
      <c r="I1056" s="177">
        <f>SUM(I1057:I1061)</f>
        <v>3679.7</v>
      </c>
      <c r="J1056" s="177">
        <f>SUM(J1057:J1061)</f>
        <v>2952.8999999999996</v>
      </c>
      <c r="K1056" s="177">
        <f>SUM(K1057:K1061)</f>
        <v>2497.2999999999997</v>
      </c>
      <c r="L1056" s="357">
        <f>SUM(L1057:L1061)</f>
        <v>153</v>
      </c>
      <c r="M1056" s="173" t="s">
        <v>882</v>
      </c>
      <c r="N1056" s="173" t="s">
        <v>882</v>
      </c>
      <c r="O1056" s="175" t="s">
        <v>882</v>
      </c>
      <c r="P1056" s="170">
        <v>10682268.789999999</v>
      </c>
      <c r="Q1056" s="170">
        <f>Q1057+Q1058+Q1060</f>
        <v>0</v>
      </c>
      <c r="R1056" s="170">
        <f>R1057+R1058+R1060</f>
        <v>0</v>
      </c>
      <c r="S1056" s="170">
        <f>SUM(S1057:S1061)</f>
        <v>10682268.789999999</v>
      </c>
      <c r="T1056" s="170">
        <f t="shared" si="172"/>
        <v>2903.0270918824904</v>
      </c>
      <c r="U1056" s="170">
        <f>MAX(U1057:U1061)</f>
        <v>8698.0135135135133</v>
      </c>
      <c r="V1056" s="202">
        <f t="shared" si="168"/>
        <v>5794.9864216310234</v>
      </c>
      <c r="W1056" s="202"/>
      <c r="X1056" s="202"/>
      <c r="Y1056" s="203"/>
      <c r="Z1056" s="203"/>
      <c r="AA1056" s="203"/>
      <c r="AB1056" s="203"/>
      <c r="AC1056" s="203"/>
      <c r="AD1056" s="203"/>
      <c r="AE1056" s="203"/>
      <c r="AF1056" s="203"/>
      <c r="AG1056" s="203"/>
      <c r="AH1056" s="203"/>
      <c r="AI1056" s="203"/>
      <c r="AJ1056" s="203"/>
      <c r="AK1056" s="203"/>
      <c r="AL1056" s="203"/>
      <c r="AM1056" s="203"/>
      <c r="AN1056" s="203"/>
      <c r="AO1056" s="203"/>
    </row>
    <row r="1057" spans="1:41" s="176" customFormat="1" ht="36" customHeight="1" x14ac:dyDescent="0.25">
      <c r="A1057" s="176">
        <v>1</v>
      </c>
      <c r="B1057" s="171">
        <f>SUBTOTAL(103,$A$552:A1057)</f>
        <v>446</v>
      </c>
      <c r="C1057" s="172" t="s">
        <v>188</v>
      </c>
      <c r="D1057" s="173" t="s">
        <v>309</v>
      </c>
      <c r="E1057" s="173"/>
      <c r="F1057" s="174" t="s">
        <v>267</v>
      </c>
      <c r="G1057" s="173" t="s">
        <v>303</v>
      </c>
      <c r="H1057" s="173" t="s">
        <v>303</v>
      </c>
      <c r="I1057" s="177">
        <v>953.3</v>
      </c>
      <c r="J1057" s="177">
        <v>668.7</v>
      </c>
      <c r="K1057" s="177">
        <v>542.29999999999995</v>
      </c>
      <c r="L1057" s="206">
        <v>31</v>
      </c>
      <c r="M1057" s="173" t="s">
        <v>265</v>
      </c>
      <c r="N1057" s="173" t="s">
        <v>266</v>
      </c>
      <c r="O1057" s="175" t="s">
        <v>268</v>
      </c>
      <c r="P1057" s="170">
        <v>3536853.77</v>
      </c>
      <c r="Q1057" s="170">
        <v>0</v>
      </c>
      <c r="R1057" s="170">
        <v>0</v>
      </c>
      <c r="S1057" s="170">
        <f>P1057-Q1057-R1057</f>
        <v>3536853.77</v>
      </c>
      <c r="T1057" s="170">
        <f t="shared" si="172"/>
        <v>3710.1161963705026</v>
      </c>
      <c r="U1057" s="170">
        <v>4699.2813175285846</v>
      </c>
      <c r="V1057" s="202">
        <f t="shared" si="168"/>
        <v>989.165121158082</v>
      </c>
      <c r="W1057" s="202">
        <f>X1057+Y1057+Z1057+AA1057+AB1057+AD1057+AF1057+AH1057+AJ1057+AL1057+AN1057+AO1057</f>
        <v>4554.9998531417186</v>
      </c>
      <c r="X1057" s="202">
        <v>0</v>
      </c>
      <c r="Y1057" s="203">
        <v>0</v>
      </c>
      <c r="Z1057" s="203">
        <v>0</v>
      </c>
      <c r="AA1057" s="203">
        <v>0</v>
      </c>
      <c r="AB1057" s="203">
        <v>0</v>
      </c>
      <c r="AC1057" s="203">
        <v>0</v>
      </c>
      <c r="AD1057" s="203">
        <v>0</v>
      </c>
      <c r="AE1057" s="203">
        <v>696</v>
      </c>
      <c r="AF1057" s="202">
        <f>6238.91*AE1057/I1057</f>
        <v>4554.9998531417186</v>
      </c>
      <c r="AG1057" s="203">
        <v>0</v>
      </c>
      <c r="AH1057" s="202">
        <v>0</v>
      </c>
      <c r="AI1057" s="203">
        <v>0</v>
      </c>
      <c r="AJ1057" s="202">
        <v>0</v>
      </c>
      <c r="AK1057" s="203">
        <v>0</v>
      </c>
      <c r="AL1057" s="203">
        <v>0</v>
      </c>
      <c r="AM1057" s="203">
        <v>0</v>
      </c>
      <c r="AN1057" s="203"/>
      <c r="AO1057" s="203">
        <v>0</v>
      </c>
    </row>
    <row r="1058" spans="1:41" s="176" customFormat="1" ht="36" customHeight="1" x14ac:dyDescent="0.25">
      <c r="A1058" s="176">
        <v>1</v>
      </c>
      <c r="B1058" s="171">
        <f>SUBTOTAL(103,$A$552:A1058)</f>
        <v>447</v>
      </c>
      <c r="C1058" s="172" t="s">
        <v>189</v>
      </c>
      <c r="D1058" s="173" t="s">
        <v>302</v>
      </c>
      <c r="E1058" s="173"/>
      <c r="F1058" s="174" t="s">
        <v>267</v>
      </c>
      <c r="G1058" s="173" t="s">
        <v>303</v>
      </c>
      <c r="H1058" s="173" t="s">
        <v>304</v>
      </c>
      <c r="I1058" s="177">
        <v>377.4</v>
      </c>
      <c r="J1058" s="177">
        <v>377.4</v>
      </c>
      <c r="K1058" s="177">
        <v>278.10000000000002</v>
      </c>
      <c r="L1058" s="206">
        <v>31</v>
      </c>
      <c r="M1058" s="173" t="s">
        <v>265</v>
      </c>
      <c r="N1058" s="173" t="s">
        <v>266</v>
      </c>
      <c r="O1058" s="175" t="s">
        <v>268</v>
      </c>
      <c r="P1058" s="170">
        <v>3208802.39</v>
      </c>
      <c r="Q1058" s="170">
        <v>0</v>
      </c>
      <c r="R1058" s="170">
        <v>0</v>
      </c>
      <c r="S1058" s="170">
        <f>P1058-Q1058-R1058</f>
        <v>3208802.39</v>
      </c>
      <c r="T1058" s="170">
        <f t="shared" si="172"/>
        <v>8502.3910704822483</v>
      </c>
      <c r="U1058" s="170">
        <v>8698.0135135135133</v>
      </c>
      <c r="V1058" s="202">
        <f t="shared" si="168"/>
        <v>195.62244303126499</v>
      </c>
      <c r="W1058" s="202">
        <f>X1058+Y1058+Z1058+AA1058+AB1058+AD1058+AF1058+AH1058+AJ1058+AL1058+AN1058+AO1058</f>
        <v>8430.95945945946</v>
      </c>
      <c r="X1058" s="202">
        <v>0</v>
      </c>
      <c r="Y1058" s="203">
        <v>0</v>
      </c>
      <c r="Z1058" s="203">
        <v>0</v>
      </c>
      <c r="AA1058" s="203">
        <v>0</v>
      </c>
      <c r="AB1058" s="203">
        <v>0</v>
      </c>
      <c r="AC1058" s="203">
        <v>0</v>
      </c>
      <c r="AD1058" s="203">
        <v>0</v>
      </c>
      <c r="AE1058" s="203">
        <v>510</v>
      </c>
      <c r="AF1058" s="202">
        <f>6238.91*AE1058/I1058</f>
        <v>8430.95945945946</v>
      </c>
      <c r="AG1058" s="203">
        <v>0</v>
      </c>
      <c r="AH1058" s="202">
        <v>0</v>
      </c>
      <c r="AI1058" s="203">
        <v>0</v>
      </c>
      <c r="AJ1058" s="202">
        <v>0</v>
      </c>
      <c r="AK1058" s="203">
        <v>0</v>
      </c>
      <c r="AL1058" s="203">
        <v>0</v>
      </c>
      <c r="AM1058" s="203">
        <v>0</v>
      </c>
      <c r="AN1058" s="203"/>
      <c r="AO1058" s="203">
        <v>0</v>
      </c>
    </row>
    <row r="1059" spans="1:41" s="176" customFormat="1" ht="36" customHeight="1" x14ac:dyDescent="0.25">
      <c r="A1059" s="176">
        <v>1</v>
      </c>
      <c r="B1059" s="171">
        <f>SUBTOTAL(103,$A$552:A1059)</f>
        <v>448</v>
      </c>
      <c r="C1059" s="172" t="s">
        <v>190</v>
      </c>
      <c r="D1059" s="173" t="s">
        <v>307</v>
      </c>
      <c r="E1059" s="173"/>
      <c r="F1059" s="174" t="s">
        <v>318</v>
      </c>
      <c r="G1059" s="173" t="s">
        <v>303</v>
      </c>
      <c r="H1059" s="173" t="s">
        <v>303</v>
      </c>
      <c r="I1059" s="177">
        <v>1058.5999999999999</v>
      </c>
      <c r="J1059" s="177">
        <v>653.79999999999995</v>
      </c>
      <c r="K1059" s="177">
        <v>608.29999999999995</v>
      </c>
      <c r="L1059" s="206">
        <v>42</v>
      </c>
      <c r="M1059" s="173" t="s">
        <v>265</v>
      </c>
      <c r="N1059" s="173" t="s">
        <v>266</v>
      </c>
      <c r="O1059" s="175" t="s">
        <v>268</v>
      </c>
      <c r="P1059" s="170">
        <v>1653120.19</v>
      </c>
      <c r="Q1059" s="170">
        <v>0</v>
      </c>
      <c r="R1059" s="170">
        <v>0</v>
      </c>
      <c r="S1059" s="170">
        <f>P1059-Q1059-R1059</f>
        <v>1653120.19</v>
      </c>
      <c r="T1059" s="170">
        <f t="shared" si="172"/>
        <v>1561.6098526355565</v>
      </c>
      <c r="U1059" s="170">
        <v>3913.8351690912527</v>
      </c>
      <c r="V1059" s="202">
        <f>U1059-T1059</f>
        <v>2352.225316455696</v>
      </c>
      <c r="W1059" s="202">
        <f>X1059+Y1059+Z1059+AA1059+AB1059+AD1059+AF1059+AH1059+AJ1059+AL1059+AN1059+AO1059</f>
        <v>3913.8351690912527</v>
      </c>
      <c r="X1059" s="202">
        <v>0</v>
      </c>
      <c r="Y1059" s="203">
        <v>0</v>
      </c>
      <c r="Z1059" s="203">
        <v>0</v>
      </c>
      <c r="AA1059" s="203">
        <v>0</v>
      </c>
      <c r="AB1059" s="203">
        <v>0</v>
      </c>
      <c r="AC1059" s="203">
        <v>0</v>
      </c>
      <c r="AD1059" s="203">
        <v>0</v>
      </c>
      <c r="AE1059" s="203">
        <v>0</v>
      </c>
      <c r="AF1059" s="202">
        <v>0</v>
      </c>
      <c r="AG1059" s="203">
        <v>0</v>
      </c>
      <c r="AH1059" s="202">
        <v>0</v>
      </c>
      <c r="AI1059" s="203">
        <v>531</v>
      </c>
      <c r="AJ1059" s="202">
        <f>7802.61*AI1059/I1059</f>
        <v>3913.8351690912527</v>
      </c>
      <c r="AK1059" s="203">
        <v>0</v>
      </c>
      <c r="AL1059" s="203">
        <v>0</v>
      </c>
      <c r="AM1059" s="203">
        <v>0</v>
      </c>
      <c r="AN1059" s="203"/>
      <c r="AO1059" s="203">
        <v>0</v>
      </c>
    </row>
    <row r="1060" spans="1:41" s="176" customFormat="1" ht="36" customHeight="1" x14ac:dyDescent="0.25">
      <c r="A1060" s="176">
        <v>1</v>
      </c>
      <c r="B1060" s="171">
        <f>SUBTOTAL(103,$A$552:A1060)</f>
        <v>449</v>
      </c>
      <c r="C1060" s="172" t="s">
        <v>183</v>
      </c>
      <c r="D1060" s="173" t="s">
        <v>302</v>
      </c>
      <c r="E1060" s="173"/>
      <c r="F1060" s="174" t="s">
        <v>267</v>
      </c>
      <c r="G1060" s="173" t="s">
        <v>303</v>
      </c>
      <c r="H1060" s="173" t="s">
        <v>304</v>
      </c>
      <c r="I1060" s="177">
        <v>365</v>
      </c>
      <c r="J1060" s="177">
        <v>328</v>
      </c>
      <c r="K1060" s="177">
        <v>309.2</v>
      </c>
      <c r="L1060" s="206">
        <v>21</v>
      </c>
      <c r="M1060" s="173" t="s">
        <v>265</v>
      </c>
      <c r="N1060" s="173" t="s">
        <v>266</v>
      </c>
      <c r="O1060" s="175" t="s">
        <v>268</v>
      </c>
      <c r="P1060" s="170">
        <v>1644609.5</v>
      </c>
      <c r="Q1060" s="170">
        <v>0</v>
      </c>
      <c r="R1060" s="170">
        <v>0</v>
      </c>
      <c r="S1060" s="170">
        <f>P1060-Q1060-R1060</f>
        <v>1644609.5</v>
      </c>
      <c r="T1060" s="170">
        <f t="shared" si="172"/>
        <v>4505.7794520547941</v>
      </c>
      <c r="U1060" s="170">
        <v>5325.5672876712324</v>
      </c>
      <c r="V1060" s="202">
        <f t="shared" si="168"/>
        <v>819.78783561643831</v>
      </c>
      <c r="W1060" s="202">
        <f>X1060+Y1060+Z1060+AA1060+AB1060+AD1060+AF1060+AH1060+AJ1060+AL1060+AN1060+AO1060</f>
        <v>11351.194273972602</v>
      </c>
      <c r="X1060" s="202">
        <v>0</v>
      </c>
      <c r="Y1060" s="203">
        <v>0</v>
      </c>
      <c r="Z1060" s="203">
        <v>0</v>
      </c>
      <c r="AA1060" s="203">
        <v>0</v>
      </c>
      <c r="AB1060" s="203">
        <v>0</v>
      </c>
      <c r="AC1060" s="203">
        <v>0</v>
      </c>
      <c r="AD1060" s="203">
        <v>0</v>
      </c>
      <c r="AE1060" s="203">
        <v>0</v>
      </c>
      <c r="AF1060" s="202">
        <v>0</v>
      </c>
      <c r="AG1060" s="203">
        <v>0</v>
      </c>
      <c r="AH1060" s="202">
        <v>0</v>
      </c>
      <c r="AI1060" s="203">
        <v>531</v>
      </c>
      <c r="AJ1060" s="202">
        <f>7802.61*AI1060/I1060</f>
        <v>11351.194273972602</v>
      </c>
      <c r="AK1060" s="203">
        <v>0</v>
      </c>
      <c r="AL1060" s="203">
        <v>0</v>
      </c>
      <c r="AM1060" s="203">
        <v>0</v>
      </c>
      <c r="AN1060" s="203"/>
      <c r="AO1060" s="203">
        <v>0</v>
      </c>
    </row>
    <row r="1061" spans="1:41" s="176" customFormat="1" ht="36" customHeight="1" x14ac:dyDescent="0.25">
      <c r="A1061" s="176">
        <v>1</v>
      </c>
      <c r="B1061" s="171">
        <f>SUBTOTAL(103,$A$552:A1061)</f>
        <v>450</v>
      </c>
      <c r="C1061" s="172" t="s">
        <v>1260</v>
      </c>
      <c r="D1061" s="173">
        <v>1967</v>
      </c>
      <c r="E1061" s="173">
        <v>2014</v>
      </c>
      <c r="F1061" s="174" t="s">
        <v>267</v>
      </c>
      <c r="G1061" s="173">
        <v>2</v>
      </c>
      <c r="H1061" s="173" t="s">
        <v>308</v>
      </c>
      <c r="I1061" s="170">
        <v>925.4</v>
      </c>
      <c r="J1061" s="170">
        <v>925</v>
      </c>
      <c r="K1061" s="170">
        <v>759.4</v>
      </c>
      <c r="L1061" s="206">
        <v>28</v>
      </c>
      <c r="M1061" s="173" t="s">
        <v>265</v>
      </c>
      <c r="N1061" s="173" t="s">
        <v>269</v>
      </c>
      <c r="O1061" s="175" t="s">
        <v>1338</v>
      </c>
      <c r="P1061" s="170">
        <v>638882.93999999994</v>
      </c>
      <c r="Q1061" s="170">
        <v>0</v>
      </c>
      <c r="R1061" s="170">
        <v>0</v>
      </c>
      <c r="S1061" s="170">
        <f>P1061-Q1061-R1061</f>
        <v>638882.93999999994</v>
      </c>
      <c r="T1061" s="170">
        <f t="shared" si="172"/>
        <v>690.38571428571424</v>
      </c>
      <c r="U1061" s="170">
        <v>810.46</v>
      </c>
      <c r="V1061" s="202">
        <f t="shared" si="168"/>
        <v>120.07428571428579</v>
      </c>
      <c r="W1061" s="202">
        <f>X1061+Y1061+Z1061+AA1061+AB1061+AD1061+AF1061+AH1061+AJ1061+AL1061+AN1061+AO1061</f>
        <v>2036.0393559541822</v>
      </c>
      <c r="X1061" s="202">
        <v>0</v>
      </c>
      <c r="Y1061" s="203">
        <v>0</v>
      </c>
      <c r="Z1061" s="203">
        <v>0</v>
      </c>
      <c r="AA1061" s="203">
        <v>0</v>
      </c>
      <c r="AB1061" s="203">
        <v>0</v>
      </c>
      <c r="AC1061" s="203">
        <v>0</v>
      </c>
      <c r="AD1061" s="203">
        <v>0</v>
      </c>
      <c r="AE1061" s="203">
        <v>302</v>
      </c>
      <c r="AF1061" s="202">
        <f>6238.91*AE1061/I1061</f>
        <v>2036.0393559541822</v>
      </c>
      <c r="AG1061" s="203">
        <v>0</v>
      </c>
      <c r="AH1061" s="202">
        <v>0</v>
      </c>
      <c r="AI1061" s="203">
        <v>0</v>
      </c>
      <c r="AJ1061" s="202">
        <v>0</v>
      </c>
      <c r="AK1061" s="203">
        <v>0</v>
      </c>
      <c r="AL1061" s="203">
        <v>0</v>
      </c>
      <c r="AM1061" s="203">
        <v>0</v>
      </c>
      <c r="AN1061" s="203"/>
      <c r="AO1061" s="203">
        <v>0</v>
      </c>
    </row>
    <row r="1062" spans="1:41" s="176" customFormat="1" ht="36" customHeight="1" x14ac:dyDescent="0.25">
      <c r="B1062" s="172" t="s">
        <v>851</v>
      </c>
      <c r="C1062" s="172"/>
      <c r="D1062" s="173" t="s">
        <v>882</v>
      </c>
      <c r="E1062" s="173" t="s">
        <v>882</v>
      </c>
      <c r="F1062" s="173" t="s">
        <v>882</v>
      </c>
      <c r="G1062" s="173" t="s">
        <v>882</v>
      </c>
      <c r="H1062" s="173" t="s">
        <v>882</v>
      </c>
      <c r="I1062" s="177">
        <f>I1063</f>
        <v>1492</v>
      </c>
      <c r="J1062" s="177">
        <f>J1063</f>
        <v>1369.9</v>
      </c>
      <c r="K1062" s="177">
        <f>K1063</f>
        <v>1369.9</v>
      </c>
      <c r="L1062" s="357">
        <f>L1063</f>
        <v>70</v>
      </c>
      <c r="M1062" s="173" t="s">
        <v>882</v>
      </c>
      <c r="N1062" s="173" t="s">
        <v>882</v>
      </c>
      <c r="O1062" s="175" t="s">
        <v>882</v>
      </c>
      <c r="P1062" s="170">
        <v>2165953.36</v>
      </c>
      <c r="Q1062" s="170">
        <f>Q1063</f>
        <v>0</v>
      </c>
      <c r="R1062" s="170">
        <f>R1063</f>
        <v>0</v>
      </c>
      <c r="S1062" s="170">
        <f>S1063</f>
        <v>2165953.36</v>
      </c>
      <c r="T1062" s="170">
        <f t="shared" si="172"/>
        <v>1451.7113672922251</v>
      </c>
      <c r="U1062" s="170">
        <f>U1063</f>
        <v>2588.4168900804289</v>
      </c>
      <c r="V1062" s="202">
        <f t="shared" si="168"/>
        <v>1136.7055227882038</v>
      </c>
      <c r="W1062" s="202"/>
      <c r="X1062" s="202"/>
      <c r="Y1062" s="203"/>
      <c r="Z1062" s="203"/>
      <c r="AA1062" s="203"/>
      <c r="AB1062" s="203"/>
      <c r="AC1062" s="203"/>
      <c r="AD1062" s="203"/>
      <c r="AE1062" s="203"/>
      <c r="AF1062" s="203"/>
      <c r="AG1062" s="203"/>
      <c r="AH1062" s="203"/>
      <c r="AI1062" s="203"/>
      <c r="AJ1062" s="203"/>
      <c r="AK1062" s="203"/>
      <c r="AL1062" s="203"/>
      <c r="AM1062" s="203"/>
      <c r="AN1062" s="203"/>
      <c r="AO1062" s="203"/>
    </row>
    <row r="1063" spans="1:41" s="176" customFormat="1" ht="36" customHeight="1" x14ac:dyDescent="0.25">
      <c r="A1063" s="176">
        <v>1</v>
      </c>
      <c r="B1063" s="171">
        <f>SUBTOTAL(103,$A$552:A1063)</f>
        <v>451</v>
      </c>
      <c r="C1063" s="172" t="s">
        <v>2284</v>
      </c>
      <c r="D1063" s="173">
        <v>1982</v>
      </c>
      <c r="E1063" s="173"/>
      <c r="F1063" s="174" t="s">
        <v>318</v>
      </c>
      <c r="G1063" s="173">
        <v>3</v>
      </c>
      <c r="H1063" s="173" t="s">
        <v>312</v>
      </c>
      <c r="I1063" s="177">
        <v>1492</v>
      </c>
      <c r="J1063" s="177">
        <v>1369.9</v>
      </c>
      <c r="K1063" s="177">
        <v>1369.9</v>
      </c>
      <c r="L1063" s="206">
        <v>70</v>
      </c>
      <c r="M1063" s="173" t="s">
        <v>265</v>
      </c>
      <c r="N1063" s="173" t="s">
        <v>266</v>
      </c>
      <c r="O1063" s="175" t="s">
        <v>268</v>
      </c>
      <c r="P1063" s="170">
        <v>2165953.36</v>
      </c>
      <c r="Q1063" s="170">
        <v>0</v>
      </c>
      <c r="R1063" s="170">
        <v>0</v>
      </c>
      <c r="S1063" s="170">
        <f>P1063-Q1063-R1063</f>
        <v>2165953.36</v>
      </c>
      <c r="T1063" s="170">
        <f t="shared" si="172"/>
        <v>1451.7113672922251</v>
      </c>
      <c r="U1063" s="170">
        <v>2588.4168900804289</v>
      </c>
      <c r="V1063" s="202">
        <f>U1063-T1063</f>
        <v>1136.7055227882038</v>
      </c>
      <c r="W1063" s="202">
        <f>X1063+Y1063+Z1063+AA1063+AB1063+AD1063+AF1063+AH1063+AJ1063+AL1063+AN1063+AO1063</f>
        <v>3505.5398259383383</v>
      </c>
      <c r="X1063" s="202">
        <v>0</v>
      </c>
      <c r="Y1063" s="203">
        <v>0</v>
      </c>
      <c r="Z1063" s="203">
        <v>0</v>
      </c>
      <c r="AA1063" s="203">
        <v>0</v>
      </c>
      <c r="AB1063" s="203">
        <v>0</v>
      </c>
      <c r="AC1063" s="203">
        <v>0</v>
      </c>
      <c r="AD1063" s="203">
        <v>0</v>
      </c>
      <c r="AE1063" s="203">
        <v>838.33</v>
      </c>
      <c r="AF1063" s="202">
        <f>6238.91*AE1063/I1063</f>
        <v>3505.5398259383383</v>
      </c>
      <c r="AG1063" s="203">
        <v>0</v>
      </c>
      <c r="AH1063" s="202">
        <v>0</v>
      </c>
      <c r="AI1063" s="203">
        <v>0</v>
      </c>
      <c r="AJ1063" s="202">
        <v>0</v>
      </c>
      <c r="AK1063" s="203">
        <v>0</v>
      </c>
      <c r="AL1063" s="203">
        <v>0</v>
      </c>
      <c r="AM1063" s="203">
        <v>0</v>
      </c>
      <c r="AN1063" s="203"/>
      <c r="AO1063" s="203">
        <v>0</v>
      </c>
    </row>
    <row r="1064" spans="1:41" s="176" customFormat="1" ht="36" customHeight="1" x14ac:dyDescent="0.25">
      <c r="B1064" s="172" t="s">
        <v>852</v>
      </c>
      <c r="C1064" s="172"/>
      <c r="D1064" s="173" t="s">
        <v>882</v>
      </c>
      <c r="E1064" s="173" t="s">
        <v>882</v>
      </c>
      <c r="F1064" s="173" t="s">
        <v>882</v>
      </c>
      <c r="G1064" s="173" t="s">
        <v>882</v>
      </c>
      <c r="H1064" s="173" t="s">
        <v>882</v>
      </c>
      <c r="I1064" s="177">
        <f>I1065</f>
        <v>834.7</v>
      </c>
      <c r="J1064" s="177">
        <f>J1065</f>
        <v>476.3</v>
      </c>
      <c r="K1064" s="177">
        <f>K1065</f>
        <v>476.3</v>
      </c>
      <c r="L1064" s="357">
        <f>L1065</f>
        <v>56</v>
      </c>
      <c r="M1064" s="173" t="s">
        <v>882</v>
      </c>
      <c r="N1064" s="173" t="s">
        <v>882</v>
      </c>
      <c r="O1064" s="175" t="s">
        <v>882</v>
      </c>
      <c r="P1064" s="170">
        <v>4822502.0600000005</v>
      </c>
      <c r="Q1064" s="170">
        <f>Q1065</f>
        <v>0</v>
      </c>
      <c r="R1064" s="170">
        <f>R1065</f>
        <v>0</v>
      </c>
      <c r="S1064" s="170">
        <f>S1065</f>
        <v>4822502.0600000005</v>
      </c>
      <c r="T1064" s="170">
        <f t="shared" si="172"/>
        <v>5777.5273271834194</v>
      </c>
      <c r="U1064" s="170">
        <f>U1065</f>
        <v>6464.5216184257815</v>
      </c>
      <c r="V1064" s="202">
        <f t="shared" si="168"/>
        <v>686.99429124236212</v>
      </c>
      <c r="W1064" s="202"/>
      <c r="X1064" s="202"/>
      <c r="Y1064" s="203"/>
      <c r="Z1064" s="203"/>
      <c r="AA1064" s="203"/>
      <c r="AB1064" s="203"/>
      <c r="AC1064" s="203"/>
      <c r="AD1064" s="203"/>
      <c r="AE1064" s="203"/>
      <c r="AF1064" s="203"/>
      <c r="AG1064" s="203"/>
      <c r="AH1064" s="203"/>
      <c r="AI1064" s="203"/>
      <c r="AJ1064" s="203"/>
      <c r="AK1064" s="203"/>
      <c r="AL1064" s="203"/>
      <c r="AM1064" s="203"/>
      <c r="AN1064" s="203"/>
      <c r="AO1064" s="203"/>
    </row>
    <row r="1065" spans="1:41" s="176" customFormat="1" ht="36" customHeight="1" x14ac:dyDescent="0.25">
      <c r="A1065" s="176">
        <v>1</v>
      </c>
      <c r="B1065" s="171">
        <f>SUBTOTAL(103,$A$552:A1065)</f>
        <v>452</v>
      </c>
      <c r="C1065" s="172" t="s">
        <v>192</v>
      </c>
      <c r="D1065" s="173" t="s">
        <v>310</v>
      </c>
      <c r="E1065" s="173"/>
      <c r="F1065" s="174" t="s">
        <v>311</v>
      </c>
      <c r="G1065" s="173" t="s">
        <v>303</v>
      </c>
      <c r="H1065" s="173" t="s">
        <v>312</v>
      </c>
      <c r="I1065" s="177">
        <v>834.7</v>
      </c>
      <c r="J1065" s="177">
        <v>476.3</v>
      </c>
      <c r="K1065" s="177">
        <v>476.3</v>
      </c>
      <c r="L1065" s="206">
        <v>56</v>
      </c>
      <c r="M1065" s="173" t="s">
        <v>265</v>
      </c>
      <c r="N1065" s="173" t="s">
        <v>266</v>
      </c>
      <c r="O1065" s="175" t="s">
        <v>268</v>
      </c>
      <c r="P1065" s="170">
        <v>4822502.0600000005</v>
      </c>
      <c r="Q1065" s="170">
        <v>0</v>
      </c>
      <c r="R1065" s="170">
        <v>0</v>
      </c>
      <c r="S1065" s="170">
        <f>P1065-Q1065-R1065</f>
        <v>4822502.0600000005</v>
      </c>
      <c r="T1065" s="170">
        <f t="shared" si="172"/>
        <v>5777.5273271834194</v>
      </c>
      <c r="U1065" s="170">
        <v>6464.5216184257815</v>
      </c>
      <c r="V1065" s="202">
        <f>U1065-T1065</f>
        <v>686.99429124236212</v>
      </c>
      <c r="W1065" s="202">
        <f>X1065+Y1065+Z1065+AA1065+AB1065+AD1065+AF1065+AH1065+AJ1065+AL1065+AN1065+AO1065</f>
        <v>6266.0421951599374</v>
      </c>
      <c r="X1065" s="202">
        <v>0</v>
      </c>
      <c r="Y1065" s="203">
        <v>0</v>
      </c>
      <c r="Z1065" s="203">
        <v>0</v>
      </c>
      <c r="AA1065" s="203">
        <v>0</v>
      </c>
      <c r="AB1065" s="203">
        <v>0</v>
      </c>
      <c r="AC1065" s="203">
        <v>0</v>
      </c>
      <c r="AD1065" s="203">
        <v>0</v>
      </c>
      <c r="AE1065" s="203">
        <v>838.33</v>
      </c>
      <c r="AF1065" s="202">
        <f>6238.91*AE1065/I1065</f>
        <v>6266.0421951599374</v>
      </c>
      <c r="AG1065" s="203">
        <v>0</v>
      </c>
      <c r="AH1065" s="202">
        <v>0</v>
      </c>
      <c r="AI1065" s="203">
        <v>0</v>
      </c>
      <c r="AJ1065" s="202">
        <v>0</v>
      </c>
      <c r="AK1065" s="203">
        <v>0</v>
      </c>
      <c r="AL1065" s="203">
        <v>0</v>
      </c>
      <c r="AM1065" s="203">
        <v>0</v>
      </c>
      <c r="AN1065" s="203"/>
      <c r="AO1065" s="203">
        <v>0</v>
      </c>
    </row>
    <row r="1066" spans="1:41" s="176" customFormat="1" ht="36" customHeight="1" x14ac:dyDescent="0.25">
      <c r="B1066" s="172" t="s">
        <v>853</v>
      </c>
      <c r="C1066" s="172"/>
      <c r="D1066" s="173" t="s">
        <v>882</v>
      </c>
      <c r="E1066" s="173" t="s">
        <v>882</v>
      </c>
      <c r="F1066" s="173" t="s">
        <v>882</v>
      </c>
      <c r="G1066" s="173" t="s">
        <v>882</v>
      </c>
      <c r="H1066" s="173" t="s">
        <v>882</v>
      </c>
      <c r="I1066" s="177">
        <f>I1067</f>
        <v>350.9</v>
      </c>
      <c r="J1066" s="177">
        <f>J1067</f>
        <v>350.9</v>
      </c>
      <c r="K1066" s="177">
        <f>K1067</f>
        <v>266.79999999999995</v>
      </c>
      <c r="L1066" s="357">
        <f>L1067</f>
        <v>18</v>
      </c>
      <c r="M1066" s="173" t="s">
        <v>882</v>
      </c>
      <c r="N1066" s="173" t="s">
        <v>882</v>
      </c>
      <c r="O1066" s="175" t="s">
        <v>882</v>
      </c>
      <c r="P1066" s="170">
        <v>1387689.7000000002</v>
      </c>
      <c r="Q1066" s="170">
        <f>Q1067</f>
        <v>0</v>
      </c>
      <c r="R1066" s="170">
        <f>R1067</f>
        <v>0</v>
      </c>
      <c r="S1066" s="170">
        <f>S1067</f>
        <v>1387689.7000000002</v>
      </c>
      <c r="T1066" s="170">
        <f t="shared" si="172"/>
        <v>3954.6585921915084</v>
      </c>
      <c r="U1066" s="170">
        <f>U1067</f>
        <v>6121.5820943288682</v>
      </c>
      <c r="V1066" s="202">
        <f t="shared" si="168"/>
        <v>2166.9235021373597</v>
      </c>
      <c r="W1066" s="202"/>
      <c r="X1066" s="202"/>
      <c r="Y1066" s="203"/>
      <c r="Z1066" s="203"/>
      <c r="AA1066" s="203"/>
      <c r="AB1066" s="203"/>
      <c r="AC1066" s="203"/>
      <c r="AD1066" s="203"/>
      <c r="AE1066" s="203"/>
      <c r="AF1066" s="203"/>
      <c r="AG1066" s="203"/>
      <c r="AH1066" s="203"/>
      <c r="AI1066" s="203"/>
      <c r="AJ1066" s="203"/>
      <c r="AK1066" s="203"/>
      <c r="AL1066" s="203"/>
      <c r="AM1066" s="203"/>
      <c r="AN1066" s="203"/>
      <c r="AO1066" s="203"/>
    </row>
    <row r="1067" spans="1:41" s="176" customFormat="1" ht="36" customHeight="1" x14ac:dyDescent="0.25">
      <c r="A1067" s="176">
        <v>1</v>
      </c>
      <c r="B1067" s="171">
        <f>SUBTOTAL(103,$A$552:A1067)</f>
        <v>453</v>
      </c>
      <c r="C1067" s="172" t="s">
        <v>786</v>
      </c>
      <c r="D1067" s="173">
        <v>1930</v>
      </c>
      <c r="E1067" s="173"/>
      <c r="F1067" s="174" t="s">
        <v>267</v>
      </c>
      <c r="G1067" s="173">
        <v>2</v>
      </c>
      <c r="H1067" s="173" t="s">
        <v>304</v>
      </c>
      <c r="I1067" s="177">
        <v>350.9</v>
      </c>
      <c r="J1067" s="177">
        <v>350.9</v>
      </c>
      <c r="K1067" s="177">
        <v>266.79999999999995</v>
      </c>
      <c r="L1067" s="206">
        <v>18</v>
      </c>
      <c r="M1067" s="173" t="s">
        <v>265</v>
      </c>
      <c r="N1067" s="173" t="s">
        <v>266</v>
      </c>
      <c r="O1067" s="175" t="s">
        <v>268</v>
      </c>
      <c r="P1067" s="170">
        <v>1387689.7000000002</v>
      </c>
      <c r="Q1067" s="170">
        <v>0</v>
      </c>
      <c r="R1067" s="170">
        <v>0</v>
      </c>
      <c r="S1067" s="170">
        <f>P1067-Q1067-R1067</f>
        <v>1387689.7000000002</v>
      </c>
      <c r="T1067" s="170">
        <f t="shared" si="172"/>
        <v>3954.6585921915084</v>
      </c>
      <c r="U1067" s="170">
        <v>6121.5820943288682</v>
      </c>
      <c r="V1067" s="202">
        <f>U1067-T1067</f>
        <v>2166.9235021373597</v>
      </c>
      <c r="W1067" s="202">
        <f>X1067+Y1067+Z1067+AA1067+AB1067+AD1067+AF1067+AH1067+AJ1067+AL1067+AN1067+AO1067</f>
        <v>5933.6319016813914</v>
      </c>
      <c r="X1067" s="202">
        <v>0</v>
      </c>
      <c r="Y1067" s="203">
        <v>0</v>
      </c>
      <c r="Z1067" s="203">
        <v>0</v>
      </c>
      <c r="AA1067" s="203">
        <v>0</v>
      </c>
      <c r="AB1067" s="203">
        <v>0</v>
      </c>
      <c r="AC1067" s="203">
        <v>0</v>
      </c>
      <c r="AD1067" s="203">
        <v>0</v>
      </c>
      <c r="AE1067" s="203">
        <v>333.73</v>
      </c>
      <c r="AF1067" s="202">
        <f>6238.91*AE1067/I1067</f>
        <v>5933.6319016813914</v>
      </c>
      <c r="AG1067" s="203">
        <v>0</v>
      </c>
      <c r="AH1067" s="202">
        <v>0</v>
      </c>
      <c r="AI1067" s="203">
        <v>0</v>
      </c>
      <c r="AJ1067" s="202">
        <v>0</v>
      </c>
      <c r="AK1067" s="203">
        <v>0</v>
      </c>
      <c r="AL1067" s="203">
        <v>0</v>
      </c>
      <c r="AM1067" s="203">
        <v>0</v>
      </c>
      <c r="AN1067" s="203"/>
      <c r="AO1067" s="203">
        <v>0</v>
      </c>
    </row>
    <row r="1068" spans="1:41" s="176" customFormat="1" ht="36" customHeight="1" x14ac:dyDescent="0.25">
      <c r="B1068" s="172" t="s">
        <v>854</v>
      </c>
      <c r="C1068" s="359"/>
      <c r="D1068" s="173" t="s">
        <v>882</v>
      </c>
      <c r="E1068" s="173" t="s">
        <v>882</v>
      </c>
      <c r="F1068" s="173" t="s">
        <v>882</v>
      </c>
      <c r="G1068" s="173" t="s">
        <v>882</v>
      </c>
      <c r="H1068" s="173" t="s">
        <v>882</v>
      </c>
      <c r="I1068" s="177">
        <f>SUM(I1069:I1075)</f>
        <v>7837.28</v>
      </c>
      <c r="J1068" s="177">
        <f>SUM(J1069:J1075)</f>
        <v>6660.28</v>
      </c>
      <c r="K1068" s="177">
        <f>SUM(K1069:K1075)</f>
        <v>5864.3</v>
      </c>
      <c r="L1068" s="357">
        <f>SUM(L1069:L1075)</f>
        <v>373</v>
      </c>
      <c r="M1068" s="173" t="s">
        <v>882</v>
      </c>
      <c r="N1068" s="173" t="s">
        <v>882</v>
      </c>
      <c r="O1068" s="175" t="s">
        <v>882</v>
      </c>
      <c r="P1068" s="170">
        <v>18400776.5</v>
      </c>
      <c r="Q1068" s="170">
        <f>SUM(Q1069:Q1075)</f>
        <v>0</v>
      </c>
      <c r="R1068" s="170">
        <f>SUM(R1069:R1075)</f>
        <v>0</v>
      </c>
      <c r="S1068" s="170">
        <f>SUM(S1069:S1075)</f>
        <v>18400776.5</v>
      </c>
      <c r="T1068" s="170">
        <f t="shared" si="172"/>
        <v>2347.852379907315</v>
      </c>
      <c r="U1068" s="170">
        <f>MAX(U1069:U1075)</f>
        <v>6279.8751620788607</v>
      </c>
      <c r="V1068" s="202">
        <f t="shared" si="168"/>
        <v>3932.0227821715457</v>
      </c>
      <c r="W1068" s="202"/>
      <c r="X1068" s="202"/>
      <c r="Y1068" s="203"/>
      <c r="Z1068" s="203"/>
      <c r="AA1068" s="203"/>
      <c r="AB1068" s="203"/>
      <c r="AC1068" s="203"/>
      <c r="AD1068" s="203"/>
      <c r="AE1068" s="203"/>
      <c r="AF1068" s="203"/>
      <c r="AG1068" s="203"/>
      <c r="AH1068" s="203"/>
      <c r="AI1068" s="203"/>
      <c r="AJ1068" s="203"/>
      <c r="AK1068" s="203"/>
      <c r="AL1068" s="203"/>
      <c r="AM1068" s="203"/>
      <c r="AN1068" s="203"/>
      <c r="AO1068" s="203"/>
    </row>
    <row r="1069" spans="1:41" s="176" customFormat="1" ht="36" customHeight="1" x14ac:dyDescent="0.25">
      <c r="A1069" s="176">
        <v>1</v>
      </c>
      <c r="B1069" s="171">
        <f>SUBTOTAL(103,$A$552:A1069)</f>
        <v>454</v>
      </c>
      <c r="C1069" s="172" t="s">
        <v>211</v>
      </c>
      <c r="D1069" s="173">
        <v>1938</v>
      </c>
      <c r="E1069" s="173"/>
      <c r="F1069" s="174" t="s">
        <v>267</v>
      </c>
      <c r="G1069" s="173">
        <v>3</v>
      </c>
      <c r="H1069" s="173" t="s">
        <v>308</v>
      </c>
      <c r="I1069" s="177">
        <v>1645.1</v>
      </c>
      <c r="J1069" s="177">
        <v>1444.2</v>
      </c>
      <c r="K1069" s="177">
        <v>1029.4000000000001</v>
      </c>
      <c r="L1069" s="206">
        <v>58</v>
      </c>
      <c r="M1069" s="173" t="s">
        <v>265</v>
      </c>
      <c r="N1069" s="173" t="s">
        <v>266</v>
      </c>
      <c r="O1069" s="175" t="s">
        <v>268</v>
      </c>
      <c r="P1069" s="170">
        <v>6058289.959999999</v>
      </c>
      <c r="Q1069" s="170">
        <v>0</v>
      </c>
      <c r="R1069" s="170">
        <v>0</v>
      </c>
      <c r="S1069" s="170">
        <f>P1069-Q1069-R1069</f>
        <v>6058289.959999999</v>
      </c>
      <c r="T1069" s="170">
        <f t="shared" si="172"/>
        <v>3682.6271716005103</v>
      </c>
      <c r="U1069" s="170">
        <v>4706.7932587684645</v>
      </c>
      <c r="V1069" s="202">
        <f t="shared" si="168"/>
        <v>1024.1660871679542</v>
      </c>
      <c r="W1069" s="202">
        <f t="shared" ref="W1069:W1075" si="176">X1069+Y1069+Z1069+AA1069+AB1069+AD1069+AF1069+AH1069+AJ1069+AL1069+AN1069+AO1069</f>
        <v>4562.2811561607195</v>
      </c>
      <c r="X1069" s="202">
        <v>0</v>
      </c>
      <c r="Y1069" s="203">
        <v>0</v>
      </c>
      <c r="Z1069" s="203">
        <v>0</v>
      </c>
      <c r="AA1069" s="203">
        <v>0</v>
      </c>
      <c r="AB1069" s="203">
        <v>0</v>
      </c>
      <c r="AC1069" s="203">
        <v>0</v>
      </c>
      <c r="AD1069" s="203">
        <v>0</v>
      </c>
      <c r="AE1069" s="203">
        <v>1203</v>
      </c>
      <c r="AF1069" s="202">
        <f>6238.91*AE1069/I1069</f>
        <v>4562.2811561607195</v>
      </c>
      <c r="AG1069" s="203">
        <v>0</v>
      </c>
      <c r="AH1069" s="202">
        <v>0</v>
      </c>
      <c r="AI1069" s="203">
        <v>0</v>
      </c>
      <c r="AJ1069" s="202">
        <v>0</v>
      </c>
      <c r="AK1069" s="203">
        <v>0</v>
      </c>
      <c r="AL1069" s="203">
        <v>0</v>
      </c>
      <c r="AM1069" s="203">
        <v>0</v>
      </c>
      <c r="AN1069" s="203"/>
      <c r="AO1069" s="203">
        <v>0</v>
      </c>
    </row>
    <row r="1070" spans="1:41" s="176" customFormat="1" ht="36" customHeight="1" x14ac:dyDescent="0.25">
      <c r="A1070" s="176">
        <v>1</v>
      </c>
      <c r="B1070" s="171">
        <f>SUBTOTAL(103,$A$552:A1070)</f>
        <v>455</v>
      </c>
      <c r="C1070" s="172" t="s">
        <v>212</v>
      </c>
      <c r="D1070" s="173">
        <v>1974</v>
      </c>
      <c r="E1070" s="173"/>
      <c r="F1070" s="174" t="s">
        <v>267</v>
      </c>
      <c r="G1070" s="173">
        <v>2</v>
      </c>
      <c r="H1070" s="173" t="s">
        <v>303</v>
      </c>
      <c r="I1070" s="177">
        <v>749.6</v>
      </c>
      <c r="J1070" s="177">
        <v>685.4</v>
      </c>
      <c r="K1070" s="177">
        <v>685.4</v>
      </c>
      <c r="L1070" s="206">
        <v>36</v>
      </c>
      <c r="M1070" s="173" t="s">
        <v>265</v>
      </c>
      <c r="N1070" s="173" t="s">
        <v>269</v>
      </c>
      <c r="O1070" s="175" t="s">
        <v>332</v>
      </c>
      <c r="P1070" s="170">
        <v>2944222.6500000004</v>
      </c>
      <c r="Q1070" s="170">
        <v>0</v>
      </c>
      <c r="R1070" s="170">
        <v>0</v>
      </c>
      <c r="S1070" s="170">
        <f>P1070-Q1070-R1070</f>
        <v>2944222.6500000004</v>
      </c>
      <c r="T1070" s="170">
        <f t="shared" si="172"/>
        <v>3927.7249866595521</v>
      </c>
      <c r="U1070" s="170">
        <v>5014.5858057630739</v>
      </c>
      <c r="V1070" s="202">
        <f t="shared" si="168"/>
        <v>1086.8608191035219</v>
      </c>
      <c r="W1070" s="202">
        <f t="shared" si="176"/>
        <v>4860.6235859124863</v>
      </c>
      <c r="X1070" s="202">
        <v>0</v>
      </c>
      <c r="Y1070" s="203">
        <v>0</v>
      </c>
      <c r="Z1070" s="203">
        <v>0</v>
      </c>
      <c r="AA1070" s="203">
        <v>0</v>
      </c>
      <c r="AB1070" s="203">
        <v>0</v>
      </c>
      <c r="AC1070" s="203">
        <v>0</v>
      </c>
      <c r="AD1070" s="203">
        <v>0</v>
      </c>
      <c r="AE1070" s="203">
        <v>584</v>
      </c>
      <c r="AF1070" s="202">
        <f>6238.91*AE1070/I1070</f>
        <v>4860.6235859124863</v>
      </c>
      <c r="AG1070" s="203">
        <v>0</v>
      </c>
      <c r="AH1070" s="202">
        <v>0</v>
      </c>
      <c r="AI1070" s="203">
        <v>0</v>
      </c>
      <c r="AJ1070" s="202">
        <v>0</v>
      </c>
      <c r="AK1070" s="203">
        <v>0</v>
      </c>
      <c r="AL1070" s="203">
        <v>0</v>
      </c>
      <c r="AM1070" s="203">
        <v>0</v>
      </c>
      <c r="AN1070" s="203"/>
      <c r="AO1070" s="203">
        <v>0</v>
      </c>
    </row>
    <row r="1071" spans="1:41" s="176" customFormat="1" ht="36" customHeight="1" x14ac:dyDescent="0.25">
      <c r="A1071" s="176">
        <v>1</v>
      </c>
      <c r="B1071" s="171">
        <f>SUBTOTAL(103,$A$552:A1071)</f>
        <v>456</v>
      </c>
      <c r="C1071" s="172" t="s">
        <v>217</v>
      </c>
      <c r="D1071" s="173">
        <v>1992</v>
      </c>
      <c r="E1071" s="173"/>
      <c r="F1071" s="174" t="s">
        <v>311</v>
      </c>
      <c r="G1071" s="173">
        <v>2</v>
      </c>
      <c r="H1071" s="173" t="s">
        <v>303</v>
      </c>
      <c r="I1071" s="170">
        <v>690.3</v>
      </c>
      <c r="J1071" s="170">
        <v>630.29999999999995</v>
      </c>
      <c r="K1071" s="170">
        <v>630.29999999999995</v>
      </c>
      <c r="L1071" s="206">
        <v>29</v>
      </c>
      <c r="M1071" s="173" t="s">
        <v>265</v>
      </c>
      <c r="N1071" s="173" t="s">
        <v>269</v>
      </c>
      <c r="O1071" s="175" t="s">
        <v>332</v>
      </c>
      <c r="P1071" s="170">
        <v>653859.32000000007</v>
      </c>
      <c r="Q1071" s="170">
        <v>0</v>
      </c>
      <c r="R1071" s="170">
        <v>0</v>
      </c>
      <c r="S1071" s="170">
        <f>P1071-Q1071-R1071</f>
        <v>653859.32000000007</v>
      </c>
      <c r="T1071" s="170">
        <f t="shared" si="172"/>
        <v>947.21037230189791</v>
      </c>
      <c r="U1071" s="170">
        <v>3626.97</v>
      </c>
      <c r="V1071" s="202">
        <f>U1071-T1071</f>
        <v>2679.7596276981021</v>
      </c>
      <c r="W1071" s="202">
        <f>X1071+Y1071+Z1071+AA1071+AB1071+AD1071+AF1071+AH1071+AJ1071+AL1071+AN1071+AO1071</f>
        <v>3259.66</v>
      </c>
      <c r="X1071" s="202">
        <v>0</v>
      </c>
      <c r="Y1071" s="203">
        <v>0</v>
      </c>
      <c r="Z1071" s="203">
        <v>3259.66</v>
      </c>
      <c r="AA1071" s="203">
        <v>0</v>
      </c>
      <c r="AB1071" s="203">
        <v>0</v>
      </c>
      <c r="AC1071" s="203">
        <v>0</v>
      </c>
      <c r="AD1071" s="203">
        <v>0</v>
      </c>
      <c r="AE1071" s="203">
        <v>0</v>
      </c>
      <c r="AF1071" s="202">
        <v>0</v>
      </c>
      <c r="AG1071" s="203">
        <v>0</v>
      </c>
      <c r="AH1071" s="202">
        <v>0</v>
      </c>
      <c r="AI1071" s="203">
        <v>0</v>
      </c>
      <c r="AJ1071" s="202">
        <v>0</v>
      </c>
      <c r="AK1071" s="203">
        <v>0</v>
      </c>
      <c r="AL1071" s="203">
        <v>0</v>
      </c>
      <c r="AM1071" s="203">
        <v>0</v>
      </c>
      <c r="AN1071" s="203"/>
      <c r="AO1071" s="203">
        <v>0</v>
      </c>
    </row>
    <row r="1072" spans="1:41" s="176" customFormat="1" ht="36" customHeight="1" x14ac:dyDescent="0.25">
      <c r="A1072" s="176">
        <v>1</v>
      </c>
      <c r="B1072" s="171">
        <f>SUBTOTAL(103,$A$552:A1072)</f>
        <v>457</v>
      </c>
      <c r="C1072" s="172" t="s">
        <v>1547</v>
      </c>
      <c r="D1072" s="173">
        <v>1981</v>
      </c>
      <c r="E1072" s="173"/>
      <c r="F1072" s="174" t="s">
        <v>1562</v>
      </c>
      <c r="G1072" s="173">
        <v>2</v>
      </c>
      <c r="H1072" s="173" t="s">
        <v>312</v>
      </c>
      <c r="I1072" s="170">
        <v>922.9</v>
      </c>
      <c r="J1072" s="170">
        <v>838.7</v>
      </c>
      <c r="K1072" s="170">
        <v>838.7</v>
      </c>
      <c r="L1072" s="206">
        <v>43</v>
      </c>
      <c r="M1072" s="173" t="s">
        <v>265</v>
      </c>
      <c r="N1072" s="173" t="s">
        <v>266</v>
      </c>
      <c r="O1072" s="175" t="s">
        <v>268</v>
      </c>
      <c r="P1072" s="170">
        <v>1015000</v>
      </c>
      <c r="Q1072" s="170">
        <v>0</v>
      </c>
      <c r="R1072" s="170">
        <v>0</v>
      </c>
      <c r="S1072" s="170">
        <f>P1072-Q1072-R1072</f>
        <v>1015000</v>
      </c>
      <c r="T1072" s="170">
        <f t="shared" si="172"/>
        <v>1099.7941272077148</v>
      </c>
      <c r="U1072" s="170">
        <v>3626.97</v>
      </c>
      <c r="V1072" s="202">
        <f t="shared" si="168"/>
        <v>2527.1758727922852</v>
      </c>
      <c r="W1072" s="202">
        <f t="shared" si="176"/>
        <v>3259.66</v>
      </c>
      <c r="X1072" s="202">
        <v>0</v>
      </c>
      <c r="Y1072" s="203">
        <v>0</v>
      </c>
      <c r="Z1072" s="203">
        <v>3259.66</v>
      </c>
      <c r="AA1072" s="203">
        <v>0</v>
      </c>
      <c r="AB1072" s="203">
        <v>0</v>
      </c>
      <c r="AC1072" s="203">
        <v>0</v>
      </c>
      <c r="AD1072" s="203">
        <v>0</v>
      </c>
      <c r="AE1072" s="203">
        <v>0</v>
      </c>
      <c r="AF1072" s="202">
        <v>0</v>
      </c>
      <c r="AG1072" s="203">
        <v>0</v>
      </c>
      <c r="AH1072" s="202">
        <v>0</v>
      </c>
      <c r="AI1072" s="203">
        <v>0</v>
      </c>
      <c r="AJ1072" s="202">
        <v>0</v>
      </c>
      <c r="AK1072" s="203">
        <v>0</v>
      </c>
      <c r="AL1072" s="203">
        <v>0</v>
      </c>
      <c r="AM1072" s="203">
        <v>0</v>
      </c>
      <c r="AN1072" s="203"/>
      <c r="AO1072" s="203">
        <v>0</v>
      </c>
    </row>
    <row r="1073" spans="1:41" s="176" customFormat="1" ht="36" customHeight="1" x14ac:dyDescent="0.25">
      <c r="A1073" s="176">
        <v>1</v>
      </c>
      <c r="B1073" s="171">
        <f>SUBTOTAL(103,$A$552:A1073)</f>
        <v>458</v>
      </c>
      <c r="C1073" s="172" t="s">
        <v>1548</v>
      </c>
      <c r="D1073" s="173">
        <v>1980</v>
      </c>
      <c r="E1073" s="173"/>
      <c r="F1073" s="174" t="s">
        <v>1562</v>
      </c>
      <c r="G1073" s="173">
        <v>2</v>
      </c>
      <c r="H1073" s="173" t="s">
        <v>312</v>
      </c>
      <c r="I1073" s="170">
        <v>1035.4000000000001</v>
      </c>
      <c r="J1073" s="170">
        <v>947.5</v>
      </c>
      <c r="K1073" s="170">
        <v>795.4</v>
      </c>
      <c r="L1073" s="206">
        <v>35</v>
      </c>
      <c r="M1073" s="173" t="s">
        <v>265</v>
      </c>
      <c r="N1073" s="173" t="s">
        <v>266</v>
      </c>
      <c r="O1073" s="175" t="s">
        <v>268</v>
      </c>
      <c r="P1073" s="170">
        <v>964250</v>
      </c>
      <c r="Q1073" s="170">
        <v>0</v>
      </c>
      <c r="R1073" s="170">
        <v>0</v>
      </c>
      <c r="S1073" s="170">
        <f>P1073-R1073-Q1073</f>
        <v>964250</v>
      </c>
      <c r="T1073" s="170">
        <f t="shared" si="172"/>
        <v>931.28259609812619</v>
      </c>
      <c r="U1073" s="170">
        <v>3626.97</v>
      </c>
      <c r="V1073" s="202">
        <f>U1073-T1073</f>
        <v>2695.6874039018735</v>
      </c>
      <c r="W1073" s="202">
        <f t="shared" si="176"/>
        <v>3259.66</v>
      </c>
      <c r="X1073" s="202">
        <v>0</v>
      </c>
      <c r="Y1073" s="203">
        <v>0</v>
      </c>
      <c r="Z1073" s="203">
        <v>3259.66</v>
      </c>
      <c r="AA1073" s="203">
        <v>0</v>
      </c>
      <c r="AB1073" s="203">
        <v>0</v>
      </c>
      <c r="AC1073" s="203">
        <v>0</v>
      </c>
      <c r="AD1073" s="203">
        <v>0</v>
      </c>
      <c r="AE1073" s="203">
        <v>0</v>
      </c>
      <c r="AF1073" s="202">
        <v>0</v>
      </c>
      <c r="AG1073" s="203">
        <v>0</v>
      </c>
      <c r="AH1073" s="202">
        <v>0</v>
      </c>
      <c r="AI1073" s="203">
        <v>0</v>
      </c>
      <c r="AJ1073" s="202">
        <v>0</v>
      </c>
      <c r="AK1073" s="203">
        <v>0</v>
      </c>
      <c r="AL1073" s="203">
        <v>0</v>
      </c>
      <c r="AM1073" s="203">
        <v>0</v>
      </c>
      <c r="AN1073" s="203"/>
      <c r="AO1073" s="203">
        <v>0</v>
      </c>
    </row>
    <row r="1074" spans="1:41" s="176" customFormat="1" ht="36" customHeight="1" x14ac:dyDescent="0.25">
      <c r="A1074" s="176">
        <v>1</v>
      </c>
      <c r="B1074" s="171">
        <f>SUBTOTAL(103,$A$552:A1074)</f>
        <v>459</v>
      </c>
      <c r="C1074" s="172" t="s">
        <v>1264</v>
      </c>
      <c r="D1074" s="173">
        <v>1964</v>
      </c>
      <c r="E1074" s="173"/>
      <c r="F1074" s="174" t="s">
        <v>267</v>
      </c>
      <c r="G1074" s="173">
        <v>2</v>
      </c>
      <c r="H1074" s="173" t="s">
        <v>308</v>
      </c>
      <c r="I1074" s="170">
        <v>1853.08</v>
      </c>
      <c r="J1074" s="170">
        <v>1215.3800000000001</v>
      </c>
      <c r="K1074" s="170">
        <v>986.3</v>
      </c>
      <c r="L1074" s="206">
        <v>115</v>
      </c>
      <c r="M1074" s="173" t="s">
        <v>265</v>
      </c>
      <c r="N1074" s="173" t="s">
        <v>269</v>
      </c>
      <c r="O1074" s="175" t="s">
        <v>1289</v>
      </c>
      <c r="P1074" s="170">
        <v>1468399.1199999999</v>
      </c>
      <c r="Q1074" s="170">
        <v>0</v>
      </c>
      <c r="R1074" s="170">
        <v>0</v>
      </c>
      <c r="S1074" s="170">
        <f>P1074-R1074-Q1074</f>
        <v>1468399.1199999999</v>
      </c>
      <c r="T1074" s="170">
        <f t="shared" si="172"/>
        <v>792.40999848900208</v>
      </c>
      <c r="U1074" s="170">
        <v>3626.97</v>
      </c>
      <c r="V1074" s="202">
        <f>U1074-T1074</f>
        <v>2834.5600015109976</v>
      </c>
      <c r="W1074" s="202">
        <f t="shared" si="176"/>
        <v>3259.66</v>
      </c>
      <c r="X1074" s="202">
        <v>0</v>
      </c>
      <c r="Y1074" s="203">
        <v>0</v>
      </c>
      <c r="Z1074" s="203">
        <v>3259.66</v>
      </c>
      <c r="AA1074" s="203">
        <v>0</v>
      </c>
      <c r="AB1074" s="203">
        <v>0</v>
      </c>
      <c r="AC1074" s="203">
        <v>0</v>
      </c>
      <c r="AD1074" s="203">
        <v>0</v>
      </c>
      <c r="AE1074" s="203">
        <v>0</v>
      </c>
      <c r="AF1074" s="202">
        <v>0</v>
      </c>
      <c r="AG1074" s="203">
        <v>0</v>
      </c>
      <c r="AH1074" s="202">
        <v>0</v>
      </c>
      <c r="AI1074" s="203">
        <v>0</v>
      </c>
      <c r="AJ1074" s="202">
        <v>0</v>
      </c>
      <c r="AK1074" s="203">
        <v>0</v>
      </c>
      <c r="AL1074" s="203">
        <v>0</v>
      </c>
      <c r="AM1074" s="203">
        <v>0</v>
      </c>
      <c r="AN1074" s="203"/>
      <c r="AO1074" s="203">
        <v>0</v>
      </c>
    </row>
    <row r="1075" spans="1:41" s="176" customFormat="1" ht="36" customHeight="1" x14ac:dyDescent="0.25">
      <c r="A1075" s="176">
        <v>1</v>
      </c>
      <c r="B1075" s="171">
        <f>SUBTOTAL(103,$A$552:A1075)</f>
        <v>460</v>
      </c>
      <c r="C1075" s="172" t="s">
        <v>2433</v>
      </c>
      <c r="D1075" s="173">
        <v>1969</v>
      </c>
      <c r="E1075" s="173"/>
      <c r="F1075" s="174" t="s">
        <v>267</v>
      </c>
      <c r="G1075" s="173">
        <v>2</v>
      </c>
      <c r="H1075" s="173">
        <v>3</v>
      </c>
      <c r="I1075" s="170">
        <v>940.9</v>
      </c>
      <c r="J1075" s="170">
        <v>898.8</v>
      </c>
      <c r="K1075" s="170">
        <v>898.8</v>
      </c>
      <c r="L1075" s="206">
        <v>57</v>
      </c>
      <c r="M1075" s="173" t="s">
        <v>265</v>
      </c>
      <c r="N1075" s="173" t="s">
        <v>269</v>
      </c>
      <c r="O1075" s="175" t="s">
        <v>1289</v>
      </c>
      <c r="P1075" s="170">
        <v>5296755.45</v>
      </c>
      <c r="Q1075" s="170">
        <v>0</v>
      </c>
      <c r="R1075" s="170">
        <v>0</v>
      </c>
      <c r="S1075" s="170">
        <f>P1075-R1075-Q1075</f>
        <v>5296755.45</v>
      </c>
      <c r="T1075" s="170">
        <f t="shared" si="172"/>
        <v>5629.4563184185354</v>
      </c>
      <c r="U1075" s="170">
        <v>6279.8751620788607</v>
      </c>
      <c r="V1075" s="202">
        <f>U1075-T1075</f>
        <v>650.41884366032536</v>
      </c>
      <c r="W1075" s="202">
        <f t="shared" si="176"/>
        <v>3259.66</v>
      </c>
      <c r="X1075" s="202">
        <v>0</v>
      </c>
      <c r="Y1075" s="203">
        <v>0</v>
      </c>
      <c r="Z1075" s="203">
        <v>3259.66</v>
      </c>
      <c r="AA1075" s="203">
        <v>0</v>
      </c>
      <c r="AB1075" s="203">
        <v>0</v>
      </c>
      <c r="AC1075" s="203">
        <v>0</v>
      </c>
      <c r="AD1075" s="203">
        <v>0</v>
      </c>
      <c r="AE1075" s="203">
        <v>0</v>
      </c>
      <c r="AF1075" s="202">
        <v>0</v>
      </c>
      <c r="AG1075" s="203">
        <v>0</v>
      </c>
      <c r="AH1075" s="202">
        <v>0</v>
      </c>
      <c r="AI1075" s="203">
        <v>0</v>
      </c>
      <c r="AJ1075" s="202">
        <v>0</v>
      </c>
      <c r="AK1075" s="203">
        <v>0</v>
      </c>
      <c r="AL1075" s="203">
        <v>0</v>
      </c>
      <c r="AM1075" s="203">
        <v>0</v>
      </c>
      <c r="AN1075" s="203"/>
      <c r="AO1075" s="203">
        <v>0</v>
      </c>
    </row>
    <row r="1076" spans="1:41" s="176" customFormat="1" ht="36" customHeight="1" x14ac:dyDescent="0.25">
      <c r="B1076" s="172" t="s">
        <v>855</v>
      </c>
      <c r="C1076" s="172"/>
      <c r="D1076" s="173" t="s">
        <v>882</v>
      </c>
      <c r="E1076" s="173" t="s">
        <v>882</v>
      </c>
      <c r="F1076" s="173" t="s">
        <v>882</v>
      </c>
      <c r="G1076" s="173" t="s">
        <v>882</v>
      </c>
      <c r="H1076" s="173" t="s">
        <v>882</v>
      </c>
      <c r="I1076" s="177">
        <f>SUM(I1077:I1080)</f>
        <v>2986.5999999999995</v>
      </c>
      <c r="J1076" s="177">
        <f>SUM(J1077:J1080)</f>
        <v>2755.5999999999995</v>
      </c>
      <c r="K1076" s="177">
        <f>SUM(K1077:K1080)</f>
        <v>2730.5999999999995</v>
      </c>
      <c r="L1076" s="357">
        <f>SUM(L1077:L1080)</f>
        <v>122</v>
      </c>
      <c r="M1076" s="173" t="s">
        <v>882</v>
      </c>
      <c r="N1076" s="173" t="s">
        <v>882</v>
      </c>
      <c r="O1076" s="175" t="s">
        <v>882</v>
      </c>
      <c r="P1076" s="170">
        <v>8045705.7599999988</v>
      </c>
      <c r="Q1076" s="170">
        <f>SUM(Q1077:Q1080)</f>
        <v>0</v>
      </c>
      <c r="R1076" s="170">
        <f>SUM(R1077:R1080)</f>
        <v>0</v>
      </c>
      <c r="S1076" s="170">
        <f>SUM(S1077:S1080)</f>
        <v>8045705.7599999988</v>
      </c>
      <c r="T1076" s="170">
        <f t="shared" si="172"/>
        <v>2693.934828902431</v>
      </c>
      <c r="U1076" s="170">
        <f>MAX(U1077:U1080)</f>
        <v>5427.0643805309737</v>
      </c>
      <c r="V1076" s="202">
        <f t="shared" ref="V1076:V1139" si="177">U1076-T1076</f>
        <v>2733.1295516285427</v>
      </c>
      <c r="W1076" s="202"/>
      <c r="X1076" s="202"/>
      <c r="Y1076" s="203"/>
      <c r="Z1076" s="203"/>
      <c r="AA1076" s="203"/>
      <c r="AB1076" s="203"/>
      <c r="AC1076" s="203"/>
      <c r="AD1076" s="203"/>
      <c r="AE1076" s="203"/>
      <c r="AF1076" s="203"/>
      <c r="AG1076" s="203"/>
      <c r="AH1076" s="203"/>
      <c r="AI1076" s="203"/>
      <c r="AJ1076" s="203"/>
      <c r="AK1076" s="203"/>
      <c r="AL1076" s="203"/>
      <c r="AM1076" s="203"/>
      <c r="AN1076" s="203"/>
      <c r="AO1076" s="203"/>
    </row>
    <row r="1077" spans="1:41" s="176" customFormat="1" ht="36" customHeight="1" x14ac:dyDescent="0.25">
      <c r="A1077" s="176">
        <v>1</v>
      </c>
      <c r="B1077" s="171">
        <f>SUBTOTAL(103,$A$552:A1077)</f>
        <v>461</v>
      </c>
      <c r="C1077" s="172" t="s">
        <v>224</v>
      </c>
      <c r="D1077" s="173">
        <v>1973</v>
      </c>
      <c r="E1077" s="173"/>
      <c r="F1077" s="174" t="s">
        <v>267</v>
      </c>
      <c r="G1077" s="173">
        <v>2</v>
      </c>
      <c r="H1077" s="173" t="s">
        <v>303</v>
      </c>
      <c r="I1077" s="170">
        <v>813.6</v>
      </c>
      <c r="J1077" s="170">
        <v>752.3</v>
      </c>
      <c r="K1077" s="170">
        <v>752.3</v>
      </c>
      <c r="L1077" s="206">
        <v>39</v>
      </c>
      <c r="M1077" s="173" t="s">
        <v>265</v>
      </c>
      <c r="N1077" s="173" t="s">
        <v>266</v>
      </c>
      <c r="O1077" s="175" t="s">
        <v>268</v>
      </c>
      <c r="P1077" s="170">
        <v>3575027.3</v>
      </c>
      <c r="Q1077" s="170">
        <v>0</v>
      </c>
      <c r="R1077" s="170">
        <v>0</v>
      </c>
      <c r="S1077" s="170">
        <f>P1077-Q1077-R1077</f>
        <v>3575027.3</v>
      </c>
      <c r="T1077" s="170">
        <f t="shared" si="172"/>
        <v>4394.0846853490657</v>
      </c>
      <c r="U1077" s="170">
        <v>5427.0643805309737</v>
      </c>
      <c r="V1077" s="202">
        <f t="shared" si="177"/>
        <v>1032.979695181908</v>
      </c>
      <c r="W1077" s="202">
        <f>X1077+Y1077+Z1077+AA1077+AB1077+AD1077+AF1077+AH1077+AJ1077+AL1077+AN1077+AO1077</f>
        <v>3259.66</v>
      </c>
      <c r="X1077" s="202">
        <v>0</v>
      </c>
      <c r="Y1077" s="203">
        <v>0</v>
      </c>
      <c r="Z1077" s="203">
        <v>3259.66</v>
      </c>
      <c r="AA1077" s="203">
        <v>0</v>
      </c>
      <c r="AB1077" s="203">
        <v>0</v>
      </c>
      <c r="AC1077" s="203">
        <v>0</v>
      </c>
      <c r="AD1077" s="203">
        <v>0</v>
      </c>
      <c r="AE1077" s="203">
        <v>0</v>
      </c>
      <c r="AF1077" s="202">
        <v>0</v>
      </c>
      <c r="AG1077" s="203">
        <v>0</v>
      </c>
      <c r="AH1077" s="202">
        <v>0</v>
      </c>
      <c r="AI1077" s="203">
        <v>0</v>
      </c>
      <c r="AJ1077" s="202">
        <v>0</v>
      </c>
      <c r="AK1077" s="203">
        <v>0</v>
      </c>
      <c r="AL1077" s="203">
        <v>0</v>
      </c>
      <c r="AM1077" s="203">
        <v>0</v>
      </c>
      <c r="AN1077" s="203"/>
      <c r="AO1077" s="203">
        <v>0</v>
      </c>
    </row>
    <row r="1078" spans="1:41" s="176" customFormat="1" ht="36" customHeight="1" x14ac:dyDescent="0.25">
      <c r="A1078" s="176">
        <v>1</v>
      </c>
      <c r="B1078" s="171">
        <f>SUBTOTAL(103,$A$552:A1078)</f>
        <v>462</v>
      </c>
      <c r="C1078" s="172" t="s">
        <v>219</v>
      </c>
      <c r="D1078" s="173">
        <v>1973</v>
      </c>
      <c r="E1078" s="173"/>
      <c r="F1078" s="174" t="s">
        <v>267</v>
      </c>
      <c r="G1078" s="173">
        <v>2</v>
      </c>
      <c r="H1078" s="173" t="s">
        <v>303</v>
      </c>
      <c r="I1078" s="170">
        <v>775.5</v>
      </c>
      <c r="J1078" s="170">
        <v>715.8</v>
      </c>
      <c r="K1078" s="170">
        <v>715.8</v>
      </c>
      <c r="L1078" s="206">
        <v>31</v>
      </c>
      <c r="M1078" s="173" t="s">
        <v>265</v>
      </c>
      <c r="N1078" s="173" t="s">
        <v>269</v>
      </c>
      <c r="O1078" s="175" t="s">
        <v>332</v>
      </c>
      <c r="P1078" s="170">
        <v>400289.33999999997</v>
      </c>
      <c r="Q1078" s="170">
        <v>0</v>
      </c>
      <c r="R1078" s="170">
        <v>0</v>
      </c>
      <c r="S1078" s="170">
        <f>P1078-R1078-Q1078</f>
        <v>400289.33999999997</v>
      </c>
      <c r="T1078" s="170">
        <f t="shared" si="172"/>
        <v>516.16936170212762</v>
      </c>
      <c r="U1078" s="170">
        <v>516.16936170212762</v>
      </c>
      <c r="V1078" s="202">
        <f t="shared" si="177"/>
        <v>0</v>
      </c>
      <c r="W1078" s="202">
        <f>X1078+Y1078+Z1078+AA1078+AB1078+AD1078+AF1078+AH1078+AJ1078+AL1078+AN1078+AO1078</f>
        <v>3259.66</v>
      </c>
      <c r="X1078" s="202">
        <v>0</v>
      </c>
      <c r="Y1078" s="203">
        <v>0</v>
      </c>
      <c r="Z1078" s="203">
        <v>3259.66</v>
      </c>
      <c r="AA1078" s="203">
        <v>0</v>
      </c>
      <c r="AB1078" s="203">
        <v>0</v>
      </c>
      <c r="AC1078" s="203">
        <v>0</v>
      </c>
      <c r="AD1078" s="203">
        <v>0</v>
      </c>
      <c r="AE1078" s="203">
        <v>0</v>
      </c>
      <c r="AF1078" s="202">
        <v>0</v>
      </c>
      <c r="AG1078" s="203">
        <v>0</v>
      </c>
      <c r="AH1078" s="202">
        <v>0</v>
      </c>
      <c r="AI1078" s="203">
        <v>0</v>
      </c>
      <c r="AJ1078" s="202">
        <v>0</v>
      </c>
      <c r="AK1078" s="203">
        <v>0</v>
      </c>
      <c r="AL1078" s="203">
        <v>0</v>
      </c>
      <c r="AM1078" s="203">
        <v>0</v>
      </c>
      <c r="AN1078" s="203"/>
      <c r="AO1078" s="203">
        <v>0</v>
      </c>
    </row>
    <row r="1079" spans="1:41" s="176" customFormat="1" ht="36" customHeight="1" x14ac:dyDescent="0.25">
      <c r="A1079" s="176">
        <v>1</v>
      </c>
      <c r="B1079" s="171">
        <f>SUBTOTAL(103,$A$552:A1079)</f>
        <v>463</v>
      </c>
      <c r="C1079" s="172" t="s">
        <v>225</v>
      </c>
      <c r="D1079" s="173">
        <v>1978</v>
      </c>
      <c r="E1079" s="173"/>
      <c r="F1079" s="174" t="s">
        <v>311</v>
      </c>
      <c r="G1079" s="173">
        <v>3</v>
      </c>
      <c r="H1079" s="173" t="s">
        <v>303</v>
      </c>
      <c r="I1079" s="170">
        <v>1015.3</v>
      </c>
      <c r="J1079" s="170">
        <v>929.3</v>
      </c>
      <c r="K1079" s="170">
        <v>929.3</v>
      </c>
      <c r="L1079" s="206">
        <v>37</v>
      </c>
      <c r="M1079" s="173" t="s">
        <v>265</v>
      </c>
      <c r="N1079" s="173" t="s">
        <v>269</v>
      </c>
      <c r="O1079" s="175" t="s">
        <v>332</v>
      </c>
      <c r="P1079" s="170">
        <v>3386066.8299999996</v>
      </c>
      <c r="Q1079" s="170">
        <v>0</v>
      </c>
      <c r="R1079" s="170">
        <v>0</v>
      </c>
      <c r="S1079" s="170">
        <f>P1079-R1079-Q1079</f>
        <v>3386066.8299999996</v>
      </c>
      <c r="T1079" s="170">
        <f t="shared" si="172"/>
        <v>3335.0407071801437</v>
      </c>
      <c r="U1079" s="170">
        <v>1631.0497307570477</v>
      </c>
      <c r="V1079" s="202">
        <f t="shared" si="177"/>
        <v>-1703.9909764230961</v>
      </c>
      <c r="W1079" s="202">
        <f>X1079+Y1079+Z1079+AA1079+AB1079+AD1079+AF1079+AH1079+AJ1079+AL1079+AN1079+AO1079</f>
        <v>3259.66</v>
      </c>
      <c r="X1079" s="202">
        <v>0</v>
      </c>
      <c r="Y1079" s="203">
        <v>0</v>
      </c>
      <c r="Z1079" s="203">
        <v>3259.66</v>
      </c>
      <c r="AA1079" s="203">
        <v>0</v>
      </c>
      <c r="AB1079" s="203">
        <v>0</v>
      </c>
      <c r="AC1079" s="203">
        <v>0</v>
      </c>
      <c r="AD1079" s="203">
        <v>0</v>
      </c>
      <c r="AE1079" s="203">
        <v>0</v>
      </c>
      <c r="AF1079" s="202">
        <v>0</v>
      </c>
      <c r="AG1079" s="203">
        <v>0</v>
      </c>
      <c r="AH1079" s="202">
        <v>0</v>
      </c>
      <c r="AI1079" s="203">
        <v>0</v>
      </c>
      <c r="AJ1079" s="202">
        <v>0</v>
      </c>
      <c r="AK1079" s="203">
        <v>0</v>
      </c>
      <c r="AL1079" s="203">
        <v>0</v>
      </c>
      <c r="AM1079" s="203">
        <v>0</v>
      </c>
      <c r="AN1079" s="203"/>
      <c r="AO1079" s="203">
        <v>0</v>
      </c>
    </row>
    <row r="1080" spans="1:41" s="176" customFormat="1" ht="36" customHeight="1" x14ac:dyDescent="0.25">
      <c r="A1080" s="176">
        <v>1</v>
      </c>
      <c r="B1080" s="171">
        <f>SUBTOTAL(103,$A$552:A1080)</f>
        <v>464</v>
      </c>
      <c r="C1080" s="172" t="s">
        <v>1265</v>
      </c>
      <c r="D1080" s="173">
        <v>1970</v>
      </c>
      <c r="E1080" s="173"/>
      <c r="F1080" s="174" t="s">
        <v>267</v>
      </c>
      <c r="G1080" s="173">
        <v>2</v>
      </c>
      <c r="H1080" s="173" t="s">
        <v>304</v>
      </c>
      <c r="I1080" s="177">
        <v>382.2</v>
      </c>
      <c r="J1080" s="177">
        <v>358.2</v>
      </c>
      <c r="K1080" s="177">
        <v>333.2</v>
      </c>
      <c r="L1080" s="206">
        <v>15</v>
      </c>
      <c r="M1080" s="173" t="s">
        <v>265</v>
      </c>
      <c r="N1080" s="173" t="s">
        <v>269</v>
      </c>
      <c r="O1080" s="175" t="s">
        <v>1339</v>
      </c>
      <c r="P1080" s="170">
        <v>684322.28999999992</v>
      </c>
      <c r="Q1080" s="170">
        <v>0</v>
      </c>
      <c r="R1080" s="170">
        <v>0</v>
      </c>
      <c r="S1080" s="170">
        <f>P1080-Q1080-R1080</f>
        <v>684322.28999999992</v>
      </c>
      <c r="T1080" s="170">
        <f t="shared" si="172"/>
        <v>1790.4821821036105</v>
      </c>
      <c r="U1080" s="170">
        <v>1790.4821821036105</v>
      </c>
      <c r="V1080" s="202">
        <f>U1080-T1080</f>
        <v>0</v>
      </c>
      <c r="W1080" s="202">
        <f>X1080+Y1080+Z1080+AA1080+AB1080+AD1080+AF1080+AH1080+AJ1080+AL1080+AN1080+AO1080</f>
        <v>11198.043589743589</v>
      </c>
      <c r="X1080" s="202">
        <v>0</v>
      </c>
      <c r="Y1080" s="203">
        <v>0</v>
      </c>
      <c r="Z1080" s="203">
        <v>0</v>
      </c>
      <c r="AA1080" s="203">
        <v>0</v>
      </c>
      <c r="AB1080" s="203">
        <v>0</v>
      </c>
      <c r="AC1080" s="203">
        <v>0</v>
      </c>
      <c r="AD1080" s="203">
        <v>0</v>
      </c>
      <c r="AE1080" s="203">
        <v>686</v>
      </c>
      <c r="AF1080" s="202">
        <f>6238.91*AE1080/I1080</f>
        <v>11198.043589743589</v>
      </c>
      <c r="AG1080" s="203">
        <v>0</v>
      </c>
      <c r="AH1080" s="202">
        <v>0</v>
      </c>
      <c r="AI1080" s="203">
        <v>0</v>
      </c>
      <c r="AJ1080" s="202">
        <v>0</v>
      </c>
      <c r="AK1080" s="203">
        <v>0</v>
      </c>
      <c r="AL1080" s="203">
        <v>0</v>
      </c>
      <c r="AM1080" s="203">
        <v>0</v>
      </c>
      <c r="AN1080" s="203"/>
      <c r="AO1080" s="203">
        <v>0</v>
      </c>
    </row>
    <row r="1081" spans="1:41" s="176" customFormat="1" ht="36" customHeight="1" x14ac:dyDescent="0.25">
      <c r="B1081" s="172" t="s">
        <v>857</v>
      </c>
      <c r="C1081" s="172"/>
      <c r="D1081" s="173" t="s">
        <v>882</v>
      </c>
      <c r="E1081" s="173" t="s">
        <v>882</v>
      </c>
      <c r="F1081" s="173" t="s">
        <v>882</v>
      </c>
      <c r="G1081" s="173" t="s">
        <v>882</v>
      </c>
      <c r="H1081" s="173" t="s">
        <v>882</v>
      </c>
      <c r="I1081" s="177">
        <f>I1082</f>
        <v>791.9</v>
      </c>
      <c r="J1081" s="177">
        <f>J1082</f>
        <v>736.9</v>
      </c>
      <c r="K1081" s="177">
        <f>K1082</f>
        <v>695.3</v>
      </c>
      <c r="L1081" s="357">
        <f>L1082</f>
        <v>27</v>
      </c>
      <c r="M1081" s="173" t="s">
        <v>882</v>
      </c>
      <c r="N1081" s="173" t="s">
        <v>882</v>
      </c>
      <c r="O1081" s="175" t="s">
        <v>882</v>
      </c>
      <c r="P1081" s="170">
        <v>3417127.3200000003</v>
      </c>
      <c r="Q1081" s="170">
        <f>Q1082</f>
        <v>0</v>
      </c>
      <c r="R1081" s="170">
        <f>R1082</f>
        <v>0</v>
      </c>
      <c r="S1081" s="170">
        <f>S1082</f>
        <v>3417127.3200000003</v>
      </c>
      <c r="T1081" s="170">
        <f t="shared" si="172"/>
        <v>4315.0995327692899</v>
      </c>
      <c r="U1081" s="170">
        <f>U1082</f>
        <v>5148.248645030938</v>
      </c>
      <c r="V1081" s="202">
        <f>U1081-T1081</f>
        <v>833.14911226164804</v>
      </c>
      <c r="W1081" s="202"/>
      <c r="X1081" s="202"/>
      <c r="Y1081" s="203"/>
      <c r="Z1081" s="203"/>
      <c r="AA1081" s="203"/>
      <c r="AB1081" s="203"/>
      <c r="AC1081" s="203"/>
      <c r="AD1081" s="203"/>
      <c r="AE1081" s="203"/>
      <c r="AF1081" s="203"/>
      <c r="AG1081" s="203"/>
      <c r="AH1081" s="203"/>
      <c r="AI1081" s="203"/>
      <c r="AJ1081" s="203"/>
      <c r="AK1081" s="203"/>
      <c r="AL1081" s="203"/>
      <c r="AM1081" s="203"/>
      <c r="AN1081" s="203"/>
      <c r="AO1081" s="203"/>
    </row>
    <row r="1082" spans="1:41" s="176" customFormat="1" ht="36" customHeight="1" x14ac:dyDescent="0.25">
      <c r="A1082" s="176">
        <v>1</v>
      </c>
      <c r="B1082" s="171">
        <f>SUBTOTAL(103,$A$552:A1082)</f>
        <v>465</v>
      </c>
      <c r="C1082" s="172" t="s">
        <v>218</v>
      </c>
      <c r="D1082" s="173">
        <v>1979</v>
      </c>
      <c r="E1082" s="173"/>
      <c r="F1082" s="174" t="s">
        <v>267</v>
      </c>
      <c r="G1082" s="173">
        <v>2</v>
      </c>
      <c r="H1082" s="173" t="s">
        <v>303</v>
      </c>
      <c r="I1082" s="177">
        <v>791.9</v>
      </c>
      <c r="J1082" s="177">
        <v>736.9</v>
      </c>
      <c r="K1082" s="177">
        <v>695.3</v>
      </c>
      <c r="L1082" s="206">
        <v>27</v>
      </c>
      <c r="M1082" s="173" t="s">
        <v>265</v>
      </c>
      <c r="N1082" s="173" t="s">
        <v>266</v>
      </c>
      <c r="O1082" s="175" t="s">
        <v>268</v>
      </c>
      <c r="P1082" s="170">
        <v>3417127.3200000003</v>
      </c>
      <c r="Q1082" s="170">
        <v>0</v>
      </c>
      <c r="R1082" s="170">
        <v>0</v>
      </c>
      <c r="S1082" s="170">
        <f>P1082-Q1082-R1082</f>
        <v>3417127.3200000003</v>
      </c>
      <c r="T1082" s="170">
        <f t="shared" si="172"/>
        <v>4315.0995327692899</v>
      </c>
      <c r="U1082" s="170">
        <v>5148.248645030938</v>
      </c>
      <c r="V1082" s="202">
        <f>U1082-T1082</f>
        <v>833.14911226164804</v>
      </c>
      <c r="W1082" s="202">
        <f>X1082+Y1082+Z1082+AA1082+AB1082+AD1082+AF1082+AH1082+AJ1082+AL1082+AN1082+AO1082</f>
        <v>4990.1825912362665</v>
      </c>
      <c r="X1082" s="202">
        <v>0</v>
      </c>
      <c r="Y1082" s="203">
        <v>0</v>
      </c>
      <c r="Z1082" s="203">
        <v>0</v>
      </c>
      <c r="AA1082" s="203">
        <v>0</v>
      </c>
      <c r="AB1082" s="203">
        <v>0</v>
      </c>
      <c r="AC1082" s="203">
        <v>0</v>
      </c>
      <c r="AD1082" s="203">
        <v>0</v>
      </c>
      <c r="AE1082" s="203">
        <v>633.4</v>
      </c>
      <c r="AF1082" s="202">
        <f>6238.91*AE1082/I1082</f>
        <v>4990.1825912362665</v>
      </c>
      <c r="AG1082" s="203">
        <v>0</v>
      </c>
      <c r="AH1082" s="202">
        <v>0</v>
      </c>
      <c r="AI1082" s="203">
        <v>0</v>
      </c>
      <c r="AJ1082" s="202">
        <v>0</v>
      </c>
      <c r="AK1082" s="203">
        <v>0</v>
      </c>
      <c r="AL1082" s="203">
        <v>0</v>
      </c>
      <c r="AM1082" s="203">
        <v>0</v>
      </c>
      <c r="AN1082" s="203"/>
      <c r="AO1082" s="203">
        <v>0</v>
      </c>
    </row>
    <row r="1083" spans="1:41" s="176" customFormat="1" ht="36" customHeight="1" x14ac:dyDescent="0.25">
      <c r="B1083" s="172" t="s">
        <v>856</v>
      </c>
      <c r="C1083" s="172"/>
      <c r="D1083" s="173" t="s">
        <v>882</v>
      </c>
      <c r="E1083" s="173" t="s">
        <v>882</v>
      </c>
      <c r="F1083" s="173" t="s">
        <v>882</v>
      </c>
      <c r="G1083" s="173" t="s">
        <v>882</v>
      </c>
      <c r="H1083" s="173" t="s">
        <v>882</v>
      </c>
      <c r="I1083" s="177">
        <f>I1084</f>
        <v>212.1</v>
      </c>
      <c r="J1083" s="177">
        <f>J1084</f>
        <v>212.1</v>
      </c>
      <c r="K1083" s="177">
        <f>K1084</f>
        <v>187.1</v>
      </c>
      <c r="L1083" s="357">
        <f>L1084</f>
        <v>7</v>
      </c>
      <c r="M1083" s="173" t="s">
        <v>882</v>
      </c>
      <c r="N1083" s="173" t="s">
        <v>882</v>
      </c>
      <c r="O1083" s="175" t="s">
        <v>882</v>
      </c>
      <c r="P1083" s="170">
        <v>236741.66999999998</v>
      </c>
      <c r="Q1083" s="170">
        <f>Q1084</f>
        <v>0</v>
      </c>
      <c r="R1083" s="170">
        <f>R1084</f>
        <v>0</v>
      </c>
      <c r="S1083" s="170">
        <f>S1084</f>
        <v>236741.66999999998</v>
      </c>
      <c r="T1083" s="170">
        <f t="shared" si="172"/>
        <v>1116.1794908062234</v>
      </c>
      <c r="U1083" s="170">
        <f>U1084</f>
        <v>1116.1794908062234</v>
      </c>
      <c r="V1083" s="202">
        <f t="shared" si="177"/>
        <v>0</v>
      </c>
      <c r="W1083" s="202"/>
      <c r="X1083" s="202"/>
      <c r="Y1083" s="203"/>
      <c r="Z1083" s="203"/>
      <c r="AA1083" s="203"/>
      <c r="AB1083" s="203"/>
      <c r="AC1083" s="203"/>
      <c r="AD1083" s="203"/>
      <c r="AE1083" s="203"/>
      <c r="AF1083" s="203"/>
      <c r="AG1083" s="203"/>
      <c r="AH1083" s="203"/>
      <c r="AI1083" s="203"/>
      <c r="AJ1083" s="203"/>
      <c r="AK1083" s="203"/>
      <c r="AL1083" s="203"/>
      <c r="AM1083" s="203"/>
      <c r="AN1083" s="203"/>
      <c r="AO1083" s="203"/>
    </row>
    <row r="1084" spans="1:41" s="176" customFormat="1" ht="36" customHeight="1" x14ac:dyDescent="0.25">
      <c r="A1084" s="176">
        <v>1</v>
      </c>
      <c r="B1084" s="171">
        <f>SUBTOTAL(103,$A$552:A1084)</f>
        <v>466</v>
      </c>
      <c r="C1084" s="172" t="s">
        <v>223</v>
      </c>
      <c r="D1084" s="173">
        <v>1962</v>
      </c>
      <c r="E1084" s="173"/>
      <c r="F1084" s="174" t="s">
        <v>267</v>
      </c>
      <c r="G1084" s="173">
        <v>2</v>
      </c>
      <c r="H1084" s="173" t="s">
        <v>304</v>
      </c>
      <c r="I1084" s="177">
        <v>212.1</v>
      </c>
      <c r="J1084" s="177">
        <v>212.1</v>
      </c>
      <c r="K1084" s="177">
        <v>187.1</v>
      </c>
      <c r="L1084" s="206">
        <v>7</v>
      </c>
      <c r="M1084" s="173" t="s">
        <v>265</v>
      </c>
      <c r="N1084" s="173" t="s">
        <v>266</v>
      </c>
      <c r="O1084" s="175" t="s">
        <v>268</v>
      </c>
      <c r="P1084" s="170">
        <v>236741.66999999998</v>
      </c>
      <c r="Q1084" s="170">
        <v>0</v>
      </c>
      <c r="R1084" s="170">
        <v>0</v>
      </c>
      <c r="S1084" s="170">
        <f>P1084-Q1084-R1084</f>
        <v>236741.66999999998</v>
      </c>
      <c r="T1084" s="170">
        <f t="shared" si="172"/>
        <v>1116.1794908062234</v>
      </c>
      <c r="U1084" s="170">
        <v>1116.1794908062234</v>
      </c>
      <c r="V1084" s="202">
        <f>U1084-T1084</f>
        <v>0</v>
      </c>
      <c r="W1084" s="202">
        <f>X1084+Y1084+Z1084+AA1084+AB1084+AD1084+AF1084+AH1084+AJ1084+AL1084+AN1084+AO1084</f>
        <v>18631.426657237153</v>
      </c>
      <c r="X1084" s="202">
        <v>0</v>
      </c>
      <c r="Y1084" s="203">
        <v>0</v>
      </c>
      <c r="Z1084" s="203">
        <v>0</v>
      </c>
      <c r="AA1084" s="203">
        <v>0</v>
      </c>
      <c r="AB1084" s="203">
        <v>0</v>
      </c>
      <c r="AC1084" s="203">
        <v>0</v>
      </c>
      <c r="AD1084" s="203">
        <v>0</v>
      </c>
      <c r="AE1084" s="203">
        <v>633.4</v>
      </c>
      <c r="AF1084" s="202">
        <f>6238.91*AE1084/I1084</f>
        <v>18631.426657237153</v>
      </c>
      <c r="AG1084" s="203">
        <v>0</v>
      </c>
      <c r="AH1084" s="202">
        <v>0</v>
      </c>
      <c r="AI1084" s="203">
        <v>0</v>
      </c>
      <c r="AJ1084" s="202">
        <v>0</v>
      </c>
      <c r="AK1084" s="203">
        <v>0</v>
      </c>
      <c r="AL1084" s="203">
        <v>0</v>
      </c>
      <c r="AM1084" s="203">
        <v>0</v>
      </c>
      <c r="AN1084" s="203"/>
      <c r="AO1084" s="203">
        <v>0</v>
      </c>
    </row>
    <row r="1085" spans="1:41" s="176" customFormat="1" ht="36" customHeight="1" x14ac:dyDescent="0.25">
      <c r="B1085" s="172" t="s">
        <v>747</v>
      </c>
      <c r="C1085" s="356"/>
      <c r="D1085" s="173" t="s">
        <v>882</v>
      </c>
      <c r="E1085" s="173" t="s">
        <v>882</v>
      </c>
      <c r="F1085" s="173" t="s">
        <v>882</v>
      </c>
      <c r="G1085" s="173" t="s">
        <v>882</v>
      </c>
      <c r="H1085" s="173" t="s">
        <v>882</v>
      </c>
      <c r="I1085" s="177">
        <f>I1086+I1157+I1172+I1197+I1208+I1211+I1220+I1223+I1227+I1230+I1232+I1234+I1237+I1239+I1241+I1248+I1252+I1254+I1256+I1258+I1261+I1264+I1266+I1268+I1270+I1277+I1280+I1284+I1287+I1289+I1293+I1295+I1297+I1299+I1301+I1303+I1305+I1310+I1312+I1314+I1316+I1320+I1322+I1324+I1326+I1329+I1333+I1337+I1341+I1344+I1346+I1348+I1351+I1355+I1357+I1359+I1361+I1365</f>
        <v>496947.41999999993</v>
      </c>
      <c r="J1085" s="177">
        <f>J1086+J1157+J1172+J1197+J1208+J1211+J1220+J1223+J1227+J1230+J1232+J1234+J1237+J1239+J1241+J1248+J1252+J1254+J1256+J1258+J1261+J1264+J1266+J1268+J1270+J1277+J1280+J1284+J1287+J1289+J1293+J1295+J1297+J1299+J1301+J1303+J1305+J1310+J1312+J1314+J1316+J1320+J1322+J1324+J1326+J1329+J1333+J1337+J1341+J1344+J1346+J1348+J1351+J1355+J1357+J1359+J1361+J1365</f>
        <v>415750.36</v>
      </c>
      <c r="K1085" s="177">
        <f>K1086+K1157+K1172+K1197+K1208+K1211+K1220+K1223+K1227+K1230+K1232+K1234+K1237+K1239+K1241+K1248+K1252+K1254+K1256+K1258+K1261+K1264+K1266+K1268+K1270+K1277+K1280+K1284+K1287+K1289+K1293+K1295+K1297+K1299+K1301+K1303+K1305+K1310+K1312+K1314+K1316+K1320+K1322+K1324+K1326+K1329+K1333+K1337+K1341+K1344+K1346+K1348+K1351+K1355+K1357+K1359+K1361+K1365</f>
        <v>353108.89999999997</v>
      </c>
      <c r="L1085" s="357">
        <f>L1086+L1157+L1172+L1197+L1208+L1211+L1220+L1223+L1227+L1230+L1232+L1234+L1237+L1239+L1241+L1248+L1252+L1254+L1256+L1258+L1261+L1264+L1266+L1268+L1270+L1277+L1280+L1284+L1287+L1289+L1293+L1295+L1297+L1299+L1301+L1303+L1305+L1310+L1312+L1314+L1316+L1320+L1322+L1324+L1326+L1329+L1333+L1337+L1341+L1344+L1346+L1348+L1351+L1355+L1357+L1359+L1361+L1365</f>
        <v>20235</v>
      </c>
      <c r="M1085" s="173" t="s">
        <v>882</v>
      </c>
      <c r="N1085" s="173" t="s">
        <v>882</v>
      </c>
      <c r="O1085" s="175" t="s">
        <v>882</v>
      </c>
      <c r="P1085" s="177">
        <v>811229658.27999985</v>
      </c>
      <c r="Q1085" s="177">
        <f>Q1086+Q1157+Q1172+Q1197+Q1208+Q1211+Q1220+Q1223+Q1227+Q1230+Q1232+Q1234+Q1237+Q1239+Q1241+Q1248+Q1252+Q1254+Q1256+Q1258+Q1261+Q1264+Q1266+Q1268+Q1270+Q1277+Q1280+Q1284+Q1287+Q1289+Q1293+Q1295+Q1297+Q1299+Q1301+Q1303+Q1305+Q1310+Q1312+Q1314+Q1316+Q1320+Q1322+Q1324+Q1326+Q1329+Q1333+Q1337+Q1341+Q1344+Q1346+Q1348+Q1351+Q1355+Q1357+Q1359+Q1361+Q1365</f>
        <v>0</v>
      </c>
      <c r="R1085" s="177">
        <f>R1086+R1157+R1172+R1197+R1208+R1211+R1220+R1223+R1227+R1230+R1232+R1234+R1237+R1239+R1241+R1248+R1252+R1254+R1256+R1258+R1261+R1264+R1266+R1268+R1270+R1277+R1280+R1284+R1287+R1289+R1293+R1295+R1297+R1299+R1301+R1303+R1305+R1310+R1312+R1314+R1316+R1320+R1322+R1324+R1326+R1329+R1333+R1337+R1341+R1344+R1346+R1348+R1351+R1355+R1357+R1359+R1361+R1365</f>
        <v>1851570.68</v>
      </c>
      <c r="S1085" s="177">
        <f>S1086+S1157+S1172+S1197+S1208+S1211+S1220+S1223+S1227+S1230+S1232+S1234+S1237+S1239+S1241+S1248+S1252+S1254+S1256+S1258+S1261+S1264+S1266+S1268+S1270+S1277+S1280+S1284+S1287+S1289+S1293+S1295+S1297+S1299+S1301+S1303+S1305+S1310+S1312+S1314+S1316+S1320+S1322+S1324+S1326+S1329+S1333+S1337+S1341+S1344+S1346+S1348+S1351+S1355+S1357+S1359+S1361+S1365</f>
        <v>805135408.2299999</v>
      </c>
      <c r="T1085" s="170">
        <f t="shared" si="172"/>
        <v>1632.4255356431872</v>
      </c>
      <c r="U1085" s="170">
        <f>MAX(U1086:U1366)</f>
        <v>31687.633164373648</v>
      </c>
      <c r="V1085" s="202">
        <f t="shared" si="177"/>
        <v>30055.207628730463</v>
      </c>
      <c r="W1085" s="202"/>
      <c r="X1085" s="202"/>
      <c r="Y1085" s="203"/>
      <c r="Z1085" s="203"/>
      <c r="AA1085" s="203"/>
      <c r="AB1085" s="203"/>
      <c r="AC1085" s="203"/>
      <c r="AD1085" s="203"/>
      <c r="AE1085" s="203"/>
      <c r="AF1085" s="203"/>
      <c r="AG1085" s="203"/>
      <c r="AH1085" s="203"/>
      <c r="AI1085" s="203"/>
      <c r="AJ1085" s="203"/>
      <c r="AK1085" s="203"/>
      <c r="AL1085" s="203"/>
      <c r="AM1085" s="203"/>
      <c r="AN1085" s="203"/>
      <c r="AO1085" s="203"/>
    </row>
    <row r="1086" spans="1:41" s="176" customFormat="1" ht="36" customHeight="1" x14ac:dyDescent="0.25">
      <c r="B1086" s="172" t="s">
        <v>1078</v>
      </c>
      <c r="C1086" s="359"/>
      <c r="D1086" s="173" t="s">
        <v>882</v>
      </c>
      <c r="E1086" s="173" t="s">
        <v>882</v>
      </c>
      <c r="F1086" s="173" t="s">
        <v>882</v>
      </c>
      <c r="G1086" s="173" t="s">
        <v>882</v>
      </c>
      <c r="H1086" s="173" t="s">
        <v>882</v>
      </c>
      <c r="I1086" s="177">
        <f>SUM(I1087:I1156)</f>
        <v>216494.09999999986</v>
      </c>
      <c r="J1086" s="177">
        <f>SUM(J1087:J1156)</f>
        <v>176668.88999999996</v>
      </c>
      <c r="K1086" s="177">
        <f>SUM(K1087:K1156)</f>
        <v>154132.48999999996</v>
      </c>
      <c r="L1086" s="357">
        <f>SUM(L1087:L1156)</f>
        <v>9040</v>
      </c>
      <c r="M1086" s="173" t="s">
        <v>882</v>
      </c>
      <c r="N1086" s="173" t="s">
        <v>882</v>
      </c>
      <c r="O1086" s="175" t="s">
        <v>882</v>
      </c>
      <c r="P1086" s="177">
        <v>266927665.74999997</v>
      </c>
      <c r="Q1086" s="177">
        <f>SUM(Q1087:Q1156)</f>
        <v>0</v>
      </c>
      <c r="R1086" s="177">
        <f>SUM(R1087:R1156)</f>
        <v>0</v>
      </c>
      <c r="S1086" s="177">
        <f>SUM(S1087:S1156)</f>
        <v>266927665.74999997</v>
      </c>
      <c r="T1086" s="170">
        <f t="shared" si="172"/>
        <v>1232.9558438313106</v>
      </c>
      <c r="U1086" s="170">
        <f>MAX(U1087:U1156)</f>
        <v>10738.179130434783</v>
      </c>
      <c r="V1086" s="202">
        <f t="shared" si="177"/>
        <v>9505.2232866034719</v>
      </c>
      <c r="W1086" s="202"/>
      <c r="X1086" s="202"/>
      <c r="Y1086" s="203"/>
      <c r="Z1086" s="203"/>
      <c r="AA1086" s="203"/>
      <c r="AB1086" s="203"/>
      <c r="AC1086" s="203"/>
      <c r="AD1086" s="203"/>
      <c r="AE1086" s="203"/>
      <c r="AF1086" s="203"/>
      <c r="AG1086" s="203"/>
      <c r="AH1086" s="203"/>
      <c r="AI1086" s="203"/>
      <c r="AJ1086" s="203"/>
      <c r="AK1086" s="203"/>
      <c r="AL1086" s="203"/>
      <c r="AM1086" s="203"/>
      <c r="AN1086" s="203"/>
      <c r="AO1086" s="203"/>
    </row>
    <row r="1087" spans="1:41" s="176" customFormat="1" ht="36" customHeight="1" x14ac:dyDescent="0.25">
      <c r="A1087" s="176">
        <v>1</v>
      </c>
      <c r="B1087" s="171">
        <f>SUBTOTAL(103,$A1087:A$1087)</f>
        <v>1</v>
      </c>
      <c r="C1087" s="172" t="s">
        <v>1056</v>
      </c>
      <c r="D1087" s="173">
        <v>1962</v>
      </c>
      <c r="E1087" s="173"/>
      <c r="F1087" s="174" t="s">
        <v>267</v>
      </c>
      <c r="G1087" s="173">
        <v>3</v>
      </c>
      <c r="H1087" s="173" t="s">
        <v>303</v>
      </c>
      <c r="I1087" s="177">
        <v>970.2</v>
      </c>
      <c r="J1087" s="177">
        <v>615</v>
      </c>
      <c r="K1087" s="177">
        <v>615</v>
      </c>
      <c r="L1087" s="206">
        <v>53</v>
      </c>
      <c r="M1087" s="173" t="s">
        <v>265</v>
      </c>
      <c r="N1087" s="173" t="s">
        <v>269</v>
      </c>
      <c r="O1087" s="175" t="s">
        <v>1633</v>
      </c>
      <c r="P1087" s="170">
        <v>2200000</v>
      </c>
      <c r="Q1087" s="170">
        <v>0</v>
      </c>
      <c r="R1087" s="170">
        <v>0</v>
      </c>
      <c r="S1087" s="170">
        <f t="shared" ref="S1087:S1143" si="178">P1087-Q1087-R1087</f>
        <v>2200000</v>
      </c>
      <c r="T1087" s="170">
        <f t="shared" si="172"/>
        <v>2267.5736961451248</v>
      </c>
      <c r="U1087" s="170">
        <v>2733.3027829313542</v>
      </c>
      <c r="V1087" s="202">
        <f t="shared" si="177"/>
        <v>465.72908678622935</v>
      </c>
      <c r="W1087" s="202">
        <f t="shared" ref="W1087:W1143" si="179">X1087+Y1087+Z1087+AA1087+AB1087+AD1087+AF1087+AH1087+AJ1087+AL1087+AN1087+AO1087</f>
        <v>4732.8775097917951</v>
      </c>
      <c r="X1087" s="202">
        <v>0</v>
      </c>
      <c r="Y1087" s="203">
        <v>0</v>
      </c>
      <c r="Z1087" s="203">
        <v>0</v>
      </c>
      <c r="AA1087" s="203">
        <v>0</v>
      </c>
      <c r="AB1087" s="203">
        <v>0</v>
      </c>
      <c r="AC1087" s="203">
        <v>0</v>
      </c>
      <c r="AD1087" s="203">
        <v>0</v>
      </c>
      <c r="AE1087" s="203">
        <v>736</v>
      </c>
      <c r="AF1087" s="202">
        <f t="shared" ref="AF1087:AF1103" si="180">6238.91*AE1087/I1087</f>
        <v>4732.8775097917951</v>
      </c>
      <c r="AG1087" s="203">
        <v>0</v>
      </c>
      <c r="AH1087" s="202">
        <v>0</v>
      </c>
      <c r="AI1087" s="203">
        <v>0</v>
      </c>
      <c r="AJ1087" s="202">
        <v>0</v>
      </c>
      <c r="AK1087" s="203">
        <v>0</v>
      </c>
      <c r="AL1087" s="203">
        <v>0</v>
      </c>
      <c r="AM1087" s="203">
        <v>0</v>
      </c>
      <c r="AN1087" s="203"/>
      <c r="AO1087" s="203">
        <v>0</v>
      </c>
    </row>
    <row r="1088" spans="1:41" s="176" customFormat="1" ht="36" customHeight="1" x14ac:dyDescent="0.25">
      <c r="A1088" s="176">
        <v>1</v>
      </c>
      <c r="B1088" s="171">
        <f>SUBTOTAL(103,$A$1087:A1088)</f>
        <v>2</v>
      </c>
      <c r="C1088" s="172" t="s">
        <v>567</v>
      </c>
      <c r="D1088" s="173" t="s">
        <v>314</v>
      </c>
      <c r="E1088" s="173"/>
      <c r="F1088" s="174" t="s">
        <v>311</v>
      </c>
      <c r="G1088" s="173" t="s">
        <v>351</v>
      </c>
      <c r="H1088" s="173" t="s">
        <v>312</v>
      </c>
      <c r="I1088" s="177">
        <v>2819.1</v>
      </c>
      <c r="J1088" s="177">
        <v>2572.5</v>
      </c>
      <c r="K1088" s="177">
        <v>1698</v>
      </c>
      <c r="L1088" s="206">
        <v>109</v>
      </c>
      <c r="M1088" s="173" t="s">
        <v>265</v>
      </c>
      <c r="N1088" s="173" t="s">
        <v>269</v>
      </c>
      <c r="O1088" s="175" t="s">
        <v>1062</v>
      </c>
      <c r="P1088" s="170">
        <v>3283875.94</v>
      </c>
      <c r="Q1088" s="170">
        <v>0</v>
      </c>
      <c r="R1088" s="170">
        <v>0</v>
      </c>
      <c r="S1088" s="170">
        <f t="shared" si="178"/>
        <v>3283875.94</v>
      </c>
      <c r="T1088" s="170">
        <f t="shared" si="172"/>
        <v>1164.8667801780709</v>
      </c>
      <c r="U1088" s="170">
        <v>1648.4603809726509</v>
      </c>
      <c r="V1088" s="202">
        <f t="shared" si="177"/>
        <v>483.59360079457997</v>
      </c>
      <c r="W1088" s="202">
        <f t="shared" si="179"/>
        <v>509.0097194139974</v>
      </c>
      <c r="X1088" s="202">
        <v>0</v>
      </c>
      <c r="Y1088" s="203">
        <v>0</v>
      </c>
      <c r="Z1088" s="203">
        <v>0</v>
      </c>
      <c r="AA1088" s="203">
        <v>0</v>
      </c>
      <c r="AB1088" s="203">
        <v>0</v>
      </c>
      <c r="AC1088" s="203">
        <v>0</v>
      </c>
      <c r="AD1088" s="203">
        <v>0</v>
      </c>
      <c r="AE1088" s="203">
        <v>230</v>
      </c>
      <c r="AF1088" s="202">
        <f t="shared" si="180"/>
        <v>509.0097194139974</v>
      </c>
      <c r="AG1088" s="203">
        <v>0</v>
      </c>
      <c r="AH1088" s="202">
        <v>0</v>
      </c>
      <c r="AI1088" s="203">
        <v>0</v>
      </c>
      <c r="AJ1088" s="202">
        <v>0</v>
      </c>
      <c r="AK1088" s="203">
        <v>0</v>
      </c>
      <c r="AL1088" s="203">
        <v>0</v>
      </c>
      <c r="AM1088" s="203">
        <v>0</v>
      </c>
      <c r="AN1088" s="203"/>
      <c r="AO1088" s="203">
        <v>0</v>
      </c>
    </row>
    <row r="1089" spans="1:41" s="176" customFormat="1" ht="36" customHeight="1" x14ac:dyDescent="0.25">
      <c r="A1089" s="176">
        <v>1</v>
      </c>
      <c r="B1089" s="171">
        <f>SUBTOTAL(103,$A$1087:A1089)</f>
        <v>3</v>
      </c>
      <c r="C1089" s="172" t="s">
        <v>568</v>
      </c>
      <c r="D1089" s="173" t="s">
        <v>314</v>
      </c>
      <c r="E1089" s="173"/>
      <c r="F1089" s="174" t="s">
        <v>311</v>
      </c>
      <c r="G1089" s="173" t="s">
        <v>351</v>
      </c>
      <c r="H1089" s="173" t="s">
        <v>351</v>
      </c>
      <c r="I1089" s="177">
        <v>5771.6</v>
      </c>
      <c r="J1089" s="177">
        <v>4780.3999999999996</v>
      </c>
      <c r="K1089" s="177">
        <v>4455.8999999999996</v>
      </c>
      <c r="L1089" s="206">
        <v>241</v>
      </c>
      <c r="M1089" s="173" t="s">
        <v>265</v>
      </c>
      <c r="N1089" s="173" t="s">
        <v>269</v>
      </c>
      <c r="O1089" s="175" t="s">
        <v>1062</v>
      </c>
      <c r="P1089" s="170">
        <v>5491207.6599999992</v>
      </c>
      <c r="Q1089" s="170">
        <v>0</v>
      </c>
      <c r="R1089" s="170">
        <v>0</v>
      </c>
      <c r="S1089" s="170">
        <f t="shared" si="178"/>
        <v>5491207.6599999992</v>
      </c>
      <c r="T1089" s="170">
        <f t="shared" si="172"/>
        <v>951.41861182341097</v>
      </c>
      <c r="U1089" s="170">
        <v>1338.2486658812113</v>
      </c>
      <c r="V1089" s="202">
        <f t="shared" si="177"/>
        <v>386.83005405780034</v>
      </c>
      <c r="W1089" s="202">
        <f t="shared" si="179"/>
        <v>445.35846559013095</v>
      </c>
      <c r="X1089" s="202">
        <v>0</v>
      </c>
      <c r="Y1089" s="203">
        <v>0</v>
      </c>
      <c r="Z1089" s="203">
        <v>0</v>
      </c>
      <c r="AA1089" s="203">
        <v>0</v>
      </c>
      <c r="AB1089" s="203">
        <v>0</v>
      </c>
      <c r="AC1089" s="203">
        <v>0</v>
      </c>
      <c r="AD1089" s="203">
        <v>0</v>
      </c>
      <c r="AE1089" s="203">
        <v>412</v>
      </c>
      <c r="AF1089" s="202">
        <f t="shared" si="180"/>
        <v>445.35846559013095</v>
      </c>
      <c r="AG1089" s="203">
        <v>0</v>
      </c>
      <c r="AH1089" s="202">
        <v>0</v>
      </c>
      <c r="AI1089" s="203">
        <v>0</v>
      </c>
      <c r="AJ1089" s="202">
        <v>0</v>
      </c>
      <c r="AK1089" s="203">
        <v>0</v>
      </c>
      <c r="AL1089" s="203">
        <v>0</v>
      </c>
      <c r="AM1089" s="203">
        <v>0</v>
      </c>
      <c r="AN1089" s="203"/>
      <c r="AO1089" s="203">
        <v>0</v>
      </c>
    </row>
    <row r="1090" spans="1:41" s="176" customFormat="1" ht="36" customHeight="1" x14ac:dyDescent="0.25">
      <c r="A1090" s="176">
        <v>1</v>
      </c>
      <c r="B1090" s="171">
        <f>SUBTOTAL(103,$A$1087:A1090)</f>
        <v>4</v>
      </c>
      <c r="C1090" s="172" t="s">
        <v>569</v>
      </c>
      <c r="D1090" s="173" t="s">
        <v>317</v>
      </c>
      <c r="E1090" s="173"/>
      <c r="F1090" s="174" t="s">
        <v>311</v>
      </c>
      <c r="G1090" s="173" t="s">
        <v>351</v>
      </c>
      <c r="H1090" s="173" t="s">
        <v>312</v>
      </c>
      <c r="I1090" s="177">
        <v>2495.6</v>
      </c>
      <c r="J1090" s="177">
        <v>2297</v>
      </c>
      <c r="K1090" s="177">
        <v>2070.8000000000002</v>
      </c>
      <c r="L1090" s="206">
        <v>117</v>
      </c>
      <c r="M1090" s="173" t="s">
        <v>265</v>
      </c>
      <c r="N1090" s="173" t="s">
        <v>269</v>
      </c>
      <c r="O1090" s="175" t="s">
        <v>1636</v>
      </c>
      <c r="P1090" s="170">
        <v>2818609.5</v>
      </c>
      <c r="Q1090" s="170">
        <v>0</v>
      </c>
      <c r="R1090" s="170">
        <v>0</v>
      </c>
      <c r="S1090" s="170">
        <f t="shared" si="178"/>
        <v>2818609.5</v>
      </c>
      <c r="T1090" s="170">
        <f t="shared" si="172"/>
        <v>1129.431599615323</v>
      </c>
      <c r="U1090" s="170">
        <v>1529.4367246353584</v>
      </c>
      <c r="V1090" s="202">
        <f t="shared" si="177"/>
        <v>400.00512502003539</v>
      </c>
      <c r="W1090" s="202">
        <f t="shared" si="179"/>
        <v>2999.9567238339478</v>
      </c>
      <c r="X1090" s="202">
        <v>0</v>
      </c>
      <c r="Y1090" s="203">
        <v>0</v>
      </c>
      <c r="Z1090" s="203">
        <v>0</v>
      </c>
      <c r="AA1090" s="203">
        <v>0</v>
      </c>
      <c r="AB1090" s="203">
        <v>0</v>
      </c>
      <c r="AC1090" s="203">
        <v>0</v>
      </c>
      <c r="AD1090" s="203">
        <v>0</v>
      </c>
      <c r="AE1090" s="203">
        <v>1200</v>
      </c>
      <c r="AF1090" s="202">
        <f t="shared" si="180"/>
        <v>2999.9567238339478</v>
      </c>
      <c r="AG1090" s="203">
        <v>0</v>
      </c>
      <c r="AH1090" s="202">
        <v>0</v>
      </c>
      <c r="AI1090" s="203">
        <v>0</v>
      </c>
      <c r="AJ1090" s="202">
        <v>0</v>
      </c>
      <c r="AK1090" s="203">
        <v>0</v>
      </c>
      <c r="AL1090" s="203">
        <v>0</v>
      </c>
      <c r="AM1090" s="203">
        <v>0</v>
      </c>
      <c r="AN1090" s="203"/>
      <c r="AO1090" s="203">
        <v>0</v>
      </c>
    </row>
    <row r="1091" spans="1:41" s="176" customFormat="1" ht="36" customHeight="1" x14ac:dyDescent="0.25">
      <c r="A1091" s="176">
        <v>1</v>
      </c>
      <c r="B1091" s="171">
        <f>SUBTOTAL(103,$A$1087:A1091)</f>
        <v>5</v>
      </c>
      <c r="C1091" s="172" t="s">
        <v>1617</v>
      </c>
      <c r="D1091" s="173">
        <v>1986</v>
      </c>
      <c r="E1091" s="173"/>
      <c r="F1091" s="174" t="s">
        <v>311</v>
      </c>
      <c r="G1091" s="173">
        <v>9</v>
      </c>
      <c r="H1091" s="173" t="s">
        <v>303</v>
      </c>
      <c r="I1091" s="177">
        <v>4308.3999999999996</v>
      </c>
      <c r="J1091" s="177">
        <v>3920.4</v>
      </c>
      <c r="K1091" s="177">
        <v>3608.2</v>
      </c>
      <c r="L1091" s="206">
        <v>108</v>
      </c>
      <c r="M1091" s="173" t="s">
        <v>265</v>
      </c>
      <c r="N1091" s="173" t="s">
        <v>269</v>
      </c>
      <c r="O1091" s="175" t="s">
        <v>1372</v>
      </c>
      <c r="P1091" s="170">
        <v>2536000</v>
      </c>
      <c r="Q1091" s="170">
        <v>0</v>
      </c>
      <c r="R1091" s="170">
        <v>0</v>
      </c>
      <c r="S1091" s="170">
        <f t="shared" si="178"/>
        <v>2536000</v>
      </c>
      <c r="T1091" s="170">
        <f t="shared" si="172"/>
        <v>588.61758425401547</v>
      </c>
      <c r="U1091" s="170">
        <v>835.11750765945601</v>
      </c>
      <c r="V1091" s="202">
        <f t="shared" si="177"/>
        <v>246.49992340544054</v>
      </c>
      <c r="W1091" s="202">
        <f t="shared" si="179"/>
        <v>608.19380744591956</v>
      </c>
      <c r="X1091" s="202">
        <v>0</v>
      </c>
      <c r="Y1091" s="203">
        <v>0</v>
      </c>
      <c r="Z1091" s="203">
        <v>0</v>
      </c>
      <c r="AA1091" s="203">
        <v>0</v>
      </c>
      <c r="AB1091" s="203">
        <v>0</v>
      </c>
      <c r="AC1091" s="203">
        <v>0</v>
      </c>
      <c r="AD1091" s="203">
        <v>0</v>
      </c>
      <c r="AE1091" s="203">
        <v>420</v>
      </c>
      <c r="AF1091" s="202">
        <f t="shared" si="180"/>
        <v>608.19380744591956</v>
      </c>
      <c r="AG1091" s="203">
        <v>0</v>
      </c>
      <c r="AH1091" s="202">
        <v>0</v>
      </c>
      <c r="AI1091" s="203">
        <v>0</v>
      </c>
      <c r="AJ1091" s="202">
        <v>0</v>
      </c>
      <c r="AK1091" s="203">
        <v>0</v>
      </c>
      <c r="AL1091" s="203">
        <v>0</v>
      </c>
      <c r="AM1091" s="203">
        <v>0</v>
      </c>
      <c r="AN1091" s="203"/>
      <c r="AO1091" s="203">
        <v>0</v>
      </c>
    </row>
    <row r="1092" spans="1:41" s="176" customFormat="1" ht="36" customHeight="1" x14ac:dyDescent="0.25">
      <c r="A1092" s="176">
        <v>1</v>
      </c>
      <c r="B1092" s="171">
        <f>SUBTOTAL(103,$A$1087:A1092)</f>
        <v>6</v>
      </c>
      <c r="C1092" s="172" t="s">
        <v>570</v>
      </c>
      <c r="D1092" s="173" t="s">
        <v>368</v>
      </c>
      <c r="E1092" s="173"/>
      <c r="F1092" s="174" t="s">
        <v>267</v>
      </c>
      <c r="G1092" s="173" t="s">
        <v>357</v>
      </c>
      <c r="H1092" s="173" t="s">
        <v>304</v>
      </c>
      <c r="I1092" s="177">
        <v>6352.8</v>
      </c>
      <c r="J1092" s="177">
        <v>4687.3999999999996</v>
      </c>
      <c r="K1092" s="177">
        <v>2543.4</v>
      </c>
      <c r="L1092" s="206">
        <v>201</v>
      </c>
      <c r="M1092" s="173" t="s">
        <v>265</v>
      </c>
      <c r="N1092" s="173" t="s">
        <v>269</v>
      </c>
      <c r="O1092" s="175" t="s">
        <v>1077</v>
      </c>
      <c r="P1092" s="170">
        <v>3753990.26</v>
      </c>
      <c r="Q1092" s="170">
        <v>0</v>
      </c>
      <c r="R1092" s="170">
        <v>0</v>
      </c>
      <c r="S1092" s="170">
        <f t="shared" si="178"/>
        <v>3753990.26</v>
      </c>
      <c r="T1092" s="170">
        <f t="shared" si="172"/>
        <v>590.91900579272124</v>
      </c>
      <c r="U1092" s="170">
        <v>804.46493199848874</v>
      </c>
      <c r="V1092" s="202">
        <f t="shared" si="177"/>
        <v>213.5459262057675</v>
      </c>
      <c r="W1092" s="202">
        <f t="shared" si="179"/>
        <v>582.36897588464922</v>
      </c>
      <c r="X1092" s="202">
        <v>0</v>
      </c>
      <c r="Y1092" s="203">
        <v>0</v>
      </c>
      <c r="Z1092" s="203">
        <v>0</v>
      </c>
      <c r="AA1092" s="203">
        <v>0</v>
      </c>
      <c r="AB1092" s="203">
        <v>0</v>
      </c>
      <c r="AC1092" s="203">
        <v>0</v>
      </c>
      <c r="AD1092" s="203">
        <v>0</v>
      </c>
      <c r="AE1092" s="203">
        <v>593</v>
      </c>
      <c r="AF1092" s="202">
        <f t="shared" si="180"/>
        <v>582.36897588464922</v>
      </c>
      <c r="AG1092" s="203">
        <v>0</v>
      </c>
      <c r="AH1092" s="202">
        <v>0</v>
      </c>
      <c r="AI1092" s="203">
        <v>0</v>
      </c>
      <c r="AJ1092" s="202">
        <v>0</v>
      </c>
      <c r="AK1092" s="203">
        <v>0</v>
      </c>
      <c r="AL1092" s="203">
        <v>0</v>
      </c>
      <c r="AM1092" s="203">
        <v>0</v>
      </c>
      <c r="AN1092" s="203"/>
      <c r="AO1092" s="203">
        <v>0</v>
      </c>
    </row>
    <row r="1093" spans="1:41" s="176" customFormat="1" ht="36" customHeight="1" x14ac:dyDescent="0.25">
      <c r="A1093" s="176">
        <v>1</v>
      </c>
      <c r="B1093" s="171">
        <f>SUBTOTAL(103,$A$1087:A1093)</f>
        <v>7</v>
      </c>
      <c r="C1093" s="172" t="s">
        <v>1618</v>
      </c>
      <c r="D1093" s="173">
        <v>1986</v>
      </c>
      <c r="E1093" s="173"/>
      <c r="F1093" s="174" t="s">
        <v>267</v>
      </c>
      <c r="G1093" s="173">
        <v>5</v>
      </c>
      <c r="H1093" s="173" t="s">
        <v>370</v>
      </c>
      <c r="I1093" s="177">
        <v>5760.4</v>
      </c>
      <c r="J1093" s="177">
        <v>4094.2</v>
      </c>
      <c r="K1093" s="177">
        <v>3478.1</v>
      </c>
      <c r="L1093" s="206">
        <v>194</v>
      </c>
      <c r="M1093" s="173" t="s">
        <v>265</v>
      </c>
      <c r="N1093" s="173" t="s">
        <v>269</v>
      </c>
      <c r="O1093" s="175" t="s">
        <v>1077</v>
      </c>
      <c r="P1093" s="170">
        <v>5682500</v>
      </c>
      <c r="Q1093" s="170">
        <v>0</v>
      </c>
      <c r="R1093" s="170">
        <v>0</v>
      </c>
      <c r="S1093" s="170">
        <f t="shared" si="178"/>
        <v>5682500</v>
      </c>
      <c r="T1093" s="170">
        <f t="shared" ref="T1093:T1159" si="181">P1093/I1093</f>
        <v>986.47663356711348</v>
      </c>
      <c r="U1093" s="170">
        <v>1495.048458440386</v>
      </c>
      <c r="V1093" s="202">
        <f t="shared" si="177"/>
        <v>508.57182487327248</v>
      </c>
      <c r="W1093" s="202">
        <f t="shared" si="179"/>
        <v>605.43550621484621</v>
      </c>
      <c r="X1093" s="202">
        <v>0</v>
      </c>
      <c r="Y1093" s="203">
        <v>0</v>
      </c>
      <c r="Z1093" s="203">
        <v>0</v>
      </c>
      <c r="AA1093" s="203">
        <v>0</v>
      </c>
      <c r="AB1093" s="203">
        <v>0</v>
      </c>
      <c r="AC1093" s="203">
        <v>0</v>
      </c>
      <c r="AD1093" s="203">
        <v>0</v>
      </c>
      <c r="AE1093" s="203">
        <v>559</v>
      </c>
      <c r="AF1093" s="202">
        <f t="shared" si="180"/>
        <v>605.43550621484621</v>
      </c>
      <c r="AG1093" s="203">
        <v>0</v>
      </c>
      <c r="AH1093" s="202">
        <v>0</v>
      </c>
      <c r="AI1093" s="203">
        <v>0</v>
      </c>
      <c r="AJ1093" s="202">
        <v>0</v>
      </c>
      <c r="AK1093" s="203">
        <v>0</v>
      </c>
      <c r="AL1093" s="203">
        <v>0</v>
      </c>
      <c r="AM1093" s="203">
        <v>0</v>
      </c>
      <c r="AN1093" s="203"/>
      <c r="AO1093" s="203">
        <v>0</v>
      </c>
    </row>
    <row r="1094" spans="1:41" s="176" customFormat="1" ht="36" customHeight="1" x14ac:dyDescent="0.25">
      <c r="A1094" s="176">
        <v>1</v>
      </c>
      <c r="B1094" s="171">
        <f>SUBTOTAL(103,$A$1087:A1094)</f>
        <v>8</v>
      </c>
      <c r="C1094" s="172" t="s">
        <v>572</v>
      </c>
      <c r="D1094" s="173">
        <v>1971</v>
      </c>
      <c r="E1094" s="173"/>
      <c r="F1094" s="174" t="s">
        <v>267</v>
      </c>
      <c r="G1094" s="173">
        <v>5</v>
      </c>
      <c r="H1094" s="173" t="s">
        <v>370</v>
      </c>
      <c r="I1094" s="177">
        <v>4541.8</v>
      </c>
      <c r="J1094" s="177">
        <v>4541.8</v>
      </c>
      <c r="K1094" s="177">
        <v>4403.2</v>
      </c>
      <c r="L1094" s="206">
        <v>240</v>
      </c>
      <c r="M1094" s="173" t="s">
        <v>265</v>
      </c>
      <c r="N1094" s="173" t="s">
        <v>269</v>
      </c>
      <c r="O1094" s="175" t="s">
        <v>1373</v>
      </c>
      <c r="P1094" s="170">
        <v>5851539.1200000001</v>
      </c>
      <c r="Q1094" s="170">
        <v>0</v>
      </c>
      <c r="R1094" s="170">
        <v>0</v>
      </c>
      <c r="S1094" s="170">
        <f t="shared" si="178"/>
        <v>5851539.1200000001</v>
      </c>
      <c r="T1094" s="170">
        <f t="shared" si="181"/>
        <v>1288.3744594654102</v>
      </c>
      <c r="U1094" s="170">
        <v>1786.2086423884805</v>
      </c>
      <c r="V1094" s="202">
        <f t="shared" si="177"/>
        <v>497.83418292307033</v>
      </c>
      <c r="W1094" s="202">
        <f t="shared" si="179"/>
        <v>1837.9632700691354</v>
      </c>
      <c r="X1094" s="202">
        <v>0</v>
      </c>
      <c r="Y1094" s="203">
        <v>0</v>
      </c>
      <c r="Z1094" s="203">
        <v>0</v>
      </c>
      <c r="AA1094" s="203">
        <v>0</v>
      </c>
      <c r="AB1094" s="203">
        <v>0</v>
      </c>
      <c r="AC1094" s="203">
        <v>0</v>
      </c>
      <c r="AD1094" s="203">
        <v>0</v>
      </c>
      <c r="AE1094" s="203">
        <v>1338</v>
      </c>
      <c r="AF1094" s="202">
        <f t="shared" si="180"/>
        <v>1837.9632700691354</v>
      </c>
      <c r="AG1094" s="203">
        <v>0</v>
      </c>
      <c r="AH1094" s="202">
        <v>0</v>
      </c>
      <c r="AI1094" s="203">
        <v>0</v>
      </c>
      <c r="AJ1094" s="202">
        <v>0</v>
      </c>
      <c r="AK1094" s="203">
        <v>0</v>
      </c>
      <c r="AL1094" s="203">
        <v>0</v>
      </c>
      <c r="AM1094" s="203">
        <v>0</v>
      </c>
      <c r="AN1094" s="203"/>
      <c r="AO1094" s="203">
        <v>0</v>
      </c>
    </row>
    <row r="1095" spans="1:41" s="176" customFormat="1" ht="36" customHeight="1" x14ac:dyDescent="0.25">
      <c r="A1095" s="176">
        <v>1</v>
      </c>
      <c r="B1095" s="171">
        <f>SUBTOTAL(103,$A$1087:A1095)</f>
        <v>9</v>
      </c>
      <c r="C1095" s="172" t="s">
        <v>573</v>
      </c>
      <c r="D1095" s="173" t="s">
        <v>309</v>
      </c>
      <c r="E1095" s="173"/>
      <c r="F1095" s="174" t="s">
        <v>311</v>
      </c>
      <c r="G1095" s="173" t="s">
        <v>351</v>
      </c>
      <c r="H1095" s="173" t="s">
        <v>370</v>
      </c>
      <c r="I1095" s="177">
        <v>6071.1</v>
      </c>
      <c r="J1095" s="177">
        <v>4547.3999999999996</v>
      </c>
      <c r="K1095" s="177">
        <v>4155.2</v>
      </c>
      <c r="L1095" s="206">
        <v>218</v>
      </c>
      <c r="M1095" s="173" t="s">
        <v>265</v>
      </c>
      <c r="N1095" s="173" t="s">
        <v>269</v>
      </c>
      <c r="O1095" s="175" t="s">
        <v>1310</v>
      </c>
      <c r="P1095" s="170">
        <v>5450859.3200000003</v>
      </c>
      <c r="Q1095" s="170">
        <v>0</v>
      </c>
      <c r="R1095" s="170">
        <v>0</v>
      </c>
      <c r="S1095" s="170">
        <f t="shared" si="178"/>
        <v>5450859.3200000003</v>
      </c>
      <c r="T1095" s="170">
        <f t="shared" si="181"/>
        <v>897.83718271812359</v>
      </c>
      <c r="U1095" s="170">
        <v>1220.2806789543904</v>
      </c>
      <c r="V1095" s="202">
        <f t="shared" si="177"/>
        <v>322.44349623626681</v>
      </c>
      <c r="W1095" s="202">
        <f t="shared" si="179"/>
        <v>781.21252853683848</v>
      </c>
      <c r="X1095" s="202">
        <v>0</v>
      </c>
      <c r="Y1095" s="203">
        <v>0</v>
      </c>
      <c r="Z1095" s="203">
        <v>0</v>
      </c>
      <c r="AA1095" s="203">
        <v>0</v>
      </c>
      <c r="AB1095" s="203">
        <v>0</v>
      </c>
      <c r="AC1095" s="203">
        <v>0</v>
      </c>
      <c r="AD1095" s="203">
        <v>0</v>
      </c>
      <c r="AE1095" s="203">
        <v>760.2</v>
      </c>
      <c r="AF1095" s="202">
        <f t="shared" si="180"/>
        <v>781.21252853683848</v>
      </c>
      <c r="AG1095" s="203">
        <v>0</v>
      </c>
      <c r="AH1095" s="202">
        <v>0</v>
      </c>
      <c r="AI1095" s="203">
        <v>0</v>
      </c>
      <c r="AJ1095" s="202">
        <v>0</v>
      </c>
      <c r="AK1095" s="203">
        <v>0</v>
      </c>
      <c r="AL1095" s="203">
        <v>0</v>
      </c>
      <c r="AM1095" s="203">
        <v>0</v>
      </c>
      <c r="AN1095" s="203"/>
      <c r="AO1095" s="203">
        <v>0</v>
      </c>
    </row>
    <row r="1096" spans="1:41" s="176" customFormat="1" ht="36" customHeight="1" x14ac:dyDescent="0.25">
      <c r="A1096" s="176">
        <v>1</v>
      </c>
      <c r="B1096" s="171">
        <f>SUBTOTAL(103,$A$1087:A1096)</f>
        <v>10</v>
      </c>
      <c r="C1096" s="172" t="s">
        <v>574</v>
      </c>
      <c r="D1096" s="173" t="s">
        <v>313</v>
      </c>
      <c r="E1096" s="173"/>
      <c r="F1096" s="174" t="s">
        <v>311</v>
      </c>
      <c r="G1096" s="173" t="s">
        <v>370</v>
      </c>
      <c r="H1096" s="173" t="s">
        <v>303</v>
      </c>
      <c r="I1096" s="177">
        <v>2482.1</v>
      </c>
      <c r="J1096" s="177">
        <v>2181.1</v>
      </c>
      <c r="K1096" s="177">
        <v>1858.6</v>
      </c>
      <c r="L1096" s="206">
        <v>130</v>
      </c>
      <c r="M1096" s="173" t="s">
        <v>265</v>
      </c>
      <c r="N1096" s="173" t="s">
        <v>269</v>
      </c>
      <c r="O1096" s="175" t="s">
        <v>1371</v>
      </c>
      <c r="P1096" s="170">
        <v>2859341.54</v>
      </c>
      <c r="Q1096" s="170">
        <v>0</v>
      </c>
      <c r="R1096" s="170">
        <v>0</v>
      </c>
      <c r="S1096" s="170">
        <f t="shared" si="178"/>
        <v>2859341.54</v>
      </c>
      <c r="T1096" s="170">
        <f t="shared" si="181"/>
        <v>1151.9848273639257</v>
      </c>
      <c r="U1096" s="170">
        <v>1204.9984933725475</v>
      </c>
      <c r="V1096" s="202">
        <f t="shared" si="177"/>
        <v>53.01366600862184</v>
      </c>
      <c r="W1096" s="202">
        <f t="shared" si="179"/>
        <v>2893.1088231739254</v>
      </c>
      <c r="X1096" s="202">
        <v>0</v>
      </c>
      <c r="Y1096" s="203">
        <v>0</v>
      </c>
      <c r="Z1096" s="203">
        <v>0</v>
      </c>
      <c r="AA1096" s="203">
        <v>0</v>
      </c>
      <c r="AB1096" s="203">
        <v>0</v>
      </c>
      <c r="AC1096" s="203">
        <v>0</v>
      </c>
      <c r="AD1096" s="203">
        <v>0</v>
      </c>
      <c r="AE1096" s="203">
        <v>1151</v>
      </c>
      <c r="AF1096" s="202">
        <f t="shared" si="180"/>
        <v>2893.1088231739254</v>
      </c>
      <c r="AG1096" s="203">
        <v>0</v>
      </c>
      <c r="AH1096" s="202">
        <v>0</v>
      </c>
      <c r="AI1096" s="203">
        <v>0</v>
      </c>
      <c r="AJ1096" s="202">
        <v>0</v>
      </c>
      <c r="AK1096" s="203">
        <v>0</v>
      </c>
      <c r="AL1096" s="203">
        <v>0</v>
      </c>
      <c r="AM1096" s="203">
        <v>0</v>
      </c>
      <c r="AN1096" s="203"/>
      <c r="AO1096" s="203">
        <v>0</v>
      </c>
    </row>
    <row r="1097" spans="1:41" s="176" customFormat="1" ht="36" customHeight="1" x14ac:dyDescent="0.25">
      <c r="A1097" s="176">
        <v>1</v>
      </c>
      <c r="B1097" s="171">
        <f>SUBTOTAL(103,$A$1087:A1097)</f>
        <v>11</v>
      </c>
      <c r="C1097" s="172" t="s">
        <v>576</v>
      </c>
      <c r="D1097" s="173" t="s">
        <v>371</v>
      </c>
      <c r="E1097" s="173"/>
      <c r="F1097" s="174" t="s">
        <v>267</v>
      </c>
      <c r="G1097" s="173" t="s">
        <v>312</v>
      </c>
      <c r="H1097" s="173" t="s">
        <v>304</v>
      </c>
      <c r="I1097" s="177">
        <v>1637</v>
      </c>
      <c r="J1097" s="177">
        <v>1066.9000000000001</v>
      </c>
      <c r="K1097" s="177">
        <v>768.5</v>
      </c>
      <c r="L1097" s="206">
        <v>61</v>
      </c>
      <c r="M1097" s="173" t="s">
        <v>265</v>
      </c>
      <c r="N1097" s="173" t="s">
        <v>269</v>
      </c>
      <c r="O1097" s="175" t="s">
        <v>1371</v>
      </c>
      <c r="P1097" s="170">
        <v>3614995.2</v>
      </c>
      <c r="Q1097" s="170">
        <v>0</v>
      </c>
      <c r="R1097" s="170">
        <v>0</v>
      </c>
      <c r="S1097" s="170">
        <f t="shared" si="178"/>
        <v>3614995.2</v>
      </c>
      <c r="T1097" s="170">
        <f t="shared" si="181"/>
        <v>2208.3049480757486</v>
      </c>
      <c r="U1097" s="170">
        <v>3047.2270922419061</v>
      </c>
      <c r="V1097" s="202">
        <f t="shared" si="177"/>
        <v>838.92214416615752</v>
      </c>
      <c r="W1097" s="202">
        <f t="shared" si="179"/>
        <v>1770.9814897984118</v>
      </c>
      <c r="X1097" s="202">
        <v>0</v>
      </c>
      <c r="Y1097" s="203">
        <v>0</v>
      </c>
      <c r="Z1097" s="203">
        <v>0</v>
      </c>
      <c r="AA1097" s="203">
        <v>0</v>
      </c>
      <c r="AB1097" s="203">
        <v>0</v>
      </c>
      <c r="AC1097" s="203">
        <v>0</v>
      </c>
      <c r="AD1097" s="203">
        <v>0</v>
      </c>
      <c r="AE1097" s="203">
        <v>464.68</v>
      </c>
      <c r="AF1097" s="202">
        <f t="shared" si="180"/>
        <v>1770.9814897984118</v>
      </c>
      <c r="AG1097" s="203">
        <v>0</v>
      </c>
      <c r="AH1097" s="202">
        <v>0</v>
      </c>
      <c r="AI1097" s="203">
        <v>0</v>
      </c>
      <c r="AJ1097" s="202">
        <v>0</v>
      </c>
      <c r="AK1097" s="203">
        <v>0</v>
      </c>
      <c r="AL1097" s="203">
        <v>0</v>
      </c>
      <c r="AM1097" s="203">
        <v>0</v>
      </c>
      <c r="AN1097" s="203"/>
      <c r="AO1097" s="203">
        <v>0</v>
      </c>
    </row>
    <row r="1098" spans="1:41" s="176" customFormat="1" ht="36" customHeight="1" x14ac:dyDescent="0.25">
      <c r="A1098" s="176">
        <v>1</v>
      </c>
      <c r="B1098" s="171">
        <f>SUBTOTAL(103,$A$1087:A1098)</f>
        <v>12</v>
      </c>
      <c r="C1098" s="172" t="s">
        <v>578</v>
      </c>
      <c r="D1098" s="173" t="s">
        <v>310</v>
      </c>
      <c r="E1098" s="173"/>
      <c r="F1098" s="174" t="s">
        <v>267</v>
      </c>
      <c r="G1098" s="173" t="s">
        <v>351</v>
      </c>
      <c r="H1098" s="173" t="s">
        <v>304</v>
      </c>
      <c r="I1098" s="177">
        <v>867.9</v>
      </c>
      <c r="J1098" s="177">
        <v>809.2</v>
      </c>
      <c r="K1098" s="177">
        <v>766.2</v>
      </c>
      <c r="L1098" s="206">
        <v>39</v>
      </c>
      <c r="M1098" s="173" t="s">
        <v>265</v>
      </c>
      <c r="N1098" s="173" t="s">
        <v>269</v>
      </c>
      <c r="O1098" s="175" t="s">
        <v>1385</v>
      </c>
      <c r="P1098" s="170">
        <v>1074208.6600000001</v>
      </c>
      <c r="Q1098" s="170">
        <v>0</v>
      </c>
      <c r="R1098" s="170">
        <v>0</v>
      </c>
      <c r="S1098" s="170">
        <f t="shared" si="178"/>
        <v>1074208.6600000001</v>
      </c>
      <c r="T1098" s="170">
        <f t="shared" si="181"/>
        <v>1237.710173983178</v>
      </c>
      <c r="U1098" s="170">
        <v>1676.0638091946078</v>
      </c>
      <c r="V1098" s="202">
        <f t="shared" si="177"/>
        <v>438.35363521142972</v>
      </c>
      <c r="W1098" s="202">
        <f t="shared" si="179"/>
        <v>5952.0883511925331</v>
      </c>
      <c r="X1098" s="202">
        <v>0</v>
      </c>
      <c r="Y1098" s="203">
        <v>0</v>
      </c>
      <c r="Z1098" s="203">
        <v>0</v>
      </c>
      <c r="AA1098" s="203">
        <v>0</v>
      </c>
      <c r="AB1098" s="203">
        <v>0</v>
      </c>
      <c r="AC1098" s="203">
        <v>0</v>
      </c>
      <c r="AD1098" s="203">
        <v>0</v>
      </c>
      <c r="AE1098" s="203">
        <v>828</v>
      </c>
      <c r="AF1098" s="202">
        <f t="shared" si="180"/>
        <v>5952.0883511925331</v>
      </c>
      <c r="AG1098" s="203">
        <v>0</v>
      </c>
      <c r="AH1098" s="202">
        <v>0</v>
      </c>
      <c r="AI1098" s="203">
        <v>0</v>
      </c>
      <c r="AJ1098" s="202">
        <v>0</v>
      </c>
      <c r="AK1098" s="203">
        <v>0</v>
      </c>
      <c r="AL1098" s="203">
        <v>0</v>
      </c>
      <c r="AM1098" s="203">
        <v>0</v>
      </c>
      <c r="AN1098" s="203"/>
      <c r="AO1098" s="203">
        <v>0</v>
      </c>
    </row>
    <row r="1099" spans="1:41" s="176" customFormat="1" ht="36" customHeight="1" x14ac:dyDescent="0.25">
      <c r="A1099" s="176">
        <v>1</v>
      </c>
      <c r="B1099" s="171">
        <f>SUBTOTAL(103,$A$1087:A1099)</f>
        <v>13</v>
      </c>
      <c r="C1099" s="172" t="s">
        <v>579</v>
      </c>
      <c r="D1099" s="173" t="s">
        <v>372</v>
      </c>
      <c r="E1099" s="173"/>
      <c r="F1099" s="174" t="s">
        <v>311</v>
      </c>
      <c r="G1099" s="173" t="s">
        <v>351</v>
      </c>
      <c r="H1099" s="173" t="s">
        <v>312</v>
      </c>
      <c r="I1099" s="177">
        <v>2653.8</v>
      </c>
      <c r="J1099" s="177">
        <v>2355.5</v>
      </c>
      <c r="K1099" s="177">
        <v>2354.1</v>
      </c>
      <c r="L1099" s="206">
        <v>102</v>
      </c>
      <c r="M1099" s="173" t="s">
        <v>265</v>
      </c>
      <c r="N1099" s="173" t="s">
        <v>269</v>
      </c>
      <c r="O1099" s="175" t="s">
        <v>1062</v>
      </c>
      <c r="P1099" s="170">
        <v>2983983.08</v>
      </c>
      <c r="Q1099" s="170">
        <v>0</v>
      </c>
      <c r="R1099" s="170">
        <v>0</v>
      </c>
      <c r="S1099" s="170">
        <f t="shared" si="178"/>
        <v>2983983.08</v>
      </c>
      <c r="T1099" s="170">
        <f t="shared" si="181"/>
        <v>1124.4189765619112</v>
      </c>
      <c r="U1099" s="170">
        <v>1532.8536287587608</v>
      </c>
      <c r="V1099" s="202">
        <f t="shared" si="177"/>
        <v>408.43465219684958</v>
      </c>
      <c r="W1099" s="202">
        <f t="shared" si="179"/>
        <v>1821.9742444796141</v>
      </c>
      <c r="X1099" s="202">
        <v>0</v>
      </c>
      <c r="Y1099" s="203">
        <v>0</v>
      </c>
      <c r="Z1099" s="203">
        <v>0</v>
      </c>
      <c r="AA1099" s="203">
        <v>0</v>
      </c>
      <c r="AB1099" s="203">
        <v>0</v>
      </c>
      <c r="AC1099" s="203">
        <v>0</v>
      </c>
      <c r="AD1099" s="203">
        <v>0</v>
      </c>
      <c r="AE1099" s="203">
        <v>775</v>
      </c>
      <c r="AF1099" s="202">
        <f t="shared" si="180"/>
        <v>1821.9742444796141</v>
      </c>
      <c r="AG1099" s="203">
        <v>0</v>
      </c>
      <c r="AH1099" s="202">
        <v>0</v>
      </c>
      <c r="AI1099" s="203">
        <v>0</v>
      </c>
      <c r="AJ1099" s="202">
        <v>0</v>
      </c>
      <c r="AK1099" s="203">
        <v>0</v>
      </c>
      <c r="AL1099" s="203">
        <v>0</v>
      </c>
      <c r="AM1099" s="203">
        <v>0</v>
      </c>
      <c r="AN1099" s="203"/>
      <c r="AO1099" s="203">
        <v>0</v>
      </c>
    </row>
    <row r="1100" spans="1:41" s="176" customFormat="1" ht="36" customHeight="1" x14ac:dyDescent="0.25">
      <c r="A1100" s="176">
        <v>1</v>
      </c>
      <c r="B1100" s="171">
        <f>SUBTOTAL(103,$A$1087:A1100)</f>
        <v>14</v>
      </c>
      <c r="C1100" s="172" t="s">
        <v>580</v>
      </c>
      <c r="D1100" s="360" t="s">
        <v>372</v>
      </c>
      <c r="E1100" s="173"/>
      <c r="F1100" s="174" t="s">
        <v>311</v>
      </c>
      <c r="G1100" s="173" t="s">
        <v>351</v>
      </c>
      <c r="H1100" s="173" t="s">
        <v>312</v>
      </c>
      <c r="I1100" s="177">
        <v>2632.8</v>
      </c>
      <c r="J1100" s="177">
        <v>2335.8000000000002</v>
      </c>
      <c r="K1100" s="177">
        <v>2335.8000000000002</v>
      </c>
      <c r="L1100" s="206">
        <v>107</v>
      </c>
      <c r="M1100" s="173" t="s">
        <v>265</v>
      </c>
      <c r="N1100" s="173" t="s">
        <v>269</v>
      </c>
      <c r="O1100" s="175" t="s">
        <v>1062</v>
      </c>
      <c r="P1100" s="170">
        <v>2983983.08</v>
      </c>
      <c r="Q1100" s="170">
        <v>0</v>
      </c>
      <c r="R1100" s="170">
        <v>0</v>
      </c>
      <c r="S1100" s="170">
        <f t="shared" si="178"/>
        <v>2983983.08</v>
      </c>
      <c r="T1100" s="170">
        <f t="shared" si="181"/>
        <v>1133.3876785171681</v>
      </c>
      <c r="U1100" s="170">
        <v>1545.0801276207837</v>
      </c>
      <c r="V1100" s="202">
        <f t="shared" si="177"/>
        <v>411.69244910361567</v>
      </c>
      <c r="W1100" s="202">
        <f t="shared" si="179"/>
        <v>1319.9152499240352</v>
      </c>
      <c r="X1100" s="202">
        <v>0</v>
      </c>
      <c r="Y1100" s="203">
        <v>0</v>
      </c>
      <c r="Z1100" s="203">
        <v>0</v>
      </c>
      <c r="AA1100" s="203">
        <v>0</v>
      </c>
      <c r="AB1100" s="203">
        <v>0</v>
      </c>
      <c r="AC1100" s="203">
        <v>0</v>
      </c>
      <c r="AD1100" s="203">
        <v>0</v>
      </c>
      <c r="AE1100" s="203">
        <v>557</v>
      </c>
      <c r="AF1100" s="202">
        <f t="shared" si="180"/>
        <v>1319.9152499240352</v>
      </c>
      <c r="AG1100" s="203">
        <v>0</v>
      </c>
      <c r="AH1100" s="202">
        <v>0</v>
      </c>
      <c r="AI1100" s="203">
        <v>0</v>
      </c>
      <c r="AJ1100" s="202">
        <v>0</v>
      </c>
      <c r="AK1100" s="203">
        <v>0</v>
      </c>
      <c r="AL1100" s="203">
        <v>0</v>
      </c>
      <c r="AM1100" s="203">
        <v>0</v>
      </c>
      <c r="AN1100" s="203"/>
      <c r="AO1100" s="203">
        <v>0</v>
      </c>
    </row>
    <row r="1101" spans="1:41" s="176" customFormat="1" ht="36" customHeight="1" x14ac:dyDescent="0.25">
      <c r="A1101" s="176">
        <v>1</v>
      </c>
      <c r="B1101" s="171">
        <f>SUBTOTAL(103,$A$1087:A1101)</f>
        <v>15</v>
      </c>
      <c r="C1101" s="172" t="s">
        <v>581</v>
      </c>
      <c r="D1101" s="173" t="s">
        <v>373</v>
      </c>
      <c r="E1101" s="173"/>
      <c r="F1101" s="174" t="s">
        <v>311</v>
      </c>
      <c r="G1101" s="173" t="s">
        <v>351</v>
      </c>
      <c r="H1101" s="173" t="s">
        <v>308</v>
      </c>
      <c r="I1101" s="177">
        <v>3861</v>
      </c>
      <c r="J1101" s="177">
        <v>3552.1</v>
      </c>
      <c r="K1101" s="177">
        <v>3552.1</v>
      </c>
      <c r="L1101" s="206">
        <v>165</v>
      </c>
      <c r="M1101" s="173" t="s">
        <v>265</v>
      </c>
      <c r="N1101" s="173" t="s">
        <v>269</v>
      </c>
      <c r="O1101" s="175" t="s">
        <v>1062</v>
      </c>
      <c r="P1101" s="170">
        <v>4423303.57</v>
      </c>
      <c r="Q1101" s="170">
        <v>0</v>
      </c>
      <c r="R1101" s="170">
        <v>0</v>
      </c>
      <c r="S1101" s="170">
        <f t="shared" si="178"/>
        <v>4423303.57</v>
      </c>
      <c r="T1101" s="170">
        <f t="shared" si="181"/>
        <v>1145.6367702667703</v>
      </c>
      <c r="U1101" s="170">
        <v>1618.7181118881119</v>
      </c>
      <c r="V1101" s="202">
        <f t="shared" si="177"/>
        <v>473.08134162134161</v>
      </c>
      <c r="W1101" s="202">
        <f t="shared" si="179"/>
        <v>1021.2357213157213</v>
      </c>
      <c r="X1101" s="202">
        <v>0</v>
      </c>
      <c r="Y1101" s="203">
        <v>0</v>
      </c>
      <c r="Z1101" s="203">
        <v>0</v>
      </c>
      <c r="AA1101" s="203">
        <v>0</v>
      </c>
      <c r="AB1101" s="203">
        <v>0</v>
      </c>
      <c r="AC1101" s="203">
        <v>0</v>
      </c>
      <c r="AD1101" s="203">
        <v>0</v>
      </c>
      <c r="AE1101" s="203">
        <v>632</v>
      </c>
      <c r="AF1101" s="202">
        <f t="shared" si="180"/>
        <v>1021.2357213157213</v>
      </c>
      <c r="AG1101" s="203">
        <v>0</v>
      </c>
      <c r="AH1101" s="202">
        <v>0</v>
      </c>
      <c r="AI1101" s="203">
        <v>0</v>
      </c>
      <c r="AJ1101" s="202">
        <v>0</v>
      </c>
      <c r="AK1101" s="203">
        <v>0</v>
      </c>
      <c r="AL1101" s="203">
        <v>0</v>
      </c>
      <c r="AM1101" s="203">
        <v>0</v>
      </c>
      <c r="AN1101" s="203"/>
      <c r="AO1101" s="203">
        <v>0</v>
      </c>
    </row>
    <row r="1102" spans="1:41" s="176" customFormat="1" ht="36" customHeight="1" x14ac:dyDescent="0.25">
      <c r="A1102" s="176">
        <v>1</v>
      </c>
      <c r="B1102" s="171">
        <f>SUBTOTAL(103,$A$1087:A1102)</f>
        <v>16</v>
      </c>
      <c r="C1102" s="172" t="s">
        <v>583</v>
      </c>
      <c r="D1102" s="173">
        <v>1962</v>
      </c>
      <c r="E1102" s="173"/>
      <c r="F1102" s="174" t="s">
        <v>267</v>
      </c>
      <c r="G1102" s="173">
        <v>5</v>
      </c>
      <c r="H1102" s="173" t="s">
        <v>308</v>
      </c>
      <c r="I1102" s="177">
        <v>4073.9</v>
      </c>
      <c r="J1102" s="177">
        <v>3163.1</v>
      </c>
      <c r="K1102" s="177">
        <v>2004.3</v>
      </c>
      <c r="L1102" s="206">
        <v>146</v>
      </c>
      <c r="M1102" s="173" t="s">
        <v>265</v>
      </c>
      <c r="N1102" s="173" t="s">
        <v>269</v>
      </c>
      <c r="O1102" s="175" t="s">
        <v>1077</v>
      </c>
      <c r="P1102" s="170">
        <v>3999114.33</v>
      </c>
      <c r="Q1102" s="170">
        <v>0</v>
      </c>
      <c r="R1102" s="170">
        <v>0</v>
      </c>
      <c r="S1102" s="170">
        <f t="shared" si="178"/>
        <v>3999114.33</v>
      </c>
      <c r="T1102" s="170">
        <f t="shared" si="181"/>
        <v>981.64273300768309</v>
      </c>
      <c r="U1102" s="170">
        <v>1333.4719359827191</v>
      </c>
      <c r="V1102" s="202">
        <f t="shared" si="177"/>
        <v>351.82920297503597</v>
      </c>
      <c r="W1102" s="202">
        <f t="shared" si="179"/>
        <v>1102.6326615773582</v>
      </c>
      <c r="X1102" s="202">
        <v>0</v>
      </c>
      <c r="Y1102" s="203">
        <v>0</v>
      </c>
      <c r="Z1102" s="203">
        <v>0</v>
      </c>
      <c r="AA1102" s="203">
        <v>0</v>
      </c>
      <c r="AB1102" s="203">
        <v>0</v>
      </c>
      <c r="AC1102" s="203">
        <v>0</v>
      </c>
      <c r="AD1102" s="203">
        <v>0</v>
      </c>
      <c r="AE1102" s="203">
        <v>720</v>
      </c>
      <c r="AF1102" s="202">
        <f t="shared" si="180"/>
        <v>1102.6326615773582</v>
      </c>
      <c r="AG1102" s="203">
        <v>0</v>
      </c>
      <c r="AH1102" s="202">
        <v>0</v>
      </c>
      <c r="AI1102" s="203">
        <v>0</v>
      </c>
      <c r="AJ1102" s="202">
        <v>0</v>
      </c>
      <c r="AK1102" s="203">
        <v>0</v>
      </c>
      <c r="AL1102" s="203">
        <v>0</v>
      </c>
      <c r="AM1102" s="203">
        <v>0</v>
      </c>
      <c r="AN1102" s="203"/>
      <c r="AO1102" s="203">
        <v>0</v>
      </c>
    </row>
    <row r="1103" spans="1:41" s="176" customFormat="1" ht="36" customHeight="1" x14ac:dyDescent="0.25">
      <c r="A1103" s="176">
        <v>1</v>
      </c>
      <c r="B1103" s="171">
        <f>SUBTOTAL(103,$A$1087:A1103)</f>
        <v>17</v>
      </c>
      <c r="C1103" s="172" t="s">
        <v>1619</v>
      </c>
      <c r="D1103" s="173">
        <v>1962</v>
      </c>
      <c r="E1103" s="173"/>
      <c r="F1103" s="174" t="s">
        <v>267</v>
      </c>
      <c r="G1103" s="173">
        <v>4</v>
      </c>
      <c r="H1103" s="173" t="s">
        <v>312</v>
      </c>
      <c r="I1103" s="177">
        <v>2843.6</v>
      </c>
      <c r="J1103" s="177">
        <v>2001.7</v>
      </c>
      <c r="K1103" s="177">
        <v>1691.5</v>
      </c>
      <c r="L1103" s="206">
        <v>91</v>
      </c>
      <c r="M1103" s="173" t="s">
        <v>265</v>
      </c>
      <c r="N1103" s="173" t="s">
        <v>269</v>
      </c>
      <c r="O1103" s="175" t="s">
        <v>1077</v>
      </c>
      <c r="P1103" s="170">
        <v>4474650</v>
      </c>
      <c r="Q1103" s="170">
        <v>0</v>
      </c>
      <c r="R1103" s="170">
        <v>0</v>
      </c>
      <c r="S1103" s="170">
        <f t="shared" si="178"/>
        <v>4474650</v>
      </c>
      <c r="T1103" s="170">
        <f t="shared" si="181"/>
        <v>1573.5862990575326</v>
      </c>
      <c r="U1103" s="170">
        <v>2172.9739766493176</v>
      </c>
      <c r="V1103" s="202">
        <f t="shared" si="177"/>
        <v>599.38767759178495</v>
      </c>
      <c r="W1103" s="202">
        <f t="shared" si="179"/>
        <v>2130.3916197777462</v>
      </c>
      <c r="X1103" s="202">
        <v>0</v>
      </c>
      <c r="Y1103" s="203">
        <v>0</v>
      </c>
      <c r="Z1103" s="203">
        <v>0</v>
      </c>
      <c r="AA1103" s="203">
        <v>0</v>
      </c>
      <c r="AB1103" s="203">
        <v>0</v>
      </c>
      <c r="AC1103" s="203">
        <v>0</v>
      </c>
      <c r="AD1103" s="203">
        <v>0</v>
      </c>
      <c r="AE1103" s="203">
        <v>971</v>
      </c>
      <c r="AF1103" s="202">
        <f t="shared" si="180"/>
        <v>2130.3916197777462</v>
      </c>
      <c r="AG1103" s="203">
        <v>0</v>
      </c>
      <c r="AH1103" s="202">
        <v>0</v>
      </c>
      <c r="AI1103" s="203">
        <v>0</v>
      </c>
      <c r="AJ1103" s="202">
        <v>0</v>
      </c>
      <c r="AK1103" s="203">
        <v>0</v>
      </c>
      <c r="AL1103" s="203">
        <v>0</v>
      </c>
      <c r="AM1103" s="203">
        <v>0</v>
      </c>
      <c r="AN1103" s="203"/>
      <c r="AO1103" s="203">
        <v>0</v>
      </c>
    </row>
    <row r="1104" spans="1:41" s="176" customFormat="1" ht="36" customHeight="1" x14ac:dyDescent="0.25">
      <c r="A1104" s="176">
        <v>1</v>
      </c>
      <c r="B1104" s="171">
        <f>SUBTOTAL(103,$A$1087:A1104)</f>
        <v>18</v>
      </c>
      <c r="C1104" s="172" t="s">
        <v>1620</v>
      </c>
      <c r="D1104" s="173">
        <v>1961</v>
      </c>
      <c r="E1104" s="173"/>
      <c r="F1104" s="174" t="s">
        <v>267</v>
      </c>
      <c r="G1104" s="173">
        <v>5</v>
      </c>
      <c r="H1104" s="173" t="s">
        <v>308</v>
      </c>
      <c r="I1104" s="177">
        <v>3742.2</v>
      </c>
      <c r="J1104" s="177">
        <v>2832.1</v>
      </c>
      <c r="K1104" s="177">
        <v>2416.1999999999998</v>
      </c>
      <c r="L1104" s="206">
        <v>135</v>
      </c>
      <c r="M1104" s="173" t="s">
        <v>265</v>
      </c>
      <c r="N1104" s="173" t="s">
        <v>269</v>
      </c>
      <c r="O1104" s="175" t="s">
        <v>1077</v>
      </c>
      <c r="P1104" s="170">
        <v>5713232.8199999994</v>
      </c>
      <c r="Q1104" s="170">
        <v>0</v>
      </c>
      <c r="R1104" s="170">
        <v>0</v>
      </c>
      <c r="S1104" s="170">
        <f t="shared" si="178"/>
        <v>5713232.8199999994</v>
      </c>
      <c r="T1104" s="170">
        <f t="shared" si="181"/>
        <v>1526.7042969376303</v>
      </c>
      <c r="U1104" s="170">
        <v>1848.9844877344879</v>
      </c>
      <c r="V1104" s="202">
        <f t="shared" si="177"/>
        <v>322.2801907968576</v>
      </c>
      <c r="W1104" s="202">
        <f t="shared" si="179"/>
        <v>656.77943455721231</v>
      </c>
      <c r="X1104" s="202">
        <v>0</v>
      </c>
      <c r="Y1104" s="203">
        <v>0</v>
      </c>
      <c r="Z1104" s="203">
        <v>0</v>
      </c>
      <c r="AA1104" s="203">
        <v>0</v>
      </c>
      <c r="AB1104" s="203">
        <v>0</v>
      </c>
      <c r="AC1104" s="203">
        <v>1</v>
      </c>
      <c r="AD1104" s="202">
        <f>2457800*AC1104/I1104</f>
        <v>656.77943455721231</v>
      </c>
      <c r="AE1104" s="203">
        <v>0</v>
      </c>
      <c r="AF1104" s="202">
        <v>0</v>
      </c>
      <c r="AG1104" s="203">
        <v>0</v>
      </c>
      <c r="AH1104" s="202">
        <v>0</v>
      </c>
      <c r="AI1104" s="203">
        <v>0</v>
      </c>
      <c r="AJ1104" s="202">
        <v>0</v>
      </c>
      <c r="AK1104" s="203">
        <v>0</v>
      </c>
      <c r="AL1104" s="203">
        <v>0</v>
      </c>
      <c r="AM1104" s="203">
        <v>0</v>
      </c>
      <c r="AN1104" s="203"/>
      <c r="AO1104" s="203">
        <v>0</v>
      </c>
    </row>
    <row r="1105" spans="1:41" s="176" customFormat="1" ht="36" customHeight="1" x14ac:dyDescent="0.25">
      <c r="A1105" s="176">
        <v>1</v>
      </c>
      <c r="B1105" s="171">
        <f>SUBTOTAL(103,$A$1087:A1105)</f>
        <v>19</v>
      </c>
      <c r="C1105" s="172" t="s">
        <v>584</v>
      </c>
      <c r="D1105" s="173" t="s">
        <v>360</v>
      </c>
      <c r="E1105" s="173"/>
      <c r="F1105" s="174" t="s">
        <v>311</v>
      </c>
      <c r="G1105" s="173" t="s">
        <v>351</v>
      </c>
      <c r="H1105" s="173" t="s">
        <v>308</v>
      </c>
      <c r="I1105" s="177">
        <v>4425.6000000000004</v>
      </c>
      <c r="J1105" s="177">
        <v>3128.2</v>
      </c>
      <c r="K1105" s="177">
        <v>1799.3</v>
      </c>
      <c r="L1105" s="206">
        <v>135</v>
      </c>
      <c r="M1105" s="173" t="s">
        <v>265</v>
      </c>
      <c r="N1105" s="173" t="s">
        <v>269</v>
      </c>
      <c r="O1105" s="175" t="s">
        <v>1077</v>
      </c>
      <c r="P1105" s="170">
        <v>3934609.35</v>
      </c>
      <c r="Q1105" s="170">
        <v>0</v>
      </c>
      <c r="R1105" s="170">
        <v>0</v>
      </c>
      <c r="S1105" s="170">
        <f t="shared" si="178"/>
        <v>3934609.35</v>
      </c>
      <c r="T1105" s="170">
        <f t="shared" si="181"/>
        <v>889.05670417570491</v>
      </c>
      <c r="U1105" s="170">
        <v>1210.0490238611712</v>
      </c>
      <c r="V1105" s="202">
        <f t="shared" si="177"/>
        <v>320.99231968546633</v>
      </c>
      <c r="W1105" s="202">
        <f t="shared" si="179"/>
        <v>1189.813819595083</v>
      </c>
      <c r="X1105" s="202">
        <v>0</v>
      </c>
      <c r="Y1105" s="203">
        <v>0</v>
      </c>
      <c r="Z1105" s="203">
        <v>0</v>
      </c>
      <c r="AA1105" s="203">
        <v>0</v>
      </c>
      <c r="AB1105" s="203">
        <v>0</v>
      </c>
      <c r="AC1105" s="203">
        <v>0</v>
      </c>
      <c r="AD1105" s="203">
        <v>0</v>
      </c>
      <c r="AE1105" s="203">
        <v>844</v>
      </c>
      <c r="AF1105" s="202">
        <f t="shared" ref="AF1105:AF1110" si="182">6238.91*AE1105/I1105</f>
        <v>1189.813819595083</v>
      </c>
      <c r="AG1105" s="203">
        <v>0</v>
      </c>
      <c r="AH1105" s="202">
        <v>0</v>
      </c>
      <c r="AI1105" s="203">
        <v>0</v>
      </c>
      <c r="AJ1105" s="202">
        <v>0</v>
      </c>
      <c r="AK1105" s="203">
        <v>0</v>
      </c>
      <c r="AL1105" s="203">
        <v>0</v>
      </c>
      <c r="AM1105" s="203">
        <v>0</v>
      </c>
      <c r="AN1105" s="203"/>
      <c r="AO1105" s="203">
        <v>0</v>
      </c>
    </row>
    <row r="1106" spans="1:41" s="176" customFormat="1" ht="36" customHeight="1" x14ac:dyDescent="0.25">
      <c r="A1106" s="176">
        <v>1</v>
      </c>
      <c r="B1106" s="171">
        <f>SUBTOTAL(103,$A$1087:A1106)</f>
        <v>20</v>
      </c>
      <c r="C1106" s="172" t="s">
        <v>586</v>
      </c>
      <c r="D1106" s="173">
        <v>1960</v>
      </c>
      <c r="E1106" s="173"/>
      <c r="F1106" s="174" t="s">
        <v>267</v>
      </c>
      <c r="G1106" s="173">
        <v>5</v>
      </c>
      <c r="H1106" s="173" t="s">
        <v>312</v>
      </c>
      <c r="I1106" s="177">
        <v>5055.5</v>
      </c>
      <c r="J1106" s="177">
        <v>4135.1000000000004</v>
      </c>
      <c r="K1106" s="177">
        <v>2288.9</v>
      </c>
      <c r="L1106" s="206">
        <v>135</v>
      </c>
      <c r="M1106" s="173" t="s">
        <v>265</v>
      </c>
      <c r="N1106" s="173" t="s">
        <v>269</v>
      </c>
      <c r="O1106" s="175" t="s">
        <v>1077</v>
      </c>
      <c r="P1106" s="170">
        <v>6697616.7399999993</v>
      </c>
      <c r="Q1106" s="170">
        <v>0</v>
      </c>
      <c r="R1106" s="170">
        <v>0</v>
      </c>
      <c r="S1106" s="170">
        <f t="shared" si="178"/>
        <v>6697616.7399999993</v>
      </c>
      <c r="T1106" s="170">
        <f t="shared" si="181"/>
        <v>1324.817869646919</v>
      </c>
      <c r="U1106" s="170">
        <v>1842.2824468400752</v>
      </c>
      <c r="V1106" s="202">
        <f t="shared" si="177"/>
        <v>517.46457719315617</v>
      </c>
      <c r="W1106" s="202">
        <f t="shared" si="179"/>
        <v>1184.7203243991692</v>
      </c>
      <c r="X1106" s="202">
        <v>0</v>
      </c>
      <c r="Y1106" s="203">
        <v>0</v>
      </c>
      <c r="Z1106" s="203">
        <v>0</v>
      </c>
      <c r="AA1106" s="203">
        <v>0</v>
      </c>
      <c r="AB1106" s="203">
        <v>0</v>
      </c>
      <c r="AC1106" s="203">
        <v>0</v>
      </c>
      <c r="AD1106" s="203">
        <v>0</v>
      </c>
      <c r="AE1106" s="203">
        <v>960</v>
      </c>
      <c r="AF1106" s="202">
        <f t="shared" si="182"/>
        <v>1184.7203243991692</v>
      </c>
      <c r="AG1106" s="203">
        <v>0</v>
      </c>
      <c r="AH1106" s="202">
        <v>0</v>
      </c>
      <c r="AI1106" s="203">
        <v>0</v>
      </c>
      <c r="AJ1106" s="202">
        <v>0</v>
      </c>
      <c r="AK1106" s="203">
        <v>0</v>
      </c>
      <c r="AL1106" s="203">
        <v>0</v>
      </c>
      <c r="AM1106" s="203">
        <v>0</v>
      </c>
      <c r="AN1106" s="203"/>
      <c r="AO1106" s="203">
        <v>0</v>
      </c>
    </row>
    <row r="1107" spans="1:41" s="176" customFormat="1" ht="36" customHeight="1" x14ac:dyDescent="0.25">
      <c r="A1107" s="176">
        <v>1</v>
      </c>
      <c r="B1107" s="171">
        <f>SUBTOTAL(103,$A$1087:A1107)</f>
        <v>21</v>
      </c>
      <c r="C1107" s="172" t="s">
        <v>587</v>
      </c>
      <c r="D1107" s="173" t="s">
        <v>361</v>
      </c>
      <c r="E1107" s="173"/>
      <c r="F1107" s="174" t="s">
        <v>267</v>
      </c>
      <c r="G1107" s="173" t="s">
        <v>351</v>
      </c>
      <c r="H1107" s="173" t="s">
        <v>312</v>
      </c>
      <c r="I1107" s="177">
        <v>2923.9</v>
      </c>
      <c r="J1107" s="177">
        <v>2704.4</v>
      </c>
      <c r="K1107" s="177">
        <v>1930.7</v>
      </c>
      <c r="L1107" s="206">
        <v>125</v>
      </c>
      <c r="M1107" s="173" t="s">
        <v>265</v>
      </c>
      <c r="N1107" s="173" t="s">
        <v>269</v>
      </c>
      <c r="O1107" s="175" t="s">
        <v>1636</v>
      </c>
      <c r="P1107" s="170">
        <v>5263885</v>
      </c>
      <c r="Q1107" s="170">
        <v>0</v>
      </c>
      <c r="R1107" s="170">
        <v>0</v>
      </c>
      <c r="S1107" s="170">
        <f t="shared" si="178"/>
        <v>5263885</v>
      </c>
      <c r="T1107" s="170">
        <f t="shared" si="181"/>
        <v>1800.295837750949</v>
      </c>
      <c r="U1107" s="170">
        <v>3907.9508875132533</v>
      </c>
      <c r="V1107" s="202">
        <f t="shared" si="177"/>
        <v>2107.6550497623043</v>
      </c>
      <c r="W1107" s="202">
        <f t="shared" si="179"/>
        <v>2293.7953589384042</v>
      </c>
      <c r="X1107" s="202">
        <v>0</v>
      </c>
      <c r="Y1107" s="203">
        <v>0</v>
      </c>
      <c r="Z1107" s="203">
        <v>0</v>
      </c>
      <c r="AA1107" s="203">
        <v>0</v>
      </c>
      <c r="AB1107" s="203">
        <v>0</v>
      </c>
      <c r="AC1107" s="203">
        <v>0</v>
      </c>
      <c r="AD1107" s="203">
        <v>0</v>
      </c>
      <c r="AE1107" s="203">
        <v>1075</v>
      </c>
      <c r="AF1107" s="202">
        <f t="shared" si="182"/>
        <v>2293.7953589384042</v>
      </c>
      <c r="AG1107" s="203">
        <v>0</v>
      </c>
      <c r="AH1107" s="202">
        <v>0</v>
      </c>
      <c r="AI1107" s="203">
        <v>0</v>
      </c>
      <c r="AJ1107" s="202">
        <v>0</v>
      </c>
      <c r="AK1107" s="203">
        <v>0</v>
      </c>
      <c r="AL1107" s="203">
        <v>0</v>
      </c>
      <c r="AM1107" s="203">
        <v>0</v>
      </c>
      <c r="AN1107" s="203"/>
      <c r="AO1107" s="203">
        <v>0</v>
      </c>
    </row>
    <row r="1108" spans="1:41" s="176" customFormat="1" ht="36" customHeight="1" x14ac:dyDescent="0.25">
      <c r="A1108" s="176">
        <v>1</v>
      </c>
      <c r="B1108" s="171">
        <f>SUBTOTAL(103,$A$1087:A1108)</f>
        <v>22</v>
      </c>
      <c r="C1108" s="172" t="s">
        <v>1683</v>
      </c>
      <c r="D1108" s="173" t="s">
        <v>313</v>
      </c>
      <c r="E1108" s="173"/>
      <c r="F1108" s="174" t="s">
        <v>311</v>
      </c>
      <c r="G1108" s="173" t="s">
        <v>351</v>
      </c>
      <c r="H1108" s="173" t="s">
        <v>351</v>
      </c>
      <c r="I1108" s="177">
        <v>4700.6000000000004</v>
      </c>
      <c r="J1108" s="177">
        <v>3460</v>
      </c>
      <c r="K1108" s="177">
        <v>3460</v>
      </c>
      <c r="L1108" s="206">
        <v>148</v>
      </c>
      <c r="M1108" s="173" t="s">
        <v>265</v>
      </c>
      <c r="N1108" s="173" t="s">
        <v>269</v>
      </c>
      <c r="O1108" s="175" t="s">
        <v>1637</v>
      </c>
      <c r="P1108" s="170">
        <v>4443671.0699999994</v>
      </c>
      <c r="Q1108" s="170">
        <v>0</v>
      </c>
      <c r="R1108" s="170">
        <v>0</v>
      </c>
      <c r="S1108" s="170">
        <f t="shared" si="178"/>
        <v>4443671.0699999994</v>
      </c>
      <c r="T1108" s="170">
        <f t="shared" si="181"/>
        <v>945.34124792579655</v>
      </c>
      <c r="U1108" s="170">
        <v>1285.9093143428497</v>
      </c>
      <c r="V1108" s="202">
        <f t="shared" si="177"/>
        <v>340.56806641705316</v>
      </c>
      <c r="W1108" s="202">
        <f t="shared" si="179"/>
        <v>1104.2788409990214</v>
      </c>
      <c r="X1108" s="202">
        <v>0</v>
      </c>
      <c r="Y1108" s="203">
        <v>0</v>
      </c>
      <c r="Z1108" s="203">
        <v>0</v>
      </c>
      <c r="AA1108" s="203">
        <v>0</v>
      </c>
      <c r="AB1108" s="203">
        <v>0</v>
      </c>
      <c r="AC1108" s="203">
        <v>0</v>
      </c>
      <c r="AD1108" s="203">
        <v>0</v>
      </c>
      <c r="AE1108" s="203">
        <v>832</v>
      </c>
      <c r="AF1108" s="202">
        <f t="shared" si="182"/>
        <v>1104.2788409990214</v>
      </c>
      <c r="AG1108" s="203">
        <v>0</v>
      </c>
      <c r="AH1108" s="202">
        <v>0</v>
      </c>
      <c r="AI1108" s="203">
        <v>0</v>
      </c>
      <c r="AJ1108" s="202">
        <v>0</v>
      </c>
      <c r="AK1108" s="203">
        <v>0</v>
      </c>
      <c r="AL1108" s="203">
        <v>0</v>
      </c>
      <c r="AM1108" s="203">
        <v>0</v>
      </c>
      <c r="AN1108" s="203"/>
      <c r="AO1108" s="203">
        <v>0</v>
      </c>
    </row>
    <row r="1109" spans="1:41" s="176" customFormat="1" ht="36" customHeight="1" x14ac:dyDescent="0.25">
      <c r="A1109" s="176">
        <v>1</v>
      </c>
      <c r="B1109" s="171">
        <f>SUBTOTAL(103,$A$1087:A1109)</f>
        <v>23</v>
      </c>
      <c r="C1109" s="172" t="s">
        <v>1684</v>
      </c>
      <c r="D1109" s="173" t="s">
        <v>310</v>
      </c>
      <c r="E1109" s="173"/>
      <c r="F1109" s="174" t="s">
        <v>267</v>
      </c>
      <c r="G1109" s="173" t="s">
        <v>351</v>
      </c>
      <c r="H1109" s="173" t="s">
        <v>308</v>
      </c>
      <c r="I1109" s="177">
        <v>3048.2</v>
      </c>
      <c r="J1109" s="177">
        <v>2288.5</v>
      </c>
      <c r="K1109" s="177">
        <v>2288.5</v>
      </c>
      <c r="L1109" s="206">
        <v>104</v>
      </c>
      <c r="M1109" s="173" t="s">
        <v>265</v>
      </c>
      <c r="N1109" s="173" t="s">
        <v>269</v>
      </c>
      <c r="O1109" s="175" t="s">
        <v>1624</v>
      </c>
      <c r="P1109" s="170">
        <v>3809856.13</v>
      </c>
      <c r="Q1109" s="170">
        <v>0</v>
      </c>
      <c r="R1109" s="170">
        <v>0</v>
      </c>
      <c r="S1109" s="170">
        <f t="shared" si="178"/>
        <v>3809856.13</v>
      </c>
      <c r="T1109" s="170">
        <f t="shared" si="181"/>
        <v>1249.8707860376617</v>
      </c>
      <c r="U1109" s="170">
        <v>1347.3189948166132</v>
      </c>
      <c r="V1109" s="202">
        <f t="shared" si="177"/>
        <v>97.448208778951539</v>
      </c>
      <c r="W1109" s="202">
        <f t="shared" si="179"/>
        <v>1272.0564808739584</v>
      </c>
      <c r="X1109" s="202">
        <v>0</v>
      </c>
      <c r="Y1109" s="203">
        <v>0</v>
      </c>
      <c r="Z1109" s="203">
        <v>0</v>
      </c>
      <c r="AA1109" s="203">
        <v>0</v>
      </c>
      <c r="AB1109" s="203">
        <v>0</v>
      </c>
      <c r="AC1109" s="203">
        <v>0</v>
      </c>
      <c r="AD1109" s="203">
        <v>0</v>
      </c>
      <c r="AE1109" s="203">
        <v>621.5</v>
      </c>
      <c r="AF1109" s="202">
        <f t="shared" si="182"/>
        <v>1272.0564808739584</v>
      </c>
      <c r="AG1109" s="203">
        <v>0</v>
      </c>
      <c r="AH1109" s="202">
        <v>0</v>
      </c>
      <c r="AI1109" s="203">
        <v>0</v>
      </c>
      <c r="AJ1109" s="202">
        <v>0</v>
      </c>
      <c r="AK1109" s="203">
        <v>0</v>
      </c>
      <c r="AL1109" s="203">
        <v>0</v>
      </c>
      <c r="AM1109" s="203">
        <v>0</v>
      </c>
      <c r="AN1109" s="203"/>
      <c r="AO1109" s="203">
        <v>0</v>
      </c>
    </row>
    <row r="1110" spans="1:41" s="176" customFormat="1" ht="36" customHeight="1" x14ac:dyDescent="0.25">
      <c r="A1110" s="176">
        <v>1</v>
      </c>
      <c r="B1110" s="171">
        <f>SUBTOTAL(103,$A$1087:A1110)</f>
        <v>24</v>
      </c>
      <c r="C1110" s="172" t="s">
        <v>588</v>
      </c>
      <c r="D1110" s="173">
        <v>1963</v>
      </c>
      <c r="E1110" s="173"/>
      <c r="F1110" s="174" t="s">
        <v>267</v>
      </c>
      <c r="G1110" s="173">
        <v>5</v>
      </c>
      <c r="H1110" s="173" t="s">
        <v>303</v>
      </c>
      <c r="I1110" s="177">
        <v>1703.9</v>
      </c>
      <c r="J1110" s="177">
        <v>1558.5</v>
      </c>
      <c r="K1110" s="177">
        <v>1516.4</v>
      </c>
      <c r="L1110" s="206">
        <v>68</v>
      </c>
      <c r="M1110" s="173" t="s">
        <v>265</v>
      </c>
      <c r="N1110" s="173" t="s">
        <v>269</v>
      </c>
      <c r="O1110" s="175" t="s">
        <v>1385</v>
      </c>
      <c r="P1110" s="170">
        <v>4940291.25</v>
      </c>
      <c r="Q1110" s="170">
        <v>0</v>
      </c>
      <c r="R1110" s="170">
        <v>0</v>
      </c>
      <c r="S1110" s="170">
        <f t="shared" si="178"/>
        <v>4940291.25</v>
      </c>
      <c r="T1110" s="170">
        <f t="shared" si="181"/>
        <v>2899.402106931158</v>
      </c>
      <c r="U1110" s="170">
        <v>6221.4434532542982</v>
      </c>
      <c r="V1110" s="202">
        <f t="shared" si="177"/>
        <v>3322.0413463231403</v>
      </c>
      <c r="W1110" s="202">
        <f t="shared" si="179"/>
        <v>5298.2585656435231</v>
      </c>
      <c r="X1110" s="202">
        <v>0</v>
      </c>
      <c r="Y1110" s="203">
        <v>0</v>
      </c>
      <c r="Z1110" s="203">
        <v>0</v>
      </c>
      <c r="AA1110" s="203">
        <v>0</v>
      </c>
      <c r="AB1110" s="203">
        <v>0</v>
      </c>
      <c r="AC1110" s="203">
        <v>0</v>
      </c>
      <c r="AD1110" s="203">
        <v>0</v>
      </c>
      <c r="AE1110" s="203">
        <v>1447</v>
      </c>
      <c r="AF1110" s="202">
        <f t="shared" si="182"/>
        <v>5298.2585656435231</v>
      </c>
      <c r="AG1110" s="203">
        <v>0</v>
      </c>
      <c r="AH1110" s="202">
        <v>0</v>
      </c>
      <c r="AI1110" s="203">
        <v>0</v>
      </c>
      <c r="AJ1110" s="202">
        <v>0</v>
      </c>
      <c r="AK1110" s="203">
        <v>0</v>
      </c>
      <c r="AL1110" s="203">
        <v>0</v>
      </c>
      <c r="AM1110" s="203">
        <v>0</v>
      </c>
      <c r="AN1110" s="203"/>
      <c r="AO1110" s="203">
        <v>0</v>
      </c>
    </row>
    <row r="1111" spans="1:41" s="176" customFormat="1" ht="36" customHeight="1" x14ac:dyDescent="0.25">
      <c r="A1111" s="176">
        <v>1</v>
      </c>
      <c r="B1111" s="171">
        <f>SUBTOTAL(103,$A$1087:A1111)</f>
        <v>25</v>
      </c>
      <c r="C1111" s="172" t="s">
        <v>590</v>
      </c>
      <c r="D1111" s="173">
        <v>1972</v>
      </c>
      <c r="E1111" s="173"/>
      <c r="F1111" s="174" t="s">
        <v>267</v>
      </c>
      <c r="G1111" s="173">
        <v>9</v>
      </c>
      <c r="H1111" s="173" t="s">
        <v>304</v>
      </c>
      <c r="I1111" s="177">
        <v>1896.4</v>
      </c>
      <c r="J1111" s="177">
        <v>1896.4</v>
      </c>
      <c r="K1111" s="177">
        <v>1859.1</v>
      </c>
      <c r="L1111" s="206">
        <v>90</v>
      </c>
      <c r="M1111" s="173" t="s">
        <v>265</v>
      </c>
      <c r="N1111" s="173" t="s">
        <v>269</v>
      </c>
      <c r="O1111" s="175" t="s">
        <v>1373</v>
      </c>
      <c r="P1111" s="170">
        <v>2089100.53</v>
      </c>
      <c r="Q1111" s="170">
        <v>0</v>
      </c>
      <c r="R1111" s="170">
        <v>0</v>
      </c>
      <c r="S1111" s="170">
        <f t="shared" si="178"/>
        <v>2089100.53</v>
      </c>
      <c r="T1111" s="170">
        <f t="shared" si="181"/>
        <v>1101.6138631090487</v>
      </c>
      <c r="U1111" s="170">
        <v>1569.0993461295084</v>
      </c>
      <c r="V1111" s="202">
        <f t="shared" si="177"/>
        <v>467.4854830204597</v>
      </c>
      <c r="W1111" s="202">
        <f t="shared" si="179"/>
        <v>6025.3414891373131</v>
      </c>
      <c r="X1111" s="202">
        <v>0</v>
      </c>
      <c r="Y1111" s="203">
        <v>0</v>
      </c>
      <c r="Z1111" s="203">
        <v>0</v>
      </c>
      <c r="AA1111" s="203">
        <v>0</v>
      </c>
      <c r="AB1111" s="203">
        <v>0</v>
      </c>
      <c r="AC1111" s="203">
        <v>0</v>
      </c>
      <c r="AD1111" s="203">
        <v>0</v>
      </c>
      <c r="AE1111" s="203">
        <v>0</v>
      </c>
      <c r="AF1111" s="202">
        <v>0</v>
      </c>
      <c r="AG1111" s="203">
        <v>0</v>
      </c>
      <c r="AH1111" s="202">
        <v>0</v>
      </c>
      <c r="AI1111" s="203">
        <v>1536</v>
      </c>
      <c r="AJ1111" s="202">
        <f>7439.1*AI1111/I1111</f>
        <v>6025.3414891373131</v>
      </c>
      <c r="AK1111" s="203">
        <v>0</v>
      </c>
      <c r="AL1111" s="203">
        <v>0</v>
      </c>
      <c r="AM1111" s="203">
        <v>0</v>
      </c>
      <c r="AN1111" s="203"/>
      <c r="AO1111" s="203">
        <v>0</v>
      </c>
    </row>
    <row r="1112" spans="1:41" s="176" customFormat="1" ht="36" customHeight="1" x14ac:dyDescent="0.25">
      <c r="A1112" s="176">
        <v>1</v>
      </c>
      <c r="B1112" s="171">
        <f>SUBTOTAL(103,$A$1087:A1112)</f>
        <v>26</v>
      </c>
      <c r="C1112" s="172" t="s">
        <v>591</v>
      </c>
      <c r="D1112" s="173" t="s">
        <v>350</v>
      </c>
      <c r="E1112" s="173"/>
      <c r="F1112" s="174" t="s">
        <v>267</v>
      </c>
      <c r="G1112" s="173" t="s">
        <v>357</v>
      </c>
      <c r="H1112" s="173" t="s">
        <v>304</v>
      </c>
      <c r="I1112" s="177">
        <v>2154.4</v>
      </c>
      <c r="J1112" s="177">
        <v>1828.2</v>
      </c>
      <c r="K1112" s="177">
        <v>1783.4</v>
      </c>
      <c r="L1112" s="206">
        <v>76</v>
      </c>
      <c r="M1112" s="173" t="s">
        <v>265</v>
      </c>
      <c r="N1112" s="173" t="s">
        <v>269</v>
      </c>
      <c r="O1112" s="175" t="s">
        <v>1624</v>
      </c>
      <c r="P1112" s="170">
        <v>1733943.5899999999</v>
      </c>
      <c r="Q1112" s="170">
        <v>0</v>
      </c>
      <c r="R1112" s="170">
        <v>0</v>
      </c>
      <c r="S1112" s="170">
        <f t="shared" si="178"/>
        <v>1733943.5899999999</v>
      </c>
      <c r="T1112" s="170">
        <f t="shared" si="181"/>
        <v>804.83827979948001</v>
      </c>
      <c r="U1112" s="170">
        <v>1089.8840252506498</v>
      </c>
      <c r="V1112" s="202">
        <f t="shared" si="177"/>
        <v>285.04574545116975</v>
      </c>
      <c r="W1112" s="202">
        <f t="shared" si="179"/>
        <v>4920.4964259190492</v>
      </c>
      <c r="X1112" s="202">
        <v>0</v>
      </c>
      <c r="Y1112" s="203">
        <v>0</v>
      </c>
      <c r="Z1112" s="203">
        <v>0</v>
      </c>
      <c r="AA1112" s="203">
        <v>0</v>
      </c>
      <c r="AB1112" s="203">
        <v>0</v>
      </c>
      <c r="AC1112" s="203">
        <v>0</v>
      </c>
      <c r="AD1112" s="203">
        <v>0</v>
      </c>
      <c r="AE1112" s="203">
        <v>0</v>
      </c>
      <c r="AF1112" s="202">
        <v>0</v>
      </c>
      <c r="AG1112" s="203">
        <v>0</v>
      </c>
      <c r="AH1112" s="202">
        <v>0</v>
      </c>
      <c r="AI1112" s="203">
        <v>1425</v>
      </c>
      <c r="AJ1112" s="202">
        <f>7439.1*AI1112/I1112</f>
        <v>4920.4964259190492</v>
      </c>
      <c r="AK1112" s="203">
        <v>0</v>
      </c>
      <c r="AL1112" s="203">
        <v>0</v>
      </c>
      <c r="AM1112" s="203">
        <v>0</v>
      </c>
      <c r="AN1112" s="203"/>
      <c r="AO1112" s="203">
        <v>0</v>
      </c>
    </row>
    <row r="1113" spans="1:41" s="176" customFormat="1" ht="36" customHeight="1" x14ac:dyDescent="0.25">
      <c r="A1113" s="176">
        <v>1</v>
      </c>
      <c r="B1113" s="171">
        <f>SUBTOTAL(103,$A$1087:A1113)</f>
        <v>27</v>
      </c>
      <c r="C1113" s="172" t="s">
        <v>592</v>
      </c>
      <c r="D1113" s="173" t="s">
        <v>376</v>
      </c>
      <c r="E1113" s="173"/>
      <c r="F1113" s="174" t="s">
        <v>311</v>
      </c>
      <c r="G1113" s="173" t="s">
        <v>351</v>
      </c>
      <c r="H1113" s="173" t="s">
        <v>308</v>
      </c>
      <c r="I1113" s="177">
        <v>3888.9</v>
      </c>
      <c r="J1113" s="177">
        <v>3557.6</v>
      </c>
      <c r="K1113" s="177">
        <v>3511.4</v>
      </c>
      <c r="L1113" s="206">
        <v>169</v>
      </c>
      <c r="M1113" s="173" t="s">
        <v>265</v>
      </c>
      <c r="N1113" s="173" t="s">
        <v>269</v>
      </c>
      <c r="O1113" s="175" t="s">
        <v>1062</v>
      </c>
      <c r="P1113" s="170">
        <v>4372967.33</v>
      </c>
      <c r="Q1113" s="170">
        <v>0</v>
      </c>
      <c r="R1113" s="170">
        <v>0</v>
      </c>
      <c r="S1113" s="170">
        <f t="shared" si="178"/>
        <v>4372967.33</v>
      </c>
      <c r="T1113" s="170">
        <f t="shared" si="181"/>
        <v>1124.4741006454267</v>
      </c>
      <c r="U1113" s="170">
        <v>1588.8988660032398</v>
      </c>
      <c r="V1113" s="202">
        <f t="shared" si="177"/>
        <v>464.42476535781316</v>
      </c>
      <c r="W1113" s="202">
        <f t="shared" si="179"/>
        <v>901.6090462598678</v>
      </c>
      <c r="X1113" s="202">
        <v>0</v>
      </c>
      <c r="Y1113" s="203">
        <v>0</v>
      </c>
      <c r="Z1113" s="203">
        <v>0</v>
      </c>
      <c r="AA1113" s="203">
        <v>0</v>
      </c>
      <c r="AB1113" s="203">
        <v>0</v>
      </c>
      <c r="AC1113" s="203">
        <v>0</v>
      </c>
      <c r="AD1113" s="203">
        <v>0</v>
      </c>
      <c r="AE1113" s="203">
        <v>562</v>
      </c>
      <c r="AF1113" s="202">
        <f>6238.91*AE1113/I1113</f>
        <v>901.6090462598678</v>
      </c>
      <c r="AG1113" s="203">
        <v>0</v>
      </c>
      <c r="AH1113" s="202">
        <v>0</v>
      </c>
      <c r="AI1113" s="203">
        <v>0</v>
      </c>
      <c r="AJ1113" s="202">
        <v>0</v>
      </c>
      <c r="AK1113" s="203">
        <v>0</v>
      </c>
      <c r="AL1113" s="203">
        <v>0</v>
      </c>
      <c r="AM1113" s="203">
        <v>0</v>
      </c>
      <c r="AN1113" s="203"/>
      <c r="AO1113" s="203">
        <v>0</v>
      </c>
    </row>
    <row r="1114" spans="1:41" s="176" customFormat="1" ht="36" customHeight="1" x14ac:dyDescent="0.25">
      <c r="A1114" s="176">
        <v>1</v>
      </c>
      <c r="B1114" s="171">
        <f>SUBTOTAL(103,$A$1087:A1114)</f>
        <v>28</v>
      </c>
      <c r="C1114" s="172" t="s">
        <v>593</v>
      </c>
      <c r="D1114" s="173" t="s">
        <v>372</v>
      </c>
      <c r="E1114" s="173"/>
      <c r="F1114" s="174" t="s">
        <v>267</v>
      </c>
      <c r="G1114" s="173" t="s">
        <v>351</v>
      </c>
      <c r="H1114" s="173" t="s">
        <v>312</v>
      </c>
      <c r="I1114" s="177">
        <v>2600.9</v>
      </c>
      <c r="J1114" s="177">
        <v>2217.3000000000002</v>
      </c>
      <c r="K1114" s="177">
        <v>2214.6</v>
      </c>
      <c r="L1114" s="206">
        <v>77</v>
      </c>
      <c r="M1114" s="173" t="s">
        <v>265</v>
      </c>
      <c r="N1114" s="173" t="s">
        <v>269</v>
      </c>
      <c r="O1114" s="175" t="s">
        <v>1371</v>
      </c>
      <c r="P1114" s="170">
        <v>3164601.1799999997</v>
      </c>
      <c r="Q1114" s="170">
        <v>0</v>
      </c>
      <c r="R1114" s="170">
        <v>0</v>
      </c>
      <c r="S1114" s="170">
        <f t="shared" si="178"/>
        <v>3164601.1799999997</v>
      </c>
      <c r="T1114" s="170">
        <f t="shared" si="181"/>
        <v>1216.7331231496787</v>
      </c>
      <c r="U1114" s="170">
        <v>4776.5377369372136</v>
      </c>
      <c r="V1114" s="202">
        <f t="shared" si="177"/>
        <v>3559.8046137875349</v>
      </c>
      <c r="W1114" s="202">
        <f t="shared" si="179"/>
        <v>1144.0808950747817</v>
      </c>
      <c r="X1114" s="202">
        <v>0</v>
      </c>
      <c r="Y1114" s="203">
        <v>0</v>
      </c>
      <c r="Z1114" s="203">
        <v>0</v>
      </c>
      <c r="AA1114" s="203">
        <v>0</v>
      </c>
      <c r="AB1114" s="203">
        <v>0</v>
      </c>
      <c r="AC1114" s="203">
        <v>0</v>
      </c>
      <c r="AD1114" s="203">
        <v>0</v>
      </c>
      <c r="AE1114" s="203">
        <v>0</v>
      </c>
      <c r="AF1114" s="202">
        <v>0</v>
      </c>
      <c r="AG1114" s="203">
        <v>0</v>
      </c>
      <c r="AH1114" s="202">
        <v>0</v>
      </c>
      <c r="AI1114" s="203">
        <v>400</v>
      </c>
      <c r="AJ1114" s="202">
        <f>7439.1*AI1114/I1114</f>
        <v>1144.0808950747817</v>
      </c>
      <c r="AK1114" s="203">
        <v>0</v>
      </c>
      <c r="AL1114" s="203">
        <v>0</v>
      </c>
      <c r="AM1114" s="203">
        <v>0</v>
      </c>
      <c r="AN1114" s="203"/>
      <c r="AO1114" s="203">
        <v>0</v>
      </c>
    </row>
    <row r="1115" spans="1:41" s="176" customFormat="1" ht="36" customHeight="1" x14ac:dyDescent="0.25">
      <c r="A1115" s="176">
        <v>1</v>
      </c>
      <c r="B1115" s="171">
        <f>SUBTOTAL(103,$A$1087:A1115)</f>
        <v>29</v>
      </c>
      <c r="C1115" s="172" t="s">
        <v>594</v>
      </c>
      <c r="D1115" s="173" t="s">
        <v>368</v>
      </c>
      <c r="E1115" s="173"/>
      <c r="F1115" s="174" t="s">
        <v>267</v>
      </c>
      <c r="G1115" s="173" t="s">
        <v>351</v>
      </c>
      <c r="H1115" s="173" t="s">
        <v>304</v>
      </c>
      <c r="I1115" s="177">
        <v>1129.8</v>
      </c>
      <c r="J1115" s="177">
        <v>1033.3</v>
      </c>
      <c r="K1115" s="177">
        <v>841.7</v>
      </c>
      <c r="L1115" s="206">
        <v>42</v>
      </c>
      <c r="M1115" s="173" t="s">
        <v>265</v>
      </c>
      <c r="N1115" s="173" t="s">
        <v>269</v>
      </c>
      <c r="O1115" s="175" t="s">
        <v>1385</v>
      </c>
      <c r="P1115" s="170">
        <v>1146986.94</v>
      </c>
      <c r="Q1115" s="170">
        <v>0</v>
      </c>
      <c r="R1115" s="170">
        <v>0</v>
      </c>
      <c r="S1115" s="170">
        <f t="shared" si="178"/>
        <v>1146986.94</v>
      </c>
      <c r="T1115" s="170">
        <f t="shared" si="181"/>
        <v>1015.2123738714816</v>
      </c>
      <c r="U1115" s="170">
        <v>1338.8073552841213</v>
      </c>
      <c r="V1115" s="202">
        <f t="shared" si="177"/>
        <v>323.59498141263964</v>
      </c>
      <c r="W1115" s="202">
        <f t="shared" si="179"/>
        <v>5301.2511949017526</v>
      </c>
      <c r="X1115" s="202">
        <v>0</v>
      </c>
      <c r="Y1115" s="203">
        <v>0</v>
      </c>
      <c r="Z1115" s="203">
        <v>0</v>
      </c>
      <c r="AA1115" s="203">
        <v>0</v>
      </c>
      <c r="AB1115" s="203">
        <v>0</v>
      </c>
      <c r="AC1115" s="203">
        <v>0</v>
      </c>
      <c r="AD1115" s="203">
        <v>0</v>
      </c>
      <c r="AE1115" s="203">
        <v>960</v>
      </c>
      <c r="AF1115" s="202">
        <f t="shared" ref="AF1115:AF1135" si="183">6238.91*AE1115/I1115</f>
        <v>5301.2511949017526</v>
      </c>
      <c r="AG1115" s="203">
        <v>0</v>
      </c>
      <c r="AH1115" s="202">
        <v>0</v>
      </c>
      <c r="AI1115" s="203">
        <v>0</v>
      </c>
      <c r="AJ1115" s="202">
        <v>0</v>
      </c>
      <c r="AK1115" s="203">
        <v>0</v>
      </c>
      <c r="AL1115" s="203">
        <v>0</v>
      </c>
      <c r="AM1115" s="203">
        <v>0</v>
      </c>
      <c r="AN1115" s="203"/>
      <c r="AO1115" s="203">
        <v>0</v>
      </c>
    </row>
    <row r="1116" spans="1:41" s="176" customFormat="1" ht="36" customHeight="1" x14ac:dyDescent="0.25">
      <c r="A1116" s="176">
        <v>1</v>
      </c>
      <c r="B1116" s="171">
        <f>SUBTOTAL(103,$A$1087:A1116)</f>
        <v>30</v>
      </c>
      <c r="C1116" s="172" t="s">
        <v>595</v>
      </c>
      <c r="D1116" s="173" t="s">
        <v>309</v>
      </c>
      <c r="E1116" s="173"/>
      <c r="F1116" s="174" t="s">
        <v>311</v>
      </c>
      <c r="G1116" s="173" t="s">
        <v>351</v>
      </c>
      <c r="H1116" s="173" t="s">
        <v>308</v>
      </c>
      <c r="I1116" s="177">
        <v>4027.5</v>
      </c>
      <c r="J1116" s="177">
        <v>3037.2</v>
      </c>
      <c r="K1116" s="177">
        <v>3035.5</v>
      </c>
      <c r="L1116" s="206">
        <v>127</v>
      </c>
      <c r="M1116" s="173" t="s">
        <v>265</v>
      </c>
      <c r="N1116" s="173" t="s">
        <v>269</v>
      </c>
      <c r="O1116" s="175" t="s">
        <v>1310</v>
      </c>
      <c r="P1116" s="170">
        <v>3616149.44</v>
      </c>
      <c r="Q1116" s="170">
        <v>0</v>
      </c>
      <c r="R1116" s="170">
        <v>0</v>
      </c>
      <c r="S1116" s="170">
        <f t="shared" si="178"/>
        <v>3616149.44</v>
      </c>
      <c r="T1116" s="170">
        <f t="shared" si="181"/>
        <v>897.86454127870888</v>
      </c>
      <c r="U1116" s="170">
        <v>1222.5811173184359</v>
      </c>
      <c r="V1116" s="202">
        <f t="shared" si="177"/>
        <v>324.71657603972699</v>
      </c>
      <c r="W1116" s="202">
        <f t="shared" si="179"/>
        <v>1487.1144878957168</v>
      </c>
      <c r="X1116" s="202">
        <v>0</v>
      </c>
      <c r="Y1116" s="203">
        <v>0</v>
      </c>
      <c r="Z1116" s="203">
        <v>0</v>
      </c>
      <c r="AA1116" s="203">
        <v>0</v>
      </c>
      <c r="AB1116" s="203">
        <v>0</v>
      </c>
      <c r="AC1116" s="203">
        <v>0</v>
      </c>
      <c r="AD1116" s="203">
        <v>0</v>
      </c>
      <c r="AE1116" s="203">
        <v>960</v>
      </c>
      <c r="AF1116" s="202">
        <f t="shared" si="183"/>
        <v>1487.1144878957168</v>
      </c>
      <c r="AG1116" s="203">
        <v>0</v>
      </c>
      <c r="AH1116" s="202">
        <v>0</v>
      </c>
      <c r="AI1116" s="203">
        <v>0</v>
      </c>
      <c r="AJ1116" s="202">
        <v>0</v>
      </c>
      <c r="AK1116" s="203">
        <v>0</v>
      </c>
      <c r="AL1116" s="203">
        <v>0</v>
      </c>
      <c r="AM1116" s="203">
        <v>0</v>
      </c>
      <c r="AN1116" s="203"/>
      <c r="AO1116" s="203">
        <v>0</v>
      </c>
    </row>
    <row r="1117" spans="1:41" s="176" customFormat="1" ht="36" customHeight="1" x14ac:dyDescent="0.25">
      <c r="A1117" s="176">
        <v>1</v>
      </c>
      <c r="B1117" s="171">
        <f>SUBTOTAL(103,$A$1087:A1117)</f>
        <v>31</v>
      </c>
      <c r="C1117" s="172" t="s">
        <v>1621</v>
      </c>
      <c r="D1117" s="173">
        <v>1970</v>
      </c>
      <c r="E1117" s="173"/>
      <c r="F1117" s="174" t="s">
        <v>267</v>
      </c>
      <c r="G1117" s="173">
        <v>5</v>
      </c>
      <c r="H1117" s="173" t="s">
        <v>370</v>
      </c>
      <c r="I1117" s="177">
        <v>5849.4</v>
      </c>
      <c r="J1117" s="177">
        <v>4434.8999999999996</v>
      </c>
      <c r="K1117" s="177">
        <v>4190</v>
      </c>
      <c r="L1117" s="206">
        <v>242</v>
      </c>
      <c r="M1117" s="173" t="s">
        <v>265</v>
      </c>
      <c r="N1117" s="173" t="s">
        <v>269</v>
      </c>
      <c r="O1117" s="175" t="s">
        <v>1077</v>
      </c>
      <c r="P1117" s="170">
        <v>5986250</v>
      </c>
      <c r="Q1117" s="170">
        <v>0</v>
      </c>
      <c r="R1117" s="170">
        <v>0</v>
      </c>
      <c r="S1117" s="170">
        <f t="shared" si="178"/>
        <v>5986250</v>
      </c>
      <c r="T1117" s="170">
        <f t="shared" si="181"/>
        <v>1023.3955619379766</v>
      </c>
      <c r="U1117" s="170">
        <v>1316.0477792594113</v>
      </c>
      <c r="V1117" s="202">
        <f t="shared" si="177"/>
        <v>292.6522173214347</v>
      </c>
      <c r="W1117" s="202">
        <f t="shared" si="179"/>
        <v>1023.9261462714124</v>
      </c>
      <c r="X1117" s="202">
        <v>0</v>
      </c>
      <c r="Y1117" s="203">
        <v>0</v>
      </c>
      <c r="Z1117" s="203">
        <v>0</v>
      </c>
      <c r="AA1117" s="203">
        <v>0</v>
      </c>
      <c r="AB1117" s="203">
        <v>0</v>
      </c>
      <c r="AC1117" s="203">
        <v>0</v>
      </c>
      <c r="AD1117" s="203">
        <v>0</v>
      </c>
      <c r="AE1117" s="203">
        <v>960</v>
      </c>
      <c r="AF1117" s="202">
        <f t="shared" si="183"/>
        <v>1023.9261462714124</v>
      </c>
      <c r="AG1117" s="203">
        <v>0</v>
      </c>
      <c r="AH1117" s="202">
        <v>0</v>
      </c>
      <c r="AI1117" s="203">
        <v>0</v>
      </c>
      <c r="AJ1117" s="202">
        <v>0</v>
      </c>
      <c r="AK1117" s="203">
        <v>0</v>
      </c>
      <c r="AL1117" s="203">
        <v>0</v>
      </c>
      <c r="AM1117" s="203">
        <v>0</v>
      </c>
      <c r="AN1117" s="203"/>
      <c r="AO1117" s="203">
        <v>0</v>
      </c>
    </row>
    <row r="1118" spans="1:41" s="176" customFormat="1" ht="36" customHeight="1" x14ac:dyDescent="0.25">
      <c r="A1118" s="176">
        <v>1</v>
      </c>
      <c r="B1118" s="171">
        <f>SUBTOTAL(103,$A$1087:A1118)</f>
        <v>32</v>
      </c>
      <c r="C1118" s="172" t="s">
        <v>1605</v>
      </c>
      <c r="D1118" s="173">
        <v>1957</v>
      </c>
      <c r="E1118" s="173"/>
      <c r="F1118" s="174" t="s">
        <v>267</v>
      </c>
      <c r="G1118" s="173">
        <v>3</v>
      </c>
      <c r="H1118" s="173" t="s">
        <v>312</v>
      </c>
      <c r="I1118" s="177">
        <v>2341.1</v>
      </c>
      <c r="J1118" s="177">
        <v>1935.59</v>
      </c>
      <c r="K1118" s="177">
        <v>1467.6</v>
      </c>
      <c r="L1118" s="206">
        <v>56</v>
      </c>
      <c r="M1118" s="173" t="s">
        <v>265</v>
      </c>
      <c r="N1118" s="173" t="s">
        <v>269</v>
      </c>
      <c r="O1118" s="175" t="s">
        <v>1578</v>
      </c>
      <c r="P1118" s="170">
        <v>7471186.2199999997</v>
      </c>
      <c r="Q1118" s="170">
        <v>0</v>
      </c>
      <c r="R1118" s="170">
        <v>0</v>
      </c>
      <c r="S1118" s="170">
        <f t="shared" si="178"/>
        <v>7471186.2199999997</v>
      </c>
      <c r="T1118" s="170">
        <f t="shared" si="181"/>
        <v>3191.314433386015</v>
      </c>
      <c r="U1118" s="170">
        <v>4472.6611439067101</v>
      </c>
      <c r="V1118" s="202">
        <f t="shared" si="177"/>
        <v>1281.3467105206951</v>
      </c>
      <c r="W1118" s="202">
        <f t="shared" si="179"/>
        <v>1785.5152278843279</v>
      </c>
      <c r="X1118" s="202">
        <v>0</v>
      </c>
      <c r="Y1118" s="203">
        <v>0</v>
      </c>
      <c r="Z1118" s="203">
        <v>0</v>
      </c>
      <c r="AA1118" s="203">
        <v>0</v>
      </c>
      <c r="AB1118" s="203">
        <v>0</v>
      </c>
      <c r="AC1118" s="203">
        <v>0</v>
      </c>
      <c r="AD1118" s="203">
        <v>0</v>
      </c>
      <c r="AE1118" s="203">
        <v>670</v>
      </c>
      <c r="AF1118" s="202">
        <f t="shared" si="183"/>
        <v>1785.5152278843279</v>
      </c>
      <c r="AG1118" s="203">
        <v>0</v>
      </c>
      <c r="AH1118" s="202">
        <v>0</v>
      </c>
      <c r="AI1118" s="203">
        <v>0</v>
      </c>
      <c r="AJ1118" s="202">
        <v>0</v>
      </c>
      <c r="AK1118" s="203">
        <v>0</v>
      </c>
      <c r="AL1118" s="203">
        <v>0</v>
      </c>
      <c r="AM1118" s="203">
        <v>0</v>
      </c>
      <c r="AN1118" s="203"/>
      <c r="AO1118" s="203">
        <v>0</v>
      </c>
    </row>
    <row r="1119" spans="1:41" s="176" customFormat="1" ht="36" customHeight="1" x14ac:dyDescent="0.25">
      <c r="A1119" s="176">
        <v>1</v>
      </c>
      <c r="B1119" s="171">
        <f>SUBTOTAL(103,$A$1087:A1119)</f>
        <v>33</v>
      </c>
      <c r="C1119" s="172" t="s">
        <v>597</v>
      </c>
      <c r="D1119" s="173">
        <v>1981</v>
      </c>
      <c r="E1119" s="173"/>
      <c r="F1119" s="174" t="s">
        <v>267</v>
      </c>
      <c r="G1119" s="173">
        <v>2</v>
      </c>
      <c r="H1119" s="173" t="s">
        <v>312</v>
      </c>
      <c r="I1119" s="177">
        <v>940.2</v>
      </c>
      <c r="J1119" s="177">
        <v>850.3</v>
      </c>
      <c r="K1119" s="177">
        <v>850.3</v>
      </c>
      <c r="L1119" s="206">
        <v>36</v>
      </c>
      <c r="M1119" s="173" t="s">
        <v>265</v>
      </c>
      <c r="N1119" s="173" t="s">
        <v>269</v>
      </c>
      <c r="O1119" s="175" t="s">
        <v>1622</v>
      </c>
      <c r="P1119" s="170">
        <v>3650462.6100000003</v>
      </c>
      <c r="Q1119" s="170">
        <v>0</v>
      </c>
      <c r="R1119" s="170">
        <v>0</v>
      </c>
      <c r="S1119" s="170">
        <f t="shared" si="178"/>
        <v>3650462.6100000003</v>
      </c>
      <c r="T1119" s="170">
        <f t="shared" si="181"/>
        <v>3882.6447670708362</v>
      </c>
      <c r="U1119" s="170">
        <v>5524.7224795788125</v>
      </c>
      <c r="V1119" s="202">
        <f t="shared" si="177"/>
        <v>1642.0777125079762</v>
      </c>
      <c r="W1119" s="202">
        <f t="shared" si="179"/>
        <v>1559.3957136779406</v>
      </c>
      <c r="X1119" s="202">
        <v>0</v>
      </c>
      <c r="Y1119" s="203">
        <v>0</v>
      </c>
      <c r="Z1119" s="203">
        <v>0</v>
      </c>
      <c r="AA1119" s="203">
        <v>0</v>
      </c>
      <c r="AB1119" s="203">
        <v>0</v>
      </c>
      <c r="AC1119" s="203">
        <v>0</v>
      </c>
      <c r="AD1119" s="203">
        <v>0</v>
      </c>
      <c r="AE1119" s="203">
        <v>235</v>
      </c>
      <c r="AF1119" s="202">
        <f t="shared" si="183"/>
        <v>1559.3957136779406</v>
      </c>
      <c r="AG1119" s="203">
        <v>0</v>
      </c>
      <c r="AH1119" s="202">
        <v>0</v>
      </c>
      <c r="AI1119" s="203">
        <v>0</v>
      </c>
      <c r="AJ1119" s="202">
        <v>0</v>
      </c>
      <c r="AK1119" s="203">
        <v>0</v>
      </c>
      <c r="AL1119" s="203">
        <v>0</v>
      </c>
      <c r="AM1119" s="203">
        <v>0</v>
      </c>
      <c r="AN1119" s="203"/>
      <c r="AO1119" s="203">
        <v>0</v>
      </c>
    </row>
    <row r="1120" spans="1:41" s="176" customFormat="1" ht="36" customHeight="1" x14ac:dyDescent="0.25">
      <c r="A1120" s="176">
        <v>1</v>
      </c>
      <c r="B1120" s="171">
        <f>SUBTOTAL(103,$A$1087:A1120)</f>
        <v>34</v>
      </c>
      <c r="C1120" s="172" t="s">
        <v>598</v>
      </c>
      <c r="D1120" s="173" t="s">
        <v>369</v>
      </c>
      <c r="E1120" s="173"/>
      <c r="F1120" s="174" t="s">
        <v>311</v>
      </c>
      <c r="G1120" s="173" t="s">
        <v>351</v>
      </c>
      <c r="H1120" s="173" t="s">
        <v>351</v>
      </c>
      <c r="I1120" s="177">
        <v>5067.1000000000004</v>
      </c>
      <c r="J1120" s="177">
        <v>3815.6</v>
      </c>
      <c r="K1120" s="177">
        <v>3768.9</v>
      </c>
      <c r="L1120" s="206">
        <v>163</v>
      </c>
      <c r="M1120" s="173" t="s">
        <v>265</v>
      </c>
      <c r="N1120" s="173" t="s">
        <v>269</v>
      </c>
      <c r="O1120" s="175" t="s">
        <v>1310</v>
      </c>
      <c r="P1120" s="170">
        <v>4560834.87</v>
      </c>
      <c r="Q1120" s="170">
        <v>0</v>
      </c>
      <c r="R1120" s="170">
        <v>0</v>
      </c>
      <c r="S1120" s="170">
        <f t="shared" si="178"/>
        <v>4560834.87</v>
      </c>
      <c r="T1120" s="170">
        <f t="shared" si="181"/>
        <v>900.08779578062399</v>
      </c>
      <c r="U1120" s="170">
        <v>1224.2122293816974</v>
      </c>
      <c r="V1120" s="202">
        <f t="shared" si="177"/>
        <v>324.12443360107341</v>
      </c>
      <c r="W1120" s="202">
        <f t="shared" si="179"/>
        <v>1472.5851788991729</v>
      </c>
      <c r="X1120" s="202">
        <v>0</v>
      </c>
      <c r="Y1120" s="203">
        <v>0</v>
      </c>
      <c r="Z1120" s="203">
        <v>0</v>
      </c>
      <c r="AA1120" s="203">
        <v>0</v>
      </c>
      <c r="AB1120" s="203">
        <v>0</v>
      </c>
      <c r="AC1120" s="203">
        <v>0</v>
      </c>
      <c r="AD1120" s="203">
        <v>0</v>
      </c>
      <c r="AE1120" s="203">
        <v>1196</v>
      </c>
      <c r="AF1120" s="202">
        <f t="shared" si="183"/>
        <v>1472.5851788991729</v>
      </c>
      <c r="AG1120" s="203">
        <v>0</v>
      </c>
      <c r="AH1120" s="202">
        <v>0</v>
      </c>
      <c r="AI1120" s="203">
        <v>0</v>
      </c>
      <c r="AJ1120" s="202">
        <v>0</v>
      </c>
      <c r="AK1120" s="203">
        <v>0</v>
      </c>
      <c r="AL1120" s="203">
        <v>0</v>
      </c>
      <c r="AM1120" s="203">
        <v>0</v>
      </c>
      <c r="AN1120" s="203"/>
      <c r="AO1120" s="203">
        <v>0</v>
      </c>
    </row>
    <row r="1121" spans="1:41" s="176" customFormat="1" ht="36" customHeight="1" x14ac:dyDescent="0.25">
      <c r="A1121" s="176">
        <v>1</v>
      </c>
      <c r="B1121" s="171">
        <f>SUBTOTAL(103,$A$1087:A1121)</f>
        <v>35</v>
      </c>
      <c r="C1121" s="172" t="s">
        <v>1057</v>
      </c>
      <c r="D1121" s="173">
        <v>1994</v>
      </c>
      <c r="E1121" s="173"/>
      <c r="F1121" s="174" t="s">
        <v>267</v>
      </c>
      <c r="G1121" s="173">
        <v>9</v>
      </c>
      <c r="H1121" s="173" t="s">
        <v>370</v>
      </c>
      <c r="I1121" s="177">
        <v>11615.7</v>
      </c>
      <c r="J1121" s="177">
        <v>9319.2999999999993</v>
      </c>
      <c r="K1121" s="177">
        <v>5667.8</v>
      </c>
      <c r="L1121" s="206">
        <v>441</v>
      </c>
      <c r="M1121" s="173" t="s">
        <v>265</v>
      </c>
      <c r="N1121" s="173" t="s">
        <v>269</v>
      </c>
      <c r="O1121" s="175" t="s">
        <v>1064</v>
      </c>
      <c r="P1121" s="170">
        <v>6406735.0199999996</v>
      </c>
      <c r="Q1121" s="170">
        <v>0</v>
      </c>
      <c r="R1121" s="170">
        <v>0</v>
      </c>
      <c r="S1121" s="170">
        <f t="shared" si="178"/>
        <v>6406735.0199999996</v>
      </c>
      <c r="T1121" s="170">
        <f t="shared" si="181"/>
        <v>551.55823755778806</v>
      </c>
      <c r="U1121" s="170">
        <v>634.77879077455509</v>
      </c>
      <c r="V1121" s="202">
        <f t="shared" si="177"/>
        <v>83.22055321676703</v>
      </c>
      <c r="W1121" s="202">
        <f t="shared" si="179"/>
        <v>511.32883252838832</v>
      </c>
      <c r="X1121" s="202">
        <v>0</v>
      </c>
      <c r="Y1121" s="203">
        <v>0</v>
      </c>
      <c r="Z1121" s="203">
        <v>0</v>
      </c>
      <c r="AA1121" s="203">
        <v>0</v>
      </c>
      <c r="AB1121" s="203">
        <v>0</v>
      </c>
      <c r="AC1121" s="203">
        <v>0</v>
      </c>
      <c r="AD1121" s="203">
        <v>0</v>
      </c>
      <c r="AE1121" s="203">
        <v>952</v>
      </c>
      <c r="AF1121" s="202">
        <f t="shared" si="183"/>
        <v>511.32883252838832</v>
      </c>
      <c r="AG1121" s="203">
        <v>0</v>
      </c>
      <c r="AH1121" s="202">
        <v>0</v>
      </c>
      <c r="AI1121" s="203">
        <v>0</v>
      </c>
      <c r="AJ1121" s="202">
        <v>0</v>
      </c>
      <c r="AK1121" s="203">
        <v>0</v>
      </c>
      <c r="AL1121" s="203">
        <v>0</v>
      </c>
      <c r="AM1121" s="203">
        <v>0</v>
      </c>
      <c r="AN1121" s="203"/>
      <c r="AO1121" s="203">
        <v>0</v>
      </c>
    </row>
    <row r="1122" spans="1:41" s="176" customFormat="1" ht="36" customHeight="1" x14ac:dyDescent="0.25">
      <c r="A1122" s="176">
        <v>1</v>
      </c>
      <c r="B1122" s="171">
        <f>SUBTOTAL(103,$A$1087:A1122)</f>
        <v>36</v>
      </c>
      <c r="C1122" s="172" t="s">
        <v>1672</v>
      </c>
      <c r="D1122" s="173">
        <v>1969</v>
      </c>
      <c r="E1122" s="173"/>
      <c r="F1122" s="174" t="s">
        <v>267</v>
      </c>
      <c r="G1122" s="173">
        <v>5</v>
      </c>
      <c r="H1122" s="173" t="s">
        <v>308</v>
      </c>
      <c r="I1122" s="177">
        <v>3567.4</v>
      </c>
      <c r="J1122" s="177">
        <v>3567.4</v>
      </c>
      <c r="K1122" s="177">
        <v>3567.4</v>
      </c>
      <c r="L1122" s="206">
        <v>111</v>
      </c>
      <c r="M1122" s="173" t="s">
        <v>265</v>
      </c>
      <c r="N1122" s="173" t="s">
        <v>269</v>
      </c>
      <c r="O1122" s="175" t="s">
        <v>1677</v>
      </c>
      <c r="P1122" s="170">
        <v>5164136.5</v>
      </c>
      <c r="Q1122" s="170">
        <v>0</v>
      </c>
      <c r="R1122" s="170">
        <v>0</v>
      </c>
      <c r="S1122" s="170">
        <f t="shared" si="178"/>
        <v>5164136.5</v>
      </c>
      <c r="T1122" s="170">
        <f t="shared" si="181"/>
        <v>1447.5911027639177</v>
      </c>
      <c r="U1122" s="170">
        <v>2226.4612939395638</v>
      </c>
      <c r="V1122" s="202">
        <f t="shared" si="177"/>
        <v>778.87019117564614</v>
      </c>
      <c r="W1122" s="202">
        <f t="shared" si="179"/>
        <v>2845.0576857094798</v>
      </c>
      <c r="X1122" s="202">
        <v>0</v>
      </c>
      <c r="Y1122" s="203">
        <v>0</v>
      </c>
      <c r="Z1122" s="203">
        <v>0</v>
      </c>
      <c r="AA1122" s="203">
        <v>0</v>
      </c>
      <c r="AB1122" s="203">
        <v>0</v>
      </c>
      <c r="AC1122" s="203">
        <v>0</v>
      </c>
      <c r="AD1122" s="203">
        <v>0</v>
      </c>
      <c r="AE1122" s="203">
        <v>1626.8</v>
      </c>
      <c r="AF1122" s="202">
        <f t="shared" si="183"/>
        <v>2845.0576857094798</v>
      </c>
      <c r="AG1122" s="203">
        <v>0</v>
      </c>
      <c r="AH1122" s="202">
        <v>0</v>
      </c>
      <c r="AI1122" s="203">
        <v>0</v>
      </c>
      <c r="AJ1122" s="202">
        <v>0</v>
      </c>
      <c r="AK1122" s="203">
        <v>0</v>
      </c>
      <c r="AL1122" s="203">
        <v>0</v>
      </c>
      <c r="AM1122" s="203">
        <v>0</v>
      </c>
      <c r="AN1122" s="203"/>
      <c r="AO1122" s="203">
        <v>0</v>
      </c>
    </row>
    <row r="1123" spans="1:41" s="176" customFormat="1" ht="36" customHeight="1" x14ac:dyDescent="0.25">
      <c r="A1123" s="176">
        <v>1</v>
      </c>
      <c r="B1123" s="171">
        <f>SUBTOTAL(103,$A$1087:A1123)</f>
        <v>37</v>
      </c>
      <c r="C1123" s="172" t="s">
        <v>539</v>
      </c>
      <c r="D1123" s="173" t="s">
        <v>313</v>
      </c>
      <c r="E1123" s="173"/>
      <c r="F1123" s="174" t="s">
        <v>311</v>
      </c>
      <c r="G1123" s="173" t="s">
        <v>357</v>
      </c>
      <c r="H1123" s="173" t="s">
        <v>303</v>
      </c>
      <c r="I1123" s="177">
        <v>4990.2</v>
      </c>
      <c r="J1123" s="177">
        <v>3973.4</v>
      </c>
      <c r="K1123" s="177">
        <v>3799.4</v>
      </c>
      <c r="L1123" s="206">
        <v>190</v>
      </c>
      <c r="M1123" s="173" t="s">
        <v>265</v>
      </c>
      <c r="N1123" s="173" t="s">
        <v>269</v>
      </c>
      <c r="O1123" s="175" t="s">
        <v>1310</v>
      </c>
      <c r="P1123" s="170">
        <v>3229425.65</v>
      </c>
      <c r="Q1123" s="170">
        <v>0</v>
      </c>
      <c r="R1123" s="170">
        <v>0</v>
      </c>
      <c r="S1123" s="170">
        <f t="shared" si="178"/>
        <v>3229425.65</v>
      </c>
      <c r="T1123" s="170">
        <f t="shared" si="181"/>
        <v>647.15355095988139</v>
      </c>
      <c r="U1123" s="170">
        <v>838.39214861127812</v>
      </c>
      <c r="V1123" s="202">
        <f t="shared" si="177"/>
        <v>191.23859765139673</v>
      </c>
      <c r="W1123" s="202">
        <f t="shared" si="179"/>
        <v>1218.9766442226764</v>
      </c>
      <c r="X1123" s="202">
        <v>0</v>
      </c>
      <c r="Y1123" s="203">
        <v>0</v>
      </c>
      <c r="Z1123" s="203">
        <v>0</v>
      </c>
      <c r="AA1123" s="203">
        <v>0</v>
      </c>
      <c r="AB1123" s="203">
        <v>0</v>
      </c>
      <c r="AC1123" s="203">
        <v>0</v>
      </c>
      <c r="AD1123" s="203">
        <v>0</v>
      </c>
      <c r="AE1123" s="203">
        <v>975</v>
      </c>
      <c r="AF1123" s="202">
        <f t="shared" si="183"/>
        <v>1218.9766442226764</v>
      </c>
      <c r="AG1123" s="203">
        <v>0</v>
      </c>
      <c r="AH1123" s="202">
        <v>0</v>
      </c>
      <c r="AI1123" s="203">
        <v>0</v>
      </c>
      <c r="AJ1123" s="202">
        <v>0</v>
      </c>
      <c r="AK1123" s="203">
        <v>0</v>
      </c>
      <c r="AL1123" s="203">
        <v>0</v>
      </c>
      <c r="AM1123" s="203">
        <v>0</v>
      </c>
      <c r="AN1123" s="203"/>
      <c r="AO1123" s="203">
        <v>0</v>
      </c>
    </row>
    <row r="1124" spans="1:41" s="176" customFormat="1" ht="36" customHeight="1" x14ac:dyDescent="0.25">
      <c r="A1124" s="176">
        <v>1</v>
      </c>
      <c r="B1124" s="171">
        <f>SUBTOTAL(103,$A$1087:A1124)</f>
        <v>38</v>
      </c>
      <c r="C1124" s="172" t="s">
        <v>542</v>
      </c>
      <c r="D1124" s="173" t="s">
        <v>315</v>
      </c>
      <c r="E1124" s="173"/>
      <c r="F1124" s="174" t="s">
        <v>267</v>
      </c>
      <c r="G1124" s="173">
        <v>5</v>
      </c>
      <c r="H1124" s="173" t="s">
        <v>308</v>
      </c>
      <c r="I1124" s="177">
        <v>3436</v>
      </c>
      <c r="J1124" s="177">
        <v>3129.7</v>
      </c>
      <c r="K1124" s="177">
        <v>2775.3</v>
      </c>
      <c r="L1124" s="206">
        <v>145</v>
      </c>
      <c r="M1124" s="173" t="s">
        <v>265</v>
      </c>
      <c r="N1124" s="173" t="s">
        <v>269</v>
      </c>
      <c r="O1124" s="175" t="s">
        <v>1310</v>
      </c>
      <c r="P1124" s="170">
        <v>4517275.3499999996</v>
      </c>
      <c r="Q1124" s="170">
        <v>0</v>
      </c>
      <c r="R1124" s="170">
        <v>0</v>
      </c>
      <c r="S1124" s="170">
        <f t="shared" si="178"/>
        <v>4517275.3499999996</v>
      </c>
      <c r="T1124" s="170">
        <f t="shared" si="181"/>
        <v>1314.6901484284051</v>
      </c>
      <c r="U1124" s="170">
        <v>1835.7972642607681</v>
      </c>
      <c r="V1124" s="202">
        <f t="shared" si="177"/>
        <v>521.10711583236298</v>
      </c>
      <c r="W1124" s="202">
        <f t="shared" si="179"/>
        <v>1400.3956162689171</v>
      </c>
      <c r="X1124" s="202">
        <v>0</v>
      </c>
      <c r="Y1124" s="203">
        <v>0</v>
      </c>
      <c r="Z1124" s="203">
        <v>0</v>
      </c>
      <c r="AA1124" s="203">
        <v>0</v>
      </c>
      <c r="AB1124" s="203">
        <v>0</v>
      </c>
      <c r="AC1124" s="203">
        <v>0</v>
      </c>
      <c r="AD1124" s="203">
        <v>0</v>
      </c>
      <c r="AE1124" s="203">
        <v>771.25</v>
      </c>
      <c r="AF1124" s="202">
        <f t="shared" si="183"/>
        <v>1400.3956162689171</v>
      </c>
      <c r="AG1124" s="203">
        <v>0</v>
      </c>
      <c r="AH1124" s="202">
        <v>0</v>
      </c>
      <c r="AI1124" s="203">
        <v>0</v>
      </c>
      <c r="AJ1124" s="202">
        <v>0</v>
      </c>
      <c r="AK1124" s="203">
        <v>0</v>
      </c>
      <c r="AL1124" s="203">
        <v>0</v>
      </c>
      <c r="AM1124" s="203">
        <v>0</v>
      </c>
      <c r="AN1124" s="203"/>
      <c r="AO1124" s="203">
        <v>0</v>
      </c>
    </row>
    <row r="1125" spans="1:41" s="176" customFormat="1" ht="36" customHeight="1" x14ac:dyDescent="0.25">
      <c r="A1125" s="176">
        <v>1</v>
      </c>
      <c r="B1125" s="171">
        <f>SUBTOTAL(103,$A$1087:A1125)</f>
        <v>39</v>
      </c>
      <c r="C1125" s="172" t="s">
        <v>526</v>
      </c>
      <c r="D1125" s="173" t="s">
        <v>350</v>
      </c>
      <c r="E1125" s="173"/>
      <c r="F1125" s="174" t="s">
        <v>267</v>
      </c>
      <c r="G1125" s="173" t="s">
        <v>351</v>
      </c>
      <c r="H1125" s="173" t="s">
        <v>308</v>
      </c>
      <c r="I1125" s="177">
        <v>3486.3</v>
      </c>
      <c r="J1125" s="177">
        <v>3486.3</v>
      </c>
      <c r="K1125" s="177">
        <v>2123</v>
      </c>
      <c r="L1125" s="206">
        <v>136</v>
      </c>
      <c r="M1125" s="173" t="s">
        <v>265</v>
      </c>
      <c r="N1125" s="173" t="s">
        <v>269</v>
      </c>
      <c r="O1125" s="175" t="s">
        <v>1062</v>
      </c>
      <c r="P1125" s="170">
        <v>4625631.57</v>
      </c>
      <c r="Q1125" s="170">
        <v>0</v>
      </c>
      <c r="R1125" s="170">
        <v>0</v>
      </c>
      <c r="S1125" s="170">
        <f t="shared" si="178"/>
        <v>4625631.57</v>
      </c>
      <c r="T1125" s="170">
        <f t="shared" si="181"/>
        <v>1326.8025040874279</v>
      </c>
      <c r="U1125" s="170">
        <v>1735.4611479218656</v>
      </c>
      <c r="V1125" s="202">
        <f t="shared" si="177"/>
        <v>408.65864383443773</v>
      </c>
      <c r="W1125" s="202">
        <f t="shared" si="179"/>
        <v>1724.679319765941</v>
      </c>
      <c r="X1125" s="202">
        <v>0</v>
      </c>
      <c r="Y1125" s="203">
        <v>0</v>
      </c>
      <c r="Z1125" s="203">
        <v>0</v>
      </c>
      <c r="AA1125" s="203">
        <v>0</v>
      </c>
      <c r="AB1125" s="203">
        <v>0</v>
      </c>
      <c r="AC1125" s="203">
        <v>0</v>
      </c>
      <c r="AD1125" s="203">
        <v>0</v>
      </c>
      <c r="AE1125" s="203">
        <v>963.75</v>
      </c>
      <c r="AF1125" s="202">
        <f t="shared" si="183"/>
        <v>1724.679319765941</v>
      </c>
      <c r="AG1125" s="203">
        <v>0</v>
      </c>
      <c r="AH1125" s="202">
        <v>0</v>
      </c>
      <c r="AI1125" s="203">
        <v>0</v>
      </c>
      <c r="AJ1125" s="202">
        <v>0</v>
      </c>
      <c r="AK1125" s="203">
        <v>0</v>
      </c>
      <c r="AL1125" s="203">
        <v>0</v>
      </c>
      <c r="AM1125" s="203">
        <v>0</v>
      </c>
      <c r="AN1125" s="203"/>
      <c r="AO1125" s="203">
        <v>0</v>
      </c>
    </row>
    <row r="1126" spans="1:41" s="176" customFormat="1" ht="36" customHeight="1" x14ac:dyDescent="0.25">
      <c r="A1126" s="176">
        <v>1</v>
      </c>
      <c r="B1126" s="171">
        <f>SUBTOTAL(103,$A$1087:A1126)</f>
        <v>40</v>
      </c>
      <c r="C1126" s="172" t="s">
        <v>532</v>
      </c>
      <c r="D1126" s="173" t="s">
        <v>305</v>
      </c>
      <c r="E1126" s="173"/>
      <c r="F1126" s="174" t="s">
        <v>311</v>
      </c>
      <c r="G1126" s="173" t="s">
        <v>351</v>
      </c>
      <c r="H1126" s="173" t="s">
        <v>351</v>
      </c>
      <c r="I1126" s="177">
        <v>3875.8</v>
      </c>
      <c r="J1126" s="177">
        <v>3540</v>
      </c>
      <c r="K1126" s="177">
        <v>2482.6999999999998</v>
      </c>
      <c r="L1126" s="206">
        <v>168</v>
      </c>
      <c r="M1126" s="173" t="s">
        <v>265</v>
      </c>
      <c r="N1126" s="173" t="s">
        <v>269</v>
      </c>
      <c r="O1126" s="175" t="s">
        <v>1062</v>
      </c>
      <c r="P1126" s="170">
        <v>4642018.24</v>
      </c>
      <c r="Q1126" s="170">
        <v>0</v>
      </c>
      <c r="R1126" s="170">
        <v>0</v>
      </c>
      <c r="S1126" s="170">
        <f t="shared" si="178"/>
        <v>4642018.24</v>
      </c>
      <c r="T1126" s="170">
        <f t="shared" si="181"/>
        <v>1197.6929253315445</v>
      </c>
      <c r="U1126" s="170">
        <v>1627.483203467671</v>
      </c>
      <c r="V1126" s="202">
        <f t="shared" si="177"/>
        <v>429.79027813612652</v>
      </c>
      <c r="W1126" s="202">
        <f t="shared" si="179"/>
        <v>634.14004850611479</v>
      </c>
      <c r="X1126" s="202">
        <v>0</v>
      </c>
      <c r="Y1126" s="203">
        <v>0</v>
      </c>
      <c r="Z1126" s="203">
        <v>0</v>
      </c>
      <c r="AA1126" s="203">
        <v>0</v>
      </c>
      <c r="AB1126" s="203">
        <v>0</v>
      </c>
      <c r="AC1126" s="203">
        <v>1</v>
      </c>
      <c r="AD1126" s="202">
        <f>2457800*AC1126/I1126</f>
        <v>634.14004850611479</v>
      </c>
      <c r="AE1126" s="203">
        <v>0</v>
      </c>
      <c r="AF1126" s="202">
        <v>0</v>
      </c>
      <c r="AG1126" s="203">
        <v>0</v>
      </c>
      <c r="AH1126" s="202">
        <v>0</v>
      </c>
      <c r="AI1126" s="203">
        <v>0</v>
      </c>
      <c r="AJ1126" s="202">
        <v>0</v>
      </c>
      <c r="AK1126" s="203">
        <v>0</v>
      </c>
      <c r="AL1126" s="203">
        <v>0</v>
      </c>
      <c r="AM1126" s="203">
        <v>0</v>
      </c>
      <c r="AN1126" s="203"/>
      <c r="AO1126" s="203">
        <v>0</v>
      </c>
    </row>
    <row r="1127" spans="1:41" s="176" customFormat="1" ht="36" customHeight="1" x14ac:dyDescent="0.25">
      <c r="A1127" s="176">
        <v>1</v>
      </c>
      <c r="B1127" s="171">
        <f>SUBTOTAL(103,$A$1087:A1127)</f>
        <v>41</v>
      </c>
      <c r="C1127" s="172" t="s">
        <v>550</v>
      </c>
      <c r="D1127" s="173" t="s">
        <v>361</v>
      </c>
      <c r="E1127" s="173"/>
      <c r="F1127" s="174" t="s">
        <v>267</v>
      </c>
      <c r="G1127" s="173" t="s">
        <v>351</v>
      </c>
      <c r="H1127" s="173" t="s">
        <v>312</v>
      </c>
      <c r="I1127" s="177">
        <v>2747.2</v>
      </c>
      <c r="J1127" s="177">
        <v>2475.6</v>
      </c>
      <c r="K1127" s="177">
        <v>2231</v>
      </c>
      <c r="L1127" s="206">
        <v>146</v>
      </c>
      <c r="M1127" s="173" t="s">
        <v>265</v>
      </c>
      <c r="N1127" s="173" t="s">
        <v>269</v>
      </c>
      <c r="O1127" s="175" t="s">
        <v>1063</v>
      </c>
      <c r="P1127" s="170">
        <v>4412836.3</v>
      </c>
      <c r="Q1127" s="170">
        <v>0</v>
      </c>
      <c r="R1127" s="170">
        <v>0</v>
      </c>
      <c r="S1127" s="170">
        <f t="shared" si="178"/>
        <v>4412836.3</v>
      </c>
      <c r="T1127" s="170">
        <f t="shared" si="181"/>
        <v>1606.3032542224812</v>
      </c>
      <c r="U1127" s="170">
        <v>2102.321770894001</v>
      </c>
      <c r="V1127" s="202">
        <f t="shared" si="177"/>
        <v>496.01851667151982</v>
      </c>
      <c r="W1127" s="202">
        <f t="shared" si="179"/>
        <v>2683.9691322073386</v>
      </c>
      <c r="X1127" s="202">
        <v>0</v>
      </c>
      <c r="Y1127" s="203">
        <v>0</v>
      </c>
      <c r="Z1127" s="203">
        <v>0</v>
      </c>
      <c r="AA1127" s="203">
        <v>0</v>
      </c>
      <c r="AB1127" s="203">
        <v>0</v>
      </c>
      <c r="AC1127" s="203">
        <v>3</v>
      </c>
      <c r="AD1127" s="202">
        <f>2457800*AC1127/I1127</f>
        <v>2683.9691322073386</v>
      </c>
      <c r="AE1127" s="203">
        <v>0</v>
      </c>
      <c r="AF1127" s="202">
        <v>0</v>
      </c>
      <c r="AG1127" s="203">
        <v>0</v>
      </c>
      <c r="AH1127" s="202">
        <v>0</v>
      </c>
      <c r="AI1127" s="203">
        <v>0</v>
      </c>
      <c r="AJ1127" s="202">
        <v>0</v>
      </c>
      <c r="AK1127" s="203">
        <v>0</v>
      </c>
      <c r="AL1127" s="203">
        <v>0</v>
      </c>
      <c r="AM1127" s="203">
        <v>0</v>
      </c>
      <c r="AN1127" s="203"/>
      <c r="AO1127" s="203">
        <v>0</v>
      </c>
    </row>
    <row r="1128" spans="1:41" s="176" customFormat="1" ht="36" customHeight="1" x14ac:dyDescent="0.25">
      <c r="A1128" s="176">
        <v>1</v>
      </c>
      <c r="B1128" s="171">
        <f>SUBTOTAL(103,$A$1087:A1128)</f>
        <v>42</v>
      </c>
      <c r="C1128" s="172" t="s">
        <v>483</v>
      </c>
      <c r="D1128" s="173">
        <v>1969</v>
      </c>
      <c r="E1128" s="173"/>
      <c r="F1128" s="174" t="s">
        <v>267</v>
      </c>
      <c r="G1128" s="173">
        <v>5</v>
      </c>
      <c r="H1128" s="173" t="s">
        <v>308</v>
      </c>
      <c r="I1128" s="177">
        <v>3463.9</v>
      </c>
      <c r="J1128" s="177">
        <v>3172.1</v>
      </c>
      <c r="K1128" s="177">
        <v>2927.7</v>
      </c>
      <c r="L1128" s="206">
        <v>132</v>
      </c>
      <c r="M1128" s="173" t="s">
        <v>265</v>
      </c>
      <c r="N1128" s="173" t="s">
        <v>269</v>
      </c>
      <c r="O1128" s="175" t="s">
        <v>1077</v>
      </c>
      <c r="P1128" s="170">
        <v>4370645.5</v>
      </c>
      <c r="Q1128" s="170">
        <v>0</v>
      </c>
      <c r="R1128" s="170">
        <v>0</v>
      </c>
      <c r="S1128" s="170">
        <f t="shared" si="178"/>
        <v>4370645.5</v>
      </c>
      <c r="T1128" s="170">
        <f t="shared" si="181"/>
        <v>1261.7701146106988</v>
      </c>
      <c r="U1128" s="170">
        <v>2024.6667305638152</v>
      </c>
      <c r="V1128" s="202">
        <f t="shared" si="177"/>
        <v>762.89661595311645</v>
      </c>
      <c r="W1128" s="202">
        <f t="shared" si="179"/>
        <v>2222.5857963567078</v>
      </c>
      <c r="X1128" s="202">
        <v>0</v>
      </c>
      <c r="Y1128" s="203">
        <v>0</v>
      </c>
      <c r="Z1128" s="203">
        <v>0</v>
      </c>
      <c r="AA1128" s="203">
        <v>0</v>
      </c>
      <c r="AB1128" s="203">
        <v>0</v>
      </c>
      <c r="AC1128" s="203">
        <v>0</v>
      </c>
      <c r="AD1128" s="203">
        <v>0</v>
      </c>
      <c r="AE1128" s="203">
        <v>1234</v>
      </c>
      <c r="AF1128" s="202">
        <f t="shared" ref="AF1128:AF1134" si="184">6238.91*AE1128/I1128</f>
        <v>2222.5857963567078</v>
      </c>
      <c r="AG1128" s="203">
        <v>0</v>
      </c>
      <c r="AH1128" s="202">
        <v>0</v>
      </c>
      <c r="AI1128" s="203">
        <v>0</v>
      </c>
      <c r="AJ1128" s="202">
        <v>0</v>
      </c>
      <c r="AK1128" s="203">
        <v>0</v>
      </c>
      <c r="AL1128" s="203">
        <v>0</v>
      </c>
      <c r="AM1128" s="203">
        <v>0</v>
      </c>
      <c r="AN1128" s="203"/>
      <c r="AO1128" s="203">
        <v>0</v>
      </c>
    </row>
    <row r="1129" spans="1:41" s="176" customFormat="1" ht="36" customHeight="1" x14ac:dyDescent="0.25">
      <c r="A1129" s="176">
        <v>1</v>
      </c>
      <c r="B1129" s="171">
        <f>SUBTOTAL(103,$A$1087:A1129)</f>
        <v>43</v>
      </c>
      <c r="C1129" s="172" t="s">
        <v>1572</v>
      </c>
      <c r="D1129" s="173">
        <v>1964</v>
      </c>
      <c r="E1129" s="173"/>
      <c r="F1129" s="174" t="s">
        <v>267</v>
      </c>
      <c r="G1129" s="173">
        <v>5</v>
      </c>
      <c r="H1129" s="173" t="s">
        <v>308</v>
      </c>
      <c r="I1129" s="177">
        <v>4214.7</v>
      </c>
      <c r="J1129" s="177">
        <v>3322.3</v>
      </c>
      <c r="K1129" s="177">
        <v>3136.7</v>
      </c>
      <c r="L1129" s="206">
        <v>213</v>
      </c>
      <c r="M1129" s="173" t="s">
        <v>265</v>
      </c>
      <c r="N1129" s="173" t="s">
        <v>269</v>
      </c>
      <c r="O1129" s="175" t="s">
        <v>1371</v>
      </c>
      <c r="P1129" s="170">
        <v>2312500.0499999998</v>
      </c>
      <c r="Q1129" s="170">
        <v>0</v>
      </c>
      <c r="R1129" s="170">
        <v>0</v>
      </c>
      <c r="S1129" s="170">
        <f t="shared" si="178"/>
        <v>2312500.0499999998</v>
      </c>
      <c r="T1129" s="170">
        <f t="shared" si="181"/>
        <v>548.67488789237666</v>
      </c>
      <c r="U1129" s="170">
        <v>1482.6307922272049</v>
      </c>
      <c r="V1129" s="202">
        <f t="shared" si="177"/>
        <v>933.95590433482823</v>
      </c>
      <c r="W1129" s="202">
        <f t="shared" si="179"/>
        <v>1776.3285643106271</v>
      </c>
      <c r="X1129" s="202">
        <v>0</v>
      </c>
      <c r="Y1129" s="203">
        <v>0</v>
      </c>
      <c r="Z1129" s="203">
        <v>0</v>
      </c>
      <c r="AA1129" s="203">
        <v>0</v>
      </c>
      <c r="AB1129" s="203">
        <v>0</v>
      </c>
      <c r="AC1129" s="203">
        <v>0</v>
      </c>
      <c r="AD1129" s="203">
        <v>0</v>
      </c>
      <c r="AE1129" s="203">
        <v>1200</v>
      </c>
      <c r="AF1129" s="202">
        <f t="shared" si="184"/>
        <v>1776.3285643106271</v>
      </c>
      <c r="AG1129" s="203">
        <v>0</v>
      </c>
      <c r="AH1129" s="202">
        <v>0</v>
      </c>
      <c r="AI1129" s="203">
        <v>0</v>
      </c>
      <c r="AJ1129" s="202">
        <v>0</v>
      </c>
      <c r="AK1129" s="203">
        <v>0</v>
      </c>
      <c r="AL1129" s="203">
        <v>0</v>
      </c>
      <c r="AM1129" s="203">
        <v>0</v>
      </c>
      <c r="AN1129" s="203"/>
      <c r="AO1129" s="203">
        <v>0</v>
      </c>
    </row>
    <row r="1130" spans="1:41" s="176" customFormat="1" ht="36" customHeight="1" x14ac:dyDescent="0.25">
      <c r="A1130" s="176">
        <v>1</v>
      </c>
      <c r="B1130" s="171">
        <f>SUBTOTAL(103,$A$1087:A1130)</f>
        <v>44</v>
      </c>
      <c r="C1130" s="172" t="s">
        <v>1108</v>
      </c>
      <c r="D1130" s="173">
        <v>1991</v>
      </c>
      <c r="E1130" s="173">
        <v>2016</v>
      </c>
      <c r="F1130" s="174" t="s">
        <v>1309</v>
      </c>
      <c r="G1130" s="173">
        <v>13</v>
      </c>
      <c r="H1130" s="173" t="s">
        <v>304</v>
      </c>
      <c r="I1130" s="177">
        <v>4135.3</v>
      </c>
      <c r="J1130" s="177">
        <v>3928.6</v>
      </c>
      <c r="K1130" s="177">
        <v>3680.79</v>
      </c>
      <c r="L1130" s="206">
        <v>204</v>
      </c>
      <c r="M1130" s="173" t="s">
        <v>265</v>
      </c>
      <c r="N1130" s="173" t="s">
        <v>269</v>
      </c>
      <c r="O1130" s="175" t="s">
        <v>1373</v>
      </c>
      <c r="P1130" s="170">
        <v>4348142.72</v>
      </c>
      <c r="Q1130" s="170">
        <v>0</v>
      </c>
      <c r="R1130" s="170">
        <v>0</v>
      </c>
      <c r="S1130" s="170">
        <f t="shared" si="178"/>
        <v>4348142.72</v>
      </c>
      <c r="T1130" s="170">
        <f t="shared" si="181"/>
        <v>1051.4697168282833</v>
      </c>
      <c r="U1130" s="170">
        <v>2620.8075085241694</v>
      </c>
      <c r="V1130" s="202">
        <f>U1130-T1130</f>
        <v>1569.3377916958862</v>
      </c>
      <c r="W1130" s="202">
        <f t="shared" si="179"/>
        <v>980.65231059415271</v>
      </c>
      <c r="X1130" s="202">
        <v>0</v>
      </c>
      <c r="Y1130" s="203">
        <v>0</v>
      </c>
      <c r="Z1130" s="203">
        <v>0</v>
      </c>
      <c r="AA1130" s="203">
        <v>0</v>
      </c>
      <c r="AB1130" s="203">
        <v>0</v>
      </c>
      <c r="AC1130" s="203">
        <v>0</v>
      </c>
      <c r="AD1130" s="203">
        <v>0</v>
      </c>
      <c r="AE1130" s="203">
        <v>650</v>
      </c>
      <c r="AF1130" s="202">
        <f t="shared" si="184"/>
        <v>980.65231059415271</v>
      </c>
      <c r="AG1130" s="203">
        <v>0</v>
      </c>
      <c r="AH1130" s="202">
        <v>0</v>
      </c>
      <c r="AI1130" s="203">
        <v>0</v>
      </c>
      <c r="AJ1130" s="202">
        <v>0</v>
      </c>
      <c r="AK1130" s="203">
        <v>0</v>
      </c>
      <c r="AL1130" s="203">
        <v>0</v>
      </c>
      <c r="AM1130" s="203">
        <v>0</v>
      </c>
      <c r="AN1130" s="203"/>
      <c r="AO1130" s="203">
        <v>0</v>
      </c>
    </row>
    <row r="1131" spans="1:41" s="176" customFormat="1" ht="36" customHeight="1" x14ac:dyDescent="0.25">
      <c r="A1131" s="176">
        <v>1</v>
      </c>
      <c r="B1131" s="171">
        <f>SUBTOTAL(103,$A$1087:A1131)</f>
        <v>45</v>
      </c>
      <c r="C1131" s="172" t="s">
        <v>547</v>
      </c>
      <c r="D1131" s="173" t="s">
        <v>358</v>
      </c>
      <c r="E1131" s="173"/>
      <c r="F1131" s="174" t="s">
        <v>267</v>
      </c>
      <c r="G1131" s="173" t="s">
        <v>308</v>
      </c>
      <c r="H1131" s="173" t="s">
        <v>304</v>
      </c>
      <c r="I1131" s="177">
        <v>946</v>
      </c>
      <c r="J1131" s="177">
        <v>977.4</v>
      </c>
      <c r="K1131" s="177">
        <v>688.5</v>
      </c>
      <c r="L1131" s="206">
        <v>25</v>
      </c>
      <c r="M1131" s="173" t="s">
        <v>265</v>
      </c>
      <c r="N1131" s="173" t="s">
        <v>269</v>
      </c>
      <c r="O1131" s="175" t="s">
        <v>1371</v>
      </c>
      <c r="P1131" s="170">
        <v>4050624.21</v>
      </c>
      <c r="Q1131" s="170">
        <v>0</v>
      </c>
      <c r="R1131" s="170">
        <v>0</v>
      </c>
      <c r="S1131" s="170">
        <f t="shared" si="178"/>
        <v>4050624.21</v>
      </c>
      <c r="T1131" s="170">
        <f t="shared" si="181"/>
        <v>4281.8437737843551</v>
      </c>
      <c r="U1131" s="170">
        <v>7399.6240147991557</v>
      </c>
      <c r="V1131" s="202">
        <f>U1131-T1131</f>
        <v>3117.7802410148006</v>
      </c>
      <c r="W1131" s="202">
        <f t="shared" si="179"/>
        <v>6199.3397463002111</v>
      </c>
      <c r="X1131" s="202">
        <v>0</v>
      </c>
      <c r="Y1131" s="203">
        <v>0</v>
      </c>
      <c r="Z1131" s="203">
        <v>0</v>
      </c>
      <c r="AA1131" s="203">
        <v>0</v>
      </c>
      <c r="AB1131" s="203">
        <v>0</v>
      </c>
      <c r="AC1131" s="203">
        <v>0</v>
      </c>
      <c r="AD1131" s="203">
        <v>0</v>
      </c>
      <c r="AE1131" s="203">
        <v>940</v>
      </c>
      <c r="AF1131" s="202">
        <f t="shared" si="184"/>
        <v>6199.3397463002111</v>
      </c>
      <c r="AG1131" s="203">
        <v>0</v>
      </c>
      <c r="AH1131" s="202">
        <v>0</v>
      </c>
      <c r="AI1131" s="203">
        <v>0</v>
      </c>
      <c r="AJ1131" s="202">
        <v>0</v>
      </c>
      <c r="AK1131" s="203">
        <v>0</v>
      </c>
      <c r="AL1131" s="203">
        <v>0</v>
      </c>
      <c r="AM1131" s="203">
        <v>0</v>
      </c>
      <c r="AN1131" s="203"/>
      <c r="AO1131" s="203">
        <v>0</v>
      </c>
    </row>
    <row r="1132" spans="1:41" s="176" customFormat="1" ht="36" customHeight="1" x14ac:dyDescent="0.25">
      <c r="A1132" s="176">
        <v>1</v>
      </c>
      <c r="B1132" s="171">
        <f>SUBTOTAL(103,$A$1087:A1132)</f>
        <v>46</v>
      </c>
      <c r="C1132" s="172" t="s">
        <v>551</v>
      </c>
      <c r="D1132" s="173" t="s">
        <v>306</v>
      </c>
      <c r="E1132" s="173"/>
      <c r="F1132" s="174" t="s">
        <v>267</v>
      </c>
      <c r="G1132" s="173" t="s">
        <v>351</v>
      </c>
      <c r="H1132" s="173" t="s">
        <v>303</v>
      </c>
      <c r="I1132" s="177">
        <v>2023.4</v>
      </c>
      <c r="J1132" s="177">
        <v>1578.1</v>
      </c>
      <c r="K1132" s="177">
        <v>1536.2</v>
      </c>
      <c r="L1132" s="206">
        <v>72</v>
      </c>
      <c r="M1132" s="173" t="s">
        <v>265</v>
      </c>
      <c r="N1132" s="173" t="s">
        <v>269</v>
      </c>
      <c r="O1132" s="175" t="s">
        <v>1371</v>
      </c>
      <c r="P1132" s="170">
        <v>4448638.5999999996</v>
      </c>
      <c r="Q1132" s="170">
        <v>0</v>
      </c>
      <c r="R1132" s="170">
        <v>0</v>
      </c>
      <c r="S1132" s="170">
        <f>P1132-Q1132-R1132</f>
        <v>4448638.5999999996</v>
      </c>
      <c r="T1132" s="170">
        <f t="shared" si="181"/>
        <v>2198.5957299594738</v>
      </c>
      <c r="U1132" s="170">
        <v>3850.2508031036868</v>
      </c>
      <c r="V1132" s="202">
        <f>U1132-T1132</f>
        <v>1651.655073144213</v>
      </c>
      <c r="W1132" s="202">
        <f>X1132+Y1132+Z1132+AA1132+AB1132+AD1132+AF1132+AH1132+AJ1132+AL1132+AN1132+AO1132</f>
        <v>3021.7118711080357</v>
      </c>
      <c r="X1132" s="202">
        <v>0</v>
      </c>
      <c r="Y1132" s="203">
        <v>0</v>
      </c>
      <c r="Z1132" s="203">
        <v>0</v>
      </c>
      <c r="AA1132" s="203">
        <v>0</v>
      </c>
      <c r="AB1132" s="203">
        <v>0</v>
      </c>
      <c r="AC1132" s="203">
        <v>0</v>
      </c>
      <c r="AD1132" s="203">
        <v>0</v>
      </c>
      <c r="AE1132" s="203">
        <v>980</v>
      </c>
      <c r="AF1132" s="202">
        <f t="shared" si="184"/>
        <v>3021.7118711080357</v>
      </c>
      <c r="AG1132" s="203">
        <v>0</v>
      </c>
      <c r="AH1132" s="202">
        <v>0</v>
      </c>
      <c r="AI1132" s="203">
        <v>0</v>
      </c>
      <c r="AJ1132" s="202">
        <v>0</v>
      </c>
      <c r="AK1132" s="203">
        <v>0</v>
      </c>
      <c r="AL1132" s="203">
        <v>0</v>
      </c>
      <c r="AM1132" s="203">
        <v>0</v>
      </c>
      <c r="AN1132" s="203"/>
      <c r="AO1132" s="203">
        <v>0</v>
      </c>
    </row>
    <row r="1133" spans="1:41" s="176" customFormat="1" ht="36" customHeight="1" x14ac:dyDescent="0.25">
      <c r="A1133" s="176">
        <v>1</v>
      </c>
      <c r="B1133" s="171">
        <f>SUBTOTAL(103,$A$1087:A1133)</f>
        <v>47</v>
      </c>
      <c r="C1133" s="172" t="s">
        <v>554</v>
      </c>
      <c r="D1133" s="173" t="s">
        <v>310</v>
      </c>
      <c r="E1133" s="173"/>
      <c r="F1133" s="174" t="s">
        <v>267</v>
      </c>
      <c r="G1133" s="173" t="s">
        <v>312</v>
      </c>
      <c r="H1133" s="173" t="s">
        <v>308</v>
      </c>
      <c r="I1133" s="177">
        <v>2853</v>
      </c>
      <c r="J1133" s="177">
        <v>1962.2</v>
      </c>
      <c r="K1133" s="177">
        <v>1882.5</v>
      </c>
      <c r="L1133" s="206">
        <v>107</v>
      </c>
      <c r="M1133" s="173" t="s">
        <v>265</v>
      </c>
      <c r="N1133" s="173" t="s">
        <v>269</v>
      </c>
      <c r="O1133" s="175" t="s">
        <v>1371</v>
      </c>
      <c r="P1133" s="170">
        <v>4669247.95</v>
      </c>
      <c r="Q1133" s="170">
        <v>0</v>
      </c>
      <c r="R1133" s="170">
        <v>0</v>
      </c>
      <c r="S1133" s="170">
        <f>P1133-Q1133-R1133</f>
        <v>4669247.95</v>
      </c>
      <c r="T1133" s="170">
        <f t="shared" si="181"/>
        <v>1636.6098668068701</v>
      </c>
      <c r="U1133" s="170">
        <v>3024.6603575184017</v>
      </c>
      <c r="V1133" s="202">
        <f>U1133-T1133</f>
        <v>1388.0504907115317</v>
      </c>
      <c r="W1133" s="202">
        <f>X1133+Y1133+Z1133+AA1133+AB1133+AD1133+AF1133+AH1133+AJ1133+AL1133+AN1133+AO1133</f>
        <v>2143.0535576586049</v>
      </c>
      <c r="X1133" s="202">
        <v>0</v>
      </c>
      <c r="Y1133" s="203">
        <v>0</v>
      </c>
      <c r="Z1133" s="203">
        <v>0</v>
      </c>
      <c r="AA1133" s="203">
        <v>0</v>
      </c>
      <c r="AB1133" s="203">
        <v>0</v>
      </c>
      <c r="AC1133" s="203">
        <v>0</v>
      </c>
      <c r="AD1133" s="203">
        <v>0</v>
      </c>
      <c r="AE1133" s="203">
        <v>980</v>
      </c>
      <c r="AF1133" s="202">
        <f t="shared" si="184"/>
        <v>2143.0535576586049</v>
      </c>
      <c r="AG1133" s="203">
        <v>0</v>
      </c>
      <c r="AH1133" s="202">
        <v>0</v>
      </c>
      <c r="AI1133" s="203">
        <v>0</v>
      </c>
      <c r="AJ1133" s="202">
        <v>0</v>
      </c>
      <c r="AK1133" s="203">
        <v>0</v>
      </c>
      <c r="AL1133" s="203">
        <v>0</v>
      </c>
      <c r="AM1133" s="203">
        <v>0</v>
      </c>
      <c r="AN1133" s="203"/>
      <c r="AO1133" s="203">
        <v>0</v>
      </c>
    </row>
    <row r="1134" spans="1:41" s="176" customFormat="1" ht="36" customHeight="1" x14ac:dyDescent="0.25">
      <c r="A1134" s="176">
        <v>1</v>
      </c>
      <c r="B1134" s="171">
        <f>SUBTOTAL(103,$A$1087:A1134)</f>
        <v>48</v>
      </c>
      <c r="C1134" s="172" t="s">
        <v>548</v>
      </c>
      <c r="D1134" s="173" t="s">
        <v>359</v>
      </c>
      <c r="E1134" s="173"/>
      <c r="F1134" s="174" t="s">
        <v>267</v>
      </c>
      <c r="G1134" s="173" t="s">
        <v>351</v>
      </c>
      <c r="H1134" s="173" t="s">
        <v>303</v>
      </c>
      <c r="I1134" s="177">
        <v>1953.8</v>
      </c>
      <c r="J1134" s="177">
        <v>1724.7</v>
      </c>
      <c r="K1134" s="177">
        <v>1572.5</v>
      </c>
      <c r="L1134" s="206">
        <v>52</v>
      </c>
      <c r="M1134" s="173" t="s">
        <v>265</v>
      </c>
      <c r="N1134" s="173" t="s">
        <v>269</v>
      </c>
      <c r="O1134" s="175" t="s">
        <v>1630</v>
      </c>
      <c r="P1134" s="170">
        <v>2880414.3600000003</v>
      </c>
      <c r="Q1134" s="170">
        <v>0</v>
      </c>
      <c r="R1134" s="170">
        <v>0</v>
      </c>
      <c r="S1134" s="170">
        <f>P1134-Q1134-R1134</f>
        <v>2880414.3600000003</v>
      </c>
      <c r="T1134" s="170">
        <f t="shared" si="181"/>
        <v>1474.2626471491456</v>
      </c>
      <c r="U1134" s="170">
        <v>1844.8443034087418</v>
      </c>
      <c r="V1134" s="202">
        <f>U1134-T1134</f>
        <v>370.58165625959623</v>
      </c>
      <c r="W1134" s="202">
        <f>X1134+Y1134+Z1134+AA1134+AB1134+AD1134+AF1134+AH1134+AJ1134+AL1134+AN1134+AO1134</f>
        <v>2865.2748198382637</v>
      </c>
      <c r="X1134" s="202">
        <v>0</v>
      </c>
      <c r="Y1134" s="203">
        <v>0</v>
      </c>
      <c r="Z1134" s="203">
        <v>0</v>
      </c>
      <c r="AA1134" s="203">
        <v>0</v>
      </c>
      <c r="AB1134" s="203">
        <v>0</v>
      </c>
      <c r="AC1134" s="203">
        <v>0</v>
      </c>
      <c r="AD1134" s="203">
        <v>0</v>
      </c>
      <c r="AE1134" s="203">
        <v>897.3</v>
      </c>
      <c r="AF1134" s="202">
        <f t="shared" si="184"/>
        <v>2865.2748198382637</v>
      </c>
      <c r="AG1134" s="203">
        <v>0</v>
      </c>
      <c r="AH1134" s="202">
        <v>0</v>
      </c>
      <c r="AI1134" s="203">
        <v>0</v>
      </c>
      <c r="AJ1134" s="202">
        <v>0</v>
      </c>
      <c r="AK1134" s="203">
        <v>0</v>
      </c>
      <c r="AL1134" s="203">
        <v>0</v>
      </c>
      <c r="AM1134" s="203">
        <v>0</v>
      </c>
      <c r="AN1134" s="203"/>
      <c r="AO1134" s="203">
        <v>0</v>
      </c>
    </row>
    <row r="1135" spans="1:41" s="176" customFormat="1" ht="36" customHeight="1" x14ac:dyDescent="0.25">
      <c r="A1135" s="176">
        <v>1</v>
      </c>
      <c r="B1135" s="171">
        <f>SUBTOTAL(103,$A$1087:A1135)</f>
        <v>49</v>
      </c>
      <c r="C1135" s="172" t="s">
        <v>2273</v>
      </c>
      <c r="D1135" s="173" t="s">
        <v>302</v>
      </c>
      <c r="E1135" s="173"/>
      <c r="F1135" s="174" t="s">
        <v>267</v>
      </c>
      <c r="G1135" s="173" t="s">
        <v>303</v>
      </c>
      <c r="H1135" s="173">
        <v>1</v>
      </c>
      <c r="I1135" s="177">
        <v>399.4</v>
      </c>
      <c r="J1135" s="177">
        <v>354.1</v>
      </c>
      <c r="K1135" s="177">
        <v>172.1</v>
      </c>
      <c r="L1135" s="206">
        <v>23</v>
      </c>
      <c r="M1135" s="173" t="s">
        <v>265</v>
      </c>
      <c r="N1135" s="173" t="s">
        <v>269</v>
      </c>
      <c r="O1135" s="175" t="s">
        <v>1633</v>
      </c>
      <c r="P1135" s="170">
        <v>763048.75</v>
      </c>
      <c r="Q1135" s="170">
        <v>0</v>
      </c>
      <c r="R1135" s="170">
        <v>0</v>
      </c>
      <c r="S1135" s="170">
        <f t="shared" si="178"/>
        <v>763048.75</v>
      </c>
      <c r="T1135" s="170">
        <f t="shared" si="181"/>
        <v>1910.4876064096145</v>
      </c>
      <c r="U1135" s="170">
        <v>2994.2595743615425</v>
      </c>
      <c r="V1135" s="202">
        <f t="shared" si="177"/>
        <v>1083.771967951928</v>
      </c>
      <c r="W1135" s="202">
        <f t="shared" si="179"/>
        <v>15054.455464446672</v>
      </c>
      <c r="X1135" s="202">
        <v>0</v>
      </c>
      <c r="Y1135" s="203">
        <v>0</v>
      </c>
      <c r="Z1135" s="203">
        <v>0</v>
      </c>
      <c r="AA1135" s="203">
        <v>0</v>
      </c>
      <c r="AB1135" s="203">
        <v>0</v>
      </c>
      <c r="AC1135" s="203">
        <v>0</v>
      </c>
      <c r="AD1135" s="203">
        <v>0</v>
      </c>
      <c r="AE1135" s="203">
        <v>963.75</v>
      </c>
      <c r="AF1135" s="202">
        <f t="shared" si="183"/>
        <v>15054.455464446672</v>
      </c>
      <c r="AG1135" s="203">
        <v>0</v>
      </c>
      <c r="AH1135" s="202">
        <v>0</v>
      </c>
      <c r="AI1135" s="203">
        <v>0</v>
      </c>
      <c r="AJ1135" s="202">
        <v>0</v>
      </c>
      <c r="AK1135" s="203">
        <v>0</v>
      </c>
      <c r="AL1135" s="203">
        <v>0</v>
      </c>
      <c r="AM1135" s="203">
        <v>0</v>
      </c>
      <c r="AN1135" s="203"/>
      <c r="AO1135" s="203">
        <v>0</v>
      </c>
    </row>
    <row r="1136" spans="1:41" s="176" customFormat="1" ht="36" customHeight="1" x14ac:dyDescent="0.25">
      <c r="A1136" s="176">
        <v>1</v>
      </c>
      <c r="B1136" s="171">
        <f>SUBTOTAL(103,$A$1087:A1136)</f>
        <v>50</v>
      </c>
      <c r="C1136" s="172" t="s">
        <v>2274</v>
      </c>
      <c r="D1136" s="173">
        <v>1976</v>
      </c>
      <c r="E1136" s="173"/>
      <c r="F1136" s="174" t="s">
        <v>267</v>
      </c>
      <c r="G1136" s="173">
        <v>5</v>
      </c>
      <c r="H1136" s="173">
        <v>1</v>
      </c>
      <c r="I1136" s="177">
        <v>579.79999999999995</v>
      </c>
      <c r="J1136" s="177">
        <v>348.4</v>
      </c>
      <c r="K1136" s="177">
        <v>348.4</v>
      </c>
      <c r="L1136" s="206">
        <v>37</v>
      </c>
      <c r="M1136" s="173" t="s">
        <v>265</v>
      </c>
      <c r="N1136" s="173" t="s">
        <v>269</v>
      </c>
      <c r="O1136" s="175" t="s">
        <v>1633</v>
      </c>
      <c r="P1136" s="170">
        <v>2942000</v>
      </c>
      <c r="Q1136" s="170">
        <v>0</v>
      </c>
      <c r="R1136" s="170">
        <v>0</v>
      </c>
      <c r="S1136" s="170">
        <f t="shared" si="178"/>
        <v>2942000</v>
      </c>
      <c r="T1136" s="170">
        <f t="shared" si="181"/>
        <v>5074.163504656779</v>
      </c>
      <c r="U1136" s="170">
        <v>8832.4878233873769</v>
      </c>
      <c r="V1136" s="202">
        <f t="shared" si="177"/>
        <v>3758.324318730598</v>
      </c>
      <c r="W1136" s="202">
        <f t="shared" si="179"/>
        <v>4239.0479475681277</v>
      </c>
      <c r="X1136" s="202">
        <v>0</v>
      </c>
      <c r="Y1136" s="203">
        <v>0</v>
      </c>
      <c r="Z1136" s="203">
        <v>0</v>
      </c>
      <c r="AA1136" s="203">
        <v>0</v>
      </c>
      <c r="AB1136" s="203">
        <v>0</v>
      </c>
      <c r="AC1136" s="203">
        <v>1</v>
      </c>
      <c r="AD1136" s="202">
        <f>2457800*AC1136/I1136</f>
        <v>4239.0479475681277</v>
      </c>
      <c r="AE1136" s="203">
        <v>0</v>
      </c>
      <c r="AF1136" s="202">
        <v>0</v>
      </c>
      <c r="AG1136" s="203">
        <v>0</v>
      </c>
      <c r="AH1136" s="202">
        <v>0</v>
      </c>
      <c r="AI1136" s="203">
        <v>0</v>
      </c>
      <c r="AJ1136" s="202">
        <v>0</v>
      </c>
      <c r="AK1136" s="203">
        <v>0</v>
      </c>
      <c r="AL1136" s="203">
        <v>0</v>
      </c>
      <c r="AM1136" s="203">
        <v>0</v>
      </c>
      <c r="AN1136" s="203"/>
      <c r="AO1136" s="203">
        <v>0</v>
      </c>
    </row>
    <row r="1137" spans="1:41" s="176" customFormat="1" ht="36" customHeight="1" x14ac:dyDescent="0.25">
      <c r="A1137" s="176">
        <v>1</v>
      </c>
      <c r="B1137" s="171">
        <f>SUBTOTAL(103,$A$1087:A1137)</f>
        <v>51</v>
      </c>
      <c r="C1137" s="172" t="s">
        <v>2275</v>
      </c>
      <c r="D1137" s="173">
        <v>1963</v>
      </c>
      <c r="E1137" s="173"/>
      <c r="F1137" s="174" t="s">
        <v>267</v>
      </c>
      <c r="G1137" s="173">
        <v>2</v>
      </c>
      <c r="H1137" s="173">
        <v>1</v>
      </c>
      <c r="I1137" s="177">
        <v>368</v>
      </c>
      <c r="J1137" s="177">
        <v>239.5</v>
      </c>
      <c r="K1137" s="177">
        <v>185.4</v>
      </c>
      <c r="L1137" s="206">
        <v>20</v>
      </c>
      <c r="M1137" s="173" t="s">
        <v>265</v>
      </c>
      <c r="N1137" s="173" t="s">
        <v>269</v>
      </c>
      <c r="O1137" s="175" t="s">
        <v>1633</v>
      </c>
      <c r="P1137" s="170">
        <v>1876250</v>
      </c>
      <c r="Q1137" s="170">
        <v>0</v>
      </c>
      <c r="R1137" s="170">
        <v>0</v>
      </c>
      <c r="S1137" s="170">
        <f t="shared" si="178"/>
        <v>1876250</v>
      </c>
      <c r="T1137" s="170">
        <f t="shared" si="181"/>
        <v>5098.505434782609</v>
      </c>
      <c r="U1137" s="170">
        <v>5771.8883152173912</v>
      </c>
      <c r="V1137" s="202">
        <f t="shared" si="177"/>
        <v>673.38288043478224</v>
      </c>
      <c r="W1137" s="202">
        <f t="shared" si="179"/>
        <v>20036.41304347826</v>
      </c>
      <c r="X1137" s="202">
        <v>0</v>
      </c>
      <c r="Y1137" s="203">
        <v>0</v>
      </c>
      <c r="Z1137" s="203">
        <v>0</v>
      </c>
      <c r="AA1137" s="203">
        <v>0</v>
      </c>
      <c r="AB1137" s="203">
        <v>0</v>
      </c>
      <c r="AC1137" s="203">
        <v>3</v>
      </c>
      <c r="AD1137" s="202">
        <f>2457800*AC1137/I1137</f>
        <v>20036.41304347826</v>
      </c>
      <c r="AE1137" s="203">
        <v>0</v>
      </c>
      <c r="AF1137" s="202">
        <v>0</v>
      </c>
      <c r="AG1137" s="203">
        <v>0</v>
      </c>
      <c r="AH1137" s="202">
        <v>0</v>
      </c>
      <c r="AI1137" s="203">
        <v>0</v>
      </c>
      <c r="AJ1137" s="202">
        <v>0</v>
      </c>
      <c r="AK1137" s="203">
        <v>0</v>
      </c>
      <c r="AL1137" s="203">
        <v>0</v>
      </c>
      <c r="AM1137" s="203">
        <v>0</v>
      </c>
      <c r="AN1137" s="203"/>
      <c r="AO1137" s="203">
        <v>0</v>
      </c>
    </row>
    <row r="1138" spans="1:41" s="176" customFormat="1" ht="36" customHeight="1" x14ac:dyDescent="0.25">
      <c r="A1138" s="176">
        <v>1</v>
      </c>
      <c r="B1138" s="171">
        <f>SUBTOTAL(103,$A$1087:A1138)</f>
        <v>52</v>
      </c>
      <c r="C1138" s="172" t="s">
        <v>2276</v>
      </c>
      <c r="D1138" s="173">
        <v>1956</v>
      </c>
      <c r="E1138" s="173"/>
      <c r="F1138" s="174" t="s">
        <v>267</v>
      </c>
      <c r="G1138" s="173">
        <v>3</v>
      </c>
      <c r="H1138" s="173">
        <v>1</v>
      </c>
      <c r="I1138" s="177">
        <v>1526.8</v>
      </c>
      <c r="J1138" s="177">
        <v>781.9</v>
      </c>
      <c r="K1138" s="177">
        <v>629.4</v>
      </c>
      <c r="L1138" s="206">
        <v>107</v>
      </c>
      <c r="M1138" s="173" t="s">
        <v>265</v>
      </c>
      <c r="N1138" s="173" t="s">
        <v>269</v>
      </c>
      <c r="O1138" s="175" t="s">
        <v>1371</v>
      </c>
      <c r="P1138" s="170">
        <v>3635053.04</v>
      </c>
      <c r="Q1138" s="170">
        <v>0</v>
      </c>
      <c r="R1138" s="170">
        <v>0</v>
      </c>
      <c r="S1138" s="170">
        <f t="shared" si="178"/>
        <v>3635053.04</v>
      </c>
      <c r="T1138" s="170">
        <f t="shared" si="181"/>
        <v>2380.8311763164788</v>
      </c>
      <c r="U1138" s="170">
        <v>5076.9859837568774</v>
      </c>
      <c r="V1138" s="202">
        <f t="shared" si="177"/>
        <v>2696.1548074403986</v>
      </c>
      <c r="W1138" s="202">
        <f t="shared" si="179"/>
        <v>5042.4514933193605</v>
      </c>
      <c r="X1138" s="202">
        <v>0</v>
      </c>
      <c r="Y1138" s="203">
        <v>0</v>
      </c>
      <c r="Z1138" s="203">
        <v>0</v>
      </c>
      <c r="AA1138" s="203">
        <v>0</v>
      </c>
      <c r="AB1138" s="203">
        <v>0</v>
      </c>
      <c r="AC1138" s="203">
        <v>0</v>
      </c>
      <c r="AD1138" s="203">
        <v>0</v>
      </c>
      <c r="AE1138" s="203">
        <v>1234</v>
      </c>
      <c r="AF1138" s="202">
        <f t="shared" ref="AF1138:AF1143" si="185">6238.91*AE1138/I1138</f>
        <v>5042.4514933193605</v>
      </c>
      <c r="AG1138" s="203">
        <v>0</v>
      </c>
      <c r="AH1138" s="202">
        <v>0</v>
      </c>
      <c r="AI1138" s="203">
        <v>0</v>
      </c>
      <c r="AJ1138" s="202">
        <v>0</v>
      </c>
      <c r="AK1138" s="203">
        <v>0</v>
      </c>
      <c r="AL1138" s="203">
        <v>0</v>
      </c>
      <c r="AM1138" s="203">
        <v>0</v>
      </c>
      <c r="AN1138" s="203"/>
      <c r="AO1138" s="203">
        <v>0</v>
      </c>
    </row>
    <row r="1139" spans="1:41" s="176" customFormat="1" ht="36" customHeight="1" x14ac:dyDescent="0.25">
      <c r="A1139" s="176">
        <v>1</v>
      </c>
      <c r="B1139" s="171">
        <f>SUBTOTAL(103,$A$1087:A1139)</f>
        <v>53</v>
      </c>
      <c r="C1139" s="172" t="s">
        <v>2277</v>
      </c>
      <c r="D1139" s="173">
        <v>1958</v>
      </c>
      <c r="E1139" s="173"/>
      <c r="F1139" s="174" t="s">
        <v>267</v>
      </c>
      <c r="G1139" s="173">
        <v>3</v>
      </c>
      <c r="H1139" s="173">
        <v>3</v>
      </c>
      <c r="I1139" s="177">
        <v>1457.8</v>
      </c>
      <c r="J1139" s="177">
        <v>1370.6</v>
      </c>
      <c r="K1139" s="177">
        <v>1307.8</v>
      </c>
      <c r="L1139" s="206">
        <v>67</v>
      </c>
      <c r="M1139" s="173" t="s">
        <v>265</v>
      </c>
      <c r="N1139" s="173" t="s">
        <v>269</v>
      </c>
      <c r="O1139" s="175" t="s">
        <v>1371</v>
      </c>
      <c r="P1139" s="170">
        <v>3449500</v>
      </c>
      <c r="Q1139" s="170">
        <v>0</v>
      </c>
      <c r="R1139" s="170">
        <v>0</v>
      </c>
      <c r="S1139" s="170">
        <f t="shared" si="178"/>
        <v>3449500</v>
      </c>
      <c r="T1139" s="170">
        <f t="shared" si="181"/>
        <v>2366.2367951708052</v>
      </c>
      <c r="U1139" s="170">
        <v>5126.9472972972981</v>
      </c>
      <c r="V1139" s="202">
        <f t="shared" si="177"/>
        <v>2760.7105021264929</v>
      </c>
      <c r="W1139" s="202">
        <f t="shared" si="179"/>
        <v>5135.6098230209909</v>
      </c>
      <c r="X1139" s="202">
        <v>0</v>
      </c>
      <c r="Y1139" s="203">
        <v>0</v>
      </c>
      <c r="Z1139" s="203">
        <v>0</v>
      </c>
      <c r="AA1139" s="203">
        <v>0</v>
      </c>
      <c r="AB1139" s="203">
        <v>0</v>
      </c>
      <c r="AC1139" s="203">
        <v>0</v>
      </c>
      <c r="AD1139" s="203">
        <v>0</v>
      </c>
      <c r="AE1139" s="203">
        <v>1200</v>
      </c>
      <c r="AF1139" s="202">
        <f t="shared" si="185"/>
        <v>5135.6098230209909</v>
      </c>
      <c r="AG1139" s="203">
        <v>0</v>
      </c>
      <c r="AH1139" s="202">
        <v>0</v>
      </c>
      <c r="AI1139" s="203">
        <v>0</v>
      </c>
      <c r="AJ1139" s="202">
        <v>0</v>
      </c>
      <c r="AK1139" s="203">
        <v>0</v>
      </c>
      <c r="AL1139" s="203">
        <v>0</v>
      </c>
      <c r="AM1139" s="203">
        <v>0</v>
      </c>
      <c r="AN1139" s="203"/>
      <c r="AO1139" s="203">
        <v>0</v>
      </c>
    </row>
    <row r="1140" spans="1:41" s="176" customFormat="1" ht="36" customHeight="1" x14ac:dyDescent="0.25">
      <c r="A1140" s="176">
        <v>1</v>
      </c>
      <c r="B1140" s="171">
        <f>SUBTOTAL(103,$A$1087:A1140)</f>
        <v>54</v>
      </c>
      <c r="C1140" s="172" t="s">
        <v>2278</v>
      </c>
      <c r="D1140" s="173">
        <v>1959</v>
      </c>
      <c r="E1140" s="173"/>
      <c r="F1140" s="174" t="s">
        <v>267</v>
      </c>
      <c r="G1140" s="173">
        <v>3</v>
      </c>
      <c r="H1140" s="173">
        <v>3</v>
      </c>
      <c r="I1140" s="177">
        <v>1142.4000000000001</v>
      </c>
      <c r="J1140" s="177">
        <v>950.3</v>
      </c>
      <c r="K1140" s="177">
        <v>950.3</v>
      </c>
      <c r="L1140" s="206">
        <v>45</v>
      </c>
      <c r="M1140" s="173" t="s">
        <v>265</v>
      </c>
      <c r="N1140" s="173" t="s">
        <v>269</v>
      </c>
      <c r="O1140" s="175" t="s">
        <v>1063</v>
      </c>
      <c r="P1140" s="170">
        <v>3635053.04</v>
      </c>
      <c r="Q1140" s="170">
        <v>0</v>
      </c>
      <c r="R1140" s="170">
        <v>0</v>
      </c>
      <c r="S1140" s="170">
        <f t="shared" si="178"/>
        <v>3635053.04</v>
      </c>
      <c r="T1140" s="170">
        <f t="shared" si="181"/>
        <v>3181.9441876750698</v>
      </c>
      <c r="U1140" s="170">
        <v>7436.4952731092444</v>
      </c>
      <c r="V1140" s="202">
        <f t="shared" ref="V1140:V1156" si="186">U1140-T1140</f>
        <v>4254.5510854341746</v>
      </c>
      <c r="W1140" s="202">
        <f t="shared" si="179"/>
        <v>3549.7999824929971</v>
      </c>
      <c r="X1140" s="202">
        <v>0</v>
      </c>
      <c r="Y1140" s="203">
        <v>0</v>
      </c>
      <c r="Z1140" s="203">
        <v>0</v>
      </c>
      <c r="AA1140" s="203">
        <v>0</v>
      </c>
      <c r="AB1140" s="203">
        <v>0</v>
      </c>
      <c r="AC1140" s="203">
        <v>0</v>
      </c>
      <c r="AD1140" s="203">
        <v>0</v>
      </c>
      <c r="AE1140" s="203">
        <v>650</v>
      </c>
      <c r="AF1140" s="202">
        <f t="shared" si="185"/>
        <v>3549.7999824929971</v>
      </c>
      <c r="AG1140" s="203">
        <v>0</v>
      </c>
      <c r="AH1140" s="202">
        <v>0</v>
      </c>
      <c r="AI1140" s="203">
        <v>0</v>
      </c>
      <c r="AJ1140" s="202">
        <v>0</v>
      </c>
      <c r="AK1140" s="203">
        <v>0</v>
      </c>
      <c r="AL1140" s="203">
        <v>0</v>
      </c>
      <c r="AM1140" s="203">
        <v>0</v>
      </c>
      <c r="AN1140" s="203"/>
      <c r="AO1140" s="203">
        <v>0</v>
      </c>
    </row>
    <row r="1141" spans="1:41" s="176" customFormat="1" ht="36" customHeight="1" x14ac:dyDescent="0.25">
      <c r="A1141" s="176">
        <v>1</v>
      </c>
      <c r="B1141" s="171">
        <f>SUBTOTAL(103,$A$1087:A1141)</f>
        <v>55</v>
      </c>
      <c r="C1141" s="172" t="s">
        <v>2279</v>
      </c>
      <c r="D1141" s="173">
        <v>1989</v>
      </c>
      <c r="E1141" s="173"/>
      <c r="F1141" s="174" t="s">
        <v>267</v>
      </c>
      <c r="G1141" s="173">
        <v>9</v>
      </c>
      <c r="H1141" s="173">
        <v>1</v>
      </c>
      <c r="I1141" s="177">
        <v>3924.5</v>
      </c>
      <c r="J1141" s="177">
        <v>1948.1</v>
      </c>
      <c r="K1141" s="177">
        <v>1858.3</v>
      </c>
      <c r="L1141" s="206">
        <v>90</v>
      </c>
      <c r="M1141" s="173" t="s">
        <v>265</v>
      </c>
      <c r="N1141" s="173" t="s">
        <v>269</v>
      </c>
      <c r="O1141" s="175" t="s">
        <v>1371</v>
      </c>
      <c r="P1141" s="170">
        <v>2891250</v>
      </c>
      <c r="Q1141" s="170">
        <v>0</v>
      </c>
      <c r="R1141" s="170">
        <v>0</v>
      </c>
      <c r="S1141" s="170">
        <f t="shared" si="178"/>
        <v>2891250</v>
      </c>
      <c r="T1141" s="170">
        <f t="shared" si="181"/>
        <v>736.71805325519176</v>
      </c>
      <c r="U1141" s="170">
        <v>1066.0579691680468</v>
      </c>
      <c r="V1141" s="202">
        <f t="shared" si="186"/>
        <v>329.33991591285508</v>
      </c>
      <c r="W1141" s="202">
        <f t="shared" si="179"/>
        <v>1494.3497005988022</v>
      </c>
      <c r="X1141" s="202">
        <v>0</v>
      </c>
      <c r="Y1141" s="203">
        <v>0</v>
      </c>
      <c r="Z1141" s="203">
        <v>0</v>
      </c>
      <c r="AA1141" s="203">
        <v>0</v>
      </c>
      <c r="AB1141" s="203">
        <v>0</v>
      </c>
      <c r="AC1141" s="203">
        <v>0</v>
      </c>
      <c r="AD1141" s="203">
        <v>0</v>
      </c>
      <c r="AE1141" s="203">
        <v>940</v>
      </c>
      <c r="AF1141" s="202">
        <f t="shared" si="185"/>
        <v>1494.3497005988022</v>
      </c>
      <c r="AG1141" s="203">
        <v>0</v>
      </c>
      <c r="AH1141" s="202">
        <v>0</v>
      </c>
      <c r="AI1141" s="203">
        <v>0</v>
      </c>
      <c r="AJ1141" s="202">
        <v>0</v>
      </c>
      <c r="AK1141" s="203">
        <v>0</v>
      </c>
      <c r="AL1141" s="203">
        <v>0</v>
      </c>
      <c r="AM1141" s="203">
        <v>0</v>
      </c>
      <c r="AN1141" s="203"/>
      <c r="AO1141" s="203">
        <v>0</v>
      </c>
    </row>
    <row r="1142" spans="1:41" s="176" customFormat="1" ht="36" customHeight="1" x14ac:dyDescent="0.25">
      <c r="A1142" s="176">
        <v>1</v>
      </c>
      <c r="B1142" s="171">
        <f>SUBTOTAL(103,$A$1087:A1142)</f>
        <v>56</v>
      </c>
      <c r="C1142" s="172" t="s">
        <v>2280</v>
      </c>
      <c r="D1142" s="173">
        <v>1963</v>
      </c>
      <c r="E1142" s="173"/>
      <c r="F1142" s="174" t="s">
        <v>267</v>
      </c>
      <c r="G1142" s="173">
        <v>5</v>
      </c>
      <c r="H1142" s="173">
        <v>3</v>
      </c>
      <c r="I1142" s="177">
        <v>2516.1</v>
      </c>
      <c r="J1142" s="177">
        <v>2179.8000000000002</v>
      </c>
      <c r="K1142" s="177">
        <v>2179.8000000000002</v>
      </c>
      <c r="L1142" s="206">
        <v>130</v>
      </c>
      <c r="M1142" s="173" t="s">
        <v>265</v>
      </c>
      <c r="N1142" s="173" t="s">
        <v>269</v>
      </c>
      <c r="O1142" s="175" t="s">
        <v>1063</v>
      </c>
      <c r="P1142" s="170">
        <v>4829900</v>
      </c>
      <c r="Q1142" s="170">
        <v>0</v>
      </c>
      <c r="R1142" s="170">
        <v>0</v>
      </c>
      <c r="S1142" s="170">
        <f>P1142-Q1142-R1142</f>
        <v>4829900</v>
      </c>
      <c r="T1142" s="170">
        <f t="shared" si="181"/>
        <v>1919.597790230913</v>
      </c>
      <c r="U1142" s="170">
        <v>2299.7656969118875</v>
      </c>
      <c r="V1142" s="202">
        <f t="shared" si="186"/>
        <v>380.16790668097451</v>
      </c>
      <c r="W1142" s="202">
        <f>X1142+Y1142+Z1142+AA1142+AB1142+AD1142+AF1142+AH1142+AJ1142+AL1142+AN1142+AO1142</f>
        <v>2430.003497476253</v>
      </c>
      <c r="X1142" s="202">
        <v>0</v>
      </c>
      <c r="Y1142" s="203">
        <v>0</v>
      </c>
      <c r="Z1142" s="203">
        <v>0</v>
      </c>
      <c r="AA1142" s="203">
        <v>0</v>
      </c>
      <c r="AB1142" s="203">
        <v>0</v>
      </c>
      <c r="AC1142" s="203">
        <v>0</v>
      </c>
      <c r="AD1142" s="203">
        <v>0</v>
      </c>
      <c r="AE1142" s="203">
        <v>980</v>
      </c>
      <c r="AF1142" s="202">
        <f t="shared" si="185"/>
        <v>2430.003497476253</v>
      </c>
      <c r="AG1142" s="203">
        <v>0</v>
      </c>
      <c r="AH1142" s="202">
        <v>0</v>
      </c>
      <c r="AI1142" s="203">
        <v>0</v>
      </c>
      <c r="AJ1142" s="202">
        <v>0</v>
      </c>
      <c r="AK1142" s="203">
        <v>0</v>
      </c>
      <c r="AL1142" s="203">
        <v>0</v>
      </c>
      <c r="AM1142" s="203">
        <v>0</v>
      </c>
      <c r="AN1142" s="203"/>
      <c r="AO1142" s="203">
        <v>0</v>
      </c>
    </row>
    <row r="1143" spans="1:41" s="176" customFormat="1" ht="36" customHeight="1" x14ac:dyDescent="0.25">
      <c r="A1143" s="176">
        <v>1</v>
      </c>
      <c r="B1143" s="171">
        <f>SUBTOTAL(103,$A$1087:A1143)</f>
        <v>57</v>
      </c>
      <c r="C1143" s="172" t="s">
        <v>2281</v>
      </c>
      <c r="D1143" s="173">
        <v>1959</v>
      </c>
      <c r="E1143" s="173"/>
      <c r="F1143" s="174" t="s">
        <v>267</v>
      </c>
      <c r="G1143" s="173">
        <v>2</v>
      </c>
      <c r="H1143" s="173">
        <v>1</v>
      </c>
      <c r="I1143" s="177">
        <v>373.3</v>
      </c>
      <c r="J1143" s="177">
        <v>330.4</v>
      </c>
      <c r="K1143" s="177">
        <v>288.7</v>
      </c>
      <c r="L1143" s="206">
        <v>20</v>
      </c>
      <c r="M1143" s="173" t="s">
        <v>265</v>
      </c>
      <c r="N1143" s="173" t="s">
        <v>269</v>
      </c>
      <c r="O1143" s="175" t="s">
        <v>1371</v>
      </c>
      <c r="P1143" s="170">
        <v>1521000</v>
      </c>
      <c r="Q1143" s="170">
        <v>0</v>
      </c>
      <c r="R1143" s="170">
        <v>0</v>
      </c>
      <c r="S1143" s="170">
        <f t="shared" si="178"/>
        <v>1521000</v>
      </c>
      <c r="T1143" s="170">
        <f t="shared" si="181"/>
        <v>4074.4709349049022</v>
      </c>
      <c r="U1143" s="170">
        <v>4741.6173319046338</v>
      </c>
      <c r="V1143" s="202">
        <f t="shared" si="186"/>
        <v>667.14639699973168</v>
      </c>
      <c r="W1143" s="202">
        <f t="shared" si="179"/>
        <v>16378.601125100455</v>
      </c>
      <c r="X1143" s="202">
        <v>0</v>
      </c>
      <c r="Y1143" s="203">
        <v>0</v>
      </c>
      <c r="Z1143" s="203">
        <v>0</v>
      </c>
      <c r="AA1143" s="203">
        <v>0</v>
      </c>
      <c r="AB1143" s="203">
        <v>0</v>
      </c>
      <c r="AC1143" s="203">
        <v>0</v>
      </c>
      <c r="AD1143" s="203">
        <v>0</v>
      </c>
      <c r="AE1143" s="203">
        <v>980</v>
      </c>
      <c r="AF1143" s="202">
        <f t="shared" si="185"/>
        <v>16378.601125100455</v>
      </c>
      <c r="AG1143" s="203">
        <v>0</v>
      </c>
      <c r="AH1143" s="202">
        <v>0</v>
      </c>
      <c r="AI1143" s="203">
        <v>0</v>
      </c>
      <c r="AJ1143" s="202">
        <v>0</v>
      </c>
      <c r="AK1143" s="203">
        <v>0</v>
      </c>
      <c r="AL1143" s="203">
        <v>0</v>
      </c>
      <c r="AM1143" s="203">
        <v>0</v>
      </c>
      <c r="AN1143" s="203"/>
      <c r="AO1143" s="203">
        <v>0</v>
      </c>
    </row>
    <row r="1144" spans="1:41" s="176" customFormat="1" ht="36" customHeight="1" x14ac:dyDescent="0.25">
      <c r="A1144" s="176">
        <v>1</v>
      </c>
      <c r="B1144" s="171">
        <f>SUBTOTAL(103,$A$1087:A1144)</f>
        <v>58</v>
      </c>
      <c r="C1144" s="172" t="s">
        <v>2282</v>
      </c>
      <c r="D1144" s="173">
        <v>1976</v>
      </c>
      <c r="E1144" s="173"/>
      <c r="F1144" s="174" t="s">
        <v>311</v>
      </c>
      <c r="G1144" s="173">
        <v>5</v>
      </c>
      <c r="H1144" s="173">
        <v>6</v>
      </c>
      <c r="I1144" s="177">
        <v>4602</v>
      </c>
      <c r="J1144" s="177">
        <v>4550.8999999999996</v>
      </c>
      <c r="K1144" s="177">
        <v>4397.8999999999996</v>
      </c>
      <c r="L1144" s="206">
        <v>225</v>
      </c>
      <c r="M1144" s="173" t="s">
        <v>265</v>
      </c>
      <c r="N1144" s="173" t="s">
        <v>269</v>
      </c>
      <c r="O1144" s="175" t="s">
        <v>1371</v>
      </c>
      <c r="P1144" s="170">
        <v>4858515.0599999996</v>
      </c>
      <c r="Q1144" s="170">
        <v>0</v>
      </c>
      <c r="R1144" s="170">
        <v>0</v>
      </c>
      <c r="S1144" s="170">
        <f t="shared" ref="S1144:S1154" si="187">P1144-Q1144-R1144</f>
        <v>4858515.0599999996</v>
      </c>
      <c r="T1144" s="170">
        <f t="shared" ref="T1144:T1154" si="188">P1144/I1144</f>
        <v>1055.7399087353324</v>
      </c>
      <c r="U1144" s="170">
        <v>1604.9365873533245</v>
      </c>
      <c r="V1144" s="202">
        <f t="shared" si="186"/>
        <v>549.19667861799212</v>
      </c>
      <c r="W1144" s="202">
        <f t="shared" ref="W1144:W1154" si="189">X1144+Y1144+Z1144+AA1144+AB1144+AD1144+AF1144+AH1144+AJ1144+AL1144+AN1144+AO1144</f>
        <v>1216.4654374185136</v>
      </c>
      <c r="X1144" s="202">
        <v>0</v>
      </c>
      <c r="Y1144" s="203">
        <v>0</v>
      </c>
      <c r="Z1144" s="203">
        <v>0</v>
      </c>
      <c r="AA1144" s="203">
        <v>0</v>
      </c>
      <c r="AB1144" s="203">
        <v>0</v>
      </c>
      <c r="AC1144" s="203">
        <v>0</v>
      </c>
      <c r="AD1144" s="203">
        <v>0</v>
      </c>
      <c r="AE1144" s="203">
        <v>897.3</v>
      </c>
      <c r="AF1144" s="202">
        <f t="shared" ref="AF1144:AF1154" si="190">6238.91*AE1144/I1144</f>
        <v>1216.4654374185136</v>
      </c>
      <c r="AG1144" s="203">
        <v>0</v>
      </c>
      <c r="AH1144" s="202">
        <v>0</v>
      </c>
      <c r="AI1144" s="203">
        <v>0</v>
      </c>
      <c r="AJ1144" s="202">
        <v>0</v>
      </c>
      <c r="AK1144" s="203">
        <v>0</v>
      </c>
      <c r="AL1144" s="203">
        <v>0</v>
      </c>
      <c r="AM1144" s="203">
        <v>0</v>
      </c>
      <c r="AN1144" s="203"/>
      <c r="AO1144" s="203">
        <v>0</v>
      </c>
    </row>
    <row r="1145" spans="1:41" s="176" customFormat="1" ht="36" customHeight="1" x14ac:dyDescent="0.25">
      <c r="A1145" s="176">
        <v>1</v>
      </c>
      <c r="B1145" s="171">
        <f>SUBTOTAL(103,$A$1087:A1145)</f>
        <v>59</v>
      </c>
      <c r="C1145" s="172" t="s">
        <v>1103</v>
      </c>
      <c r="D1145" s="173">
        <v>1950</v>
      </c>
      <c r="E1145" s="173"/>
      <c r="F1145" s="174" t="s">
        <v>267</v>
      </c>
      <c r="G1145" s="173">
        <v>2</v>
      </c>
      <c r="H1145" s="173" t="s">
        <v>303</v>
      </c>
      <c r="I1145" s="177">
        <v>814.1</v>
      </c>
      <c r="J1145" s="177">
        <v>739.6</v>
      </c>
      <c r="K1145" s="177">
        <v>739.6</v>
      </c>
      <c r="L1145" s="206">
        <v>34</v>
      </c>
      <c r="M1145" s="173" t="s">
        <v>265</v>
      </c>
      <c r="N1145" s="173" t="s">
        <v>269</v>
      </c>
      <c r="O1145" s="175" t="s">
        <v>1386</v>
      </c>
      <c r="P1145" s="170">
        <v>1338055.4100000001</v>
      </c>
      <c r="Q1145" s="170">
        <v>0</v>
      </c>
      <c r="R1145" s="170">
        <v>0</v>
      </c>
      <c r="S1145" s="170">
        <f t="shared" si="187"/>
        <v>1338055.4100000001</v>
      </c>
      <c r="T1145" s="170">
        <f t="shared" si="188"/>
        <v>1643.6007984277117</v>
      </c>
      <c r="U1145" s="170">
        <v>3029.0628669696598</v>
      </c>
      <c r="V1145" s="202">
        <f t="shared" si="186"/>
        <v>1385.4620685419482</v>
      </c>
      <c r="W1145" s="202">
        <f t="shared" ref="W1145:W1152" si="191">X1145+Y1145+Z1145+AA1145+AB1145+AD1145+AF1145+AH1145+AJ1145+AL1145+AN1145+AO1145</f>
        <v>6876.5187851615283</v>
      </c>
      <c r="X1145" s="202">
        <v>0</v>
      </c>
      <c r="Y1145" s="203">
        <v>0</v>
      </c>
      <c r="Z1145" s="203">
        <v>0</v>
      </c>
      <c r="AA1145" s="203">
        <v>0</v>
      </c>
      <c r="AB1145" s="203">
        <v>0</v>
      </c>
      <c r="AC1145" s="203">
        <v>0</v>
      </c>
      <c r="AD1145" s="203">
        <v>0</v>
      </c>
      <c r="AE1145" s="203">
        <v>897.3</v>
      </c>
      <c r="AF1145" s="202">
        <f t="shared" ref="AF1145:AF1152" si="192">6238.91*AE1145/I1145</f>
        <v>6876.5187851615283</v>
      </c>
      <c r="AG1145" s="203">
        <v>0</v>
      </c>
      <c r="AH1145" s="202">
        <v>0</v>
      </c>
      <c r="AI1145" s="203">
        <v>0</v>
      </c>
      <c r="AJ1145" s="202">
        <v>0</v>
      </c>
      <c r="AK1145" s="203">
        <v>0</v>
      </c>
      <c r="AL1145" s="203">
        <v>0</v>
      </c>
      <c r="AM1145" s="203">
        <v>0</v>
      </c>
      <c r="AN1145" s="203"/>
      <c r="AO1145" s="203">
        <v>0</v>
      </c>
    </row>
    <row r="1146" spans="1:41" s="176" customFormat="1" ht="36" customHeight="1" x14ac:dyDescent="0.25">
      <c r="A1146" s="176">
        <v>1</v>
      </c>
      <c r="B1146" s="171">
        <f>SUBTOTAL(103,$A$1087:A1146)</f>
        <v>60</v>
      </c>
      <c r="C1146" s="172" t="s">
        <v>1104</v>
      </c>
      <c r="D1146" s="173">
        <v>1958</v>
      </c>
      <c r="E1146" s="173"/>
      <c r="F1146" s="174" t="s">
        <v>267</v>
      </c>
      <c r="G1146" s="173">
        <v>2</v>
      </c>
      <c r="H1146" s="173" t="s">
        <v>303</v>
      </c>
      <c r="I1146" s="177">
        <v>515.4</v>
      </c>
      <c r="J1146" s="177">
        <v>454.3</v>
      </c>
      <c r="K1146" s="177">
        <v>454.3</v>
      </c>
      <c r="L1146" s="206">
        <v>21</v>
      </c>
      <c r="M1146" s="173" t="s">
        <v>265</v>
      </c>
      <c r="N1146" s="173" t="s">
        <v>269</v>
      </c>
      <c r="O1146" s="175" t="s">
        <v>1371</v>
      </c>
      <c r="P1146" s="170">
        <v>221655.15999999997</v>
      </c>
      <c r="Q1146" s="170">
        <v>0</v>
      </c>
      <c r="R1146" s="170">
        <v>0</v>
      </c>
      <c r="S1146" s="170">
        <f t="shared" si="187"/>
        <v>221655.15999999997</v>
      </c>
      <c r="T1146" s="170">
        <f t="shared" si="188"/>
        <v>430.06433837795885</v>
      </c>
      <c r="U1146" s="170">
        <v>430.06433837795885</v>
      </c>
      <c r="V1146" s="202">
        <f t="shared" si="186"/>
        <v>0</v>
      </c>
      <c r="W1146" s="202">
        <f t="shared" si="191"/>
        <v>10861.804313154831</v>
      </c>
      <c r="X1146" s="202">
        <v>0</v>
      </c>
      <c r="Y1146" s="203">
        <v>0</v>
      </c>
      <c r="Z1146" s="203">
        <v>0</v>
      </c>
      <c r="AA1146" s="203">
        <v>0</v>
      </c>
      <c r="AB1146" s="203">
        <v>0</v>
      </c>
      <c r="AC1146" s="203">
        <v>0</v>
      </c>
      <c r="AD1146" s="203">
        <v>0</v>
      </c>
      <c r="AE1146" s="203">
        <v>897.3</v>
      </c>
      <c r="AF1146" s="202">
        <f t="shared" si="192"/>
        <v>10861.804313154831</v>
      </c>
      <c r="AG1146" s="203">
        <v>0</v>
      </c>
      <c r="AH1146" s="202">
        <v>0</v>
      </c>
      <c r="AI1146" s="203">
        <v>0</v>
      </c>
      <c r="AJ1146" s="202">
        <v>0</v>
      </c>
      <c r="AK1146" s="203">
        <v>0</v>
      </c>
      <c r="AL1146" s="203">
        <v>0</v>
      </c>
      <c r="AM1146" s="203">
        <v>0</v>
      </c>
      <c r="AN1146" s="203"/>
      <c r="AO1146" s="203">
        <v>0</v>
      </c>
    </row>
    <row r="1147" spans="1:41" s="176" customFormat="1" ht="36" customHeight="1" x14ac:dyDescent="0.25">
      <c r="A1147" s="176">
        <v>1</v>
      </c>
      <c r="B1147" s="171">
        <f>SUBTOTAL(103,$A$1087:A1147)</f>
        <v>61</v>
      </c>
      <c r="C1147" s="172" t="s">
        <v>2440</v>
      </c>
      <c r="D1147" s="173">
        <v>1976</v>
      </c>
      <c r="E1147" s="173"/>
      <c r="F1147" s="174" t="s">
        <v>267</v>
      </c>
      <c r="G1147" s="173">
        <v>4</v>
      </c>
      <c r="H1147" s="173">
        <v>2</v>
      </c>
      <c r="I1147" s="177">
        <v>1667.6</v>
      </c>
      <c r="J1147" s="177">
        <v>1233.5</v>
      </c>
      <c r="K1147" s="177">
        <v>1233.5</v>
      </c>
      <c r="L1147" s="206">
        <v>57</v>
      </c>
      <c r="M1147" s="173" t="s">
        <v>265</v>
      </c>
      <c r="N1147" s="173" t="s">
        <v>269</v>
      </c>
      <c r="O1147" s="175" t="s">
        <v>1371</v>
      </c>
      <c r="P1147" s="170">
        <v>2130000</v>
      </c>
      <c r="Q1147" s="170">
        <v>0</v>
      </c>
      <c r="R1147" s="170">
        <v>0</v>
      </c>
      <c r="S1147" s="170">
        <f t="shared" ref="S1147:S1152" si="193">P1147-Q1147-R1147</f>
        <v>2130000</v>
      </c>
      <c r="T1147" s="170">
        <f t="shared" ref="T1147:T1152" si="194">P1147/I1147</f>
        <v>1277.2847205564885</v>
      </c>
      <c r="U1147" s="170">
        <v>1682.8538498440873</v>
      </c>
      <c r="V1147" s="202">
        <f t="shared" si="186"/>
        <v>405.5691292875988</v>
      </c>
      <c r="W1147" s="202">
        <f t="shared" si="191"/>
        <v>3357.0244321180139</v>
      </c>
      <c r="X1147" s="202">
        <v>0</v>
      </c>
      <c r="Y1147" s="203">
        <v>0</v>
      </c>
      <c r="Z1147" s="203">
        <v>0</v>
      </c>
      <c r="AA1147" s="203">
        <v>0</v>
      </c>
      <c r="AB1147" s="203">
        <v>0</v>
      </c>
      <c r="AC1147" s="203">
        <v>0</v>
      </c>
      <c r="AD1147" s="203">
        <v>0</v>
      </c>
      <c r="AE1147" s="203">
        <v>897.3</v>
      </c>
      <c r="AF1147" s="202">
        <f t="shared" si="192"/>
        <v>3357.0244321180139</v>
      </c>
      <c r="AG1147" s="203">
        <v>0</v>
      </c>
      <c r="AH1147" s="202">
        <v>0</v>
      </c>
      <c r="AI1147" s="203">
        <v>0</v>
      </c>
      <c r="AJ1147" s="202">
        <v>0</v>
      </c>
      <c r="AK1147" s="203">
        <v>0</v>
      </c>
      <c r="AL1147" s="203">
        <v>0</v>
      </c>
      <c r="AM1147" s="203">
        <v>0</v>
      </c>
      <c r="AN1147" s="203"/>
      <c r="AO1147" s="203">
        <v>0</v>
      </c>
    </row>
    <row r="1148" spans="1:41" s="176" customFormat="1" ht="36" customHeight="1" x14ac:dyDescent="0.25">
      <c r="A1148" s="176">
        <v>1</v>
      </c>
      <c r="B1148" s="171">
        <f>SUBTOTAL(103,$A$1087:A1148)</f>
        <v>62</v>
      </c>
      <c r="C1148" s="172" t="s">
        <v>2441</v>
      </c>
      <c r="D1148" s="173">
        <v>1988</v>
      </c>
      <c r="E1148" s="173"/>
      <c r="F1148" s="174" t="s">
        <v>267</v>
      </c>
      <c r="G1148" s="173">
        <v>9</v>
      </c>
      <c r="H1148" s="173">
        <v>1</v>
      </c>
      <c r="I1148" s="177">
        <v>2645.9</v>
      </c>
      <c r="J1148" s="177">
        <v>1463.3</v>
      </c>
      <c r="K1148" s="177">
        <v>1128</v>
      </c>
      <c r="L1148" s="206">
        <v>110</v>
      </c>
      <c r="M1148" s="173" t="s">
        <v>265</v>
      </c>
      <c r="N1148" s="173" t="s">
        <v>269</v>
      </c>
      <c r="O1148" s="175" t="s">
        <v>1633</v>
      </c>
      <c r="P1148" s="170">
        <v>4369274.7300000004</v>
      </c>
      <c r="Q1148" s="170">
        <v>0</v>
      </c>
      <c r="R1148" s="170">
        <v>0</v>
      </c>
      <c r="S1148" s="170">
        <f t="shared" si="193"/>
        <v>4369274.7300000004</v>
      </c>
      <c r="T1148" s="170">
        <f t="shared" si="194"/>
        <v>1651.3378169998866</v>
      </c>
      <c r="U1148" s="170">
        <v>2165.0522317547902</v>
      </c>
      <c r="V1148" s="202">
        <f t="shared" si="186"/>
        <v>513.7144147549036</v>
      </c>
      <c r="W1148" s="202">
        <f t="shared" si="191"/>
        <v>2115.7919585018331</v>
      </c>
      <c r="X1148" s="202">
        <v>0</v>
      </c>
      <c r="Y1148" s="203">
        <v>0</v>
      </c>
      <c r="Z1148" s="203">
        <v>0</v>
      </c>
      <c r="AA1148" s="203">
        <v>0</v>
      </c>
      <c r="AB1148" s="203">
        <v>0</v>
      </c>
      <c r="AC1148" s="203">
        <v>0</v>
      </c>
      <c r="AD1148" s="203">
        <v>0</v>
      </c>
      <c r="AE1148" s="203">
        <v>897.3</v>
      </c>
      <c r="AF1148" s="202">
        <f t="shared" si="192"/>
        <v>2115.7919585018331</v>
      </c>
      <c r="AG1148" s="203">
        <v>0</v>
      </c>
      <c r="AH1148" s="202">
        <v>0</v>
      </c>
      <c r="AI1148" s="203">
        <v>0</v>
      </c>
      <c r="AJ1148" s="202">
        <v>0</v>
      </c>
      <c r="AK1148" s="203">
        <v>0</v>
      </c>
      <c r="AL1148" s="203">
        <v>0</v>
      </c>
      <c r="AM1148" s="203">
        <v>0</v>
      </c>
      <c r="AN1148" s="203"/>
      <c r="AO1148" s="203">
        <v>0</v>
      </c>
    </row>
    <row r="1149" spans="1:41" s="176" customFormat="1" ht="36" customHeight="1" x14ac:dyDescent="0.25">
      <c r="A1149" s="176">
        <v>1</v>
      </c>
      <c r="B1149" s="171">
        <f>SUBTOTAL(103,$A$1087:A1149)</f>
        <v>63</v>
      </c>
      <c r="C1149" s="172" t="s">
        <v>2442</v>
      </c>
      <c r="D1149" s="173">
        <v>1961</v>
      </c>
      <c r="E1149" s="173"/>
      <c r="F1149" s="174" t="s">
        <v>267</v>
      </c>
      <c r="G1149" s="173">
        <v>4</v>
      </c>
      <c r="H1149" s="173">
        <v>2</v>
      </c>
      <c r="I1149" s="177">
        <v>1356.2</v>
      </c>
      <c r="J1149" s="177">
        <v>1151.0999999999999</v>
      </c>
      <c r="K1149" s="177">
        <v>1151.0999999999999</v>
      </c>
      <c r="L1149" s="206">
        <v>80</v>
      </c>
      <c r="M1149" s="173" t="s">
        <v>265</v>
      </c>
      <c r="N1149" s="173" t="s">
        <v>269</v>
      </c>
      <c r="O1149" s="175" t="s">
        <v>1385</v>
      </c>
      <c r="P1149" s="170">
        <v>3065371.4600000004</v>
      </c>
      <c r="Q1149" s="170">
        <v>0</v>
      </c>
      <c r="R1149" s="170">
        <v>0</v>
      </c>
      <c r="S1149" s="170">
        <f t="shared" si="193"/>
        <v>3065371.4600000004</v>
      </c>
      <c r="T1149" s="170">
        <f t="shared" si="194"/>
        <v>2260.265049402743</v>
      </c>
      <c r="U1149" s="170">
        <v>2479.786849284766</v>
      </c>
      <c r="V1149" s="202">
        <f t="shared" si="186"/>
        <v>219.52179988202306</v>
      </c>
      <c r="W1149" s="202">
        <f t="shared" si="191"/>
        <v>4127.8380349505969</v>
      </c>
      <c r="X1149" s="202">
        <v>0</v>
      </c>
      <c r="Y1149" s="203">
        <v>0</v>
      </c>
      <c r="Z1149" s="203">
        <v>0</v>
      </c>
      <c r="AA1149" s="203">
        <v>0</v>
      </c>
      <c r="AB1149" s="203">
        <v>0</v>
      </c>
      <c r="AC1149" s="203">
        <v>0</v>
      </c>
      <c r="AD1149" s="203">
        <v>0</v>
      </c>
      <c r="AE1149" s="203">
        <v>897.3</v>
      </c>
      <c r="AF1149" s="202">
        <f t="shared" si="192"/>
        <v>4127.8380349505969</v>
      </c>
      <c r="AG1149" s="203">
        <v>0</v>
      </c>
      <c r="AH1149" s="202">
        <v>0</v>
      </c>
      <c r="AI1149" s="203">
        <v>0</v>
      </c>
      <c r="AJ1149" s="202">
        <v>0</v>
      </c>
      <c r="AK1149" s="203">
        <v>0</v>
      </c>
      <c r="AL1149" s="203">
        <v>0</v>
      </c>
      <c r="AM1149" s="203">
        <v>0</v>
      </c>
      <c r="AN1149" s="203"/>
      <c r="AO1149" s="203">
        <v>0</v>
      </c>
    </row>
    <row r="1150" spans="1:41" s="176" customFormat="1" ht="36" customHeight="1" x14ac:dyDescent="0.25">
      <c r="A1150" s="176">
        <v>1</v>
      </c>
      <c r="B1150" s="171">
        <f>SUBTOTAL(103,$A$1087:A1150)</f>
        <v>64</v>
      </c>
      <c r="C1150" s="172" t="s">
        <v>2443</v>
      </c>
      <c r="D1150" s="173">
        <v>1969</v>
      </c>
      <c r="E1150" s="173"/>
      <c r="F1150" s="174" t="s">
        <v>267</v>
      </c>
      <c r="G1150" s="173">
        <v>5</v>
      </c>
      <c r="H1150" s="173">
        <v>6</v>
      </c>
      <c r="I1150" s="177">
        <v>4534.3</v>
      </c>
      <c r="J1150" s="177">
        <v>4534.3</v>
      </c>
      <c r="K1150" s="177">
        <v>4452.3</v>
      </c>
      <c r="L1150" s="206">
        <v>250</v>
      </c>
      <c r="M1150" s="173" t="s">
        <v>265</v>
      </c>
      <c r="N1150" s="173" t="s">
        <v>269</v>
      </c>
      <c r="O1150" s="175" t="s">
        <v>1373</v>
      </c>
      <c r="P1150" s="170">
        <v>7052450</v>
      </c>
      <c r="Q1150" s="170">
        <v>0</v>
      </c>
      <c r="R1150" s="170">
        <v>0</v>
      </c>
      <c r="S1150" s="170">
        <f t="shared" si="193"/>
        <v>7052450</v>
      </c>
      <c r="T1150" s="170">
        <f t="shared" si="194"/>
        <v>1555.3558432393093</v>
      </c>
      <c r="U1150" s="170">
        <v>2214.4513596365477</v>
      </c>
      <c r="V1150" s="202">
        <f t="shared" si="186"/>
        <v>659.0955163972385</v>
      </c>
      <c r="W1150" s="202">
        <f t="shared" si="191"/>
        <v>1234.6280446816488</v>
      </c>
      <c r="X1150" s="202">
        <v>0</v>
      </c>
      <c r="Y1150" s="203">
        <v>0</v>
      </c>
      <c r="Z1150" s="203">
        <v>0</v>
      </c>
      <c r="AA1150" s="203">
        <v>0</v>
      </c>
      <c r="AB1150" s="203">
        <v>0</v>
      </c>
      <c r="AC1150" s="203">
        <v>0</v>
      </c>
      <c r="AD1150" s="203">
        <v>0</v>
      </c>
      <c r="AE1150" s="203">
        <v>897.3</v>
      </c>
      <c r="AF1150" s="202">
        <f t="shared" si="192"/>
        <v>1234.6280446816488</v>
      </c>
      <c r="AG1150" s="203">
        <v>0</v>
      </c>
      <c r="AH1150" s="202">
        <v>0</v>
      </c>
      <c r="AI1150" s="203">
        <v>0</v>
      </c>
      <c r="AJ1150" s="202">
        <v>0</v>
      </c>
      <c r="AK1150" s="203">
        <v>0</v>
      </c>
      <c r="AL1150" s="203">
        <v>0</v>
      </c>
      <c r="AM1150" s="203">
        <v>0</v>
      </c>
      <c r="AN1150" s="203"/>
      <c r="AO1150" s="203">
        <v>0</v>
      </c>
    </row>
    <row r="1151" spans="1:41" s="176" customFormat="1" ht="36" customHeight="1" x14ac:dyDescent="0.25">
      <c r="A1151" s="176">
        <v>1</v>
      </c>
      <c r="B1151" s="171">
        <f>SUBTOTAL(103,$A$1087:A1151)</f>
        <v>65</v>
      </c>
      <c r="C1151" s="172" t="s">
        <v>2444</v>
      </c>
      <c r="D1151" s="173">
        <v>1980</v>
      </c>
      <c r="E1151" s="173"/>
      <c r="F1151" s="174" t="s">
        <v>267</v>
      </c>
      <c r="G1151" s="173">
        <v>5</v>
      </c>
      <c r="H1151" s="173">
        <v>2</v>
      </c>
      <c r="I1151" s="177">
        <v>4698.3</v>
      </c>
      <c r="J1151" s="177">
        <v>1951.7</v>
      </c>
      <c r="K1151" s="177">
        <v>1745</v>
      </c>
      <c r="L1151" s="206">
        <v>350</v>
      </c>
      <c r="M1151" s="173" t="s">
        <v>265</v>
      </c>
      <c r="N1151" s="173" t="s">
        <v>269</v>
      </c>
      <c r="O1151" s="175" t="s">
        <v>1371</v>
      </c>
      <c r="P1151" s="170">
        <v>4621407.54</v>
      </c>
      <c r="Q1151" s="170">
        <v>0</v>
      </c>
      <c r="R1151" s="170">
        <v>0</v>
      </c>
      <c r="S1151" s="170">
        <f t="shared" si="193"/>
        <v>4621407.54</v>
      </c>
      <c r="T1151" s="170">
        <f t="shared" si="194"/>
        <v>983.63398250430998</v>
      </c>
      <c r="U1151" s="170">
        <v>1402.8492688844901</v>
      </c>
      <c r="V1151" s="202">
        <f t="shared" si="186"/>
        <v>419.21528638018015</v>
      </c>
      <c r="W1151" s="202">
        <f t="shared" si="191"/>
        <v>1191.5318185301066</v>
      </c>
      <c r="X1151" s="202">
        <v>0</v>
      </c>
      <c r="Y1151" s="203">
        <v>0</v>
      </c>
      <c r="Z1151" s="203">
        <v>0</v>
      </c>
      <c r="AA1151" s="203">
        <v>0</v>
      </c>
      <c r="AB1151" s="203">
        <v>0</v>
      </c>
      <c r="AC1151" s="203">
        <v>0</v>
      </c>
      <c r="AD1151" s="203">
        <v>0</v>
      </c>
      <c r="AE1151" s="203">
        <v>897.3</v>
      </c>
      <c r="AF1151" s="202">
        <f t="shared" si="192"/>
        <v>1191.5318185301066</v>
      </c>
      <c r="AG1151" s="203">
        <v>0</v>
      </c>
      <c r="AH1151" s="202">
        <v>0</v>
      </c>
      <c r="AI1151" s="203">
        <v>0</v>
      </c>
      <c r="AJ1151" s="202">
        <v>0</v>
      </c>
      <c r="AK1151" s="203">
        <v>0</v>
      </c>
      <c r="AL1151" s="203">
        <v>0</v>
      </c>
      <c r="AM1151" s="203">
        <v>0</v>
      </c>
      <c r="AN1151" s="203"/>
      <c r="AO1151" s="203">
        <v>0</v>
      </c>
    </row>
    <row r="1152" spans="1:41" s="176" customFormat="1" ht="36" customHeight="1" x14ac:dyDescent="0.25">
      <c r="A1152" s="176">
        <v>1</v>
      </c>
      <c r="B1152" s="171">
        <f>SUBTOTAL(103,$A$1087:A1152)</f>
        <v>66</v>
      </c>
      <c r="C1152" s="172" t="s">
        <v>2445</v>
      </c>
      <c r="D1152" s="173">
        <v>1956</v>
      </c>
      <c r="E1152" s="173"/>
      <c r="F1152" s="174" t="s">
        <v>267</v>
      </c>
      <c r="G1152" s="173">
        <v>2</v>
      </c>
      <c r="H1152" s="173">
        <v>1</v>
      </c>
      <c r="I1152" s="177">
        <v>515.9</v>
      </c>
      <c r="J1152" s="177">
        <v>418.9</v>
      </c>
      <c r="K1152" s="177">
        <v>419.9</v>
      </c>
      <c r="L1152" s="206">
        <v>57</v>
      </c>
      <c r="M1152" s="173" t="s">
        <v>265</v>
      </c>
      <c r="N1152" s="173" t="s">
        <v>269</v>
      </c>
      <c r="O1152" s="175" t="s">
        <v>1371</v>
      </c>
      <c r="P1152" s="170">
        <v>2334500</v>
      </c>
      <c r="Q1152" s="170">
        <v>0</v>
      </c>
      <c r="R1152" s="170">
        <v>0</v>
      </c>
      <c r="S1152" s="170">
        <f t="shared" si="193"/>
        <v>2334500</v>
      </c>
      <c r="T1152" s="170">
        <f t="shared" si="194"/>
        <v>4525.1017639077345</v>
      </c>
      <c r="U1152" s="170">
        <v>9140.763483233186</v>
      </c>
      <c r="V1152" s="202">
        <f t="shared" si="186"/>
        <v>4615.6617193254515</v>
      </c>
      <c r="W1152" s="202">
        <f t="shared" si="191"/>
        <v>10851.277268850552</v>
      </c>
      <c r="X1152" s="202">
        <v>0</v>
      </c>
      <c r="Y1152" s="203">
        <v>0</v>
      </c>
      <c r="Z1152" s="203">
        <v>0</v>
      </c>
      <c r="AA1152" s="203">
        <v>0</v>
      </c>
      <c r="AB1152" s="203">
        <v>0</v>
      </c>
      <c r="AC1152" s="203">
        <v>0</v>
      </c>
      <c r="AD1152" s="203">
        <v>0</v>
      </c>
      <c r="AE1152" s="203">
        <v>897.3</v>
      </c>
      <c r="AF1152" s="202">
        <f t="shared" si="192"/>
        <v>10851.277268850552</v>
      </c>
      <c r="AG1152" s="203">
        <v>0</v>
      </c>
      <c r="AH1152" s="202">
        <v>0</v>
      </c>
      <c r="AI1152" s="203">
        <v>0</v>
      </c>
      <c r="AJ1152" s="202">
        <v>0</v>
      </c>
      <c r="AK1152" s="203">
        <v>0</v>
      </c>
      <c r="AL1152" s="203">
        <v>0</v>
      </c>
      <c r="AM1152" s="203">
        <v>0</v>
      </c>
      <c r="AN1152" s="203"/>
      <c r="AO1152" s="203">
        <v>0</v>
      </c>
    </row>
    <row r="1153" spans="1:41" s="176" customFormat="1" ht="36" customHeight="1" x14ac:dyDescent="0.25">
      <c r="A1153" s="176">
        <v>1</v>
      </c>
      <c r="B1153" s="171">
        <f>SUBTOTAL(103,$A$1087:A1153)</f>
        <v>67</v>
      </c>
      <c r="C1153" s="172" t="s">
        <v>2446</v>
      </c>
      <c r="D1153" s="173">
        <v>1961</v>
      </c>
      <c r="E1153" s="173"/>
      <c r="F1153" s="174" t="s">
        <v>267</v>
      </c>
      <c r="G1153" s="173">
        <v>2</v>
      </c>
      <c r="H1153" s="173">
        <v>1</v>
      </c>
      <c r="I1153" s="177">
        <v>276</v>
      </c>
      <c r="J1153" s="177">
        <v>189.9</v>
      </c>
      <c r="K1153" s="177">
        <v>189.9</v>
      </c>
      <c r="L1153" s="206">
        <v>20</v>
      </c>
      <c r="M1153" s="173" t="s">
        <v>265</v>
      </c>
      <c r="N1153" s="173" t="s">
        <v>269</v>
      </c>
      <c r="O1153" s="175" t="s">
        <v>1633</v>
      </c>
      <c r="P1153" s="170">
        <v>938875</v>
      </c>
      <c r="Q1153" s="170">
        <v>0</v>
      </c>
      <c r="R1153" s="170">
        <v>0</v>
      </c>
      <c r="S1153" s="170">
        <f t="shared" si="187"/>
        <v>938875</v>
      </c>
      <c r="T1153" s="170">
        <f t="shared" si="188"/>
        <v>3401.7210144927535</v>
      </c>
      <c r="U1153" s="170">
        <v>10738.179130434783</v>
      </c>
      <c r="V1153" s="202">
        <f t="shared" si="186"/>
        <v>7336.4581159420286</v>
      </c>
      <c r="W1153" s="202">
        <f t="shared" si="189"/>
        <v>20283.238923913043</v>
      </c>
      <c r="X1153" s="202">
        <v>0</v>
      </c>
      <c r="Y1153" s="203">
        <v>0</v>
      </c>
      <c r="Z1153" s="203">
        <v>0</v>
      </c>
      <c r="AA1153" s="203">
        <v>0</v>
      </c>
      <c r="AB1153" s="203">
        <v>0</v>
      </c>
      <c r="AC1153" s="203">
        <v>0</v>
      </c>
      <c r="AD1153" s="203">
        <v>0</v>
      </c>
      <c r="AE1153" s="203">
        <v>897.3</v>
      </c>
      <c r="AF1153" s="202">
        <f t="shared" si="190"/>
        <v>20283.238923913043</v>
      </c>
      <c r="AG1153" s="203">
        <v>0</v>
      </c>
      <c r="AH1153" s="202">
        <v>0</v>
      </c>
      <c r="AI1153" s="203">
        <v>0</v>
      </c>
      <c r="AJ1153" s="202">
        <v>0</v>
      </c>
      <c r="AK1153" s="203">
        <v>0</v>
      </c>
      <c r="AL1153" s="203">
        <v>0</v>
      </c>
      <c r="AM1153" s="203">
        <v>0</v>
      </c>
      <c r="AN1153" s="203"/>
      <c r="AO1153" s="203">
        <v>0</v>
      </c>
    </row>
    <row r="1154" spans="1:41" s="176" customFormat="1" ht="36" customHeight="1" x14ac:dyDescent="0.25">
      <c r="A1154" s="176">
        <v>1</v>
      </c>
      <c r="B1154" s="171">
        <f>SUBTOTAL(103,$A$1087:A1154)</f>
        <v>68</v>
      </c>
      <c r="C1154" s="172" t="s">
        <v>2447</v>
      </c>
      <c r="D1154" s="173">
        <v>1959</v>
      </c>
      <c r="E1154" s="173"/>
      <c r="F1154" s="174" t="s">
        <v>267</v>
      </c>
      <c r="G1154" s="173">
        <v>3</v>
      </c>
      <c r="H1154" s="173">
        <v>1</v>
      </c>
      <c r="I1154" s="177">
        <v>2200.3000000000002</v>
      </c>
      <c r="J1154" s="177">
        <v>839</v>
      </c>
      <c r="K1154" s="177">
        <v>718.6</v>
      </c>
      <c r="L1154" s="206">
        <v>135</v>
      </c>
      <c r="M1154" s="173" t="s">
        <v>265</v>
      </c>
      <c r="N1154" s="173" t="s">
        <v>269</v>
      </c>
      <c r="O1154" s="175" t="s">
        <v>1371</v>
      </c>
      <c r="P1154" s="170">
        <v>4220900</v>
      </c>
      <c r="Q1154" s="170">
        <v>0</v>
      </c>
      <c r="R1154" s="170">
        <v>0</v>
      </c>
      <c r="S1154" s="170">
        <f t="shared" si="187"/>
        <v>4220900</v>
      </c>
      <c r="T1154" s="170">
        <f t="shared" si="188"/>
        <v>1918.3293187292641</v>
      </c>
      <c r="U1154" s="170">
        <v>2515.7550334045354</v>
      </c>
      <c r="V1154" s="202">
        <f t="shared" si="186"/>
        <v>597.42571467527137</v>
      </c>
      <c r="W1154" s="202">
        <f t="shared" si="189"/>
        <v>2544.2775726037357</v>
      </c>
      <c r="X1154" s="202">
        <v>0</v>
      </c>
      <c r="Y1154" s="203">
        <v>0</v>
      </c>
      <c r="Z1154" s="203">
        <v>0</v>
      </c>
      <c r="AA1154" s="203">
        <v>0</v>
      </c>
      <c r="AB1154" s="203">
        <v>0</v>
      </c>
      <c r="AC1154" s="203">
        <v>0</v>
      </c>
      <c r="AD1154" s="203">
        <v>0</v>
      </c>
      <c r="AE1154" s="203">
        <v>897.3</v>
      </c>
      <c r="AF1154" s="202">
        <f t="shared" si="190"/>
        <v>2544.2775726037357</v>
      </c>
      <c r="AG1154" s="203">
        <v>0</v>
      </c>
      <c r="AH1154" s="202">
        <v>0</v>
      </c>
      <c r="AI1154" s="203">
        <v>0</v>
      </c>
      <c r="AJ1154" s="202">
        <v>0</v>
      </c>
      <c r="AK1154" s="203">
        <v>0</v>
      </c>
      <c r="AL1154" s="203">
        <v>0</v>
      </c>
      <c r="AM1154" s="203">
        <v>0</v>
      </c>
      <c r="AN1154" s="203"/>
      <c r="AO1154" s="203">
        <v>0</v>
      </c>
    </row>
    <row r="1155" spans="1:41" s="176" customFormat="1" ht="36" customHeight="1" x14ac:dyDescent="0.25">
      <c r="A1155" s="176">
        <v>1</v>
      </c>
      <c r="B1155" s="171">
        <f>SUBTOTAL(103,$A$1087:A1155)</f>
        <v>69</v>
      </c>
      <c r="C1155" s="172" t="s">
        <v>2448</v>
      </c>
      <c r="D1155" s="173">
        <v>1974</v>
      </c>
      <c r="E1155" s="173"/>
      <c r="F1155" s="174" t="s">
        <v>311</v>
      </c>
      <c r="G1155" s="173">
        <v>9</v>
      </c>
      <c r="H1155" s="173">
        <v>4</v>
      </c>
      <c r="I1155" s="177">
        <v>7765.2</v>
      </c>
      <c r="J1155" s="177">
        <v>7765.2</v>
      </c>
      <c r="K1155" s="177">
        <v>7643.8</v>
      </c>
      <c r="L1155" s="206">
        <v>360</v>
      </c>
      <c r="M1155" s="173" t="s">
        <v>265</v>
      </c>
      <c r="N1155" s="173" t="s">
        <v>269</v>
      </c>
      <c r="O1155" s="175" t="s">
        <v>1373</v>
      </c>
      <c r="P1155" s="170">
        <v>5550250</v>
      </c>
      <c r="Q1155" s="170">
        <v>0</v>
      </c>
      <c r="R1155" s="170">
        <v>0</v>
      </c>
      <c r="S1155" s="170">
        <f t="shared" ref="S1155:S1156" si="195">P1155-Q1155-R1155</f>
        <v>5550250</v>
      </c>
      <c r="T1155" s="170">
        <f t="shared" ref="T1155:T1156" si="196">P1155/I1155</f>
        <v>714.75943955081652</v>
      </c>
      <c r="U1155" s="170">
        <v>964.83296244784424</v>
      </c>
      <c r="V1155" s="202">
        <f t="shared" si="186"/>
        <v>250.07352289702771</v>
      </c>
      <c r="W1155" s="202">
        <f t="shared" ref="W1155:W1156" si="197">X1155+Y1155+Z1155+AA1155+AB1155+AD1155+AF1155+AH1155+AJ1155+AL1155+AN1155+AO1155</f>
        <v>720.93106977283264</v>
      </c>
      <c r="X1155" s="202">
        <v>0</v>
      </c>
      <c r="Y1155" s="203">
        <v>0</v>
      </c>
      <c r="Z1155" s="203">
        <v>0</v>
      </c>
      <c r="AA1155" s="203">
        <v>0</v>
      </c>
      <c r="AB1155" s="203">
        <v>0</v>
      </c>
      <c r="AC1155" s="203">
        <v>0</v>
      </c>
      <c r="AD1155" s="203">
        <v>0</v>
      </c>
      <c r="AE1155" s="203">
        <v>897.3</v>
      </c>
      <c r="AF1155" s="202">
        <f t="shared" ref="AF1155:AF1156" si="198">6238.91*AE1155/I1155</f>
        <v>720.93106977283264</v>
      </c>
      <c r="AG1155" s="203">
        <v>0</v>
      </c>
      <c r="AH1155" s="202">
        <v>0</v>
      </c>
      <c r="AI1155" s="203">
        <v>0</v>
      </c>
      <c r="AJ1155" s="202">
        <v>0</v>
      </c>
      <c r="AK1155" s="203">
        <v>0</v>
      </c>
      <c r="AL1155" s="203">
        <v>0</v>
      </c>
      <c r="AM1155" s="203">
        <v>0</v>
      </c>
      <c r="AN1155" s="203"/>
      <c r="AO1155" s="203">
        <v>0</v>
      </c>
    </row>
    <row r="1156" spans="1:41" s="176" customFormat="1" ht="36" customHeight="1" x14ac:dyDescent="0.25">
      <c r="A1156" s="176">
        <v>1</v>
      </c>
      <c r="B1156" s="171">
        <f>SUBTOTAL(103,$A$1087:A1156)</f>
        <v>70</v>
      </c>
      <c r="C1156" s="172" t="s">
        <v>2449</v>
      </c>
      <c r="D1156" s="173">
        <v>1980</v>
      </c>
      <c r="E1156" s="173"/>
      <c r="F1156" s="174" t="s">
        <v>267</v>
      </c>
      <c r="G1156" s="173">
        <v>5</v>
      </c>
      <c r="H1156" s="173">
        <v>1</v>
      </c>
      <c r="I1156" s="177">
        <v>3667.4</v>
      </c>
      <c r="J1156" s="177">
        <v>2482.3000000000002</v>
      </c>
      <c r="K1156" s="177">
        <v>2285.5</v>
      </c>
      <c r="L1156" s="206">
        <v>410</v>
      </c>
      <c r="M1156" s="173" t="s">
        <v>265</v>
      </c>
      <c r="N1156" s="173" t="s">
        <v>269</v>
      </c>
      <c r="O1156" s="175" t="s">
        <v>1371</v>
      </c>
      <c r="P1156" s="170">
        <v>4527278.21</v>
      </c>
      <c r="Q1156" s="170">
        <v>0</v>
      </c>
      <c r="R1156" s="170">
        <v>0</v>
      </c>
      <c r="S1156" s="170">
        <f t="shared" si="195"/>
        <v>4527278.21</v>
      </c>
      <c r="T1156" s="170">
        <f t="shared" si="196"/>
        <v>1234.4653460217048</v>
      </c>
      <c r="U1156" s="170">
        <v>1806.4897008780063</v>
      </c>
      <c r="V1156" s="202">
        <f t="shared" si="186"/>
        <v>572.02435485630144</v>
      </c>
      <c r="W1156" s="202">
        <f t="shared" si="197"/>
        <v>1526.4694178437039</v>
      </c>
      <c r="X1156" s="202">
        <v>0</v>
      </c>
      <c r="Y1156" s="203">
        <v>0</v>
      </c>
      <c r="Z1156" s="203">
        <v>0</v>
      </c>
      <c r="AA1156" s="203">
        <v>0</v>
      </c>
      <c r="AB1156" s="203">
        <v>0</v>
      </c>
      <c r="AC1156" s="203">
        <v>0</v>
      </c>
      <c r="AD1156" s="203">
        <v>0</v>
      </c>
      <c r="AE1156" s="203">
        <v>897.3</v>
      </c>
      <c r="AF1156" s="202">
        <f t="shared" si="198"/>
        <v>1526.4694178437039</v>
      </c>
      <c r="AG1156" s="203">
        <v>0</v>
      </c>
      <c r="AH1156" s="202">
        <v>0</v>
      </c>
      <c r="AI1156" s="203">
        <v>0</v>
      </c>
      <c r="AJ1156" s="202">
        <v>0</v>
      </c>
      <c r="AK1156" s="203">
        <v>0</v>
      </c>
      <c r="AL1156" s="203">
        <v>0</v>
      </c>
      <c r="AM1156" s="203">
        <v>0</v>
      </c>
      <c r="AN1156" s="203"/>
      <c r="AO1156" s="203">
        <v>0</v>
      </c>
    </row>
    <row r="1157" spans="1:41" s="176" customFormat="1" ht="36" customHeight="1" x14ac:dyDescent="0.25">
      <c r="B1157" s="172" t="s">
        <v>748</v>
      </c>
      <c r="C1157" s="359"/>
      <c r="D1157" s="173" t="s">
        <v>882</v>
      </c>
      <c r="E1157" s="173" t="s">
        <v>882</v>
      </c>
      <c r="F1157" s="173" t="s">
        <v>882</v>
      </c>
      <c r="G1157" s="173" t="s">
        <v>882</v>
      </c>
      <c r="H1157" s="173" t="s">
        <v>882</v>
      </c>
      <c r="I1157" s="177">
        <f>SUM(I1158:I1171)</f>
        <v>14992.5</v>
      </c>
      <c r="J1157" s="177">
        <f>SUM(J1158:J1171)</f>
        <v>14301.600000000002</v>
      </c>
      <c r="K1157" s="177">
        <f>SUM(K1158:K1171)</f>
        <v>12867.5</v>
      </c>
      <c r="L1157" s="357">
        <f>SUM(L1158:L1171)</f>
        <v>773</v>
      </c>
      <c r="M1157" s="173" t="s">
        <v>882</v>
      </c>
      <c r="N1157" s="173" t="s">
        <v>882</v>
      </c>
      <c r="O1157" s="175" t="s">
        <v>882</v>
      </c>
      <c r="P1157" s="177">
        <v>44764760.649999999</v>
      </c>
      <c r="Q1157" s="177">
        <f>SUM(Q1158:Q1171)</f>
        <v>0</v>
      </c>
      <c r="R1157" s="177">
        <f>SUM(R1158:R1171)</f>
        <v>0</v>
      </c>
      <c r="S1157" s="177">
        <f>SUM(S1158:S1171)</f>
        <v>44764760.649999999</v>
      </c>
      <c r="T1157" s="170">
        <f t="shared" si="181"/>
        <v>2985.8102818075704</v>
      </c>
      <c r="U1157" s="170">
        <f>MAX(U1158:U1171)</f>
        <v>8054.6298018575853</v>
      </c>
      <c r="V1157" s="202">
        <f t="shared" ref="V1157:V1218" si="199">U1157-T1157</f>
        <v>5068.8195200500149</v>
      </c>
      <c r="W1157" s="202"/>
      <c r="X1157" s="202"/>
      <c r="Y1157" s="203"/>
      <c r="Z1157" s="203"/>
      <c r="AA1157" s="203"/>
      <c r="AB1157" s="203"/>
      <c r="AC1157" s="203"/>
      <c r="AD1157" s="203"/>
      <c r="AE1157" s="203"/>
      <c r="AF1157" s="203"/>
      <c r="AG1157" s="203"/>
      <c r="AH1157" s="203"/>
      <c r="AI1157" s="203"/>
      <c r="AJ1157" s="203"/>
      <c r="AK1157" s="203"/>
      <c r="AL1157" s="203"/>
      <c r="AM1157" s="203"/>
      <c r="AN1157" s="203"/>
      <c r="AO1157" s="203"/>
    </row>
    <row r="1158" spans="1:41" s="176" customFormat="1" ht="36" customHeight="1" x14ac:dyDescent="0.25">
      <c r="A1158" s="176">
        <v>1</v>
      </c>
      <c r="B1158" s="171">
        <f>SUBTOTAL(103,$A$1087:A1158)</f>
        <v>71</v>
      </c>
      <c r="C1158" s="172" t="s">
        <v>464</v>
      </c>
      <c r="D1158" s="173">
        <v>1962</v>
      </c>
      <c r="E1158" s="173"/>
      <c r="F1158" s="174" t="s">
        <v>267</v>
      </c>
      <c r="G1158" s="173">
        <v>2</v>
      </c>
      <c r="H1158" s="173" t="s">
        <v>303</v>
      </c>
      <c r="I1158" s="177">
        <v>784.2</v>
      </c>
      <c r="J1158" s="177">
        <v>784.2</v>
      </c>
      <c r="K1158" s="177">
        <v>715.8</v>
      </c>
      <c r="L1158" s="206">
        <v>47</v>
      </c>
      <c r="M1158" s="173" t="s">
        <v>265</v>
      </c>
      <c r="N1158" s="173" t="s">
        <v>266</v>
      </c>
      <c r="O1158" s="175" t="s">
        <v>268</v>
      </c>
      <c r="P1158" s="170">
        <v>3951259.39</v>
      </c>
      <c r="Q1158" s="170">
        <v>0</v>
      </c>
      <c r="R1158" s="170">
        <v>0</v>
      </c>
      <c r="S1158" s="170">
        <f t="shared" ref="S1158:S1171" si="200">P1158-Q1158-R1158</f>
        <v>3951259.39</v>
      </c>
      <c r="T1158" s="170">
        <f t="shared" si="181"/>
        <v>5038.5863172660038</v>
      </c>
      <c r="U1158" s="170">
        <v>5321.9153940321339</v>
      </c>
      <c r="V1158" s="202">
        <f t="shared" si="199"/>
        <v>283.32907676613013</v>
      </c>
      <c r="W1158" s="202">
        <f t="shared" ref="W1158:W1171" si="201">X1158+Y1158+Z1158+AA1158+AB1158+AD1158+AF1158+AH1158+AJ1158+AL1158+AN1158+AO1158</f>
        <v>5158.5172711043097</v>
      </c>
      <c r="X1158" s="202">
        <v>0</v>
      </c>
      <c r="Y1158" s="203">
        <v>0</v>
      </c>
      <c r="Z1158" s="203">
        <v>0</v>
      </c>
      <c r="AA1158" s="203">
        <v>0</v>
      </c>
      <c r="AB1158" s="203">
        <v>0</v>
      </c>
      <c r="AC1158" s="203">
        <v>0</v>
      </c>
      <c r="AD1158" s="203">
        <v>0</v>
      </c>
      <c r="AE1158" s="203">
        <v>648.4</v>
      </c>
      <c r="AF1158" s="202">
        <f>6238.91*AE1158/I1158</f>
        <v>5158.5172711043097</v>
      </c>
      <c r="AG1158" s="203">
        <v>0</v>
      </c>
      <c r="AH1158" s="202">
        <v>0</v>
      </c>
      <c r="AI1158" s="203">
        <v>0</v>
      </c>
      <c r="AJ1158" s="202">
        <v>0</v>
      </c>
      <c r="AK1158" s="203">
        <v>0</v>
      </c>
      <c r="AL1158" s="203">
        <v>0</v>
      </c>
      <c r="AM1158" s="203">
        <v>0</v>
      </c>
      <c r="AN1158" s="203"/>
      <c r="AO1158" s="203">
        <v>0</v>
      </c>
    </row>
    <row r="1159" spans="1:41" s="176" customFormat="1" ht="36" customHeight="1" x14ac:dyDescent="0.25">
      <c r="A1159" s="176">
        <v>1</v>
      </c>
      <c r="B1159" s="171">
        <f>SUBTOTAL(103,$A$1087:A1159)</f>
        <v>72</v>
      </c>
      <c r="C1159" s="172" t="s">
        <v>465</v>
      </c>
      <c r="D1159" s="173">
        <v>1959</v>
      </c>
      <c r="E1159" s="173"/>
      <c r="F1159" s="174" t="s">
        <v>267</v>
      </c>
      <c r="G1159" s="173">
        <v>2</v>
      </c>
      <c r="H1159" s="173" t="s">
        <v>303</v>
      </c>
      <c r="I1159" s="177">
        <v>611</v>
      </c>
      <c r="J1159" s="177">
        <v>564.20000000000005</v>
      </c>
      <c r="K1159" s="177">
        <v>492.1</v>
      </c>
      <c r="L1159" s="206">
        <v>36</v>
      </c>
      <c r="M1159" s="173" t="s">
        <v>265</v>
      </c>
      <c r="N1159" s="173" t="s">
        <v>269</v>
      </c>
      <c r="O1159" s="175" t="s">
        <v>346</v>
      </c>
      <c r="P1159" s="170">
        <v>2999201</v>
      </c>
      <c r="Q1159" s="170">
        <v>0</v>
      </c>
      <c r="R1159" s="170">
        <v>0</v>
      </c>
      <c r="S1159" s="170">
        <f t="shared" si="200"/>
        <v>2999201</v>
      </c>
      <c r="T1159" s="170">
        <f t="shared" si="181"/>
        <v>4908.675941080196</v>
      </c>
      <c r="U1159" s="170">
        <v>5762.3271849427165</v>
      </c>
      <c r="V1159" s="202">
        <f t="shared" si="199"/>
        <v>853.65124386252046</v>
      </c>
      <c r="W1159" s="202">
        <f t="shared" si="201"/>
        <v>5585.4071522094928</v>
      </c>
      <c r="X1159" s="202">
        <v>0</v>
      </c>
      <c r="Y1159" s="203">
        <v>0</v>
      </c>
      <c r="Z1159" s="203">
        <v>0</v>
      </c>
      <c r="AA1159" s="203">
        <v>0</v>
      </c>
      <c r="AB1159" s="203">
        <v>0</v>
      </c>
      <c r="AC1159" s="203">
        <v>0</v>
      </c>
      <c r="AD1159" s="203">
        <v>0</v>
      </c>
      <c r="AE1159" s="203">
        <v>547</v>
      </c>
      <c r="AF1159" s="202">
        <f>6238.91*AE1159/I1159</f>
        <v>5585.4071522094928</v>
      </c>
      <c r="AG1159" s="203">
        <v>0</v>
      </c>
      <c r="AH1159" s="202">
        <v>0</v>
      </c>
      <c r="AI1159" s="203">
        <v>0</v>
      </c>
      <c r="AJ1159" s="202">
        <v>0</v>
      </c>
      <c r="AK1159" s="203">
        <v>0</v>
      </c>
      <c r="AL1159" s="203">
        <v>0</v>
      </c>
      <c r="AM1159" s="203">
        <v>0</v>
      </c>
      <c r="AN1159" s="203"/>
      <c r="AO1159" s="203">
        <v>0</v>
      </c>
    </row>
    <row r="1160" spans="1:41" s="176" customFormat="1" ht="36" customHeight="1" x14ac:dyDescent="0.25">
      <c r="A1160" s="176">
        <v>1</v>
      </c>
      <c r="B1160" s="171">
        <f>SUBTOTAL(103,$A$1087:A1160)</f>
        <v>73</v>
      </c>
      <c r="C1160" s="172" t="s">
        <v>466</v>
      </c>
      <c r="D1160" s="173">
        <v>1960</v>
      </c>
      <c r="E1160" s="173"/>
      <c r="F1160" s="174" t="s">
        <v>267</v>
      </c>
      <c r="G1160" s="173">
        <v>2</v>
      </c>
      <c r="H1160" s="173" t="s">
        <v>303</v>
      </c>
      <c r="I1160" s="177">
        <v>549.79999999999995</v>
      </c>
      <c r="J1160" s="177">
        <v>549.79999999999995</v>
      </c>
      <c r="K1160" s="177">
        <v>404</v>
      </c>
      <c r="L1160" s="206">
        <v>27</v>
      </c>
      <c r="M1160" s="173" t="s">
        <v>265</v>
      </c>
      <c r="N1160" s="173" t="s">
        <v>283</v>
      </c>
      <c r="O1160" s="175" t="s">
        <v>268</v>
      </c>
      <c r="P1160" s="170">
        <v>2584541.12</v>
      </c>
      <c r="Q1160" s="170">
        <v>0</v>
      </c>
      <c r="R1160" s="170">
        <v>0</v>
      </c>
      <c r="S1160" s="170">
        <f t="shared" si="200"/>
        <v>2584541.12</v>
      </c>
      <c r="T1160" s="170">
        <f t="shared" ref="T1160:T1218" si="202">P1160/I1160</f>
        <v>4700.8750818479457</v>
      </c>
      <c r="U1160" s="170">
        <v>5773.9115969443437</v>
      </c>
      <c r="V1160" s="202">
        <f t="shared" si="199"/>
        <v>1073.036515096398</v>
      </c>
      <c r="W1160" s="202">
        <f t="shared" si="201"/>
        <v>5596.6358894143332</v>
      </c>
      <c r="X1160" s="202">
        <v>0</v>
      </c>
      <c r="Y1160" s="203">
        <v>0</v>
      </c>
      <c r="Z1160" s="203">
        <v>0</v>
      </c>
      <c r="AA1160" s="203">
        <v>0</v>
      </c>
      <c r="AB1160" s="203">
        <v>0</v>
      </c>
      <c r="AC1160" s="203">
        <v>0</v>
      </c>
      <c r="AD1160" s="203">
        <v>0</v>
      </c>
      <c r="AE1160" s="203">
        <v>493.2</v>
      </c>
      <c r="AF1160" s="202">
        <f>6238.91*AE1160/I1160</f>
        <v>5596.6358894143332</v>
      </c>
      <c r="AG1160" s="203">
        <v>0</v>
      </c>
      <c r="AH1160" s="202">
        <v>0</v>
      </c>
      <c r="AI1160" s="203">
        <v>0</v>
      </c>
      <c r="AJ1160" s="202">
        <v>0</v>
      </c>
      <c r="AK1160" s="203">
        <v>0</v>
      </c>
      <c r="AL1160" s="203">
        <v>0</v>
      </c>
      <c r="AM1160" s="203">
        <v>0</v>
      </c>
      <c r="AN1160" s="203"/>
      <c r="AO1160" s="203">
        <v>0</v>
      </c>
    </row>
    <row r="1161" spans="1:41" s="176" customFormat="1" ht="36" customHeight="1" x14ac:dyDescent="0.25">
      <c r="A1161" s="176">
        <v>1</v>
      </c>
      <c r="B1161" s="171">
        <f>SUBTOTAL(103,$A$1087:A1161)</f>
        <v>74</v>
      </c>
      <c r="C1161" s="172" t="s">
        <v>467</v>
      </c>
      <c r="D1161" s="173">
        <v>1968</v>
      </c>
      <c r="E1161" s="173"/>
      <c r="F1161" s="174" t="s">
        <v>267</v>
      </c>
      <c r="G1161" s="173">
        <v>5</v>
      </c>
      <c r="H1161" s="173" t="s">
        <v>308</v>
      </c>
      <c r="I1161" s="177">
        <v>3425.4</v>
      </c>
      <c r="J1161" s="177">
        <v>3385.7</v>
      </c>
      <c r="K1161" s="177">
        <v>2995.5</v>
      </c>
      <c r="L1161" s="206">
        <v>208</v>
      </c>
      <c r="M1161" s="173" t="s">
        <v>265</v>
      </c>
      <c r="N1161" s="173" t="s">
        <v>266</v>
      </c>
      <c r="O1161" s="175" t="s">
        <v>268</v>
      </c>
      <c r="P1161" s="170">
        <v>6581549.3999999994</v>
      </c>
      <c r="Q1161" s="170">
        <v>0</v>
      </c>
      <c r="R1161" s="170">
        <v>0</v>
      </c>
      <c r="S1161" s="170">
        <f t="shared" si="200"/>
        <v>6581549.3999999994</v>
      </c>
      <c r="T1161" s="170">
        <f t="shared" si="202"/>
        <v>1921.3958661762128</v>
      </c>
      <c r="U1161" s="170">
        <v>2123.3370993168678</v>
      </c>
      <c r="V1161" s="202">
        <f t="shared" si="199"/>
        <v>201.94123314065496</v>
      </c>
      <c r="W1161" s="202">
        <f t="shared" si="201"/>
        <v>2058.1445378641911</v>
      </c>
      <c r="X1161" s="202">
        <v>0</v>
      </c>
      <c r="Y1161" s="203">
        <v>0</v>
      </c>
      <c r="Z1161" s="203">
        <v>0</v>
      </c>
      <c r="AA1161" s="203">
        <v>0</v>
      </c>
      <c r="AB1161" s="203">
        <v>0</v>
      </c>
      <c r="AC1161" s="203">
        <v>0</v>
      </c>
      <c r="AD1161" s="203">
        <v>0</v>
      </c>
      <c r="AE1161" s="203">
        <v>1130</v>
      </c>
      <c r="AF1161" s="202">
        <f>6238.91*AE1161/I1161</f>
        <v>2058.1445378641911</v>
      </c>
      <c r="AG1161" s="203">
        <v>0</v>
      </c>
      <c r="AH1161" s="202">
        <v>0</v>
      </c>
      <c r="AI1161" s="203">
        <v>0</v>
      </c>
      <c r="AJ1161" s="202">
        <v>0</v>
      </c>
      <c r="AK1161" s="203">
        <v>0</v>
      </c>
      <c r="AL1161" s="203">
        <v>0</v>
      </c>
      <c r="AM1161" s="203">
        <v>0</v>
      </c>
      <c r="AN1161" s="203"/>
      <c r="AO1161" s="203">
        <v>0</v>
      </c>
    </row>
    <row r="1162" spans="1:41" s="176" customFormat="1" ht="36" customHeight="1" x14ac:dyDescent="0.25">
      <c r="A1162" s="176">
        <v>1</v>
      </c>
      <c r="B1162" s="171">
        <f>SUBTOTAL(103,$A$1087:A1162)</f>
        <v>75</v>
      </c>
      <c r="C1162" s="172" t="s">
        <v>468</v>
      </c>
      <c r="D1162" s="173">
        <v>1966</v>
      </c>
      <c r="E1162" s="173"/>
      <c r="F1162" s="174" t="s">
        <v>267</v>
      </c>
      <c r="G1162" s="173">
        <v>5</v>
      </c>
      <c r="H1162" s="173" t="s">
        <v>312</v>
      </c>
      <c r="I1162" s="177">
        <v>2708.5</v>
      </c>
      <c r="J1162" s="177">
        <v>2523.1</v>
      </c>
      <c r="K1162" s="177">
        <v>2195.4</v>
      </c>
      <c r="L1162" s="206">
        <v>137</v>
      </c>
      <c r="M1162" s="173" t="s">
        <v>265</v>
      </c>
      <c r="N1162" s="173" t="s">
        <v>266</v>
      </c>
      <c r="O1162" s="175" t="s">
        <v>268</v>
      </c>
      <c r="P1162" s="170">
        <v>4737312</v>
      </c>
      <c r="Q1162" s="170">
        <v>0</v>
      </c>
      <c r="R1162" s="170">
        <v>0</v>
      </c>
      <c r="S1162" s="170">
        <f t="shared" si="200"/>
        <v>4737312</v>
      </c>
      <c r="T1162" s="170">
        <f t="shared" si="202"/>
        <v>1749.053719771091</v>
      </c>
      <c r="U1162" s="170">
        <v>2053.2257411851579</v>
      </c>
      <c r="V1162" s="202">
        <f t="shared" si="199"/>
        <v>304.17202141406688</v>
      </c>
      <c r="W1162" s="202">
        <f t="shared" si="201"/>
        <v>1990.1858002584456</v>
      </c>
      <c r="X1162" s="202">
        <v>0</v>
      </c>
      <c r="Y1162" s="203">
        <v>0</v>
      </c>
      <c r="Z1162" s="203">
        <v>0</v>
      </c>
      <c r="AA1162" s="203">
        <v>0</v>
      </c>
      <c r="AB1162" s="203">
        <v>0</v>
      </c>
      <c r="AC1162" s="203">
        <v>0</v>
      </c>
      <c r="AD1162" s="203">
        <v>0</v>
      </c>
      <c r="AE1162" s="203">
        <v>864</v>
      </c>
      <c r="AF1162" s="202">
        <f>6238.91*AE1162/I1162</f>
        <v>1990.1858002584456</v>
      </c>
      <c r="AG1162" s="203">
        <v>0</v>
      </c>
      <c r="AH1162" s="202">
        <v>0</v>
      </c>
      <c r="AI1162" s="203">
        <v>0</v>
      </c>
      <c r="AJ1162" s="202">
        <v>0</v>
      </c>
      <c r="AK1162" s="203">
        <v>0</v>
      </c>
      <c r="AL1162" s="203">
        <v>0</v>
      </c>
      <c r="AM1162" s="203">
        <v>0</v>
      </c>
      <c r="AN1162" s="203"/>
      <c r="AO1162" s="203">
        <v>0</v>
      </c>
    </row>
    <row r="1163" spans="1:41" s="176" customFormat="1" ht="36" customHeight="1" x14ac:dyDescent="0.25">
      <c r="A1163" s="176">
        <v>1</v>
      </c>
      <c r="B1163" s="171">
        <f>SUBTOTAL(103,$A$1087:A1163)</f>
        <v>76</v>
      </c>
      <c r="C1163" s="172" t="s">
        <v>469</v>
      </c>
      <c r="D1163" s="173">
        <v>1964</v>
      </c>
      <c r="E1163" s="173">
        <v>2008</v>
      </c>
      <c r="F1163" s="174" t="s">
        <v>267</v>
      </c>
      <c r="G1163" s="173">
        <v>4</v>
      </c>
      <c r="H1163" s="173" t="s">
        <v>303</v>
      </c>
      <c r="I1163" s="177">
        <v>1368.5</v>
      </c>
      <c r="J1163" s="177">
        <v>1271.5</v>
      </c>
      <c r="K1163" s="177">
        <v>1271.5</v>
      </c>
      <c r="L1163" s="206">
        <v>43</v>
      </c>
      <c r="M1163" s="173" t="s">
        <v>265</v>
      </c>
      <c r="N1163" s="173" t="s">
        <v>344</v>
      </c>
      <c r="O1163" s="175" t="s">
        <v>345</v>
      </c>
      <c r="P1163" s="170">
        <v>491510.45999999996</v>
      </c>
      <c r="Q1163" s="170">
        <v>0</v>
      </c>
      <c r="R1163" s="170">
        <v>0</v>
      </c>
      <c r="S1163" s="170">
        <f t="shared" si="200"/>
        <v>491510.45999999996</v>
      </c>
      <c r="T1163" s="170">
        <f t="shared" si="202"/>
        <v>359.15999999999997</v>
      </c>
      <c r="U1163" s="170">
        <v>359.15999999999997</v>
      </c>
      <c r="V1163" s="202">
        <f t="shared" si="199"/>
        <v>0</v>
      </c>
      <c r="W1163" s="202">
        <f>T1163</f>
        <v>359.15999999999997</v>
      </c>
      <c r="X1163" s="202">
        <v>0</v>
      </c>
      <c r="Y1163" s="203">
        <v>0</v>
      </c>
      <c r="Z1163" s="203">
        <v>0</v>
      </c>
      <c r="AA1163" s="203">
        <v>184.98</v>
      </c>
      <c r="AB1163" s="203">
        <v>0</v>
      </c>
      <c r="AC1163" s="203">
        <v>0</v>
      </c>
      <c r="AD1163" s="203">
        <v>0</v>
      </c>
      <c r="AE1163" s="203">
        <v>0</v>
      </c>
      <c r="AF1163" s="202">
        <v>0</v>
      </c>
      <c r="AG1163" s="203">
        <v>0</v>
      </c>
      <c r="AH1163" s="202">
        <v>0</v>
      </c>
      <c r="AI1163" s="203">
        <v>0</v>
      </c>
      <c r="AJ1163" s="202">
        <v>0</v>
      </c>
      <c r="AK1163" s="203">
        <v>0</v>
      </c>
      <c r="AL1163" s="203">
        <v>0</v>
      </c>
      <c r="AM1163" s="203">
        <v>0</v>
      </c>
      <c r="AN1163" s="203"/>
      <c r="AO1163" s="203">
        <v>0</v>
      </c>
    </row>
    <row r="1164" spans="1:41" s="176" customFormat="1" ht="36" customHeight="1" x14ac:dyDescent="0.25">
      <c r="A1164" s="176">
        <v>1</v>
      </c>
      <c r="B1164" s="171">
        <f>SUBTOTAL(103,$A$1087:A1164)</f>
        <v>77</v>
      </c>
      <c r="C1164" s="172" t="s">
        <v>470</v>
      </c>
      <c r="D1164" s="173">
        <v>1960</v>
      </c>
      <c r="E1164" s="173"/>
      <c r="F1164" s="174" t="s">
        <v>267</v>
      </c>
      <c r="G1164" s="173">
        <v>2</v>
      </c>
      <c r="H1164" s="173" t="s">
        <v>303</v>
      </c>
      <c r="I1164" s="177">
        <v>646.1</v>
      </c>
      <c r="J1164" s="177">
        <v>646.1</v>
      </c>
      <c r="K1164" s="177">
        <v>646.1</v>
      </c>
      <c r="L1164" s="206">
        <v>42</v>
      </c>
      <c r="M1164" s="173" t="s">
        <v>265</v>
      </c>
      <c r="N1164" s="173" t="s">
        <v>266</v>
      </c>
      <c r="O1164" s="175" t="s">
        <v>268</v>
      </c>
      <c r="P1164" s="170">
        <v>3422817.5799999996</v>
      </c>
      <c r="Q1164" s="170">
        <v>0</v>
      </c>
      <c r="R1164" s="170">
        <v>0</v>
      </c>
      <c r="S1164" s="170">
        <f t="shared" si="200"/>
        <v>3422817.5799999996</v>
      </c>
      <c r="T1164" s="170">
        <f t="shared" si="202"/>
        <v>5297.6591549295763</v>
      </c>
      <c r="U1164" s="170">
        <v>6218.957154929577</v>
      </c>
      <c r="V1164" s="202">
        <f t="shared" si="199"/>
        <v>921.29800000000068</v>
      </c>
      <c r="W1164" s="202">
        <f t="shared" si="201"/>
        <v>6028.0172676056327</v>
      </c>
      <c r="X1164" s="202">
        <v>0</v>
      </c>
      <c r="Y1164" s="203">
        <v>0</v>
      </c>
      <c r="Z1164" s="203">
        <v>0</v>
      </c>
      <c r="AA1164" s="203">
        <v>0</v>
      </c>
      <c r="AB1164" s="203">
        <v>0</v>
      </c>
      <c r="AC1164" s="203">
        <v>0</v>
      </c>
      <c r="AD1164" s="203">
        <v>0</v>
      </c>
      <c r="AE1164" s="203">
        <v>624.26</v>
      </c>
      <c r="AF1164" s="202">
        <f>6238.91*AE1164/I1164</f>
        <v>6028.0172676056327</v>
      </c>
      <c r="AG1164" s="203">
        <v>0</v>
      </c>
      <c r="AH1164" s="202">
        <v>0</v>
      </c>
      <c r="AI1164" s="203">
        <v>0</v>
      </c>
      <c r="AJ1164" s="202">
        <v>0</v>
      </c>
      <c r="AK1164" s="203">
        <v>0</v>
      </c>
      <c r="AL1164" s="203">
        <v>0</v>
      </c>
      <c r="AM1164" s="203">
        <v>0</v>
      </c>
      <c r="AN1164" s="203"/>
      <c r="AO1164" s="203">
        <v>0</v>
      </c>
    </row>
    <row r="1165" spans="1:41" s="176" customFormat="1" ht="36" customHeight="1" x14ac:dyDescent="0.25">
      <c r="A1165" s="176">
        <v>1</v>
      </c>
      <c r="B1165" s="171">
        <f>SUBTOTAL(103,$A$1087:A1165)</f>
        <v>78</v>
      </c>
      <c r="C1165" s="172" t="s">
        <v>471</v>
      </c>
      <c r="D1165" s="173">
        <v>1961</v>
      </c>
      <c r="E1165" s="173"/>
      <c r="F1165" s="174" t="s">
        <v>267</v>
      </c>
      <c r="G1165" s="173">
        <v>2</v>
      </c>
      <c r="H1165" s="173" t="s">
        <v>303</v>
      </c>
      <c r="I1165" s="177">
        <v>579.4</v>
      </c>
      <c r="J1165" s="177">
        <v>538.1</v>
      </c>
      <c r="K1165" s="177">
        <v>470.3</v>
      </c>
      <c r="L1165" s="206">
        <v>35</v>
      </c>
      <c r="M1165" s="173" t="s">
        <v>265</v>
      </c>
      <c r="N1165" s="173" t="s">
        <v>283</v>
      </c>
      <c r="O1165" s="175" t="s">
        <v>268</v>
      </c>
      <c r="P1165" s="170">
        <v>2888444.4</v>
      </c>
      <c r="Q1165" s="170">
        <v>0</v>
      </c>
      <c r="R1165" s="170">
        <v>0</v>
      </c>
      <c r="S1165" s="170">
        <f t="shared" si="200"/>
        <v>2888444.4</v>
      </c>
      <c r="T1165" s="170">
        <f t="shared" si="202"/>
        <v>4985.2336900241626</v>
      </c>
      <c r="U1165" s="170">
        <v>5852.1988332758019</v>
      </c>
      <c r="V1165" s="202">
        <f t="shared" si="199"/>
        <v>866.96514325163935</v>
      </c>
      <c r="W1165" s="202">
        <f t="shared" si="201"/>
        <v>5672.5194822229887</v>
      </c>
      <c r="X1165" s="202">
        <v>0</v>
      </c>
      <c r="Y1165" s="203">
        <v>0</v>
      </c>
      <c r="Z1165" s="203">
        <v>0</v>
      </c>
      <c r="AA1165" s="203">
        <v>0</v>
      </c>
      <c r="AB1165" s="203">
        <v>0</v>
      </c>
      <c r="AC1165" s="203">
        <v>0</v>
      </c>
      <c r="AD1165" s="203">
        <v>0</v>
      </c>
      <c r="AE1165" s="203">
        <v>526.79999999999995</v>
      </c>
      <c r="AF1165" s="202">
        <f>6238.91*AE1165/I1165</f>
        <v>5672.5194822229887</v>
      </c>
      <c r="AG1165" s="203">
        <v>0</v>
      </c>
      <c r="AH1165" s="202">
        <v>0</v>
      </c>
      <c r="AI1165" s="203">
        <v>0</v>
      </c>
      <c r="AJ1165" s="202">
        <v>0</v>
      </c>
      <c r="AK1165" s="203">
        <v>0</v>
      </c>
      <c r="AL1165" s="203">
        <v>0</v>
      </c>
      <c r="AM1165" s="203">
        <v>0</v>
      </c>
      <c r="AN1165" s="203"/>
      <c r="AO1165" s="203">
        <v>0</v>
      </c>
    </row>
    <row r="1166" spans="1:41" s="176" customFormat="1" ht="36" customHeight="1" x14ac:dyDescent="0.25">
      <c r="A1166" s="176">
        <v>1</v>
      </c>
      <c r="B1166" s="171">
        <f>SUBTOTAL(103,$A$1087:A1166)</f>
        <v>79</v>
      </c>
      <c r="C1166" s="172" t="s">
        <v>472</v>
      </c>
      <c r="D1166" s="173">
        <v>1960</v>
      </c>
      <c r="E1166" s="173"/>
      <c r="F1166" s="174" t="s">
        <v>267</v>
      </c>
      <c r="G1166" s="173">
        <v>2</v>
      </c>
      <c r="H1166" s="173" t="s">
        <v>303</v>
      </c>
      <c r="I1166" s="177">
        <v>591.29999999999995</v>
      </c>
      <c r="J1166" s="177">
        <v>543.1</v>
      </c>
      <c r="K1166" s="177">
        <v>477.6</v>
      </c>
      <c r="L1166" s="206">
        <v>28</v>
      </c>
      <c r="M1166" s="173" t="s">
        <v>265</v>
      </c>
      <c r="N1166" s="173" t="s">
        <v>266</v>
      </c>
      <c r="O1166" s="175" t="s">
        <v>268</v>
      </c>
      <c r="P1166" s="170">
        <v>3422817.5799999996</v>
      </c>
      <c r="Q1166" s="170">
        <v>0</v>
      </c>
      <c r="R1166" s="170">
        <v>0</v>
      </c>
      <c r="S1166" s="170">
        <f t="shared" si="200"/>
        <v>3422817.5799999996</v>
      </c>
      <c r="T1166" s="170">
        <f t="shared" si="202"/>
        <v>5788.6311178758669</v>
      </c>
      <c r="U1166" s="170">
        <v>6795.3123926940643</v>
      </c>
      <c r="V1166" s="202">
        <f t="shared" si="199"/>
        <v>1006.6812748181974</v>
      </c>
      <c r="W1166" s="202">
        <f t="shared" si="201"/>
        <v>6586.6767404025031</v>
      </c>
      <c r="X1166" s="202">
        <v>0</v>
      </c>
      <c r="Y1166" s="203">
        <v>0</v>
      </c>
      <c r="Z1166" s="203">
        <v>0</v>
      </c>
      <c r="AA1166" s="203">
        <v>0</v>
      </c>
      <c r="AB1166" s="203">
        <v>0</v>
      </c>
      <c r="AC1166" s="203">
        <v>0</v>
      </c>
      <c r="AD1166" s="203">
        <v>0</v>
      </c>
      <c r="AE1166" s="203">
        <v>624.26</v>
      </c>
      <c r="AF1166" s="202">
        <f>6238.91*AE1166/I1166</f>
        <v>6586.6767404025031</v>
      </c>
      <c r="AG1166" s="203">
        <v>0</v>
      </c>
      <c r="AH1166" s="202">
        <v>0</v>
      </c>
      <c r="AI1166" s="203">
        <v>0</v>
      </c>
      <c r="AJ1166" s="202">
        <v>0</v>
      </c>
      <c r="AK1166" s="203">
        <v>0</v>
      </c>
      <c r="AL1166" s="203">
        <v>0</v>
      </c>
      <c r="AM1166" s="203">
        <v>0</v>
      </c>
      <c r="AN1166" s="203"/>
      <c r="AO1166" s="203">
        <v>0</v>
      </c>
    </row>
    <row r="1167" spans="1:41" s="176" customFormat="1" ht="36" customHeight="1" x14ac:dyDescent="0.25">
      <c r="A1167" s="176">
        <v>1</v>
      </c>
      <c r="B1167" s="171">
        <f>SUBTOTAL(103,$A$1087:A1167)</f>
        <v>80</v>
      </c>
      <c r="C1167" s="172" t="s">
        <v>473</v>
      </c>
      <c r="D1167" s="173">
        <v>1962</v>
      </c>
      <c r="E1167" s="173"/>
      <c r="F1167" s="174" t="s">
        <v>267</v>
      </c>
      <c r="G1167" s="173">
        <v>2</v>
      </c>
      <c r="H1167" s="173" t="s">
        <v>303</v>
      </c>
      <c r="I1167" s="177">
        <v>540</v>
      </c>
      <c r="J1167" s="177">
        <v>540</v>
      </c>
      <c r="K1167" s="177">
        <v>500</v>
      </c>
      <c r="L1167" s="206">
        <v>26</v>
      </c>
      <c r="M1167" s="173" t="s">
        <v>265</v>
      </c>
      <c r="N1167" s="173" t="s">
        <v>266</v>
      </c>
      <c r="O1167" s="175" t="s">
        <v>268</v>
      </c>
      <c r="P1167" s="170">
        <v>3106903.4</v>
      </c>
      <c r="Q1167" s="170">
        <v>0</v>
      </c>
      <c r="R1167" s="170">
        <v>0</v>
      </c>
      <c r="S1167" s="170">
        <f t="shared" si="200"/>
        <v>3106903.4</v>
      </c>
      <c r="T1167" s="170">
        <f t="shared" si="202"/>
        <v>5753.5248148148148</v>
      </c>
      <c r="U1167" s="170">
        <v>6494.339575</v>
      </c>
      <c r="V1167" s="202">
        <f t="shared" si="199"/>
        <v>740.81476018518515</v>
      </c>
      <c r="W1167" s="202">
        <f t="shared" si="201"/>
        <v>6294.9446546296294</v>
      </c>
      <c r="X1167" s="202">
        <v>0</v>
      </c>
      <c r="Y1167" s="203">
        <v>0</v>
      </c>
      <c r="Z1167" s="203">
        <v>0</v>
      </c>
      <c r="AA1167" s="203">
        <v>0</v>
      </c>
      <c r="AB1167" s="203">
        <v>0</v>
      </c>
      <c r="AC1167" s="203">
        <v>0</v>
      </c>
      <c r="AD1167" s="203">
        <v>0</v>
      </c>
      <c r="AE1167" s="203">
        <v>544.85</v>
      </c>
      <c r="AF1167" s="202">
        <f>6238.91*AE1167/I1167</f>
        <v>6294.9446546296294</v>
      </c>
      <c r="AG1167" s="203">
        <v>0</v>
      </c>
      <c r="AH1167" s="202">
        <v>0</v>
      </c>
      <c r="AI1167" s="203">
        <v>0</v>
      </c>
      <c r="AJ1167" s="202">
        <v>0</v>
      </c>
      <c r="AK1167" s="203">
        <v>0</v>
      </c>
      <c r="AL1167" s="203">
        <v>0</v>
      </c>
      <c r="AM1167" s="203">
        <v>0</v>
      </c>
      <c r="AN1167" s="203"/>
      <c r="AO1167" s="203">
        <v>0</v>
      </c>
    </row>
    <row r="1168" spans="1:41" s="176" customFormat="1" ht="36" customHeight="1" x14ac:dyDescent="0.25">
      <c r="A1168" s="176">
        <v>1</v>
      </c>
      <c r="B1168" s="171">
        <f>SUBTOTAL(103,$A$1087:A1168)</f>
        <v>81</v>
      </c>
      <c r="C1168" s="172" t="s">
        <v>1682</v>
      </c>
      <c r="D1168" s="173">
        <v>1964</v>
      </c>
      <c r="E1168" s="173"/>
      <c r="F1168" s="174" t="s">
        <v>267</v>
      </c>
      <c r="G1168" s="173">
        <v>2</v>
      </c>
      <c r="H1168" s="173" t="s">
        <v>303</v>
      </c>
      <c r="I1168" s="177">
        <v>420</v>
      </c>
      <c r="J1168" s="177">
        <v>380.1</v>
      </c>
      <c r="K1168" s="177">
        <v>337</v>
      </c>
      <c r="L1168" s="206">
        <v>21</v>
      </c>
      <c r="M1168" s="173" t="s">
        <v>265</v>
      </c>
      <c r="N1168" s="173" t="s">
        <v>266</v>
      </c>
      <c r="O1168" s="175" t="s">
        <v>268</v>
      </c>
      <c r="P1168" s="170">
        <v>2564145.2799999998</v>
      </c>
      <c r="Q1168" s="170">
        <v>0</v>
      </c>
      <c r="R1168" s="170">
        <v>0</v>
      </c>
      <c r="S1168" s="170">
        <f t="shared" si="200"/>
        <v>2564145.2799999998</v>
      </c>
      <c r="T1168" s="170">
        <f t="shared" si="202"/>
        <v>6105.107809523809</v>
      </c>
      <c r="U1168" s="170">
        <v>6236.1785714285716</v>
      </c>
      <c r="V1168" s="202">
        <f t="shared" si="199"/>
        <v>131.07076190476255</v>
      </c>
      <c r="W1168" s="202">
        <f>T1168</f>
        <v>6105.107809523809</v>
      </c>
      <c r="X1168" s="202">
        <v>0</v>
      </c>
      <c r="Y1168" s="203">
        <v>0</v>
      </c>
      <c r="Z1168" s="203">
        <v>0</v>
      </c>
      <c r="AA1168" s="203">
        <v>0</v>
      </c>
      <c r="AB1168" s="203">
        <v>0</v>
      </c>
      <c r="AC1168" s="203">
        <v>0</v>
      </c>
      <c r="AD1168" s="203">
        <v>0</v>
      </c>
      <c r="AE1168" s="203">
        <v>375</v>
      </c>
      <c r="AF1168" s="202">
        <f>6436.53*AE1168/I1168</f>
        <v>5746.9017857142853</v>
      </c>
      <c r="AG1168" s="203">
        <v>0</v>
      </c>
      <c r="AH1168" s="202">
        <v>0</v>
      </c>
      <c r="AI1168" s="203">
        <v>0</v>
      </c>
      <c r="AJ1168" s="202">
        <v>0</v>
      </c>
      <c r="AK1168" s="203">
        <v>0</v>
      </c>
      <c r="AL1168" s="203">
        <v>0</v>
      </c>
      <c r="AM1168" s="203">
        <v>0</v>
      </c>
      <c r="AN1168" s="203"/>
      <c r="AO1168" s="203">
        <v>0</v>
      </c>
    </row>
    <row r="1169" spans="1:41" s="176" customFormat="1" ht="61.5" x14ac:dyDescent="0.25">
      <c r="A1169" s="176">
        <v>1</v>
      </c>
      <c r="B1169" s="171">
        <f>SUBTOTAL(103,$A$1087:A1169)</f>
        <v>82</v>
      </c>
      <c r="C1169" s="172" t="s">
        <v>475</v>
      </c>
      <c r="D1169" s="173">
        <v>1965</v>
      </c>
      <c r="E1169" s="173"/>
      <c r="F1169" s="174" t="s">
        <v>267</v>
      </c>
      <c r="G1169" s="173">
        <v>4</v>
      </c>
      <c r="H1169" s="173" t="s">
        <v>312</v>
      </c>
      <c r="I1169" s="177">
        <v>2024.1</v>
      </c>
      <c r="J1169" s="177">
        <v>1904.5</v>
      </c>
      <c r="K1169" s="177">
        <v>1691</v>
      </c>
      <c r="L1169" s="206">
        <v>86</v>
      </c>
      <c r="M1169" s="173" t="s">
        <v>265</v>
      </c>
      <c r="N1169" s="173" t="s">
        <v>269</v>
      </c>
      <c r="O1169" s="175" t="s">
        <v>340</v>
      </c>
      <c r="P1169" s="170">
        <v>3110189.0700000003</v>
      </c>
      <c r="Q1169" s="170">
        <v>0</v>
      </c>
      <c r="R1169" s="170">
        <v>0</v>
      </c>
      <c r="S1169" s="170">
        <f t="shared" si="200"/>
        <v>3110189.0700000003</v>
      </c>
      <c r="T1169" s="170">
        <f t="shared" si="202"/>
        <v>1536.5787609307843</v>
      </c>
      <c r="U1169" s="170">
        <v>1739.4308136949755</v>
      </c>
      <c r="V1169" s="202">
        <f t="shared" si="199"/>
        <v>202.85205276419128</v>
      </c>
      <c r="W1169" s="202">
        <f t="shared" si="201"/>
        <v>1686.0252803715232</v>
      </c>
      <c r="X1169" s="202">
        <v>0</v>
      </c>
      <c r="Y1169" s="203">
        <v>0</v>
      </c>
      <c r="Z1169" s="203">
        <v>0</v>
      </c>
      <c r="AA1169" s="203">
        <v>0</v>
      </c>
      <c r="AB1169" s="203">
        <v>0</v>
      </c>
      <c r="AC1169" s="203">
        <v>0</v>
      </c>
      <c r="AD1169" s="203">
        <v>0</v>
      </c>
      <c r="AE1169" s="203">
        <v>547</v>
      </c>
      <c r="AF1169" s="202">
        <f>6238.91*AE1169/I1169</f>
        <v>1686.0252803715232</v>
      </c>
      <c r="AG1169" s="203">
        <v>0</v>
      </c>
      <c r="AH1169" s="202">
        <v>0</v>
      </c>
      <c r="AI1169" s="203">
        <v>0</v>
      </c>
      <c r="AJ1169" s="202">
        <v>0</v>
      </c>
      <c r="AK1169" s="203">
        <v>0</v>
      </c>
      <c r="AL1169" s="203">
        <v>0</v>
      </c>
      <c r="AM1169" s="203">
        <v>0</v>
      </c>
      <c r="AN1169" s="203"/>
      <c r="AO1169" s="203">
        <v>0</v>
      </c>
    </row>
    <row r="1170" spans="1:41" s="176" customFormat="1" ht="36" customHeight="1" x14ac:dyDescent="0.25">
      <c r="A1170" s="176">
        <v>1</v>
      </c>
      <c r="B1170" s="171">
        <f>SUBTOTAL(103,$A$1087:A1170)</f>
        <v>83</v>
      </c>
      <c r="C1170" s="172" t="s">
        <v>476</v>
      </c>
      <c r="D1170" s="173">
        <v>1951</v>
      </c>
      <c r="E1170" s="173"/>
      <c r="F1170" s="174" t="s">
        <v>324</v>
      </c>
      <c r="G1170" s="173">
        <v>2</v>
      </c>
      <c r="H1170" s="173" t="s">
        <v>303</v>
      </c>
      <c r="I1170" s="177">
        <v>421.2</v>
      </c>
      <c r="J1170" s="177">
        <v>379.5</v>
      </c>
      <c r="K1170" s="177">
        <v>379.5</v>
      </c>
      <c r="L1170" s="206">
        <v>21</v>
      </c>
      <c r="M1170" s="173" t="s">
        <v>265</v>
      </c>
      <c r="N1170" s="173" t="s">
        <v>266</v>
      </c>
      <c r="O1170" s="175" t="s">
        <v>268</v>
      </c>
      <c r="P1170" s="170">
        <v>2521758.64</v>
      </c>
      <c r="Q1170" s="170">
        <v>0</v>
      </c>
      <c r="R1170" s="170">
        <v>0</v>
      </c>
      <c r="S1170" s="170">
        <f t="shared" si="200"/>
        <v>2521758.64</v>
      </c>
      <c r="T1170" s="170">
        <f t="shared" si="202"/>
        <v>5987.0812915479582</v>
      </c>
      <c r="U1170" s="170">
        <v>6088.7251025641026</v>
      </c>
      <c r="V1170" s="202">
        <f t="shared" si="199"/>
        <v>101.64381101614435</v>
      </c>
      <c r="W1170" s="202">
        <f t="shared" si="201"/>
        <v>6088.7251025641026</v>
      </c>
      <c r="X1170" s="202">
        <v>0</v>
      </c>
      <c r="Y1170" s="203">
        <v>0</v>
      </c>
      <c r="Z1170" s="203">
        <v>0</v>
      </c>
      <c r="AA1170" s="203">
        <v>0</v>
      </c>
      <c r="AB1170" s="203">
        <v>0</v>
      </c>
      <c r="AC1170" s="203">
        <v>0</v>
      </c>
      <c r="AD1170" s="203">
        <v>0</v>
      </c>
      <c r="AE1170" s="203">
        <v>398.44</v>
      </c>
      <c r="AF1170" s="202">
        <f>6436.53*AE1170/I1170</f>
        <v>6088.7251025641026</v>
      </c>
      <c r="AG1170" s="203">
        <v>0</v>
      </c>
      <c r="AH1170" s="202">
        <v>0</v>
      </c>
      <c r="AI1170" s="203">
        <v>0</v>
      </c>
      <c r="AJ1170" s="202">
        <v>0</v>
      </c>
      <c r="AK1170" s="203">
        <v>0</v>
      </c>
      <c r="AL1170" s="203">
        <v>0</v>
      </c>
      <c r="AM1170" s="203">
        <v>0</v>
      </c>
      <c r="AN1170" s="203"/>
      <c r="AO1170" s="203">
        <v>0</v>
      </c>
    </row>
    <row r="1171" spans="1:41" s="176" customFormat="1" ht="36" customHeight="1" x14ac:dyDescent="0.25">
      <c r="A1171" s="176">
        <v>1</v>
      </c>
      <c r="B1171" s="171">
        <f>SUBTOTAL(103,$A$1087:A1171)</f>
        <v>84</v>
      </c>
      <c r="C1171" s="172" t="s">
        <v>1580</v>
      </c>
      <c r="D1171" s="173">
        <v>1887</v>
      </c>
      <c r="E1171" s="173"/>
      <c r="F1171" s="174" t="s">
        <v>1584</v>
      </c>
      <c r="G1171" s="173">
        <v>2</v>
      </c>
      <c r="H1171" s="173" t="s">
        <v>303</v>
      </c>
      <c r="I1171" s="177">
        <v>323</v>
      </c>
      <c r="J1171" s="177">
        <v>291.7</v>
      </c>
      <c r="K1171" s="177">
        <v>291.7</v>
      </c>
      <c r="L1171" s="206">
        <v>16</v>
      </c>
      <c r="M1171" s="173" t="s">
        <v>265</v>
      </c>
      <c r="N1171" s="173" t="s">
        <v>266</v>
      </c>
      <c r="O1171" s="175" t="s">
        <v>268</v>
      </c>
      <c r="P1171" s="170">
        <v>2382311.33</v>
      </c>
      <c r="Q1171" s="170">
        <v>0</v>
      </c>
      <c r="R1171" s="170">
        <v>0</v>
      </c>
      <c r="S1171" s="170">
        <f t="shared" si="200"/>
        <v>2382311.33</v>
      </c>
      <c r="T1171" s="170">
        <f t="shared" si="202"/>
        <v>7375.5768730650161</v>
      </c>
      <c r="U1171" s="170">
        <v>8054.6298018575853</v>
      </c>
      <c r="V1171" s="202">
        <f t="shared" si="199"/>
        <v>679.05292879256922</v>
      </c>
      <c r="W1171" s="202">
        <f t="shared" si="201"/>
        <v>7807.3294798761599</v>
      </c>
      <c r="X1171" s="202">
        <v>0</v>
      </c>
      <c r="Y1171" s="203">
        <v>0</v>
      </c>
      <c r="Z1171" s="203">
        <v>0</v>
      </c>
      <c r="AA1171" s="203">
        <v>0</v>
      </c>
      <c r="AB1171" s="203">
        <v>0</v>
      </c>
      <c r="AC1171" s="203">
        <v>0</v>
      </c>
      <c r="AD1171" s="203">
        <v>0</v>
      </c>
      <c r="AE1171" s="203">
        <v>404.2</v>
      </c>
      <c r="AF1171" s="202">
        <f>6238.91*AE1171/I1171</f>
        <v>7807.3294798761599</v>
      </c>
      <c r="AG1171" s="203">
        <v>0</v>
      </c>
      <c r="AH1171" s="202">
        <v>0</v>
      </c>
      <c r="AI1171" s="203">
        <v>0</v>
      </c>
      <c r="AJ1171" s="202">
        <v>0</v>
      </c>
      <c r="AK1171" s="203">
        <v>0</v>
      </c>
      <c r="AL1171" s="203">
        <v>0</v>
      </c>
      <c r="AM1171" s="203">
        <v>0</v>
      </c>
      <c r="AN1171" s="203"/>
      <c r="AO1171" s="203">
        <v>0</v>
      </c>
    </row>
    <row r="1172" spans="1:41" s="176" customFormat="1" ht="36" customHeight="1" x14ac:dyDescent="0.25">
      <c r="B1172" s="172" t="s">
        <v>749</v>
      </c>
      <c r="C1172" s="359"/>
      <c r="D1172" s="173" t="s">
        <v>882</v>
      </c>
      <c r="E1172" s="173" t="s">
        <v>882</v>
      </c>
      <c r="F1172" s="173" t="s">
        <v>882</v>
      </c>
      <c r="G1172" s="173" t="s">
        <v>882</v>
      </c>
      <c r="H1172" s="173" t="s">
        <v>882</v>
      </c>
      <c r="I1172" s="177">
        <f>SUM(I1173:I1196)</f>
        <v>38453.350000000006</v>
      </c>
      <c r="J1172" s="177">
        <f>SUM(J1173:J1196)</f>
        <v>34732.06</v>
      </c>
      <c r="K1172" s="177">
        <f>SUM(K1173:K1196)</f>
        <v>30984</v>
      </c>
      <c r="L1172" s="357">
        <f>SUM(L1173:L1196)</f>
        <v>1662</v>
      </c>
      <c r="M1172" s="173" t="s">
        <v>882</v>
      </c>
      <c r="N1172" s="173" t="s">
        <v>882</v>
      </c>
      <c r="O1172" s="175" t="s">
        <v>882</v>
      </c>
      <c r="P1172" s="177">
        <v>79793906.129999995</v>
      </c>
      <c r="Q1172" s="177">
        <f>SUM(Q1173:Q1196)</f>
        <v>0</v>
      </c>
      <c r="R1172" s="177">
        <f>SUM(R1173:R1196)</f>
        <v>0</v>
      </c>
      <c r="S1172" s="177">
        <f>SUM(S1173:S1196)</f>
        <v>79793906.129999995</v>
      </c>
      <c r="T1172" s="170">
        <f t="shared" si="202"/>
        <v>2075.0833446240699</v>
      </c>
      <c r="U1172" s="170">
        <f>MAX(U1173:U1196)</f>
        <v>6200.5686346960856</v>
      </c>
      <c r="V1172" s="202">
        <f t="shared" si="199"/>
        <v>4125.4852900720161</v>
      </c>
      <c r="W1172" s="202"/>
      <c r="X1172" s="202"/>
      <c r="Y1172" s="203"/>
      <c r="Z1172" s="203"/>
      <c r="AA1172" s="203"/>
      <c r="AB1172" s="203"/>
      <c r="AC1172" s="203"/>
      <c r="AD1172" s="203"/>
      <c r="AE1172" s="203"/>
      <c r="AF1172" s="203"/>
      <c r="AG1172" s="203"/>
      <c r="AH1172" s="203"/>
      <c r="AI1172" s="203"/>
      <c r="AJ1172" s="203"/>
      <c r="AK1172" s="203"/>
      <c r="AL1172" s="203"/>
      <c r="AM1172" s="203"/>
      <c r="AN1172" s="203"/>
      <c r="AO1172" s="203"/>
    </row>
    <row r="1173" spans="1:41" s="176" customFormat="1" ht="36" customHeight="1" x14ac:dyDescent="0.25">
      <c r="A1173" s="176">
        <v>1</v>
      </c>
      <c r="B1173" s="171">
        <f>SUBTOTAL(103,$A$1087:A1173)</f>
        <v>85</v>
      </c>
      <c r="C1173" s="172" t="s">
        <v>421</v>
      </c>
      <c r="D1173" s="173">
        <v>1959</v>
      </c>
      <c r="E1173" s="173"/>
      <c r="F1173" s="174" t="s">
        <v>267</v>
      </c>
      <c r="G1173" s="173">
        <v>3</v>
      </c>
      <c r="H1173" s="173" t="s">
        <v>308</v>
      </c>
      <c r="I1173" s="177">
        <v>2102.6</v>
      </c>
      <c r="J1173" s="177">
        <v>1922.7</v>
      </c>
      <c r="K1173" s="177">
        <v>1915.7</v>
      </c>
      <c r="L1173" s="206">
        <v>71</v>
      </c>
      <c r="M1173" s="173" t="s">
        <v>265</v>
      </c>
      <c r="N1173" s="173" t="s">
        <v>269</v>
      </c>
      <c r="O1173" s="175" t="s">
        <v>325</v>
      </c>
      <c r="P1173" s="170">
        <v>4487224.8899999997</v>
      </c>
      <c r="Q1173" s="170">
        <v>0</v>
      </c>
      <c r="R1173" s="170">
        <v>0</v>
      </c>
      <c r="S1173" s="170">
        <f t="shared" ref="S1173:S1196" si="203">P1173-Q1173-R1173</f>
        <v>4487224.8899999997</v>
      </c>
      <c r="T1173" s="170">
        <f t="shared" si="202"/>
        <v>2134.1314990963569</v>
      </c>
      <c r="U1173" s="170">
        <v>2846.9385047084561</v>
      </c>
      <c r="V1173" s="202">
        <f t="shared" si="199"/>
        <v>712.80700561209915</v>
      </c>
      <c r="W1173" s="202">
        <f t="shared" ref="W1173:W1196" si="204">X1173+Y1173+Z1173+AA1173+AB1173+AD1173+AF1173+AH1173+AJ1173+AL1173+AN1173+AO1173</f>
        <v>2759.529297060782</v>
      </c>
      <c r="X1173" s="202">
        <v>0</v>
      </c>
      <c r="Y1173" s="203">
        <v>0</v>
      </c>
      <c r="Z1173" s="203">
        <v>0</v>
      </c>
      <c r="AA1173" s="203">
        <v>0</v>
      </c>
      <c r="AB1173" s="203">
        <v>0</v>
      </c>
      <c r="AC1173" s="203">
        <v>0</v>
      </c>
      <c r="AD1173" s="203">
        <v>0</v>
      </c>
      <c r="AE1173" s="203">
        <v>930</v>
      </c>
      <c r="AF1173" s="202">
        <f>6238.91*AE1173/I1173</f>
        <v>2759.529297060782</v>
      </c>
      <c r="AG1173" s="203">
        <v>0</v>
      </c>
      <c r="AH1173" s="202">
        <v>0</v>
      </c>
      <c r="AI1173" s="203">
        <v>0</v>
      </c>
      <c r="AJ1173" s="202">
        <v>0</v>
      </c>
      <c r="AK1173" s="203">
        <v>0</v>
      </c>
      <c r="AL1173" s="203">
        <v>0</v>
      </c>
      <c r="AM1173" s="203">
        <v>0</v>
      </c>
      <c r="AN1173" s="203"/>
      <c r="AO1173" s="203">
        <v>0</v>
      </c>
    </row>
    <row r="1174" spans="1:41" s="176" customFormat="1" ht="36" customHeight="1" x14ac:dyDescent="0.25">
      <c r="A1174" s="176">
        <v>1</v>
      </c>
      <c r="B1174" s="171">
        <f>SUBTOTAL(103,$A$1087:A1174)</f>
        <v>86</v>
      </c>
      <c r="C1174" s="172" t="s">
        <v>422</v>
      </c>
      <c r="D1174" s="173">
        <v>1989</v>
      </c>
      <c r="E1174" s="173"/>
      <c r="F1174" s="174" t="s">
        <v>267</v>
      </c>
      <c r="G1174" s="173">
        <v>5</v>
      </c>
      <c r="H1174" s="173" t="s">
        <v>312</v>
      </c>
      <c r="I1174" s="177">
        <v>2042.1</v>
      </c>
      <c r="J1174" s="177">
        <v>1817.7</v>
      </c>
      <c r="K1174" s="177">
        <v>1675.9</v>
      </c>
      <c r="L1174" s="206">
        <v>83</v>
      </c>
      <c r="M1174" s="173" t="s">
        <v>265</v>
      </c>
      <c r="N1174" s="173" t="s">
        <v>269</v>
      </c>
      <c r="O1174" s="175" t="s">
        <v>981</v>
      </c>
      <c r="P1174" s="170">
        <v>3810770.28</v>
      </c>
      <c r="Q1174" s="170">
        <v>0</v>
      </c>
      <c r="R1174" s="170">
        <v>0</v>
      </c>
      <c r="S1174" s="170">
        <f t="shared" si="203"/>
        <v>3810770.28</v>
      </c>
      <c r="T1174" s="170">
        <f t="shared" si="202"/>
        <v>1866.1036579991185</v>
      </c>
      <c r="U1174" s="170">
        <v>4074.7</v>
      </c>
      <c r="V1174" s="202">
        <f t="shared" si="199"/>
        <v>2208.5963420008811</v>
      </c>
      <c r="W1174" s="202">
        <f t="shared" si="204"/>
        <v>1814.755663287792</v>
      </c>
      <c r="X1174" s="202">
        <v>0</v>
      </c>
      <c r="Y1174" s="203">
        <v>0</v>
      </c>
      <c r="Z1174" s="203">
        <v>0</v>
      </c>
      <c r="AA1174" s="203">
        <v>0</v>
      </c>
      <c r="AB1174" s="203">
        <v>0</v>
      </c>
      <c r="AC1174" s="203">
        <v>0</v>
      </c>
      <c r="AD1174" s="203">
        <v>0</v>
      </c>
      <c r="AE1174" s="203">
        <v>594</v>
      </c>
      <c r="AF1174" s="202">
        <f>6238.91*AE1174/I1174</f>
        <v>1814.755663287792</v>
      </c>
      <c r="AG1174" s="203">
        <v>0</v>
      </c>
      <c r="AH1174" s="202">
        <v>0</v>
      </c>
      <c r="AI1174" s="203">
        <v>0</v>
      </c>
      <c r="AJ1174" s="202">
        <v>0</v>
      </c>
      <c r="AK1174" s="203">
        <v>0</v>
      </c>
      <c r="AL1174" s="203">
        <v>0</v>
      </c>
      <c r="AM1174" s="203">
        <v>0</v>
      </c>
      <c r="AN1174" s="203"/>
      <c r="AO1174" s="203">
        <v>0</v>
      </c>
    </row>
    <row r="1175" spans="1:41" s="176" customFormat="1" ht="36" customHeight="1" x14ac:dyDescent="0.25">
      <c r="A1175" s="176">
        <v>1</v>
      </c>
      <c r="B1175" s="171">
        <f>SUBTOTAL(103,$A$1087:A1175)</f>
        <v>87</v>
      </c>
      <c r="C1175" s="172" t="s">
        <v>423</v>
      </c>
      <c r="D1175" s="173">
        <v>1972</v>
      </c>
      <c r="E1175" s="173"/>
      <c r="F1175" s="174" t="s">
        <v>267</v>
      </c>
      <c r="G1175" s="173">
        <v>5</v>
      </c>
      <c r="H1175" s="173" t="s">
        <v>308</v>
      </c>
      <c r="I1175" s="177">
        <v>3577.12</v>
      </c>
      <c r="J1175" s="177">
        <v>3306.9</v>
      </c>
      <c r="K1175" s="177">
        <v>2940.98</v>
      </c>
      <c r="L1175" s="206">
        <v>152</v>
      </c>
      <c r="M1175" s="173" t="s">
        <v>265</v>
      </c>
      <c r="N1175" s="173" t="s">
        <v>269</v>
      </c>
      <c r="O1175" s="175" t="s">
        <v>328</v>
      </c>
      <c r="P1175" s="170">
        <v>5394319.6899999995</v>
      </c>
      <c r="Q1175" s="170">
        <v>0</v>
      </c>
      <c r="R1175" s="170">
        <v>0</v>
      </c>
      <c r="S1175" s="170">
        <f t="shared" si="203"/>
        <v>5394319.6899999995</v>
      </c>
      <c r="T1175" s="170">
        <f t="shared" si="202"/>
        <v>1508.0063542738292</v>
      </c>
      <c r="U1175" s="170">
        <v>2011.6855291407614</v>
      </c>
      <c r="V1175" s="202">
        <f t="shared" si="199"/>
        <v>503.67917486693227</v>
      </c>
      <c r="W1175" s="202">
        <f t="shared" si="204"/>
        <v>1949.9209923066601</v>
      </c>
      <c r="X1175" s="202">
        <v>0</v>
      </c>
      <c r="Y1175" s="203">
        <v>0</v>
      </c>
      <c r="Z1175" s="203">
        <v>0</v>
      </c>
      <c r="AA1175" s="203">
        <v>0</v>
      </c>
      <c r="AB1175" s="203">
        <v>0</v>
      </c>
      <c r="AC1175" s="203">
        <v>0</v>
      </c>
      <c r="AD1175" s="203">
        <v>0</v>
      </c>
      <c r="AE1175" s="203">
        <v>1118</v>
      </c>
      <c r="AF1175" s="202">
        <f>6238.91*AE1175/I1175</f>
        <v>1949.9209923066601</v>
      </c>
      <c r="AG1175" s="203">
        <v>0</v>
      </c>
      <c r="AH1175" s="202">
        <v>0</v>
      </c>
      <c r="AI1175" s="203">
        <v>0</v>
      </c>
      <c r="AJ1175" s="202">
        <v>0</v>
      </c>
      <c r="AK1175" s="203">
        <v>0</v>
      </c>
      <c r="AL1175" s="203">
        <v>0</v>
      </c>
      <c r="AM1175" s="203">
        <v>0</v>
      </c>
      <c r="AN1175" s="203"/>
      <c r="AO1175" s="203">
        <v>0</v>
      </c>
    </row>
    <row r="1176" spans="1:41" s="176" customFormat="1" ht="36" customHeight="1" x14ac:dyDescent="0.25">
      <c r="A1176" s="176">
        <v>1</v>
      </c>
      <c r="B1176" s="171">
        <f>SUBTOTAL(103,$A$1087:A1176)</f>
        <v>88</v>
      </c>
      <c r="C1176" s="172" t="s">
        <v>424</v>
      </c>
      <c r="D1176" s="173">
        <v>1955</v>
      </c>
      <c r="E1176" s="173"/>
      <c r="F1176" s="174" t="s">
        <v>267</v>
      </c>
      <c r="G1176" s="173">
        <v>2</v>
      </c>
      <c r="H1176" s="173" t="s">
        <v>312</v>
      </c>
      <c r="I1176" s="177">
        <v>1501.5</v>
      </c>
      <c r="J1176" s="177">
        <v>1386.8</v>
      </c>
      <c r="K1176" s="177">
        <v>1250.54</v>
      </c>
      <c r="L1176" s="206">
        <v>46</v>
      </c>
      <c r="M1176" s="173" t="s">
        <v>265</v>
      </c>
      <c r="N1176" s="173" t="s">
        <v>269</v>
      </c>
      <c r="O1176" s="175" t="s">
        <v>328</v>
      </c>
      <c r="P1176" s="170">
        <v>5949950</v>
      </c>
      <c r="Q1176" s="170">
        <v>0</v>
      </c>
      <c r="R1176" s="170">
        <v>0</v>
      </c>
      <c r="S1176" s="170">
        <f t="shared" si="203"/>
        <v>5949950</v>
      </c>
      <c r="T1176" s="170">
        <f t="shared" si="202"/>
        <v>3962.6706626706628</v>
      </c>
      <c r="U1176" s="170">
        <v>5202.1678321678319</v>
      </c>
      <c r="V1176" s="202">
        <f t="shared" si="199"/>
        <v>1239.4971694971691</v>
      </c>
      <c r="W1176" s="202">
        <f t="shared" si="204"/>
        <v>5202.1678321678319</v>
      </c>
      <c r="X1176" s="202">
        <v>0</v>
      </c>
      <c r="Y1176" s="203">
        <v>0</v>
      </c>
      <c r="Z1176" s="203">
        <v>0</v>
      </c>
      <c r="AA1176" s="203">
        <v>0</v>
      </c>
      <c r="AB1176" s="203">
        <v>0</v>
      </c>
      <c r="AC1176" s="203">
        <v>0</v>
      </c>
      <c r="AD1176" s="203">
        <v>0</v>
      </c>
      <c r="AE1176" s="203">
        <v>0</v>
      </c>
      <c r="AF1176" s="202">
        <v>0</v>
      </c>
      <c r="AG1176" s="203">
        <v>0</v>
      </c>
      <c r="AH1176" s="202">
        <v>0</v>
      </c>
      <c r="AI1176" s="203">
        <v>1050</v>
      </c>
      <c r="AJ1176" s="202">
        <f>7439.1*AI1176/I1176</f>
        <v>5202.1678321678319</v>
      </c>
      <c r="AK1176" s="203">
        <v>0</v>
      </c>
      <c r="AL1176" s="203">
        <v>0</v>
      </c>
      <c r="AM1176" s="203">
        <v>0</v>
      </c>
      <c r="AN1176" s="203"/>
      <c r="AO1176" s="203">
        <v>0</v>
      </c>
    </row>
    <row r="1177" spans="1:41" s="176" customFormat="1" ht="36" customHeight="1" x14ac:dyDescent="0.25">
      <c r="A1177" s="176">
        <v>1</v>
      </c>
      <c r="B1177" s="171">
        <f>SUBTOTAL(103,$A$1087:A1177)</f>
        <v>89</v>
      </c>
      <c r="C1177" s="172" t="s">
        <v>417</v>
      </c>
      <c r="D1177" s="173">
        <v>1846</v>
      </c>
      <c r="E1177" s="173"/>
      <c r="F1177" s="174" t="s">
        <v>267</v>
      </c>
      <c r="G1177" s="173">
        <v>2</v>
      </c>
      <c r="H1177" s="173" t="s">
        <v>304</v>
      </c>
      <c r="I1177" s="177">
        <v>378.89</v>
      </c>
      <c r="J1177" s="177">
        <v>325.39999999999998</v>
      </c>
      <c r="K1177" s="177">
        <v>325.39999999999998</v>
      </c>
      <c r="L1177" s="206">
        <v>17</v>
      </c>
      <c r="M1177" s="173" t="s">
        <v>265</v>
      </c>
      <c r="N1177" s="173" t="s">
        <v>266</v>
      </c>
      <c r="O1177" s="175" t="s">
        <v>268</v>
      </c>
      <c r="P1177" s="170">
        <v>2345314.9499999997</v>
      </c>
      <c r="Q1177" s="170">
        <v>0</v>
      </c>
      <c r="R1177" s="170">
        <v>0</v>
      </c>
      <c r="S1177" s="170">
        <f t="shared" si="203"/>
        <v>2345314.9499999997</v>
      </c>
      <c r="T1177" s="170">
        <f t="shared" si="202"/>
        <v>6189.9626540684631</v>
      </c>
      <c r="U1177" s="170">
        <v>6200.5686346960856</v>
      </c>
      <c r="V1177" s="202">
        <f t="shared" si="199"/>
        <v>10.605980627622557</v>
      </c>
      <c r="W1177" s="202">
        <f t="shared" si="204"/>
        <v>12086.251788117923</v>
      </c>
      <c r="X1177" s="202">
        <v>0</v>
      </c>
      <c r="Y1177" s="203">
        <v>0</v>
      </c>
      <c r="Z1177" s="203">
        <v>0</v>
      </c>
      <c r="AA1177" s="203">
        <v>0</v>
      </c>
      <c r="AB1177" s="203">
        <v>0</v>
      </c>
      <c r="AC1177" s="203">
        <v>0</v>
      </c>
      <c r="AD1177" s="203">
        <v>0</v>
      </c>
      <c r="AE1177" s="203">
        <v>734</v>
      </c>
      <c r="AF1177" s="202">
        <f>6238.91*AE1177/I1177</f>
        <v>12086.251788117923</v>
      </c>
      <c r="AG1177" s="203">
        <v>0</v>
      </c>
      <c r="AH1177" s="202">
        <v>0</v>
      </c>
      <c r="AI1177" s="203">
        <v>0</v>
      </c>
      <c r="AJ1177" s="202">
        <v>0</v>
      </c>
      <c r="AK1177" s="203">
        <v>0</v>
      </c>
      <c r="AL1177" s="203">
        <v>0</v>
      </c>
      <c r="AM1177" s="203">
        <v>0</v>
      </c>
      <c r="AN1177" s="203"/>
      <c r="AO1177" s="203">
        <v>0</v>
      </c>
    </row>
    <row r="1178" spans="1:41" s="176" customFormat="1" ht="36" customHeight="1" x14ac:dyDescent="0.25">
      <c r="A1178" s="176">
        <v>1</v>
      </c>
      <c r="B1178" s="171">
        <f>SUBTOTAL(103,$A$1087:A1178)</f>
        <v>90</v>
      </c>
      <c r="C1178" s="172" t="s">
        <v>426</v>
      </c>
      <c r="D1178" s="173">
        <v>1969</v>
      </c>
      <c r="E1178" s="173"/>
      <c r="F1178" s="174" t="s">
        <v>267</v>
      </c>
      <c r="G1178" s="173">
        <v>5</v>
      </c>
      <c r="H1178" s="173" t="s">
        <v>370</v>
      </c>
      <c r="I1178" s="177">
        <v>4890.1099999999997</v>
      </c>
      <c r="J1178" s="177">
        <v>4490.3999999999996</v>
      </c>
      <c r="K1178" s="177">
        <v>4177.2300000000005</v>
      </c>
      <c r="L1178" s="206">
        <v>210</v>
      </c>
      <c r="M1178" s="173" t="s">
        <v>265</v>
      </c>
      <c r="N1178" s="173" t="s">
        <v>269</v>
      </c>
      <c r="O1178" s="175" t="s">
        <v>321</v>
      </c>
      <c r="P1178" s="170">
        <v>8270003.5300000003</v>
      </c>
      <c r="Q1178" s="170">
        <v>0</v>
      </c>
      <c r="R1178" s="170">
        <v>0</v>
      </c>
      <c r="S1178" s="170">
        <f t="shared" si="203"/>
        <v>8270003.5300000003</v>
      </c>
      <c r="T1178" s="170">
        <f t="shared" si="202"/>
        <v>1691.1692231872087</v>
      </c>
      <c r="U1178" s="170">
        <v>2256.025410471339</v>
      </c>
      <c r="V1178" s="202">
        <f t="shared" si="199"/>
        <v>564.85618728413033</v>
      </c>
      <c r="W1178" s="202">
        <f t="shared" si="204"/>
        <v>2186.7589358930577</v>
      </c>
      <c r="X1178" s="202">
        <v>0</v>
      </c>
      <c r="Y1178" s="203">
        <v>0</v>
      </c>
      <c r="Z1178" s="203">
        <v>0</v>
      </c>
      <c r="AA1178" s="203">
        <v>0</v>
      </c>
      <c r="AB1178" s="203">
        <v>0</v>
      </c>
      <c r="AC1178" s="203">
        <v>0</v>
      </c>
      <c r="AD1178" s="203">
        <v>0</v>
      </c>
      <c r="AE1178" s="203">
        <v>1714</v>
      </c>
      <c r="AF1178" s="202">
        <f>6238.91*AE1178/I1178</f>
        <v>2186.7589358930577</v>
      </c>
      <c r="AG1178" s="203">
        <v>0</v>
      </c>
      <c r="AH1178" s="202">
        <v>0</v>
      </c>
      <c r="AI1178" s="203">
        <v>0</v>
      </c>
      <c r="AJ1178" s="202">
        <v>0</v>
      </c>
      <c r="AK1178" s="203">
        <v>0</v>
      </c>
      <c r="AL1178" s="203">
        <v>0</v>
      </c>
      <c r="AM1178" s="203">
        <v>0</v>
      </c>
      <c r="AN1178" s="203"/>
      <c r="AO1178" s="203">
        <v>0</v>
      </c>
    </row>
    <row r="1179" spans="1:41" s="176" customFormat="1" ht="36" customHeight="1" x14ac:dyDescent="0.25">
      <c r="A1179" s="176">
        <v>1</v>
      </c>
      <c r="B1179" s="171">
        <f>SUBTOTAL(103,$A$1087:A1179)</f>
        <v>91</v>
      </c>
      <c r="C1179" s="172" t="s">
        <v>427</v>
      </c>
      <c r="D1179" s="173">
        <v>1961</v>
      </c>
      <c r="E1179" s="173"/>
      <c r="F1179" s="174" t="s">
        <v>267</v>
      </c>
      <c r="G1179" s="173">
        <v>2</v>
      </c>
      <c r="H1179" s="173" t="s">
        <v>303</v>
      </c>
      <c r="I1179" s="177">
        <v>824.04</v>
      </c>
      <c r="J1179" s="177">
        <v>777.74</v>
      </c>
      <c r="K1179" s="177">
        <v>728.73</v>
      </c>
      <c r="L1179" s="206">
        <v>37</v>
      </c>
      <c r="M1179" s="173" t="s">
        <v>265</v>
      </c>
      <c r="N1179" s="173" t="s">
        <v>269</v>
      </c>
      <c r="O1179" s="175" t="s">
        <v>325</v>
      </c>
      <c r="P1179" s="170">
        <v>2894983.73</v>
      </c>
      <c r="Q1179" s="170">
        <v>0</v>
      </c>
      <c r="R1179" s="170">
        <v>0</v>
      </c>
      <c r="S1179" s="170">
        <f t="shared" si="203"/>
        <v>2894983.73</v>
      </c>
      <c r="T1179" s="170">
        <f t="shared" si="202"/>
        <v>3513.1592277073928</v>
      </c>
      <c r="U1179" s="170">
        <v>4686.5661861074705</v>
      </c>
      <c r="V1179" s="202">
        <f t="shared" si="199"/>
        <v>1173.4069584000777</v>
      </c>
      <c r="W1179" s="202">
        <f t="shared" si="204"/>
        <v>4542.6751128585993</v>
      </c>
      <c r="X1179" s="202">
        <v>0</v>
      </c>
      <c r="Y1179" s="203">
        <v>0</v>
      </c>
      <c r="Z1179" s="203">
        <v>0</v>
      </c>
      <c r="AA1179" s="203">
        <v>0</v>
      </c>
      <c r="AB1179" s="203">
        <v>0</v>
      </c>
      <c r="AC1179" s="203">
        <v>0</v>
      </c>
      <c r="AD1179" s="203">
        <v>0</v>
      </c>
      <c r="AE1179" s="203">
        <v>600</v>
      </c>
      <c r="AF1179" s="202">
        <f>6238.91*AE1179/I1179</f>
        <v>4542.6751128585993</v>
      </c>
      <c r="AG1179" s="203">
        <v>0</v>
      </c>
      <c r="AH1179" s="202">
        <v>0</v>
      </c>
      <c r="AI1179" s="203">
        <v>0</v>
      </c>
      <c r="AJ1179" s="202">
        <v>0</v>
      </c>
      <c r="AK1179" s="203">
        <v>0</v>
      </c>
      <c r="AL1179" s="203">
        <v>0</v>
      </c>
      <c r="AM1179" s="203">
        <v>0</v>
      </c>
      <c r="AN1179" s="203"/>
      <c r="AO1179" s="203">
        <v>0</v>
      </c>
    </row>
    <row r="1180" spans="1:41" s="176" customFormat="1" ht="36" customHeight="1" x14ac:dyDescent="0.25">
      <c r="A1180" s="176">
        <v>1</v>
      </c>
      <c r="B1180" s="171">
        <f>SUBTOTAL(103,$A$1087:A1180)</f>
        <v>92</v>
      </c>
      <c r="C1180" s="172" t="s">
        <v>1685</v>
      </c>
      <c r="D1180" s="173">
        <v>1980</v>
      </c>
      <c r="E1180" s="173"/>
      <c r="F1180" s="174" t="s">
        <v>267</v>
      </c>
      <c r="G1180" s="173">
        <v>5</v>
      </c>
      <c r="H1180" s="173" t="s">
        <v>303</v>
      </c>
      <c r="I1180" s="177">
        <v>1589.4</v>
      </c>
      <c r="J1180" s="177">
        <v>1176.4000000000001</v>
      </c>
      <c r="K1180" s="177">
        <v>1117.8000000000002</v>
      </c>
      <c r="L1180" s="206">
        <v>61</v>
      </c>
      <c r="M1180" s="173" t="s">
        <v>265</v>
      </c>
      <c r="N1180" s="173" t="s">
        <v>269</v>
      </c>
      <c r="O1180" s="175" t="s">
        <v>325</v>
      </c>
      <c r="P1180" s="170">
        <v>1688740.51</v>
      </c>
      <c r="Q1180" s="170">
        <v>0</v>
      </c>
      <c r="R1180" s="170">
        <v>0</v>
      </c>
      <c r="S1180" s="170">
        <f t="shared" si="203"/>
        <v>1688740.51</v>
      </c>
      <c r="T1180" s="170">
        <f t="shared" si="202"/>
        <v>1062.5018937964012</v>
      </c>
      <c r="U1180" s="170">
        <v>1417.3810872027179</v>
      </c>
      <c r="V1180" s="202">
        <f t="shared" si="199"/>
        <v>354.87919340631674</v>
      </c>
      <c r="W1180" s="202">
        <f t="shared" si="204"/>
        <v>1373.8634075751854</v>
      </c>
      <c r="X1180" s="202">
        <v>0</v>
      </c>
      <c r="Y1180" s="203">
        <v>0</v>
      </c>
      <c r="Z1180" s="203">
        <v>0</v>
      </c>
      <c r="AA1180" s="203">
        <v>0</v>
      </c>
      <c r="AB1180" s="203">
        <v>0</v>
      </c>
      <c r="AC1180" s="203">
        <v>0</v>
      </c>
      <c r="AD1180" s="203">
        <v>0</v>
      </c>
      <c r="AE1180" s="203">
        <v>350</v>
      </c>
      <c r="AF1180" s="202">
        <f>6238.91*AE1180/I1180</f>
        <v>1373.8634075751854</v>
      </c>
      <c r="AG1180" s="203">
        <v>0</v>
      </c>
      <c r="AH1180" s="202">
        <v>0</v>
      </c>
      <c r="AI1180" s="203">
        <v>0</v>
      </c>
      <c r="AJ1180" s="202">
        <v>0</v>
      </c>
      <c r="AK1180" s="203">
        <v>0</v>
      </c>
      <c r="AL1180" s="203">
        <v>0</v>
      </c>
      <c r="AM1180" s="203">
        <v>0</v>
      </c>
      <c r="AN1180" s="203"/>
      <c r="AO1180" s="203">
        <v>0</v>
      </c>
    </row>
    <row r="1181" spans="1:41" s="176" customFormat="1" ht="36" customHeight="1" x14ac:dyDescent="0.25">
      <c r="A1181" s="176">
        <v>1</v>
      </c>
      <c r="B1181" s="171">
        <f>SUBTOTAL(103,$A$1087:A1181)</f>
        <v>93</v>
      </c>
      <c r="C1181" s="172" t="s">
        <v>204</v>
      </c>
      <c r="D1181" s="173">
        <v>1983</v>
      </c>
      <c r="E1181" s="173"/>
      <c r="F1181" s="174" t="s">
        <v>267</v>
      </c>
      <c r="G1181" s="173">
        <v>5</v>
      </c>
      <c r="H1181" s="173" t="s">
        <v>308</v>
      </c>
      <c r="I1181" s="177">
        <v>3097.1</v>
      </c>
      <c r="J1181" s="177">
        <v>2812.2</v>
      </c>
      <c r="K1181" s="177">
        <v>2810.6</v>
      </c>
      <c r="L1181" s="206">
        <v>133</v>
      </c>
      <c r="M1181" s="173" t="s">
        <v>265</v>
      </c>
      <c r="N1181" s="173" t="s">
        <v>269</v>
      </c>
      <c r="O1181" s="175" t="s">
        <v>981</v>
      </c>
      <c r="P1181" s="170">
        <v>4821497.92</v>
      </c>
      <c r="Q1181" s="170">
        <v>0</v>
      </c>
      <c r="R1181" s="170">
        <v>0</v>
      </c>
      <c r="S1181" s="170">
        <f t="shared" si="203"/>
        <v>4821497.92</v>
      </c>
      <c r="T1181" s="170">
        <f t="shared" si="202"/>
        <v>1556.7782506215492</v>
      </c>
      <c r="U1181" s="170">
        <v>2076.1659197313616</v>
      </c>
      <c r="V1181" s="202">
        <f t="shared" si="199"/>
        <v>519.38766910981235</v>
      </c>
      <c r="W1181" s="202">
        <f t="shared" si="204"/>
        <v>2012.4216492848147</v>
      </c>
      <c r="X1181" s="202">
        <v>0</v>
      </c>
      <c r="Y1181" s="203">
        <v>0</v>
      </c>
      <c r="Z1181" s="203">
        <v>0</v>
      </c>
      <c r="AA1181" s="203">
        <v>0</v>
      </c>
      <c r="AB1181" s="203">
        <v>0</v>
      </c>
      <c r="AC1181" s="203">
        <v>0</v>
      </c>
      <c r="AD1181" s="203">
        <v>0</v>
      </c>
      <c r="AE1181" s="203">
        <v>999</v>
      </c>
      <c r="AF1181" s="202">
        <f>6238.91*AE1181/I1181</f>
        <v>2012.4216492848147</v>
      </c>
      <c r="AG1181" s="203">
        <v>0</v>
      </c>
      <c r="AH1181" s="202">
        <v>0</v>
      </c>
      <c r="AI1181" s="203">
        <v>0</v>
      </c>
      <c r="AJ1181" s="202">
        <v>0</v>
      </c>
      <c r="AK1181" s="203">
        <v>0</v>
      </c>
      <c r="AL1181" s="203">
        <v>0</v>
      </c>
      <c r="AM1181" s="203">
        <v>0</v>
      </c>
      <c r="AN1181" s="203"/>
      <c r="AO1181" s="203">
        <v>0</v>
      </c>
    </row>
    <row r="1182" spans="1:41" s="176" customFormat="1" ht="36" customHeight="1" x14ac:dyDescent="0.25">
      <c r="A1182" s="176">
        <v>1</v>
      </c>
      <c r="B1182" s="171">
        <f>SUBTOTAL(103,$A$1087:A1182)</f>
        <v>94</v>
      </c>
      <c r="C1182" s="172" t="s">
        <v>205</v>
      </c>
      <c r="D1182" s="173">
        <v>1963</v>
      </c>
      <c r="E1182" s="173"/>
      <c r="F1182" s="174" t="s">
        <v>267</v>
      </c>
      <c r="G1182" s="173">
        <v>2</v>
      </c>
      <c r="H1182" s="173" t="s">
        <v>303</v>
      </c>
      <c r="I1182" s="177">
        <v>444.9</v>
      </c>
      <c r="J1182" s="177">
        <v>444.9</v>
      </c>
      <c r="K1182" s="177">
        <v>442.2</v>
      </c>
      <c r="L1182" s="206">
        <v>17</v>
      </c>
      <c r="M1182" s="173" t="s">
        <v>265</v>
      </c>
      <c r="N1182" s="173" t="s">
        <v>269</v>
      </c>
      <c r="O1182" s="175" t="s">
        <v>326</v>
      </c>
      <c r="P1182" s="170">
        <v>527907</v>
      </c>
      <c r="Q1182" s="170">
        <v>0</v>
      </c>
      <c r="R1182" s="170">
        <v>0</v>
      </c>
      <c r="S1182" s="170">
        <f t="shared" si="203"/>
        <v>527907</v>
      </c>
      <c r="T1182" s="170">
        <f t="shared" si="202"/>
        <v>1186.5745111260958</v>
      </c>
      <c r="U1182" s="170">
        <v>1186.5745111260958</v>
      </c>
      <c r="V1182" s="202">
        <f t="shared" si="199"/>
        <v>0</v>
      </c>
      <c r="W1182" s="202">
        <f>T1182</f>
        <v>1186.5745111260958</v>
      </c>
      <c r="X1182" s="202">
        <v>0</v>
      </c>
      <c r="Y1182" s="203">
        <v>0</v>
      </c>
      <c r="Z1182" s="203">
        <v>0</v>
      </c>
      <c r="AA1182" s="203">
        <v>0</v>
      </c>
      <c r="AB1182" s="203">
        <v>810.46</v>
      </c>
      <c r="AC1182" s="203">
        <v>0</v>
      </c>
      <c r="AD1182" s="203">
        <v>0</v>
      </c>
      <c r="AE1182" s="203">
        <v>0</v>
      </c>
      <c r="AF1182" s="202">
        <v>0</v>
      </c>
      <c r="AG1182" s="203">
        <v>0</v>
      </c>
      <c r="AH1182" s="202">
        <v>0</v>
      </c>
      <c r="AI1182" s="203">
        <v>0</v>
      </c>
      <c r="AJ1182" s="202">
        <v>0</v>
      </c>
      <c r="AK1182" s="203">
        <v>0</v>
      </c>
      <c r="AL1182" s="203">
        <v>0</v>
      </c>
      <c r="AM1182" s="203">
        <v>0</v>
      </c>
      <c r="AN1182" s="203"/>
      <c r="AO1182" s="203">
        <v>0</v>
      </c>
    </row>
    <row r="1183" spans="1:41" s="176" customFormat="1" ht="36" customHeight="1" x14ac:dyDescent="0.25">
      <c r="A1183" s="176">
        <v>1</v>
      </c>
      <c r="B1183" s="171">
        <f>SUBTOTAL(103,$A$1087:A1183)</f>
        <v>95</v>
      </c>
      <c r="C1183" s="172" t="s">
        <v>206</v>
      </c>
      <c r="D1183" s="173">
        <v>1969</v>
      </c>
      <c r="E1183" s="173"/>
      <c r="F1183" s="174" t="s">
        <v>267</v>
      </c>
      <c r="G1183" s="173">
        <v>2</v>
      </c>
      <c r="H1183" s="173" t="s">
        <v>303</v>
      </c>
      <c r="I1183" s="177">
        <v>589.1</v>
      </c>
      <c r="J1183" s="177">
        <v>589.1</v>
      </c>
      <c r="K1183" s="177">
        <v>537.5</v>
      </c>
      <c r="L1183" s="206">
        <v>31</v>
      </c>
      <c r="M1183" s="173" t="s">
        <v>265</v>
      </c>
      <c r="N1183" s="173" t="s">
        <v>269</v>
      </c>
      <c r="O1183" s="175" t="s">
        <v>326</v>
      </c>
      <c r="P1183" s="170">
        <v>702281</v>
      </c>
      <c r="Q1183" s="170">
        <v>0</v>
      </c>
      <c r="R1183" s="170">
        <v>0</v>
      </c>
      <c r="S1183" s="170">
        <f t="shared" si="203"/>
        <v>702281</v>
      </c>
      <c r="T1183" s="170">
        <f t="shared" si="202"/>
        <v>1192.1252758445085</v>
      </c>
      <c r="U1183" s="170">
        <v>1192.1252758445085</v>
      </c>
      <c r="V1183" s="202">
        <f t="shared" si="199"/>
        <v>0</v>
      </c>
      <c r="W1183" s="202">
        <f>T1183</f>
        <v>1192.1252758445085</v>
      </c>
      <c r="X1183" s="202">
        <v>0</v>
      </c>
      <c r="Y1183" s="203">
        <v>0</v>
      </c>
      <c r="Z1183" s="203">
        <v>0</v>
      </c>
      <c r="AA1183" s="203">
        <v>0</v>
      </c>
      <c r="AB1183" s="203">
        <v>810.46</v>
      </c>
      <c r="AC1183" s="203">
        <v>0</v>
      </c>
      <c r="AD1183" s="203">
        <v>0</v>
      </c>
      <c r="AE1183" s="203">
        <v>0</v>
      </c>
      <c r="AF1183" s="202">
        <v>0</v>
      </c>
      <c r="AG1183" s="203">
        <v>0</v>
      </c>
      <c r="AH1183" s="202">
        <v>0</v>
      </c>
      <c r="AI1183" s="203">
        <v>0</v>
      </c>
      <c r="AJ1183" s="202">
        <v>0</v>
      </c>
      <c r="AK1183" s="203">
        <v>0</v>
      </c>
      <c r="AL1183" s="203">
        <v>0</v>
      </c>
      <c r="AM1183" s="203">
        <v>0</v>
      </c>
      <c r="AN1183" s="203"/>
      <c r="AO1183" s="203">
        <v>0</v>
      </c>
    </row>
    <row r="1184" spans="1:41" s="176" customFormat="1" ht="36" customHeight="1" x14ac:dyDescent="0.25">
      <c r="A1184" s="176">
        <v>1</v>
      </c>
      <c r="B1184" s="171">
        <f>SUBTOTAL(103,$A$1087:A1184)</f>
        <v>96</v>
      </c>
      <c r="C1184" s="172" t="s">
        <v>207</v>
      </c>
      <c r="D1184" s="173">
        <v>1966</v>
      </c>
      <c r="E1184" s="173"/>
      <c r="F1184" s="174" t="s">
        <v>267</v>
      </c>
      <c r="G1184" s="173">
        <v>2</v>
      </c>
      <c r="H1184" s="173" t="s">
        <v>303</v>
      </c>
      <c r="I1184" s="177">
        <v>719.9</v>
      </c>
      <c r="J1184" s="177">
        <v>719.9</v>
      </c>
      <c r="K1184" s="177">
        <v>670.3</v>
      </c>
      <c r="L1184" s="206">
        <v>26</v>
      </c>
      <c r="M1184" s="173" t="s">
        <v>265</v>
      </c>
      <c r="N1184" s="173" t="s">
        <v>269</v>
      </c>
      <c r="O1184" s="175" t="s">
        <v>326</v>
      </c>
      <c r="P1184" s="170">
        <v>801529</v>
      </c>
      <c r="Q1184" s="170">
        <v>0</v>
      </c>
      <c r="R1184" s="170">
        <v>0</v>
      </c>
      <c r="S1184" s="170">
        <f t="shared" si="203"/>
        <v>801529</v>
      </c>
      <c r="T1184" s="170">
        <f t="shared" si="202"/>
        <v>1113.3893596332825</v>
      </c>
      <c r="U1184" s="170">
        <v>2033.7011965550773</v>
      </c>
      <c r="V1184" s="202">
        <f t="shared" si="199"/>
        <v>920.31183692179479</v>
      </c>
      <c r="W1184" s="202">
        <f>T1184</f>
        <v>1113.3893596332825</v>
      </c>
      <c r="X1184" s="202">
        <v>0</v>
      </c>
      <c r="Y1184" s="203">
        <v>0</v>
      </c>
      <c r="Z1184" s="203">
        <v>0</v>
      </c>
      <c r="AA1184" s="203">
        <v>0</v>
      </c>
      <c r="AB1184" s="203">
        <v>810.46</v>
      </c>
      <c r="AC1184" s="203">
        <v>0</v>
      </c>
      <c r="AD1184" s="203">
        <v>0</v>
      </c>
      <c r="AE1184" s="203">
        <v>0</v>
      </c>
      <c r="AF1184" s="202">
        <v>0</v>
      </c>
      <c r="AG1184" s="203">
        <v>0</v>
      </c>
      <c r="AH1184" s="202">
        <v>0</v>
      </c>
      <c r="AI1184" s="203">
        <v>0</v>
      </c>
      <c r="AJ1184" s="202">
        <v>0</v>
      </c>
      <c r="AK1184" s="203">
        <v>0</v>
      </c>
      <c r="AL1184" s="203">
        <v>0</v>
      </c>
      <c r="AM1184" s="203">
        <v>0</v>
      </c>
      <c r="AN1184" s="203"/>
      <c r="AO1184" s="203">
        <v>0</v>
      </c>
    </row>
    <row r="1185" spans="1:41" s="176" customFormat="1" ht="36" customHeight="1" x14ac:dyDescent="0.25">
      <c r="A1185" s="176">
        <v>1</v>
      </c>
      <c r="B1185" s="171">
        <f>SUBTOTAL(103,$A$1087:A1185)</f>
        <v>97</v>
      </c>
      <c r="C1185" s="172" t="s">
        <v>428</v>
      </c>
      <c r="D1185" s="173">
        <v>1963</v>
      </c>
      <c r="E1185" s="173"/>
      <c r="F1185" s="174" t="s">
        <v>267</v>
      </c>
      <c r="G1185" s="173">
        <v>4</v>
      </c>
      <c r="H1185" s="173" t="s">
        <v>312</v>
      </c>
      <c r="I1185" s="177">
        <v>2141.94</v>
      </c>
      <c r="J1185" s="177">
        <v>1876.78</v>
      </c>
      <c r="K1185" s="177">
        <v>1544.6799999999998</v>
      </c>
      <c r="L1185" s="206">
        <v>77</v>
      </c>
      <c r="M1185" s="173" t="s">
        <v>265</v>
      </c>
      <c r="N1185" s="173" t="s">
        <v>269</v>
      </c>
      <c r="O1185" s="175" t="s">
        <v>981</v>
      </c>
      <c r="P1185" s="170">
        <v>4940772.24</v>
      </c>
      <c r="Q1185" s="170">
        <v>0</v>
      </c>
      <c r="R1185" s="170">
        <v>0</v>
      </c>
      <c r="S1185" s="170">
        <f t="shared" si="203"/>
        <v>4940772.24</v>
      </c>
      <c r="T1185" s="170">
        <f t="shared" si="202"/>
        <v>2306.680971455783</v>
      </c>
      <c r="U1185" s="170">
        <v>3077.120143421384</v>
      </c>
      <c r="V1185" s="202">
        <f t="shared" si="199"/>
        <v>770.43917196560096</v>
      </c>
      <c r="W1185" s="202">
        <f t="shared" si="204"/>
        <v>2982.6436968355788</v>
      </c>
      <c r="X1185" s="202">
        <v>0</v>
      </c>
      <c r="Y1185" s="203">
        <v>0</v>
      </c>
      <c r="Z1185" s="203">
        <v>0</v>
      </c>
      <c r="AA1185" s="203">
        <v>0</v>
      </c>
      <c r="AB1185" s="203">
        <v>0</v>
      </c>
      <c r="AC1185" s="203">
        <v>0</v>
      </c>
      <c r="AD1185" s="203">
        <v>0</v>
      </c>
      <c r="AE1185" s="203">
        <v>1024</v>
      </c>
      <c r="AF1185" s="202">
        <f>6238.91*AE1185/I1185</f>
        <v>2982.6436968355788</v>
      </c>
      <c r="AG1185" s="203">
        <v>0</v>
      </c>
      <c r="AH1185" s="202">
        <v>0</v>
      </c>
      <c r="AI1185" s="203">
        <v>0</v>
      </c>
      <c r="AJ1185" s="202">
        <v>0</v>
      </c>
      <c r="AK1185" s="203">
        <v>0</v>
      </c>
      <c r="AL1185" s="203">
        <v>0</v>
      </c>
      <c r="AM1185" s="203">
        <v>0</v>
      </c>
      <c r="AN1185" s="203"/>
      <c r="AO1185" s="203">
        <v>0</v>
      </c>
    </row>
    <row r="1186" spans="1:41" s="176" customFormat="1" ht="36" customHeight="1" x14ac:dyDescent="0.25">
      <c r="A1186" s="176">
        <v>1</v>
      </c>
      <c r="B1186" s="171">
        <f>SUBTOTAL(103,$A$1087:A1186)</f>
        <v>98</v>
      </c>
      <c r="C1186" s="172" t="s">
        <v>430</v>
      </c>
      <c r="D1186" s="173">
        <v>1958</v>
      </c>
      <c r="E1186" s="173"/>
      <c r="F1186" s="174" t="s">
        <v>267</v>
      </c>
      <c r="G1186" s="173">
        <v>2</v>
      </c>
      <c r="H1186" s="173" t="s">
        <v>303</v>
      </c>
      <c r="I1186" s="177">
        <v>717.8</v>
      </c>
      <c r="J1186" s="177">
        <v>649.4</v>
      </c>
      <c r="K1186" s="177">
        <v>507.29999999999995</v>
      </c>
      <c r="L1186" s="206">
        <v>46</v>
      </c>
      <c r="M1186" s="173" t="s">
        <v>265</v>
      </c>
      <c r="N1186" s="173" t="s">
        <v>269</v>
      </c>
      <c r="O1186" s="175" t="s">
        <v>325</v>
      </c>
      <c r="P1186" s="170">
        <v>2939948.7</v>
      </c>
      <c r="Q1186" s="170">
        <v>0</v>
      </c>
      <c r="R1186" s="170">
        <v>0</v>
      </c>
      <c r="S1186" s="170">
        <f t="shared" si="203"/>
        <v>2939948.7</v>
      </c>
      <c r="T1186" s="170">
        <f t="shared" si="202"/>
        <v>4095.7769573697415</v>
      </c>
      <c r="U1186" s="170">
        <v>5380.2145444413491</v>
      </c>
      <c r="V1186" s="202">
        <f t="shared" si="199"/>
        <v>1284.4375870716076</v>
      </c>
      <c r="W1186" s="202">
        <f t="shared" si="204"/>
        <v>5215.026469768738</v>
      </c>
      <c r="X1186" s="202">
        <v>0</v>
      </c>
      <c r="Y1186" s="203">
        <v>0</v>
      </c>
      <c r="Z1186" s="203">
        <v>0</v>
      </c>
      <c r="AA1186" s="203">
        <v>0</v>
      </c>
      <c r="AB1186" s="203">
        <v>0</v>
      </c>
      <c r="AC1186" s="203">
        <v>0</v>
      </c>
      <c r="AD1186" s="203">
        <v>0</v>
      </c>
      <c r="AE1186" s="203">
        <v>600</v>
      </c>
      <c r="AF1186" s="202">
        <f t="shared" ref="AF1186:AF1196" si="205">6238.91*AE1186/I1186</f>
        <v>5215.026469768738</v>
      </c>
      <c r="AG1186" s="203">
        <v>0</v>
      </c>
      <c r="AH1186" s="202">
        <v>0</v>
      </c>
      <c r="AI1186" s="203">
        <v>0</v>
      </c>
      <c r="AJ1186" s="202">
        <v>0</v>
      </c>
      <c r="AK1186" s="203">
        <v>0</v>
      </c>
      <c r="AL1186" s="203">
        <v>0</v>
      </c>
      <c r="AM1186" s="203">
        <v>0</v>
      </c>
      <c r="AN1186" s="203"/>
      <c r="AO1186" s="203">
        <v>0</v>
      </c>
    </row>
    <row r="1187" spans="1:41" s="176" customFormat="1" ht="36" customHeight="1" x14ac:dyDescent="0.25">
      <c r="A1187" s="176">
        <v>1</v>
      </c>
      <c r="B1187" s="171">
        <f>SUBTOTAL(103,$A$1087:A1187)</f>
        <v>99</v>
      </c>
      <c r="C1187" s="172" t="s">
        <v>431</v>
      </c>
      <c r="D1187" s="173">
        <v>1956</v>
      </c>
      <c r="E1187" s="173"/>
      <c r="F1187" s="174" t="s">
        <v>324</v>
      </c>
      <c r="G1187" s="173">
        <v>2</v>
      </c>
      <c r="H1187" s="173" t="s">
        <v>312</v>
      </c>
      <c r="I1187" s="177">
        <v>1239.2</v>
      </c>
      <c r="J1187" s="177">
        <v>1131.0999999999999</v>
      </c>
      <c r="K1187" s="177">
        <v>643.79999999999995</v>
      </c>
      <c r="L1187" s="206">
        <v>46</v>
      </c>
      <c r="M1187" s="173" t="s">
        <v>265</v>
      </c>
      <c r="N1187" s="173" t="s">
        <v>269</v>
      </c>
      <c r="O1187" s="175" t="s">
        <v>321</v>
      </c>
      <c r="P1187" s="170">
        <v>3392314.75</v>
      </c>
      <c r="Q1187" s="170">
        <v>0</v>
      </c>
      <c r="R1187" s="170">
        <v>0</v>
      </c>
      <c r="S1187" s="170">
        <f t="shared" si="203"/>
        <v>3392314.75</v>
      </c>
      <c r="T1187" s="170">
        <f t="shared" si="202"/>
        <v>2737.5038331181408</v>
      </c>
      <c r="U1187" s="170">
        <v>3879.9934715945769</v>
      </c>
      <c r="V1187" s="202">
        <f t="shared" si="199"/>
        <v>1142.4896384764361</v>
      </c>
      <c r="W1187" s="202">
        <f t="shared" si="204"/>
        <v>3760.8665025823107</v>
      </c>
      <c r="X1187" s="202">
        <v>0</v>
      </c>
      <c r="Y1187" s="203">
        <v>0</v>
      </c>
      <c r="Z1187" s="203">
        <v>0</v>
      </c>
      <c r="AA1187" s="203">
        <v>0</v>
      </c>
      <c r="AB1187" s="203">
        <v>0</v>
      </c>
      <c r="AC1187" s="203">
        <v>0</v>
      </c>
      <c r="AD1187" s="203">
        <v>0</v>
      </c>
      <c r="AE1187" s="203">
        <v>747</v>
      </c>
      <c r="AF1187" s="202">
        <f t="shared" si="205"/>
        <v>3760.8665025823107</v>
      </c>
      <c r="AG1187" s="203">
        <v>0</v>
      </c>
      <c r="AH1187" s="202">
        <v>0</v>
      </c>
      <c r="AI1187" s="203">
        <v>0</v>
      </c>
      <c r="AJ1187" s="202">
        <v>0</v>
      </c>
      <c r="AK1187" s="203">
        <v>0</v>
      </c>
      <c r="AL1187" s="203">
        <v>0</v>
      </c>
      <c r="AM1187" s="203">
        <v>0</v>
      </c>
      <c r="AN1187" s="203"/>
      <c r="AO1187" s="203">
        <v>0</v>
      </c>
    </row>
    <row r="1188" spans="1:41" s="176" customFormat="1" ht="36" customHeight="1" x14ac:dyDescent="0.25">
      <c r="A1188" s="176">
        <v>1</v>
      </c>
      <c r="B1188" s="171">
        <f>SUBTOTAL(103,$A$1087:A1188)</f>
        <v>100</v>
      </c>
      <c r="C1188" s="172" t="s">
        <v>432</v>
      </c>
      <c r="D1188" s="173">
        <v>1968</v>
      </c>
      <c r="E1188" s="173"/>
      <c r="F1188" s="174" t="s">
        <v>267</v>
      </c>
      <c r="G1188" s="173">
        <v>3</v>
      </c>
      <c r="H1188" s="173" t="s">
        <v>303</v>
      </c>
      <c r="I1188" s="177">
        <v>1032.5</v>
      </c>
      <c r="J1188" s="177">
        <v>644</v>
      </c>
      <c r="K1188" s="177">
        <v>445.9</v>
      </c>
      <c r="L1188" s="206">
        <v>83</v>
      </c>
      <c r="M1188" s="173" t="s">
        <v>265</v>
      </c>
      <c r="N1188" s="173" t="s">
        <v>269</v>
      </c>
      <c r="O1188" s="175" t="s">
        <v>328</v>
      </c>
      <c r="P1188" s="170">
        <v>2330461.9000000004</v>
      </c>
      <c r="Q1188" s="170">
        <v>0</v>
      </c>
      <c r="R1188" s="170">
        <v>0</v>
      </c>
      <c r="S1188" s="170">
        <f t="shared" si="203"/>
        <v>2330461.9000000004</v>
      </c>
      <c r="T1188" s="170">
        <f t="shared" si="202"/>
        <v>2257.1059564164652</v>
      </c>
      <c r="U1188" s="170">
        <v>3010.9869152542369</v>
      </c>
      <c r="V1188" s="202">
        <f t="shared" si="199"/>
        <v>753.88095883777169</v>
      </c>
      <c r="W1188" s="202">
        <f t="shared" si="204"/>
        <v>2918.540949152542</v>
      </c>
      <c r="X1188" s="202">
        <v>0</v>
      </c>
      <c r="Y1188" s="203">
        <v>0</v>
      </c>
      <c r="Z1188" s="203">
        <v>0</v>
      </c>
      <c r="AA1188" s="203">
        <v>0</v>
      </c>
      <c r="AB1188" s="203">
        <v>0</v>
      </c>
      <c r="AC1188" s="203">
        <v>0</v>
      </c>
      <c r="AD1188" s="203">
        <v>0</v>
      </c>
      <c r="AE1188" s="203">
        <v>483</v>
      </c>
      <c r="AF1188" s="202">
        <f t="shared" si="205"/>
        <v>2918.540949152542</v>
      </c>
      <c r="AG1188" s="203">
        <v>0</v>
      </c>
      <c r="AH1188" s="202">
        <v>0</v>
      </c>
      <c r="AI1188" s="203">
        <v>0</v>
      </c>
      <c r="AJ1188" s="202">
        <v>0</v>
      </c>
      <c r="AK1188" s="203">
        <v>0</v>
      </c>
      <c r="AL1188" s="203">
        <v>0</v>
      </c>
      <c r="AM1188" s="203">
        <v>0</v>
      </c>
      <c r="AN1188" s="203"/>
      <c r="AO1188" s="203">
        <v>0</v>
      </c>
    </row>
    <row r="1189" spans="1:41" s="176" customFormat="1" ht="36" customHeight="1" x14ac:dyDescent="0.25">
      <c r="A1189" s="176">
        <v>1</v>
      </c>
      <c r="B1189" s="171">
        <f>SUBTOTAL(103,$A$1087:A1189)</f>
        <v>101</v>
      </c>
      <c r="C1189" s="172" t="s">
        <v>433</v>
      </c>
      <c r="D1189" s="173">
        <v>1969</v>
      </c>
      <c r="E1189" s="173"/>
      <c r="F1189" s="174" t="s">
        <v>267</v>
      </c>
      <c r="G1189" s="173">
        <v>5</v>
      </c>
      <c r="H1189" s="173" t="s">
        <v>370</v>
      </c>
      <c r="I1189" s="177">
        <v>5048.3</v>
      </c>
      <c r="J1189" s="177">
        <v>4655.2</v>
      </c>
      <c r="K1189" s="177">
        <v>3957.13</v>
      </c>
      <c r="L1189" s="206">
        <v>217</v>
      </c>
      <c r="M1189" s="173" t="s">
        <v>265</v>
      </c>
      <c r="N1189" s="173" t="s">
        <v>269</v>
      </c>
      <c r="O1189" s="175" t="s">
        <v>328</v>
      </c>
      <c r="P1189" s="170">
        <v>7737284.3099999996</v>
      </c>
      <c r="Q1189" s="170">
        <v>0</v>
      </c>
      <c r="R1189" s="170">
        <v>0</v>
      </c>
      <c r="S1189" s="170">
        <f t="shared" si="203"/>
        <v>7737284.3099999996</v>
      </c>
      <c r="T1189" s="170">
        <f t="shared" si="202"/>
        <v>1532.6514490026343</v>
      </c>
      <c r="U1189" s="170">
        <v>1913.7593902898004</v>
      </c>
      <c r="V1189" s="202">
        <f t="shared" si="199"/>
        <v>381.10794128716611</v>
      </c>
      <c r="W1189" s="202">
        <f t="shared" si="204"/>
        <v>1855.0014678208506</v>
      </c>
      <c r="X1189" s="202">
        <v>0</v>
      </c>
      <c r="Y1189" s="203">
        <v>0</v>
      </c>
      <c r="Z1189" s="203">
        <v>0</v>
      </c>
      <c r="AA1189" s="203">
        <v>0</v>
      </c>
      <c r="AB1189" s="203">
        <v>0</v>
      </c>
      <c r="AC1189" s="203">
        <v>0</v>
      </c>
      <c r="AD1189" s="203">
        <v>0</v>
      </c>
      <c r="AE1189" s="203">
        <v>1501</v>
      </c>
      <c r="AF1189" s="202">
        <f t="shared" si="205"/>
        <v>1855.0014678208506</v>
      </c>
      <c r="AG1189" s="203">
        <v>0</v>
      </c>
      <c r="AH1189" s="202">
        <v>0</v>
      </c>
      <c r="AI1189" s="203">
        <v>0</v>
      </c>
      <c r="AJ1189" s="202">
        <v>0</v>
      </c>
      <c r="AK1189" s="203">
        <v>0</v>
      </c>
      <c r="AL1189" s="203">
        <v>0</v>
      </c>
      <c r="AM1189" s="203">
        <v>0</v>
      </c>
      <c r="AN1189" s="203"/>
      <c r="AO1189" s="203">
        <v>0</v>
      </c>
    </row>
    <row r="1190" spans="1:41" s="176" customFormat="1" ht="36" customHeight="1" x14ac:dyDescent="0.25">
      <c r="A1190" s="176">
        <v>1</v>
      </c>
      <c r="B1190" s="171">
        <f>SUBTOTAL(103,$A$1087:A1190)</f>
        <v>102</v>
      </c>
      <c r="C1190" s="172" t="s">
        <v>434</v>
      </c>
      <c r="D1190" s="173">
        <v>1943</v>
      </c>
      <c r="E1190" s="173"/>
      <c r="F1190" s="174" t="s">
        <v>267</v>
      </c>
      <c r="G1190" s="173">
        <v>2</v>
      </c>
      <c r="H1190" s="173" t="s">
        <v>304</v>
      </c>
      <c r="I1190" s="177">
        <v>722.9</v>
      </c>
      <c r="J1190" s="177">
        <v>653.9</v>
      </c>
      <c r="K1190" s="177">
        <v>547.55999999999995</v>
      </c>
      <c r="L1190" s="206">
        <v>34</v>
      </c>
      <c r="M1190" s="173" t="s">
        <v>265</v>
      </c>
      <c r="N1190" s="173" t="s">
        <v>269</v>
      </c>
      <c r="O1190" s="175" t="s">
        <v>325</v>
      </c>
      <c r="P1190" s="170">
        <v>3223377.74</v>
      </c>
      <c r="Q1190" s="170">
        <v>0</v>
      </c>
      <c r="R1190" s="170">
        <v>0</v>
      </c>
      <c r="S1190" s="170">
        <f t="shared" si="203"/>
        <v>3223377.74</v>
      </c>
      <c r="T1190" s="170">
        <f t="shared" si="202"/>
        <v>4458.9538525383878</v>
      </c>
      <c r="U1190" s="170">
        <v>5342.2575736616409</v>
      </c>
      <c r="V1190" s="202">
        <f t="shared" si="199"/>
        <v>883.30372112325313</v>
      </c>
      <c r="W1190" s="202">
        <f t="shared" si="204"/>
        <v>5178.2348872596485</v>
      </c>
      <c r="X1190" s="202">
        <v>0</v>
      </c>
      <c r="Y1190" s="203">
        <v>0</v>
      </c>
      <c r="Z1190" s="203">
        <v>0</v>
      </c>
      <c r="AA1190" s="203">
        <v>0</v>
      </c>
      <c r="AB1190" s="203">
        <v>0</v>
      </c>
      <c r="AC1190" s="203">
        <v>0</v>
      </c>
      <c r="AD1190" s="203">
        <v>0</v>
      </c>
      <c r="AE1190" s="203">
        <v>600</v>
      </c>
      <c r="AF1190" s="202">
        <f t="shared" si="205"/>
        <v>5178.2348872596485</v>
      </c>
      <c r="AG1190" s="203">
        <v>0</v>
      </c>
      <c r="AH1190" s="202">
        <v>0</v>
      </c>
      <c r="AI1190" s="203">
        <v>0</v>
      </c>
      <c r="AJ1190" s="202">
        <v>0</v>
      </c>
      <c r="AK1190" s="203">
        <v>0</v>
      </c>
      <c r="AL1190" s="203">
        <v>0</v>
      </c>
      <c r="AM1190" s="203">
        <v>0</v>
      </c>
      <c r="AN1190" s="203"/>
      <c r="AO1190" s="203">
        <v>0</v>
      </c>
    </row>
    <row r="1191" spans="1:41" s="176" customFormat="1" ht="36" customHeight="1" x14ac:dyDescent="0.25">
      <c r="A1191" s="176">
        <v>1</v>
      </c>
      <c r="B1191" s="171">
        <f>SUBTOTAL(103,$A$1087:A1191)</f>
        <v>103</v>
      </c>
      <c r="C1191" s="172" t="s">
        <v>435</v>
      </c>
      <c r="D1191" s="173">
        <v>1917</v>
      </c>
      <c r="E1191" s="173"/>
      <c r="F1191" s="174" t="s">
        <v>330</v>
      </c>
      <c r="G1191" s="173">
        <v>2</v>
      </c>
      <c r="H1191" s="173" t="s">
        <v>303</v>
      </c>
      <c r="I1191" s="177">
        <v>643.4</v>
      </c>
      <c r="J1191" s="177">
        <v>615.9</v>
      </c>
      <c r="K1191" s="177">
        <v>423.09999999999997</v>
      </c>
      <c r="L1191" s="206">
        <v>21</v>
      </c>
      <c r="M1191" s="173" t="s">
        <v>265</v>
      </c>
      <c r="N1191" s="173" t="s">
        <v>269</v>
      </c>
      <c r="O1191" s="175" t="s">
        <v>321</v>
      </c>
      <c r="P1191" s="170">
        <v>1785415</v>
      </c>
      <c r="Q1191" s="170">
        <v>0</v>
      </c>
      <c r="R1191" s="170">
        <v>0</v>
      </c>
      <c r="S1191" s="170">
        <f t="shared" si="203"/>
        <v>1785415</v>
      </c>
      <c r="T1191" s="170">
        <f t="shared" si="202"/>
        <v>2774.9689151383277</v>
      </c>
      <c r="U1191" s="170">
        <v>3691.4509947155734</v>
      </c>
      <c r="V1191" s="202">
        <f t="shared" si="199"/>
        <v>916.48207957724571</v>
      </c>
      <c r="W1191" s="202">
        <f t="shared" si="204"/>
        <v>3578.1128225054399</v>
      </c>
      <c r="X1191" s="202">
        <v>0</v>
      </c>
      <c r="Y1191" s="203">
        <v>0</v>
      </c>
      <c r="Z1191" s="203">
        <v>0</v>
      </c>
      <c r="AA1191" s="203">
        <v>0</v>
      </c>
      <c r="AB1191" s="203">
        <v>0</v>
      </c>
      <c r="AC1191" s="203">
        <v>0</v>
      </c>
      <c r="AD1191" s="203">
        <v>0</v>
      </c>
      <c r="AE1191" s="203">
        <v>369</v>
      </c>
      <c r="AF1191" s="202">
        <f t="shared" si="205"/>
        <v>3578.1128225054399</v>
      </c>
      <c r="AG1191" s="203">
        <v>0</v>
      </c>
      <c r="AH1191" s="202">
        <v>0</v>
      </c>
      <c r="AI1191" s="203">
        <v>0</v>
      </c>
      <c r="AJ1191" s="202">
        <v>0</v>
      </c>
      <c r="AK1191" s="203">
        <v>0</v>
      </c>
      <c r="AL1191" s="203">
        <v>0</v>
      </c>
      <c r="AM1191" s="203">
        <v>0</v>
      </c>
      <c r="AN1191" s="203"/>
      <c r="AO1191" s="203">
        <v>0</v>
      </c>
    </row>
    <row r="1192" spans="1:41" s="176" customFormat="1" ht="36" customHeight="1" x14ac:dyDescent="0.25">
      <c r="A1192" s="176">
        <v>1</v>
      </c>
      <c r="B1192" s="171">
        <f>SUBTOTAL(103,$A$1087:A1192)</f>
        <v>104</v>
      </c>
      <c r="C1192" s="172" t="s">
        <v>209</v>
      </c>
      <c r="D1192" s="173">
        <v>1967</v>
      </c>
      <c r="E1192" s="173"/>
      <c r="F1192" s="174" t="s">
        <v>267</v>
      </c>
      <c r="G1192" s="173">
        <v>2</v>
      </c>
      <c r="H1192" s="173" t="s">
        <v>303</v>
      </c>
      <c r="I1192" s="177">
        <v>678.4</v>
      </c>
      <c r="J1192" s="177">
        <v>629.79999999999995</v>
      </c>
      <c r="K1192" s="177">
        <v>589.79999999999995</v>
      </c>
      <c r="L1192" s="206">
        <v>35</v>
      </c>
      <c r="M1192" s="173" t="s">
        <v>265</v>
      </c>
      <c r="N1192" s="173" t="s">
        <v>269</v>
      </c>
      <c r="O1192" s="175" t="s">
        <v>327</v>
      </c>
      <c r="P1192" s="170">
        <v>2534110.7700000005</v>
      </c>
      <c r="Q1192" s="170">
        <v>0</v>
      </c>
      <c r="R1192" s="170">
        <v>0</v>
      </c>
      <c r="S1192" s="170">
        <f t="shared" si="203"/>
        <v>2534110.7700000005</v>
      </c>
      <c r="T1192" s="170">
        <f t="shared" si="202"/>
        <v>3735.4227152122648</v>
      </c>
      <c r="U1192" s="170">
        <v>4981.1000147405666</v>
      </c>
      <c r="V1192" s="202">
        <f t="shared" si="199"/>
        <v>1245.6772995283018</v>
      </c>
      <c r="W1192" s="202">
        <f t="shared" si="204"/>
        <v>4828.1659050707549</v>
      </c>
      <c r="X1192" s="202">
        <v>0</v>
      </c>
      <c r="Y1192" s="203">
        <v>0</v>
      </c>
      <c r="Z1192" s="203">
        <v>0</v>
      </c>
      <c r="AA1192" s="203">
        <v>0</v>
      </c>
      <c r="AB1192" s="203">
        <v>0</v>
      </c>
      <c r="AC1192" s="203">
        <v>0</v>
      </c>
      <c r="AD1192" s="203">
        <v>0</v>
      </c>
      <c r="AE1192" s="203">
        <v>525</v>
      </c>
      <c r="AF1192" s="202">
        <f t="shared" si="205"/>
        <v>4828.1659050707549</v>
      </c>
      <c r="AG1192" s="203">
        <v>0</v>
      </c>
      <c r="AH1192" s="202">
        <v>0</v>
      </c>
      <c r="AI1192" s="203">
        <v>0</v>
      </c>
      <c r="AJ1192" s="202">
        <v>0</v>
      </c>
      <c r="AK1192" s="203">
        <v>0</v>
      </c>
      <c r="AL1192" s="203">
        <v>0</v>
      </c>
      <c r="AM1192" s="203">
        <v>0</v>
      </c>
      <c r="AN1192" s="203"/>
      <c r="AO1192" s="203">
        <v>0</v>
      </c>
    </row>
    <row r="1193" spans="1:41" s="176" customFormat="1" ht="36" customHeight="1" x14ac:dyDescent="0.25">
      <c r="A1193" s="176">
        <v>1</v>
      </c>
      <c r="B1193" s="171">
        <f>SUBTOTAL(103,$A$1087:A1193)</f>
        <v>105</v>
      </c>
      <c r="C1193" s="172" t="s">
        <v>208</v>
      </c>
      <c r="D1193" s="173">
        <v>1975</v>
      </c>
      <c r="E1193" s="173"/>
      <c r="F1193" s="174" t="s">
        <v>267</v>
      </c>
      <c r="G1193" s="173">
        <v>2</v>
      </c>
      <c r="H1193" s="173" t="s">
        <v>303</v>
      </c>
      <c r="I1193" s="177">
        <v>817.4</v>
      </c>
      <c r="J1193" s="177">
        <v>755.8</v>
      </c>
      <c r="K1193" s="177">
        <v>652</v>
      </c>
      <c r="L1193" s="206">
        <v>43</v>
      </c>
      <c r="M1193" s="173" t="s">
        <v>265</v>
      </c>
      <c r="N1193" s="173" t="s">
        <v>269</v>
      </c>
      <c r="O1193" s="175" t="s">
        <v>327</v>
      </c>
      <c r="P1193" s="170">
        <v>2967533.3499999996</v>
      </c>
      <c r="Q1193" s="170">
        <v>0</v>
      </c>
      <c r="R1193" s="170">
        <v>0</v>
      </c>
      <c r="S1193" s="170">
        <f t="shared" si="203"/>
        <v>2967533.3499999996</v>
      </c>
      <c r="T1193" s="170">
        <f t="shared" si="202"/>
        <v>3630.4543063371661</v>
      </c>
      <c r="U1193" s="170">
        <v>4834.8781747002695</v>
      </c>
      <c r="V1193" s="202">
        <f t="shared" si="199"/>
        <v>1204.4238683631033</v>
      </c>
      <c r="W1193" s="202">
        <f t="shared" si="204"/>
        <v>4686.4334964521649</v>
      </c>
      <c r="X1193" s="202">
        <v>0</v>
      </c>
      <c r="Y1193" s="203">
        <v>0</v>
      </c>
      <c r="Z1193" s="203">
        <v>0</v>
      </c>
      <c r="AA1193" s="203">
        <v>0</v>
      </c>
      <c r="AB1193" s="203">
        <v>0</v>
      </c>
      <c r="AC1193" s="203">
        <v>0</v>
      </c>
      <c r="AD1193" s="203">
        <v>0</v>
      </c>
      <c r="AE1193" s="203">
        <v>614</v>
      </c>
      <c r="AF1193" s="202">
        <f t="shared" si="205"/>
        <v>4686.4334964521649</v>
      </c>
      <c r="AG1193" s="203">
        <v>0</v>
      </c>
      <c r="AH1193" s="202">
        <v>0</v>
      </c>
      <c r="AI1193" s="203">
        <v>0</v>
      </c>
      <c r="AJ1193" s="202">
        <v>0</v>
      </c>
      <c r="AK1193" s="203">
        <v>0</v>
      </c>
      <c r="AL1193" s="203">
        <v>0</v>
      </c>
      <c r="AM1193" s="203">
        <v>0</v>
      </c>
      <c r="AN1193" s="203"/>
      <c r="AO1193" s="203">
        <v>0</v>
      </c>
    </row>
    <row r="1194" spans="1:41" s="176" customFormat="1" ht="36" customHeight="1" x14ac:dyDescent="0.25">
      <c r="A1194" s="176">
        <v>1</v>
      </c>
      <c r="B1194" s="171">
        <f>SUBTOTAL(103,$A$1087:A1194)</f>
        <v>106</v>
      </c>
      <c r="C1194" s="172" t="s">
        <v>437</v>
      </c>
      <c r="D1194" s="173">
        <v>1950</v>
      </c>
      <c r="E1194" s="173"/>
      <c r="F1194" s="174" t="s">
        <v>267</v>
      </c>
      <c r="G1194" s="173">
        <v>2</v>
      </c>
      <c r="H1194" s="173" t="s">
        <v>304</v>
      </c>
      <c r="I1194" s="177">
        <v>411.15</v>
      </c>
      <c r="J1194" s="177">
        <v>411.15</v>
      </c>
      <c r="K1194" s="177">
        <v>369.45</v>
      </c>
      <c r="L1194" s="206">
        <v>18</v>
      </c>
      <c r="M1194" s="173" t="s">
        <v>265</v>
      </c>
      <c r="N1194" s="173" t="s">
        <v>269</v>
      </c>
      <c r="O1194" s="175" t="s">
        <v>321</v>
      </c>
      <c r="P1194" s="170">
        <v>1780239.97</v>
      </c>
      <c r="Q1194" s="170">
        <v>0</v>
      </c>
      <c r="R1194" s="170">
        <v>0</v>
      </c>
      <c r="S1194" s="170">
        <f t="shared" si="203"/>
        <v>1780239.97</v>
      </c>
      <c r="T1194" s="170">
        <f t="shared" si="202"/>
        <v>4329.9038550407395</v>
      </c>
      <c r="U1194" s="170">
        <v>5792.3290769792056</v>
      </c>
      <c r="V1194" s="202">
        <f t="shared" si="199"/>
        <v>1462.4252219384662</v>
      </c>
      <c r="W1194" s="202">
        <f t="shared" si="204"/>
        <v>5614.4878997932628</v>
      </c>
      <c r="X1194" s="202">
        <v>0</v>
      </c>
      <c r="Y1194" s="203">
        <v>0</v>
      </c>
      <c r="Z1194" s="203">
        <v>0</v>
      </c>
      <c r="AA1194" s="203">
        <v>0</v>
      </c>
      <c r="AB1194" s="203">
        <v>0</v>
      </c>
      <c r="AC1194" s="203">
        <v>0</v>
      </c>
      <c r="AD1194" s="203">
        <v>0</v>
      </c>
      <c r="AE1194" s="203">
        <v>370</v>
      </c>
      <c r="AF1194" s="202">
        <f t="shared" si="205"/>
        <v>5614.4878997932628</v>
      </c>
      <c r="AG1194" s="203">
        <v>0</v>
      </c>
      <c r="AH1194" s="202">
        <v>0</v>
      </c>
      <c r="AI1194" s="203">
        <v>0</v>
      </c>
      <c r="AJ1194" s="202">
        <v>0</v>
      </c>
      <c r="AK1194" s="203">
        <v>0</v>
      </c>
      <c r="AL1194" s="203">
        <v>0</v>
      </c>
      <c r="AM1194" s="203">
        <v>0</v>
      </c>
      <c r="AN1194" s="203"/>
      <c r="AO1194" s="203">
        <v>0</v>
      </c>
    </row>
    <row r="1195" spans="1:41" s="176" customFormat="1" ht="36" customHeight="1" x14ac:dyDescent="0.25">
      <c r="A1195" s="176">
        <v>1</v>
      </c>
      <c r="B1195" s="171">
        <f>SUBTOTAL(103,$A$1087:A1195)</f>
        <v>107</v>
      </c>
      <c r="C1195" s="172" t="s">
        <v>438</v>
      </c>
      <c r="D1195" s="173">
        <v>1966</v>
      </c>
      <c r="E1195" s="173"/>
      <c r="F1195" s="174" t="s">
        <v>267</v>
      </c>
      <c r="G1195" s="173">
        <v>2</v>
      </c>
      <c r="H1195" s="173" t="s">
        <v>303</v>
      </c>
      <c r="I1195" s="177">
        <v>667.6</v>
      </c>
      <c r="J1195" s="177">
        <v>667.6</v>
      </c>
      <c r="K1195" s="177">
        <v>586.70000000000005</v>
      </c>
      <c r="L1195" s="206">
        <v>39</v>
      </c>
      <c r="M1195" s="173" t="s">
        <v>265</v>
      </c>
      <c r="N1195" s="173" t="s">
        <v>269</v>
      </c>
      <c r="O1195" s="175" t="s">
        <v>327</v>
      </c>
      <c r="P1195" s="170">
        <v>2557235.63</v>
      </c>
      <c r="Q1195" s="170">
        <v>0</v>
      </c>
      <c r="R1195" s="170">
        <v>0</v>
      </c>
      <c r="S1195" s="170">
        <f t="shared" si="203"/>
        <v>2557235.63</v>
      </c>
      <c r="T1195" s="170">
        <f t="shared" si="202"/>
        <v>3830.4907579388851</v>
      </c>
      <c r="U1195" s="170">
        <v>5109.8875074895141</v>
      </c>
      <c r="V1195" s="202">
        <f t="shared" si="199"/>
        <v>1279.396749550629</v>
      </c>
      <c r="W1195" s="202">
        <f t="shared" si="204"/>
        <v>4952.9992510485317</v>
      </c>
      <c r="X1195" s="202">
        <v>0</v>
      </c>
      <c r="Y1195" s="203">
        <v>0</v>
      </c>
      <c r="Z1195" s="203">
        <v>0</v>
      </c>
      <c r="AA1195" s="203">
        <v>0</v>
      </c>
      <c r="AB1195" s="203">
        <v>0</v>
      </c>
      <c r="AC1195" s="203">
        <v>0</v>
      </c>
      <c r="AD1195" s="203">
        <v>0</v>
      </c>
      <c r="AE1195" s="203">
        <v>530</v>
      </c>
      <c r="AF1195" s="202">
        <f t="shared" si="205"/>
        <v>4952.9992510485317</v>
      </c>
      <c r="AG1195" s="203">
        <v>0</v>
      </c>
      <c r="AH1195" s="202">
        <v>0</v>
      </c>
      <c r="AI1195" s="203">
        <v>0</v>
      </c>
      <c r="AJ1195" s="202">
        <v>0</v>
      </c>
      <c r="AK1195" s="203">
        <v>0</v>
      </c>
      <c r="AL1195" s="203">
        <v>0</v>
      </c>
      <c r="AM1195" s="203">
        <v>0</v>
      </c>
      <c r="AN1195" s="203"/>
      <c r="AO1195" s="203">
        <v>0</v>
      </c>
    </row>
    <row r="1196" spans="1:41" s="176" customFormat="1" ht="36" customHeight="1" x14ac:dyDescent="0.25">
      <c r="A1196" s="176">
        <v>1</v>
      </c>
      <c r="B1196" s="171">
        <f>SUBTOTAL(103,$A$1087:A1196)</f>
        <v>108</v>
      </c>
      <c r="C1196" s="172" t="s">
        <v>439</v>
      </c>
      <c r="D1196" s="173">
        <v>1977</v>
      </c>
      <c r="E1196" s="173"/>
      <c r="F1196" s="174" t="s">
        <v>267</v>
      </c>
      <c r="G1196" s="173">
        <v>9</v>
      </c>
      <c r="H1196" s="173" t="s">
        <v>304</v>
      </c>
      <c r="I1196" s="177">
        <v>2576</v>
      </c>
      <c r="J1196" s="177">
        <v>2271.29</v>
      </c>
      <c r="K1196" s="177">
        <v>2123.6999999999998</v>
      </c>
      <c r="L1196" s="206">
        <v>119</v>
      </c>
      <c r="M1196" s="173" t="s">
        <v>265</v>
      </c>
      <c r="N1196" s="173" t="s">
        <v>269</v>
      </c>
      <c r="O1196" s="175" t="s">
        <v>327</v>
      </c>
      <c r="P1196" s="170">
        <v>1910689.2699999998</v>
      </c>
      <c r="Q1196" s="170">
        <v>0</v>
      </c>
      <c r="R1196" s="170">
        <v>0</v>
      </c>
      <c r="S1196" s="170">
        <f t="shared" si="203"/>
        <v>1910689.2699999998</v>
      </c>
      <c r="T1196" s="170">
        <f t="shared" si="202"/>
        <v>741.72720108695648</v>
      </c>
      <c r="U1196" s="170">
        <v>989.46656832298129</v>
      </c>
      <c r="V1196" s="202">
        <f t="shared" si="199"/>
        <v>247.7393672360248</v>
      </c>
      <c r="W1196" s="202">
        <f t="shared" si="204"/>
        <v>959.08709627329188</v>
      </c>
      <c r="X1196" s="202">
        <v>0</v>
      </c>
      <c r="Y1196" s="203">
        <v>0</v>
      </c>
      <c r="Z1196" s="203">
        <v>0</v>
      </c>
      <c r="AA1196" s="203">
        <v>0</v>
      </c>
      <c r="AB1196" s="203">
        <v>0</v>
      </c>
      <c r="AC1196" s="203">
        <v>0</v>
      </c>
      <c r="AD1196" s="203">
        <v>0</v>
      </c>
      <c r="AE1196" s="203">
        <v>396</v>
      </c>
      <c r="AF1196" s="202">
        <f t="shared" si="205"/>
        <v>959.08709627329188</v>
      </c>
      <c r="AG1196" s="203">
        <v>0</v>
      </c>
      <c r="AH1196" s="202">
        <v>0</v>
      </c>
      <c r="AI1196" s="203">
        <v>0</v>
      </c>
      <c r="AJ1196" s="202">
        <v>0</v>
      </c>
      <c r="AK1196" s="203">
        <v>0</v>
      </c>
      <c r="AL1196" s="203">
        <v>0</v>
      </c>
      <c r="AM1196" s="203">
        <v>0</v>
      </c>
      <c r="AN1196" s="203"/>
      <c r="AO1196" s="203">
        <v>0</v>
      </c>
    </row>
    <row r="1197" spans="1:41" s="176" customFormat="1" ht="36" customHeight="1" x14ac:dyDescent="0.25">
      <c r="B1197" s="172" t="s">
        <v>773</v>
      </c>
      <c r="C1197" s="172"/>
      <c r="D1197" s="173" t="s">
        <v>882</v>
      </c>
      <c r="E1197" s="173" t="s">
        <v>882</v>
      </c>
      <c r="F1197" s="173" t="s">
        <v>882</v>
      </c>
      <c r="G1197" s="173" t="s">
        <v>882</v>
      </c>
      <c r="H1197" s="173" t="s">
        <v>882</v>
      </c>
      <c r="I1197" s="177">
        <f>SUM(I1198:I1207)</f>
        <v>17828.41</v>
      </c>
      <c r="J1197" s="177">
        <f>SUM(J1198:J1207)</f>
        <v>12938.199999999999</v>
      </c>
      <c r="K1197" s="177">
        <f>SUM(K1198:K1207)</f>
        <v>11700.3</v>
      </c>
      <c r="L1197" s="357">
        <f>SUM(L1198:L1207)</f>
        <v>526</v>
      </c>
      <c r="M1197" s="173" t="s">
        <v>882</v>
      </c>
      <c r="N1197" s="173" t="s">
        <v>882</v>
      </c>
      <c r="O1197" s="175" t="s">
        <v>882</v>
      </c>
      <c r="P1197" s="177">
        <v>37956499.130000003</v>
      </c>
      <c r="Q1197" s="177">
        <f>SUM(Q1198:Q1207)</f>
        <v>0</v>
      </c>
      <c r="R1197" s="177">
        <f>SUM(R1198:R1207)</f>
        <v>0</v>
      </c>
      <c r="S1197" s="177">
        <f>SUM(S1198:S1207)</f>
        <v>37956499.130000003</v>
      </c>
      <c r="T1197" s="170">
        <f t="shared" si="202"/>
        <v>2128.9895806748891</v>
      </c>
      <c r="U1197" s="170">
        <f>MAX(U1198:U1207)</f>
        <v>8661.3065976714097</v>
      </c>
      <c r="V1197" s="202">
        <f t="shared" si="199"/>
        <v>6532.3170169965206</v>
      </c>
      <c r="W1197" s="202"/>
      <c r="X1197" s="202"/>
      <c r="Y1197" s="203"/>
      <c r="Z1197" s="203"/>
      <c r="AA1197" s="203"/>
      <c r="AB1197" s="203"/>
      <c r="AC1197" s="203"/>
      <c r="AD1197" s="203"/>
      <c r="AE1197" s="203"/>
      <c r="AF1197" s="203"/>
      <c r="AG1197" s="203"/>
      <c r="AH1197" s="203"/>
      <c r="AI1197" s="203"/>
      <c r="AJ1197" s="203"/>
      <c r="AK1197" s="203"/>
      <c r="AL1197" s="203"/>
      <c r="AM1197" s="203"/>
      <c r="AN1197" s="203"/>
      <c r="AO1197" s="203"/>
    </row>
    <row r="1198" spans="1:41" s="176" customFormat="1" ht="36" customHeight="1" x14ac:dyDescent="0.25">
      <c r="A1198" s="176">
        <v>1</v>
      </c>
      <c r="B1198" s="171">
        <f>SUBTOTAL(103,$A$1087:A1198)</f>
        <v>109</v>
      </c>
      <c r="C1198" s="172" t="s">
        <v>774</v>
      </c>
      <c r="D1198" s="173">
        <v>1961</v>
      </c>
      <c r="E1198" s="173"/>
      <c r="F1198" s="174" t="s">
        <v>267</v>
      </c>
      <c r="G1198" s="173">
        <v>3</v>
      </c>
      <c r="H1198" s="173" t="s">
        <v>303</v>
      </c>
      <c r="I1198" s="177">
        <v>1044</v>
      </c>
      <c r="J1198" s="177">
        <v>968.1</v>
      </c>
      <c r="K1198" s="177">
        <v>968.1</v>
      </c>
      <c r="L1198" s="206">
        <v>40</v>
      </c>
      <c r="M1198" s="173" t="s">
        <v>265</v>
      </c>
      <c r="N1198" s="173" t="s">
        <v>269</v>
      </c>
      <c r="O1198" s="175" t="s">
        <v>793</v>
      </c>
      <c r="P1198" s="170">
        <v>2642230.7999999998</v>
      </c>
      <c r="Q1198" s="170">
        <v>0</v>
      </c>
      <c r="R1198" s="170">
        <v>0</v>
      </c>
      <c r="S1198" s="170">
        <f t="shared" ref="S1198:S1204" si="206">P1198-Q1198-R1198</f>
        <v>2642230.7999999998</v>
      </c>
      <c r="T1198" s="170">
        <f t="shared" si="202"/>
        <v>2530.8724137931031</v>
      </c>
      <c r="U1198" s="170">
        <v>3119.6208620689654</v>
      </c>
      <c r="V1198" s="202">
        <f t="shared" si="199"/>
        <v>588.7484482758623</v>
      </c>
      <c r="W1198" s="202">
        <f t="shared" ref="W1198:W1204" si="207">X1198+Y1198+Z1198+AA1198+AB1198+AD1198+AF1198+AH1198+AJ1198+AL1198+AN1198+AO1198</f>
        <v>3023.8395210727967</v>
      </c>
      <c r="X1198" s="202">
        <v>0</v>
      </c>
      <c r="Y1198" s="203">
        <v>0</v>
      </c>
      <c r="Z1198" s="203">
        <v>0</v>
      </c>
      <c r="AA1198" s="203">
        <v>0</v>
      </c>
      <c r="AB1198" s="203">
        <v>0</v>
      </c>
      <c r="AC1198" s="203">
        <v>0</v>
      </c>
      <c r="AD1198" s="203">
        <v>0</v>
      </c>
      <c r="AE1198" s="203">
        <v>506</v>
      </c>
      <c r="AF1198" s="202">
        <f t="shared" ref="AF1198:AF1204" si="208">6238.91*AE1198/I1198</f>
        <v>3023.8395210727967</v>
      </c>
      <c r="AG1198" s="203">
        <v>0</v>
      </c>
      <c r="AH1198" s="202">
        <v>0</v>
      </c>
      <c r="AI1198" s="203">
        <v>0</v>
      </c>
      <c r="AJ1198" s="202">
        <v>0</v>
      </c>
      <c r="AK1198" s="203">
        <v>0</v>
      </c>
      <c r="AL1198" s="203">
        <v>0</v>
      </c>
      <c r="AM1198" s="203">
        <v>0</v>
      </c>
      <c r="AN1198" s="203"/>
      <c r="AO1198" s="203">
        <v>0</v>
      </c>
    </row>
    <row r="1199" spans="1:41" s="176" customFormat="1" ht="36" customHeight="1" x14ac:dyDescent="0.25">
      <c r="A1199" s="176">
        <v>1</v>
      </c>
      <c r="B1199" s="171">
        <f>SUBTOTAL(103,$A$1087:A1199)</f>
        <v>110</v>
      </c>
      <c r="C1199" s="172" t="s">
        <v>775</v>
      </c>
      <c r="D1199" s="173">
        <v>1960</v>
      </c>
      <c r="E1199" s="173"/>
      <c r="F1199" s="174" t="s">
        <v>267</v>
      </c>
      <c r="G1199" s="173">
        <v>2</v>
      </c>
      <c r="H1199" s="173" t="s">
        <v>303</v>
      </c>
      <c r="I1199" s="177">
        <v>711.5</v>
      </c>
      <c r="J1199" s="177">
        <v>515.1</v>
      </c>
      <c r="K1199" s="177">
        <v>515.1</v>
      </c>
      <c r="L1199" s="206">
        <v>13</v>
      </c>
      <c r="M1199" s="173" t="s">
        <v>265</v>
      </c>
      <c r="N1199" s="173" t="s">
        <v>266</v>
      </c>
      <c r="O1199" s="175" t="s">
        <v>268</v>
      </c>
      <c r="P1199" s="170">
        <v>2496020.4</v>
      </c>
      <c r="Q1199" s="170">
        <v>0</v>
      </c>
      <c r="R1199" s="170">
        <v>0</v>
      </c>
      <c r="S1199" s="170">
        <f t="shared" si="206"/>
        <v>2496020.4</v>
      </c>
      <c r="T1199" s="170">
        <f t="shared" si="202"/>
        <v>3508.1101897399858</v>
      </c>
      <c r="U1199" s="170">
        <v>4324.190217849613</v>
      </c>
      <c r="V1199" s="202">
        <f t="shared" si="199"/>
        <v>816.08002810962716</v>
      </c>
      <c r="W1199" s="202">
        <f t="shared" si="207"/>
        <v>4191.4251300070273</v>
      </c>
      <c r="X1199" s="202">
        <v>0</v>
      </c>
      <c r="Y1199" s="203">
        <v>0</v>
      </c>
      <c r="Z1199" s="203">
        <v>0</v>
      </c>
      <c r="AA1199" s="203">
        <v>0</v>
      </c>
      <c r="AB1199" s="203">
        <v>0</v>
      </c>
      <c r="AC1199" s="203">
        <v>0</v>
      </c>
      <c r="AD1199" s="203">
        <v>0</v>
      </c>
      <c r="AE1199" s="203">
        <v>478</v>
      </c>
      <c r="AF1199" s="202">
        <f t="shared" si="208"/>
        <v>4191.4251300070273</v>
      </c>
      <c r="AG1199" s="203">
        <v>0</v>
      </c>
      <c r="AH1199" s="202">
        <v>0</v>
      </c>
      <c r="AI1199" s="203">
        <v>0</v>
      </c>
      <c r="AJ1199" s="202">
        <v>0</v>
      </c>
      <c r="AK1199" s="203">
        <v>0</v>
      </c>
      <c r="AL1199" s="203">
        <v>0</v>
      </c>
      <c r="AM1199" s="203">
        <v>0</v>
      </c>
      <c r="AN1199" s="203"/>
      <c r="AO1199" s="203">
        <v>0</v>
      </c>
    </row>
    <row r="1200" spans="1:41" s="176" customFormat="1" ht="36" customHeight="1" x14ac:dyDescent="0.25">
      <c r="A1200" s="176">
        <v>1</v>
      </c>
      <c r="B1200" s="171">
        <f>SUBTOTAL(103,$A$1087:A1200)</f>
        <v>111</v>
      </c>
      <c r="C1200" s="172" t="s">
        <v>2258</v>
      </c>
      <c r="D1200" s="173">
        <v>1962</v>
      </c>
      <c r="E1200" s="173"/>
      <c r="F1200" s="174" t="s">
        <v>267</v>
      </c>
      <c r="G1200" s="173">
        <v>4</v>
      </c>
      <c r="H1200" s="173" t="s">
        <v>303</v>
      </c>
      <c r="I1200" s="177">
        <v>1599.4</v>
      </c>
      <c r="J1200" s="177">
        <v>1280.9000000000001</v>
      </c>
      <c r="K1200" s="177">
        <v>975</v>
      </c>
      <c r="L1200" s="206">
        <v>60</v>
      </c>
      <c r="M1200" s="173" t="s">
        <v>265</v>
      </c>
      <c r="N1200" s="173" t="s">
        <v>269</v>
      </c>
      <c r="O1200" s="175" t="s">
        <v>797</v>
      </c>
      <c r="P1200" s="170">
        <v>3160678.81</v>
      </c>
      <c r="Q1200" s="170">
        <v>0</v>
      </c>
      <c r="R1200" s="170">
        <v>0</v>
      </c>
      <c r="S1200" s="170">
        <f t="shared" si="206"/>
        <v>3160678.81</v>
      </c>
      <c r="T1200" s="170">
        <f t="shared" si="202"/>
        <v>1976.1653182443415</v>
      </c>
      <c r="U1200" s="170">
        <v>2523.2614167812931</v>
      </c>
      <c r="V1200" s="202">
        <f t="shared" si="199"/>
        <v>547.09609853695156</v>
      </c>
      <c r="W1200" s="202">
        <f t="shared" si="207"/>
        <v>2445.7900275103161</v>
      </c>
      <c r="X1200" s="202">
        <v>0</v>
      </c>
      <c r="Y1200" s="203">
        <v>0</v>
      </c>
      <c r="Z1200" s="203">
        <v>0</v>
      </c>
      <c r="AA1200" s="203">
        <v>0</v>
      </c>
      <c r="AB1200" s="203">
        <v>0</v>
      </c>
      <c r="AC1200" s="203">
        <v>0</v>
      </c>
      <c r="AD1200" s="203">
        <v>0</v>
      </c>
      <c r="AE1200" s="203">
        <v>627</v>
      </c>
      <c r="AF1200" s="202">
        <f t="shared" si="208"/>
        <v>2445.7900275103161</v>
      </c>
      <c r="AG1200" s="203">
        <v>0</v>
      </c>
      <c r="AH1200" s="202">
        <v>0</v>
      </c>
      <c r="AI1200" s="203">
        <v>0</v>
      </c>
      <c r="AJ1200" s="202">
        <v>0</v>
      </c>
      <c r="AK1200" s="203">
        <v>0</v>
      </c>
      <c r="AL1200" s="203">
        <v>0</v>
      </c>
      <c r="AM1200" s="203">
        <v>0</v>
      </c>
      <c r="AN1200" s="203"/>
      <c r="AO1200" s="203">
        <v>0</v>
      </c>
    </row>
    <row r="1201" spans="1:41" s="176" customFormat="1" ht="36" customHeight="1" x14ac:dyDescent="0.25">
      <c r="A1201" s="176">
        <v>1</v>
      </c>
      <c r="B1201" s="171">
        <f>SUBTOTAL(103,$A$1087:A1201)</f>
        <v>112</v>
      </c>
      <c r="C1201" s="172" t="s">
        <v>779</v>
      </c>
      <c r="D1201" s="173">
        <v>1937</v>
      </c>
      <c r="E1201" s="173"/>
      <c r="F1201" s="174" t="s">
        <v>267</v>
      </c>
      <c r="G1201" s="173">
        <v>3</v>
      </c>
      <c r="H1201" s="173" t="s">
        <v>308</v>
      </c>
      <c r="I1201" s="177">
        <v>2758</v>
      </c>
      <c r="J1201" s="177">
        <v>1462.7</v>
      </c>
      <c r="K1201" s="177">
        <v>1347.2</v>
      </c>
      <c r="L1201" s="206">
        <v>62</v>
      </c>
      <c r="M1201" s="173" t="s">
        <v>265</v>
      </c>
      <c r="N1201" s="173" t="s">
        <v>269</v>
      </c>
      <c r="O1201" s="175" t="s">
        <v>797</v>
      </c>
      <c r="P1201" s="170">
        <v>7219360.3499999996</v>
      </c>
      <c r="Q1201" s="170">
        <v>0</v>
      </c>
      <c r="R1201" s="170">
        <v>0</v>
      </c>
      <c r="S1201" s="170">
        <f t="shared" si="206"/>
        <v>7219360.3499999996</v>
      </c>
      <c r="T1201" s="170">
        <f t="shared" si="202"/>
        <v>2617.6070884699056</v>
      </c>
      <c r="U1201" s="170">
        <v>3173.9234227701227</v>
      </c>
      <c r="V1201" s="202">
        <f t="shared" si="199"/>
        <v>556.31633430021702</v>
      </c>
      <c r="W1201" s="202">
        <f t="shared" si="207"/>
        <v>3076.4748368382884</v>
      </c>
      <c r="X1201" s="202">
        <v>0</v>
      </c>
      <c r="Y1201" s="203">
        <v>0</v>
      </c>
      <c r="Z1201" s="203">
        <v>0</v>
      </c>
      <c r="AA1201" s="203">
        <v>0</v>
      </c>
      <c r="AB1201" s="203">
        <v>0</v>
      </c>
      <c r="AC1201" s="203">
        <v>0</v>
      </c>
      <c r="AD1201" s="203">
        <v>0</v>
      </c>
      <c r="AE1201" s="203">
        <v>1360</v>
      </c>
      <c r="AF1201" s="202">
        <f t="shared" si="208"/>
        <v>3076.4748368382884</v>
      </c>
      <c r="AG1201" s="203">
        <v>0</v>
      </c>
      <c r="AH1201" s="202">
        <v>0</v>
      </c>
      <c r="AI1201" s="203">
        <v>0</v>
      </c>
      <c r="AJ1201" s="202">
        <v>0</v>
      </c>
      <c r="AK1201" s="203">
        <v>0</v>
      </c>
      <c r="AL1201" s="203">
        <v>0</v>
      </c>
      <c r="AM1201" s="203">
        <v>0</v>
      </c>
      <c r="AN1201" s="203"/>
      <c r="AO1201" s="203">
        <v>0</v>
      </c>
    </row>
    <row r="1202" spans="1:41" s="176" customFormat="1" ht="36" customHeight="1" x14ac:dyDescent="0.25">
      <c r="A1202" s="176">
        <v>1</v>
      </c>
      <c r="B1202" s="171">
        <f>SUBTOTAL(103,$A$1087:A1202)</f>
        <v>113</v>
      </c>
      <c r="C1202" s="172" t="s">
        <v>780</v>
      </c>
      <c r="D1202" s="173">
        <v>1959</v>
      </c>
      <c r="E1202" s="173"/>
      <c r="F1202" s="174" t="s">
        <v>267</v>
      </c>
      <c r="G1202" s="173">
        <v>4</v>
      </c>
      <c r="H1202" s="173" t="s">
        <v>303</v>
      </c>
      <c r="I1202" s="177">
        <v>1406.5</v>
      </c>
      <c r="J1202" s="177">
        <v>1307.5</v>
      </c>
      <c r="K1202" s="177">
        <v>809</v>
      </c>
      <c r="L1202" s="206">
        <v>67</v>
      </c>
      <c r="M1202" s="173" t="s">
        <v>265</v>
      </c>
      <c r="N1202" s="173" t="s">
        <v>269</v>
      </c>
      <c r="O1202" s="175" t="s">
        <v>797</v>
      </c>
      <c r="P1202" s="170">
        <v>3428311.4999999995</v>
      </c>
      <c r="Q1202" s="170">
        <v>0</v>
      </c>
      <c r="R1202" s="170">
        <v>0</v>
      </c>
      <c r="S1202" s="170">
        <f t="shared" si="206"/>
        <v>3428311.4999999995</v>
      </c>
      <c r="T1202" s="170">
        <f t="shared" si="202"/>
        <v>2437.4770707429789</v>
      </c>
      <c r="U1202" s="170">
        <v>2970.0021116245998</v>
      </c>
      <c r="V1202" s="202">
        <f t="shared" si="199"/>
        <v>532.52504088162095</v>
      </c>
      <c r="W1202" s="202">
        <f t="shared" si="207"/>
        <v>2878.8144969783148</v>
      </c>
      <c r="X1202" s="202">
        <v>0</v>
      </c>
      <c r="Y1202" s="203">
        <v>0</v>
      </c>
      <c r="Z1202" s="203">
        <v>0</v>
      </c>
      <c r="AA1202" s="203">
        <v>0</v>
      </c>
      <c r="AB1202" s="203">
        <v>0</v>
      </c>
      <c r="AC1202" s="203">
        <v>0</v>
      </c>
      <c r="AD1202" s="203">
        <v>0</v>
      </c>
      <c r="AE1202" s="203">
        <v>649</v>
      </c>
      <c r="AF1202" s="202">
        <f t="shared" si="208"/>
        <v>2878.8144969783148</v>
      </c>
      <c r="AG1202" s="203">
        <v>0</v>
      </c>
      <c r="AH1202" s="202">
        <v>0</v>
      </c>
      <c r="AI1202" s="203">
        <v>0</v>
      </c>
      <c r="AJ1202" s="202">
        <v>0</v>
      </c>
      <c r="AK1202" s="203">
        <v>0</v>
      </c>
      <c r="AL1202" s="203">
        <v>0</v>
      </c>
      <c r="AM1202" s="203">
        <v>0</v>
      </c>
      <c r="AN1202" s="203"/>
      <c r="AO1202" s="203">
        <v>0</v>
      </c>
    </row>
    <row r="1203" spans="1:41" s="176" customFormat="1" ht="36" customHeight="1" x14ac:dyDescent="0.25">
      <c r="A1203" s="176">
        <v>1</v>
      </c>
      <c r="B1203" s="171">
        <f>SUBTOTAL(103,$A$1087:A1203)</f>
        <v>114</v>
      </c>
      <c r="C1203" s="172" t="s">
        <v>781</v>
      </c>
      <c r="D1203" s="173">
        <v>1965</v>
      </c>
      <c r="E1203" s="173"/>
      <c r="F1203" s="174" t="s">
        <v>267</v>
      </c>
      <c r="G1203" s="173">
        <v>5</v>
      </c>
      <c r="H1203" s="173" t="s">
        <v>303</v>
      </c>
      <c r="I1203" s="177">
        <v>2042.45</v>
      </c>
      <c r="J1203" s="177">
        <v>1565</v>
      </c>
      <c r="K1203" s="177">
        <v>1565</v>
      </c>
      <c r="L1203" s="206">
        <v>65</v>
      </c>
      <c r="M1203" s="173" t="s">
        <v>265</v>
      </c>
      <c r="N1203" s="173" t="s">
        <v>269</v>
      </c>
      <c r="O1203" s="175" t="s">
        <v>795</v>
      </c>
      <c r="P1203" s="170">
        <v>3446388</v>
      </c>
      <c r="Q1203" s="170">
        <v>0</v>
      </c>
      <c r="R1203" s="170">
        <v>0</v>
      </c>
      <c r="S1203" s="170">
        <f t="shared" si="206"/>
        <v>3446388</v>
      </c>
      <c r="T1203" s="170">
        <f t="shared" si="202"/>
        <v>1687.3793728120638</v>
      </c>
      <c r="U1203" s="170">
        <v>2079.9088349776002</v>
      </c>
      <c r="V1203" s="202">
        <f t="shared" si="199"/>
        <v>392.52946216553642</v>
      </c>
      <c r="W1203" s="202">
        <f t="shared" si="207"/>
        <v>2016.0496462581702</v>
      </c>
      <c r="X1203" s="202">
        <v>0</v>
      </c>
      <c r="Y1203" s="203">
        <v>0</v>
      </c>
      <c r="Z1203" s="203">
        <v>0</v>
      </c>
      <c r="AA1203" s="203">
        <v>0</v>
      </c>
      <c r="AB1203" s="203">
        <v>0</v>
      </c>
      <c r="AC1203" s="203">
        <v>0</v>
      </c>
      <c r="AD1203" s="203">
        <v>0</v>
      </c>
      <c r="AE1203" s="203">
        <v>660</v>
      </c>
      <c r="AF1203" s="202">
        <f t="shared" si="208"/>
        <v>2016.0496462581702</v>
      </c>
      <c r="AG1203" s="203">
        <v>0</v>
      </c>
      <c r="AH1203" s="202">
        <v>0</v>
      </c>
      <c r="AI1203" s="203">
        <v>0</v>
      </c>
      <c r="AJ1203" s="202">
        <v>0</v>
      </c>
      <c r="AK1203" s="203">
        <v>0</v>
      </c>
      <c r="AL1203" s="203">
        <v>0</v>
      </c>
      <c r="AM1203" s="203">
        <v>0</v>
      </c>
      <c r="AN1203" s="203"/>
      <c r="AO1203" s="203">
        <v>0</v>
      </c>
    </row>
    <row r="1204" spans="1:41" s="176" customFormat="1" ht="36" customHeight="1" x14ac:dyDescent="0.25">
      <c r="A1204" s="176">
        <v>1</v>
      </c>
      <c r="B1204" s="171">
        <f>SUBTOTAL(103,$A$1087:A1204)</f>
        <v>115</v>
      </c>
      <c r="C1204" s="172" t="s">
        <v>782</v>
      </c>
      <c r="D1204" s="173">
        <v>1955</v>
      </c>
      <c r="E1204" s="173"/>
      <c r="F1204" s="174" t="s">
        <v>336</v>
      </c>
      <c r="G1204" s="173">
        <v>2</v>
      </c>
      <c r="H1204" s="173" t="s">
        <v>303</v>
      </c>
      <c r="I1204" s="177">
        <v>685.7</v>
      </c>
      <c r="J1204" s="177">
        <v>629.20000000000005</v>
      </c>
      <c r="K1204" s="177">
        <v>629.20000000000005</v>
      </c>
      <c r="L1204" s="206">
        <v>28</v>
      </c>
      <c r="M1204" s="173" t="s">
        <v>265</v>
      </c>
      <c r="N1204" s="173" t="s">
        <v>266</v>
      </c>
      <c r="O1204" s="175" t="s">
        <v>268</v>
      </c>
      <c r="P1204" s="170">
        <v>2827058</v>
      </c>
      <c r="Q1204" s="170">
        <v>0</v>
      </c>
      <c r="R1204" s="170">
        <v>0</v>
      </c>
      <c r="S1204" s="170">
        <f t="shared" si="206"/>
        <v>2827058</v>
      </c>
      <c r="T1204" s="170">
        <f t="shared" si="202"/>
        <v>4122.8788099752073</v>
      </c>
      <c r="U1204" s="170">
        <v>4796.6557240775846</v>
      </c>
      <c r="V1204" s="202">
        <f t="shared" si="199"/>
        <v>673.7769141023773</v>
      </c>
      <c r="W1204" s="202">
        <f t="shared" si="207"/>
        <v>4649.3845850955222</v>
      </c>
      <c r="X1204" s="202">
        <v>0</v>
      </c>
      <c r="Y1204" s="203">
        <v>0</v>
      </c>
      <c r="Z1204" s="203">
        <v>0</v>
      </c>
      <c r="AA1204" s="203">
        <v>0</v>
      </c>
      <c r="AB1204" s="203">
        <v>0</v>
      </c>
      <c r="AC1204" s="203">
        <v>0</v>
      </c>
      <c r="AD1204" s="203">
        <v>0</v>
      </c>
      <c r="AE1204" s="203">
        <v>511</v>
      </c>
      <c r="AF1204" s="202">
        <f t="shared" si="208"/>
        <v>4649.3845850955222</v>
      </c>
      <c r="AG1204" s="203">
        <v>0</v>
      </c>
      <c r="AH1204" s="202">
        <v>0</v>
      </c>
      <c r="AI1204" s="203">
        <v>0</v>
      </c>
      <c r="AJ1204" s="202">
        <v>0</v>
      </c>
      <c r="AK1204" s="203">
        <v>0</v>
      </c>
      <c r="AL1204" s="203">
        <v>0</v>
      </c>
      <c r="AM1204" s="203">
        <v>0</v>
      </c>
      <c r="AN1204" s="203"/>
      <c r="AO1204" s="203">
        <v>0</v>
      </c>
    </row>
    <row r="1205" spans="1:41" s="176" customFormat="1" ht="36" customHeight="1" x14ac:dyDescent="0.25">
      <c r="A1205" s="176">
        <v>1</v>
      </c>
      <c r="B1205" s="171">
        <f>SUBTOTAL(103,$A$1087:A1205)</f>
        <v>116</v>
      </c>
      <c r="C1205" s="172" t="s">
        <v>783</v>
      </c>
      <c r="D1205" s="173">
        <v>1975</v>
      </c>
      <c r="E1205" s="173"/>
      <c r="F1205" s="174" t="s">
        <v>267</v>
      </c>
      <c r="G1205" s="173">
        <v>5</v>
      </c>
      <c r="H1205" s="173" t="s">
        <v>370</v>
      </c>
      <c r="I1205" s="177">
        <v>6824.86</v>
      </c>
      <c r="J1205" s="177">
        <v>4475.3999999999996</v>
      </c>
      <c r="K1205" s="177">
        <v>4306.8999999999996</v>
      </c>
      <c r="L1205" s="206">
        <v>160</v>
      </c>
      <c r="M1205" s="173" t="s">
        <v>265</v>
      </c>
      <c r="N1205" s="173" t="s">
        <v>269</v>
      </c>
      <c r="O1205" s="175" t="s">
        <v>802</v>
      </c>
      <c r="P1205" s="170">
        <v>8660275.6699999981</v>
      </c>
      <c r="Q1205" s="170">
        <v>0</v>
      </c>
      <c r="R1205" s="170">
        <v>0</v>
      </c>
      <c r="S1205" s="170">
        <f>P1205-Q1205-R1205</f>
        <v>8660275.6699999981</v>
      </c>
      <c r="T1205" s="170">
        <f t="shared" si="202"/>
        <v>1268.9308894248377</v>
      </c>
      <c r="U1205" s="170">
        <v>1930.998610227902</v>
      </c>
      <c r="V1205" s="202">
        <f>U1205-T1205</f>
        <v>662.06772080306428</v>
      </c>
      <c r="W1205" s="202">
        <f>X1205+Y1205+Z1205+AA1205+AB1205+AD1205+AF1205+AH1205+AJ1205+AL1205+AN1205+AO1205</f>
        <v>1871.7113940798786</v>
      </c>
      <c r="X1205" s="202">
        <v>0</v>
      </c>
      <c r="Y1205" s="203">
        <v>0</v>
      </c>
      <c r="Z1205" s="203">
        <v>0</v>
      </c>
      <c r="AA1205" s="203">
        <v>0</v>
      </c>
      <c r="AB1205" s="203">
        <v>0</v>
      </c>
      <c r="AC1205" s="203">
        <v>0</v>
      </c>
      <c r="AD1205" s="203">
        <v>0</v>
      </c>
      <c r="AE1205" s="203">
        <v>2047.5</v>
      </c>
      <c r="AF1205" s="202">
        <f>6238.91*AE1205/I1205</f>
        <v>1871.7113940798786</v>
      </c>
      <c r="AG1205" s="203">
        <v>0</v>
      </c>
      <c r="AH1205" s="202">
        <v>0</v>
      </c>
      <c r="AI1205" s="203">
        <v>0</v>
      </c>
      <c r="AJ1205" s="202">
        <v>0</v>
      </c>
      <c r="AK1205" s="203">
        <v>0</v>
      </c>
      <c r="AL1205" s="203">
        <v>0</v>
      </c>
      <c r="AM1205" s="203">
        <v>0</v>
      </c>
      <c r="AN1205" s="203"/>
      <c r="AO1205" s="203">
        <v>0</v>
      </c>
    </row>
    <row r="1206" spans="1:41" s="176" customFormat="1" ht="36" customHeight="1" x14ac:dyDescent="0.25">
      <c r="A1206" s="176">
        <v>1</v>
      </c>
      <c r="B1206" s="171">
        <f>SUBTOTAL(103,$A$1087:A1206)</f>
        <v>117</v>
      </c>
      <c r="C1206" s="172" t="s">
        <v>805</v>
      </c>
      <c r="D1206" s="173">
        <v>1959</v>
      </c>
      <c r="E1206" s="173"/>
      <c r="F1206" s="174" t="s">
        <v>267</v>
      </c>
      <c r="G1206" s="173">
        <v>2</v>
      </c>
      <c r="H1206" s="173" t="s">
        <v>304</v>
      </c>
      <c r="I1206" s="177">
        <v>309.2</v>
      </c>
      <c r="J1206" s="177">
        <v>287.5</v>
      </c>
      <c r="K1206" s="177">
        <v>287.5</v>
      </c>
      <c r="L1206" s="206">
        <v>14</v>
      </c>
      <c r="M1206" s="173" t="s">
        <v>265</v>
      </c>
      <c r="N1206" s="173" t="s">
        <v>269</v>
      </c>
      <c r="O1206" s="175" t="s">
        <v>978</v>
      </c>
      <c r="P1206" s="170">
        <v>1991891.6</v>
      </c>
      <c r="Q1206" s="170">
        <v>0</v>
      </c>
      <c r="R1206" s="170">
        <v>0</v>
      </c>
      <c r="S1206" s="170">
        <f>P1206-Q1206-R1206</f>
        <v>1991891.6</v>
      </c>
      <c r="T1206" s="170">
        <f t="shared" si="202"/>
        <v>6442.081500646831</v>
      </c>
      <c r="U1206" s="170">
        <v>8661.3065976714097</v>
      </c>
      <c r="V1206" s="202">
        <f>U1206-T1206</f>
        <v>2219.2250970245786</v>
      </c>
      <c r="W1206" s="202">
        <f>X1206+Y1206+Z1206+AA1206+AB1206+AD1206+AF1206+AH1206+AJ1206+AL1206+AN1206+AO1206</f>
        <v>8661.3065976714097</v>
      </c>
      <c r="X1206" s="202">
        <v>0</v>
      </c>
      <c r="Y1206" s="203">
        <v>0</v>
      </c>
      <c r="Z1206" s="203">
        <v>0</v>
      </c>
      <c r="AA1206" s="203">
        <v>0</v>
      </c>
      <c r="AB1206" s="203">
        <v>0</v>
      </c>
      <c r="AC1206" s="203">
        <v>0</v>
      </c>
      <c r="AD1206" s="203">
        <v>0</v>
      </c>
      <c r="AE1206" s="203">
        <v>0</v>
      </c>
      <c r="AF1206" s="202">
        <v>0</v>
      </c>
      <c r="AG1206" s="203">
        <v>0</v>
      </c>
      <c r="AH1206" s="202">
        <v>0</v>
      </c>
      <c r="AI1206" s="203">
        <v>360</v>
      </c>
      <c r="AJ1206" s="202">
        <f>7439.1*AI1206/I1206</f>
        <v>8661.3065976714097</v>
      </c>
      <c r="AK1206" s="203">
        <v>0</v>
      </c>
      <c r="AL1206" s="203">
        <v>0</v>
      </c>
      <c r="AM1206" s="203">
        <v>0</v>
      </c>
      <c r="AN1206" s="203"/>
      <c r="AO1206" s="203">
        <v>0</v>
      </c>
    </row>
    <row r="1207" spans="1:41" s="176" customFormat="1" ht="36" customHeight="1" x14ac:dyDescent="0.25">
      <c r="A1207" s="176">
        <v>1</v>
      </c>
      <c r="B1207" s="171">
        <f>SUBTOTAL(103,$A$1087:A1207)</f>
        <v>118</v>
      </c>
      <c r="C1207" s="172" t="s">
        <v>1590</v>
      </c>
      <c r="D1207" s="173">
        <v>1958</v>
      </c>
      <c r="E1207" s="173"/>
      <c r="F1207" s="174" t="s">
        <v>267</v>
      </c>
      <c r="G1207" s="173">
        <v>2</v>
      </c>
      <c r="H1207" s="173" t="s">
        <v>303</v>
      </c>
      <c r="I1207" s="177">
        <v>446.8</v>
      </c>
      <c r="J1207" s="177">
        <v>446.8</v>
      </c>
      <c r="K1207" s="177">
        <v>297.3</v>
      </c>
      <c r="L1207" s="206">
        <v>17</v>
      </c>
      <c r="M1207" s="173" t="s">
        <v>265</v>
      </c>
      <c r="N1207" s="173" t="s">
        <v>266</v>
      </c>
      <c r="O1207" s="175" t="s">
        <v>268</v>
      </c>
      <c r="P1207" s="170">
        <v>2084284</v>
      </c>
      <c r="Q1207" s="170">
        <v>0</v>
      </c>
      <c r="R1207" s="170">
        <v>0</v>
      </c>
      <c r="S1207" s="170">
        <f>P1207-Q1207-R1207</f>
        <v>2084284</v>
      </c>
      <c r="T1207" s="170">
        <f t="shared" si="202"/>
        <v>4664.9149507609663</v>
      </c>
      <c r="U1207" s="170">
        <v>5474.2197851387646</v>
      </c>
      <c r="V1207" s="202">
        <f>U1207-T1207</f>
        <v>809.30483437779822</v>
      </c>
      <c r="W1207" s="202">
        <f>X1207+Y1207+Z1207+AA1207+AB1207+AD1207+AF1207+AH1207+AJ1207+AL1207+AN1207+AO1207</f>
        <v>5306.1454789615036</v>
      </c>
      <c r="X1207" s="202">
        <v>0</v>
      </c>
      <c r="Y1207" s="203">
        <v>0</v>
      </c>
      <c r="Z1207" s="203">
        <v>0</v>
      </c>
      <c r="AA1207" s="203">
        <v>0</v>
      </c>
      <c r="AB1207" s="203">
        <v>0</v>
      </c>
      <c r="AC1207" s="203">
        <v>0</v>
      </c>
      <c r="AD1207" s="203">
        <v>0</v>
      </c>
      <c r="AE1207" s="203">
        <v>380</v>
      </c>
      <c r="AF1207" s="202">
        <f>6238.91*AE1207/I1207</f>
        <v>5306.1454789615036</v>
      </c>
      <c r="AG1207" s="203">
        <v>0</v>
      </c>
      <c r="AH1207" s="202">
        <v>0</v>
      </c>
      <c r="AI1207" s="203">
        <v>0</v>
      </c>
      <c r="AJ1207" s="202">
        <v>0</v>
      </c>
      <c r="AK1207" s="203">
        <v>0</v>
      </c>
      <c r="AL1207" s="203">
        <v>0</v>
      </c>
      <c r="AM1207" s="203">
        <v>0</v>
      </c>
      <c r="AN1207" s="203"/>
      <c r="AO1207" s="203">
        <v>0</v>
      </c>
    </row>
    <row r="1208" spans="1:41" s="176" customFormat="1" ht="36" customHeight="1" x14ac:dyDescent="0.25">
      <c r="B1208" s="172" t="s">
        <v>750</v>
      </c>
      <c r="C1208" s="359"/>
      <c r="D1208" s="173" t="s">
        <v>882</v>
      </c>
      <c r="E1208" s="173" t="s">
        <v>882</v>
      </c>
      <c r="F1208" s="173" t="s">
        <v>882</v>
      </c>
      <c r="G1208" s="173" t="s">
        <v>882</v>
      </c>
      <c r="H1208" s="173" t="s">
        <v>882</v>
      </c>
      <c r="I1208" s="177">
        <f>I1209+I1210</f>
        <v>13712.699999999999</v>
      </c>
      <c r="J1208" s="177">
        <f>J1209+J1210</f>
        <v>12166.6</v>
      </c>
      <c r="K1208" s="177">
        <f>K1209+K1210</f>
        <v>11718.300000000001</v>
      </c>
      <c r="L1208" s="357">
        <f>L1209+L1210</f>
        <v>547</v>
      </c>
      <c r="M1208" s="173" t="s">
        <v>882</v>
      </c>
      <c r="N1208" s="173" t="s">
        <v>882</v>
      </c>
      <c r="O1208" s="175" t="s">
        <v>882</v>
      </c>
      <c r="P1208" s="177">
        <v>21856214.649999999</v>
      </c>
      <c r="Q1208" s="177">
        <f>Q1209+Q1210</f>
        <v>0</v>
      </c>
      <c r="R1208" s="177">
        <f>R1209+R1210</f>
        <v>0</v>
      </c>
      <c r="S1208" s="177">
        <f>S1209+S1210</f>
        <v>21856214.649999999</v>
      </c>
      <c r="T1208" s="170">
        <f t="shared" si="202"/>
        <v>1593.8666090558388</v>
      </c>
      <c r="U1208" s="170">
        <f>MAX(U1209:U1210)</f>
        <v>5633.9843169275355</v>
      </c>
      <c r="V1208" s="202">
        <f t="shared" si="199"/>
        <v>4040.1177078716964</v>
      </c>
      <c r="W1208" s="202"/>
      <c r="X1208" s="202"/>
      <c r="Y1208" s="203"/>
      <c r="Z1208" s="203"/>
      <c r="AA1208" s="203"/>
      <c r="AB1208" s="203"/>
      <c r="AC1208" s="203"/>
      <c r="AD1208" s="203"/>
      <c r="AE1208" s="203"/>
      <c r="AF1208" s="203"/>
      <c r="AG1208" s="203"/>
      <c r="AH1208" s="203"/>
      <c r="AI1208" s="203"/>
      <c r="AJ1208" s="203"/>
      <c r="AK1208" s="203"/>
      <c r="AL1208" s="203"/>
      <c r="AM1208" s="203"/>
      <c r="AN1208" s="203"/>
      <c r="AO1208" s="203"/>
    </row>
    <row r="1209" spans="1:41" s="176" customFormat="1" ht="36" customHeight="1" x14ac:dyDescent="0.25">
      <c r="A1209" s="176">
        <v>1</v>
      </c>
      <c r="B1209" s="171">
        <f>SUBTOTAL(103,$A$1087:A1209)</f>
        <v>119</v>
      </c>
      <c r="C1209" s="172" t="s">
        <v>382</v>
      </c>
      <c r="D1209" s="173">
        <v>1981</v>
      </c>
      <c r="E1209" s="173">
        <v>2016</v>
      </c>
      <c r="F1209" s="174" t="s">
        <v>311</v>
      </c>
      <c r="G1209" s="173">
        <v>5</v>
      </c>
      <c r="H1209" s="173" t="s">
        <v>351</v>
      </c>
      <c r="I1209" s="177">
        <v>3982.4</v>
      </c>
      <c r="J1209" s="177">
        <v>3501.5</v>
      </c>
      <c r="K1209" s="177">
        <v>3375.6</v>
      </c>
      <c r="L1209" s="206">
        <v>165</v>
      </c>
      <c r="M1209" s="173" t="s">
        <v>265</v>
      </c>
      <c r="N1209" s="173" t="s">
        <v>269</v>
      </c>
      <c r="O1209" s="175" t="s">
        <v>319</v>
      </c>
      <c r="P1209" s="170">
        <v>7550257.2599999998</v>
      </c>
      <c r="Q1209" s="170">
        <v>0</v>
      </c>
      <c r="R1209" s="170">
        <v>0</v>
      </c>
      <c r="S1209" s="170">
        <f>P1209-Q1209-R1209</f>
        <v>7550257.2599999998</v>
      </c>
      <c r="T1209" s="170">
        <f t="shared" si="202"/>
        <v>1895.9063027320208</v>
      </c>
      <c r="U1209" s="170">
        <v>4998.25</v>
      </c>
      <c r="V1209" s="202">
        <f t="shared" si="199"/>
        <v>3102.3436972679792</v>
      </c>
      <c r="W1209" s="202">
        <f>X1209+Y1209+Z1209+AA1209+AB1209+AD1209+AF1209+AH1209+AJ1209+AL1209+AN1209+AO1209</f>
        <v>4586.9399999999996</v>
      </c>
      <c r="X1209" s="202">
        <v>101.55</v>
      </c>
      <c r="Y1209" s="203">
        <v>245.44</v>
      </c>
      <c r="Z1209" s="203">
        <v>3259.66</v>
      </c>
      <c r="AA1209" s="203">
        <v>184.98</v>
      </c>
      <c r="AB1209" s="203">
        <v>795.31</v>
      </c>
      <c r="AC1209" s="203">
        <v>0</v>
      </c>
      <c r="AD1209" s="203">
        <v>0</v>
      </c>
      <c r="AE1209" s="203">
        <v>0</v>
      </c>
      <c r="AF1209" s="202">
        <v>0</v>
      </c>
      <c r="AG1209" s="203">
        <v>0</v>
      </c>
      <c r="AH1209" s="202">
        <v>0</v>
      </c>
      <c r="AI1209" s="203">
        <v>0</v>
      </c>
      <c r="AJ1209" s="202">
        <v>0</v>
      </c>
      <c r="AK1209" s="203">
        <v>0</v>
      </c>
      <c r="AL1209" s="203">
        <v>0</v>
      </c>
      <c r="AM1209" s="203">
        <v>0</v>
      </c>
      <c r="AN1209" s="203"/>
      <c r="AO1209" s="203">
        <v>0</v>
      </c>
    </row>
    <row r="1210" spans="1:41" s="176" customFormat="1" ht="36" customHeight="1" x14ac:dyDescent="0.25">
      <c r="A1210" s="176">
        <v>1</v>
      </c>
      <c r="B1210" s="171">
        <f>SUBTOTAL(103,$A$1087:A1210)</f>
        <v>120</v>
      </c>
      <c r="C1210" s="172" t="s">
        <v>383</v>
      </c>
      <c r="D1210" s="173">
        <v>1999</v>
      </c>
      <c r="E1210" s="173">
        <v>2016</v>
      </c>
      <c r="F1210" s="174" t="s">
        <v>311</v>
      </c>
      <c r="G1210" s="173">
        <v>9</v>
      </c>
      <c r="H1210" s="173" t="s">
        <v>308</v>
      </c>
      <c r="I1210" s="177">
        <v>9730.2999999999993</v>
      </c>
      <c r="J1210" s="177">
        <v>8665.1</v>
      </c>
      <c r="K1210" s="177">
        <v>8342.7000000000007</v>
      </c>
      <c r="L1210" s="206">
        <v>382</v>
      </c>
      <c r="M1210" s="173" t="s">
        <v>265</v>
      </c>
      <c r="N1210" s="173" t="s">
        <v>269</v>
      </c>
      <c r="O1210" s="175" t="s">
        <v>319</v>
      </c>
      <c r="P1210" s="170">
        <v>14305957.390000001</v>
      </c>
      <c r="Q1210" s="170">
        <v>0</v>
      </c>
      <c r="R1210" s="170">
        <v>0</v>
      </c>
      <c r="S1210" s="170">
        <f>P1210-Q1210-R1210</f>
        <v>14305957.390000001</v>
      </c>
      <c r="T1210" s="170">
        <f t="shared" si="202"/>
        <v>1470.2483366391582</v>
      </c>
      <c r="U1210" s="170">
        <v>5633.9843169275355</v>
      </c>
      <c r="V1210" s="202">
        <f t="shared" si="199"/>
        <v>4163.7359802883775</v>
      </c>
      <c r="W1210" s="202">
        <f>X1210+Y1210+Z1210+AA1210+AB1210+AD1210+AF1210+AH1210+AJ1210+AL1210+AN1210+AO1210</f>
        <v>5633.9843169275355</v>
      </c>
      <c r="X1210" s="202">
        <v>0</v>
      </c>
      <c r="Y1210" s="203">
        <v>0</v>
      </c>
      <c r="Z1210" s="203">
        <v>0</v>
      </c>
      <c r="AA1210" s="203">
        <v>0</v>
      </c>
      <c r="AB1210" s="203">
        <v>0</v>
      </c>
      <c r="AC1210" s="203">
        <v>0</v>
      </c>
      <c r="AD1210" s="203">
        <v>0</v>
      </c>
      <c r="AE1210" s="203">
        <v>0</v>
      </c>
      <c r="AF1210" s="202">
        <v>0</v>
      </c>
      <c r="AG1210" s="203">
        <v>0</v>
      </c>
      <c r="AH1210" s="202">
        <v>0</v>
      </c>
      <c r="AI1210" s="203">
        <v>7025.9</v>
      </c>
      <c r="AJ1210" s="202">
        <f>7802.61*AI1210/I1210</f>
        <v>5633.9843169275355</v>
      </c>
      <c r="AK1210" s="203">
        <v>0</v>
      </c>
      <c r="AL1210" s="203">
        <v>0</v>
      </c>
      <c r="AM1210" s="203">
        <v>0</v>
      </c>
      <c r="AN1210" s="203"/>
      <c r="AO1210" s="203">
        <v>0</v>
      </c>
    </row>
    <row r="1211" spans="1:41" s="176" customFormat="1" ht="36" customHeight="1" x14ac:dyDescent="0.25">
      <c r="B1211" s="172" t="s">
        <v>807</v>
      </c>
      <c r="C1211" s="359"/>
      <c r="D1211" s="173" t="s">
        <v>882</v>
      </c>
      <c r="E1211" s="173" t="s">
        <v>882</v>
      </c>
      <c r="F1211" s="173" t="s">
        <v>882</v>
      </c>
      <c r="G1211" s="173" t="s">
        <v>882</v>
      </c>
      <c r="H1211" s="173" t="s">
        <v>882</v>
      </c>
      <c r="I1211" s="177">
        <f>SUM(I1212:I1219)</f>
        <v>44403.5</v>
      </c>
      <c r="J1211" s="177">
        <f>SUM(J1212:J1219)</f>
        <v>37098.74</v>
      </c>
      <c r="K1211" s="177">
        <f>SUM(K1212:K1219)</f>
        <v>31970.329999999998</v>
      </c>
      <c r="L1211" s="357">
        <f>SUM(L1212:L1219)</f>
        <v>1743</v>
      </c>
      <c r="M1211" s="173" t="s">
        <v>882</v>
      </c>
      <c r="N1211" s="173" t="s">
        <v>882</v>
      </c>
      <c r="O1211" s="175" t="s">
        <v>882</v>
      </c>
      <c r="P1211" s="177">
        <v>51599396.32</v>
      </c>
      <c r="Q1211" s="177">
        <f>SUM(Q1212:Q1219)</f>
        <v>0</v>
      </c>
      <c r="R1211" s="177">
        <f>SUM(R1212:R1219)</f>
        <v>0</v>
      </c>
      <c r="S1211" s="177">
        <f>SUM(S1212:S1219)</f>
        <v>51599396.32</v>
      </c>
      <c r="T1211" s="170">
        <f t="shared" si="202"/>
        <v>1162.056962176405</v>
      </c>
      <c r="U1211" s="170">
        <f>MAX(U1212:U1219)</f>
        <v>7396.5430112644772</v>
      </c>
      <c r="V1211" s="202">
        <f t="shared" si="199"/>
        <v>6234.4860490880719</v>
      </c>
      <c r="W1211" s="202"/>
      <c r="X1211" s="202"/>
      <c r="Y1211" s="203"/>
      <c r="Z1211" s="203"/>
      <c r="AA1211" s="203"/>
      <c r="AB1211" s="203"/>
      <c r="AC1211" s="203"/>
      <c r="AD1211" s="203"/>
      <c r="AE1211" s="203"/>
      <c r="AF1211" s="203"/>
      <c r="AG1211" s="203"/>
      <c r="AH1211" s="203"/>
      <c r="AI1211" s="203"/>
      <c r="AJ1211" s="203"/>
      <c r="AK1211" s="203"/>
      <c r="AL1211" s="203"/>
      <c r="AM1211" s="203"/>
      <c r="AN1211" s="203"/>
      <c r="AO1211" s="203"/>
    </row>
    <row r="1212" spans="1:41" s="176" customFormat="1" ht="36" customHeight="1" x14ac:dyDescent="0.25">
      <c r="A1212" s="176">
        <v>1</v>
      </c>
      <c r="B1212" s="171">
        <f>SUBTOTAL(103,$A$1087:A1212)</f>
        <v>121</v>
      </c>
      <c r="C1212" s="172" t="s">
        <v>600</v>
      </c>
      <c r="D1212" s="173">
        <v>1967</v>
      </c>
      <c r="E1212" s="173"/>
      <c r="F1212" s="174" t="s">
        <v>267</v>
      </c>
      <c r="G1212" s="173">
        <v>5</v>
      </c>
      <c r="H1212" s="173" t="s">
        <v>308</v>
      </c>
      <c r="I1212" s="177">
        <v>5264.54</v>
      </c>
      <c r="J1212" s="177">
        <v>3236.74</v>
      </c>
      <c r="K1212" s="177">
        <v>2547.17</v>
      </c>
      <c r="L1212" s="206">
        <v>119</v>
      </c>
      <c r="M1212" s="173" t="s">
        <v>265</v>
      </c>
      <c r="N1212" s="173" t="s">
        <v>269</v>
      </c>
      <c r="O1212" s="175" t="s">
        <v>697</v>
      </c>
      <c r="P1212" s="170">
        <v>5121801</v>
      </c>
      <c r="Q1212" s="170">
        <v>0</v>
      </c>
      <c r="R1212" s="170">
        <v>0</v>
      </c>
      <c r="S1212" s="170">
        <f t="shared" ref="S1212:S1219" si="209">P1212-Q1212-R1212</f>
        <v>5121801</v>
      </c>
      <c r="T1212" s="170">
        <f t="shared" si="202"/>
        <v>972.8867099499671</v>
      </c>
      <c r="U1212" s="170">
        <v>1199.3898669209466</v>
      </c>
      <c r="V1212" s="202">
        <f t="shared" si="199"/>
        <v>226.50315697097949</v>
      </c>
      <c r="W1212" s="202">
        <f t="shared" ref="W1212:W1219" si="210">X1212+Y1212+Z1212+AA1212+AB1212+AD1212+AF1212+AH1212+AJ1212+AL1212+AN1212+AO1212</f>
        <v>1162.5651452928462</v>
      </c>
      <c r="X1212" s="202">
        <v>0</v>
      </c>
      <c r="Y1212" s="203">
        <v>0</v>
      </c>
      <c r="Z1212" s="203">
        <v>0</v>
      </c>
      <c r="AA1212" s="203">
        <v>0</v>
      </c>
      <c r="AB1212" s="203">
        <v>0</v>
      </c>
      <c r="AC1212" s="203">
        <v>0</v>
      </c>
      <c r="AD1212" s="203">
        <v>0</v>
      </c>
      <c r="AE1212" s="203">
        <v>981</v>
      </c>
      <c r="AF1212" s="202">
        <f>6238.91*AE1212/I1212</f>
        <v>1162.5651452928462</v>
      </c>
      <c r="AG1212" s="203">
        <v>0</v>
      </c>
      <c r="AH1212" s="202">
        <v>0</v>
      </c>
      <c r="AI1212" s="203">
        <v>0</v>
      </c>
      <c r="AJ1212" s="202">
        <v>0</v>
      </c>
      <c r="AK1212" s="203">
        <v>0</v>
      </c>
      <c r="AL1212" s="203">
        <v>0</v>
      </c>
      <c r="AM1212" s="203">
        <v>0</v>
      </c>
      <c r="AN1212" s="203"/>
      <c r="AO1212" s="203">
        <v>0</v>
      </c>
    </row>
    <row r="1213" spans="1:41" s="176" customFormat="1" ht="36" customHeight="1" x14ac:dyDescent="0.25">
      <c r="A1213" s="176">
        <v>1</v>
      </c>
      <c r="B1213" s="171">
        <f>SUBTOTAL(103,$A$1087:A1213)</f>
        <v>122</v>
      </c>
      <c r="C1213" s="172" t="s">
        <v>601</v>
      </c>
      <c r="D1213" s="173">
        <v>1969</v>
      </c>
      <c r="E1213" s="173"/>
      <c r="F1213" s="174" t="s">
        <v>267</v>
      </c>
      <c r="G1213" s="173">
        <v>5</v>
      </c>
      <c r="H1213" s="173" t="s">
        <v>2250</v>
      </c>
      <c r="I1213" s="177">
        <v>8212.5400000000009</v>
      </c>
      <c r="J1213" s="177">
        <v>5998.64</v>
      </c>
      <c r="K1213" s="177">
        <v>5998.64</v>
      </c>
      <c r="L1213" s="206">
        <v>252</v>
      </c>
      <c r="M1213" s="173" t="s">
        <v>265</v>
      </c>
      <c r="N1213" s="173" t="s">
        <v>269</v>
      </c>
      <c r="O1213" s="175" t="s">
        <v>697</v>
      </c>
      <c r="P1213" s="170">
        <v>8124000</v>
      </c>
      <c r="Q1213" s="170">
        <v>0</v>
      </c>
      <c r="R1213" s="170">
        <v>0</v>
      </c>
      <c r="S1213" s="170">
        <f t="shared" si="209"/>
        <v>8124000</v>
      </c>
      <c r="T1213" s="170">
        <f t="shared" si="202"/>
        <v>989.21892617874607</v>
      </c>
      <c r="U1213" s="170">
        <v>1326.4869364411009</v>
      </c>
      <c r="V1213" s="202">
        <f t="shared" si="199"/>
        <v>337.26801026235478</v>
      </c>
      <c r="W1213" s="202">
        <f t="shared" si="210"/>
        <v>1285.7599689012166</v>
      </c>
      <c r="X1213" s="202">
        <v>0</v>
      </c>
      <c r="Y1213" s="203">
        <v>0</v>
      </c>
      <c r="Z1213" s="203">
        <v>0</v>
      </c>
      <c r="AA1213" s="203">
        <v>0</v>
      </c>
      <c r="AB1213" s="203">
        <v>0</v>
      </c>
      <c r="AC1213" s="203">
        <v>0</v>
      </c>
      <c r="AD1213" s="203">
        <v>0</v>
      </c>
      <c r="AE1213" s="203">
        <v>1692.5</v>
      </c>
      <c r="AF1213" s="202">
        <f>6238.91*AE1213/I1213</f>
        <v>1285.7599689012166</v>
      </c>
      <c r="AG1213" s="203">
        <v>0</v>
      </c>
      <c r="AH1213" s="202">
        <v>0</v>
      </c>
      <c r="AI1213" s="203">
        <v>0</v>
      </c>
      <c r="AJ1213" s="202">
        <v>0</v>
      </c>
      <c r="AK1213" s="203">
        <v>0</v>
      </c>
      <c r="AL1213" s="203">
        <v>0</v>
      </c>
      <c r="AM1213" s="203">
        <v>0</v>
      </c>
      <c r="AN1213" s="203"/>
      <c r="AO1213" s="203">
        <v>0</v>
      </c>
    </row>
    <row r="1214" spans="1:41" s="176" customFormat="1" ht="36" customHeight="1" x14ac:dyDescent="0.25">
      <c r="A1214" s="176">
        <v>1</v>
      </c>
      <c r="B1214" s="171">
        <f>SUBTOTAL(103,$A$1087:A1214)</f>
        <v>123</v>
      </c>
      <c r="C1214" s="172" t="s">
        <v>1670</v>
      </c>
      <c r="D1214" s="173">
        <v>1990</v>
      </c>
      <c r="E1214" s="173"/>
      <c r="F1214" s="174" t="s">
        <v>318</v>
      </c>
      <c r="G1214" s="173">
        <v>2</v>
      </c>
      <c r="H1214" s="173" t="s">
        <v>303</v>
      </c>
      <c r="I1214" s="177">
        <v>630.29999999999995</v>
      </c>
      <c r="J1214" s="177">
        <v>568.70000000000005</v>
      </c>
      <c r="K1214" s="177">
        <v>568.70000000000005</v>
      </c>
      <c r="L1214" s="206">
        <v>25</v>
      </c>
      <c r="M1214" s="173" t="s">
        <v>265</v>
      </c>
      <c r="N1214" s="173" t="s">
        <v>269</v>
      </c>
      <c r="O1214" s="175" t="s">
        <v>699</v>
      </c>
      <c r="P1214" s="170">
        <v>4662041.0599999996</v>
      </c>
      <c r="Q1214" s="170">
        <v>0</v>
      </c>
      <c r="R1214" s="170">
        <v>0</v>
      </c>
      <c r="S1214" s="170">
        <f t="shared" si="209"/>
        <v>4662041.0599999996</v>
      </c>
      <c r="T1214" s="170">
        <f t="shared" si="202"/>
        <v>7396.5430112644772</v>
      </c>
      <c r="U1214" s="170">
        <v>7396.5430112644772</v>
      </c>
      <c r="V1214" s="202">
        <f t="shared" si="199"/>
        <v>0</v>
      </c>
      <c r="W1214" s="202">
        <f>T1214</f>
        <v>7396.5430112644772</v>
      </c>
      <c r="X1214" s="202">
        <v>0</v>
      </c>
      <c r="Y1214" s="203">
        <v>0</v>
      </c>
      <c r="Z1214" s="203">
        <v>0</v>
      </c>
      <c r="AA1214" s="203">
        <v>0</v>
      </c>
      <c r="AB1214" s="203">
        <v>0</v>
      </c>
      <c r="AC1214" s="203">
        <v>0</v>
      </c>
      <c r="AD1214" s="203">
        <v>0</v>
      </c>
      <c r="AE1214" s="203">
        <v>650</v>
      </c>
      <c r="AF1214" s="202">
        <f>6436.53*AE1214/I1214</f>
        <v>6637.703474535936</v>
      </c>
      <c r="AG1214" s="203">
        <v>0</v>
      </c>
      <c r="AH1214" s="202">
        <v>0</v>
      </c>
      <c r="AI1214" s="203">
        <v>0</v>
      </c>
      <c r="AJ1214" s="202">
        <v>0</v>
      </c>
      <c r="AK1214" s="203">
        <v>0</v>
      </c>
      <c r="AL1214" s="203">
        <v>0</v>
      </c>
      <c r="AM1214" s="203">
        <v>0</v>
      </c>
      <c r="AN1214" s="203"/>
      <c r="AO1214" s="203">
        <v>0</v>
      </c>
    </row>
    <row r="1215" spans="1:41" s="176" customFormat="1" ht="36" customHeight="1" x14ac:dyDescent="0.25">
      <c r="A1215" s="176">
        <v>1</v>
      </c>
      <c r="B1215" s="171">
        <f>SUBTOTAL(103,$A$1087:A1215)</f>
        <v>124</v>
      </c>
      <c r="C1215" s="172" t="s">
        <v>605</v>
      </c>
      <c r="D1215" s="173">
        <v>1982</v>
      </c>
      <c r="E1215" s="173"/>
      <c r="F1215" s="174" t="s">
        <v>267</v>
      </c>
      <c r="G1215" s="173">
        <v>9</v>
      </c>
      <c r="H1215" s="173" t="s">
        <v>370</v>
      </c>
      <c r="I1215" s="177">
        <v>12113.01</v>
      </c>
      <c r="J1215" s="177">
        <v>10694</v>
      </c>
      <c r="K1215" s="177">
        <v>10692.21</v>
      </c>
      <c r="L1215" s="206">
        <v>559</v>
      </c>
      <c r="M1215" s="173" t="s">
        <v>265</v>
      </c>
      <c r="N1215" s="173" t="s">
        <v>269</v>
      </c>
      <c r="O1215" s="175" t="s">
        <v>699</v>
      </c>
      <c r="P1215" s="170">
        <v>9052752</v>
      </c>
      <c r="Q1215" s="170">
        <v>0</v>
      </c>
      <c r="R1215" s="170">
        <v>0</v>
      </c>
      <c r="S1215" s="170">
        <f t="shared" si="209"/>
        <v>9052752</v>
      </c>
      <c r="T1215" s="170">
        <f t="shared" si="202"/>
        <v>747.35775831110516</v>
      </c>
      <c r="U1215" s="170">
        <v>962.84840514455107</v>
      </c>
      <c r="V1215" s="202">
        <f t="shared" si="199"/>
        <v>215.49064683344591</v>
      </c>
      <c r="W1215" s="202">
        <f t="shared" si="210"/>
        <v>933.28618733081203</v>
      </c>
      <c r="X1215" s="202">
        <v>0</v>
      </c>
      <c r="Y1215" s="203">
        <v>0</v>
      </c>
      <c r="Z1215" s="203">
        <v>0</v>
      </c>
      <c r="AA1215" s="203">
        <v>0</v>
      </c>
      <c r="AB1215" s="203">
        <v>0</v>
      </c>
      <c r="AC1215" s="203">
        <v>0</v>
      </c>
      <c r="AD1215" s="203">
        <v>0</v>
      </c>
      <c r="AE1215" s="203">
        <v>1812</v>
      </c>
      <c r="AF1215" s="202">
        <f>6238.91*AE1215/I1215</f>
        <v>933.28618733081203</v>
      </c>
      <c r="AG1215" s="203">
        <v>0</v>
      </c>
      <c r="AH1215" s="202">
        <v>0</v>
      </c>
      <c r="AI1215" s="203">
        <v>0</v>
      </c>
      <c r="AJ1215" s="202">
        <v>0</v>
      </c>
      <c r="AK1215" s="203">
        <v>0</v>
      </c>
      <c r="AL1215" s="203">
        <v>0</v>
      </c>
      <c r="AM1215" s="203">
        <v>0</v>
      </c>
      <c r="AN1215" s="203"/>
      <c r="AO1215" s="203">
        <v>0</v>
      </c>
    </row>
    <row r="1216" spans="1:41" s="176" customFormat="1" ht="36" customHeight="1" x14ac:dyDescent="0.25">
      <c r="A1216" s="176">
        <v>1</v>
      </c>
      <c r="B1216" s="171">
        <f>SUBTOTAL(103,$A$1087:A1216)</f>
        <v>125</v>
      </c>
      <c r="C1216" s="172" t="s">
        <v>618</v>
      </c>
      <c r="D1216" s="173">
        <v>1975</v>
      </c>
      <c r="E1216" s="173"/>
      <c r="F1216" s="174" t="s">
        <v>267</v>
      </c>
      <c r="G1216" s="173">
        <v>5</v>
      </c>
      <c r="H1216" s="173" t="s">
        <v>304</v>
      </c>
      <c r="I1216" s="177">
        <v>2310.5</v>
      </c>
      <c r="J1216" s="177">
        <v>1287.55</v>
      </c>
      <c r="K1216" s="177">
        <v>830.8</v>
      </c>
      <c r="L1216" s="206">
        <v>86</v>
      </c>
      <c r="M1216" s="173" t="s">
        <v>265</v>
      </c>
      <c r="N1216" s="173" t="s">
        <v>269</v>
      </c>
      <c r="O1216" s="175" t="s">
        <v>696</v>
      </c>
      <c r="P1216" s="170">
        <v>6820409.8600000003</v>
      </c>
      <c r="Q1216" s="170">
        <v>0</v>
      </c>
      <c r="R1216" s="170">
        <v>0</v>
      </c>
      <c r="S1216" s="170">
        <f t="shared" si="209"/>
        <v>6820409.8600000003</v>
      </c>
      <c r="T1216" s="170">
        <f t="shared" si="202"/>
        <v>2951.9194373512228</v>
      </c>
      <c r="U1216" s="170">
        <v>6944.6272148885528</v>
      </c>
      <c r="V1216" s="202">
        <f t="shared" si="199"/>
        <v>3992.70777753733</v>
      </c>
      <c r="W1216" s="202">
        <f t="shared" si="210"/>
        <v>6944.6272148885528</v>
      </c>
      <c r="X1216" s="202">
        <v>0</v>
      </c>
      <c r="Y1216" s="203">
        <v>0</v>
      </c>
      <c r="Z1216" s="203">
        <v>0</v>
      </c>
      <c r="AA1216" s="203">
        <v>0</v>
      </c>
      <c r="AB1216" s="203">
        <v>0</v>
      </c>
      <c r="AC1216" s="203">
        <v>0</v>
      </c>
      <c r="AD1216" s="203">
        <v>0</v>
      </c>
      <c r="AE1216" s="203">
        <v>0</v>
      </c>
      <c r="AF1216" s="202">
        <v>0</v>
      </c>
      <c r="AG1216" s="203">
        <v>0</v>
      </c>
      <c r="AH1216" s="202">
        <v>0</v>
      </c>
      <c r="AI1216" s="203">
        <v>0</v>
      </c>
      <c r="AJ1216" s="202">
        <v>0</v>
      </c>
      <c r="AK1216" s="203">
        <v>209</v>
      </c>
      <c r="AL1216" s="202">
        <f>76773.02*AK1216/I1216</f>
        <v>6944.6272148885528</v>
      </c>
      <c r="AM1216" s="203">
        <v>0</v>
      </c>
      <c r="AN1216" s="203"/>
      <c r="AO1216" s="203">
        <v>0</v>
      </c>
    </row>
    <row r="1217" spans="1:191" s="176" customFormat="1" ht="36" customHeight="1" x14ac:dyDescent="0.25">
      <c r="A1217" s="176">
        <v>1</v>
      </c>
      <c r="B1217" s="171">
        <f>SUBTOTAL(103,$A$1087:A1217)</f>
        <v>126</v>
      </c>
      <c r="C1217" s="172" t="s">
        <v>622</v>
      </c>
      <c r="D1217" s="173">
        <v>1982</v>
      </c>
      <c r="E1217" s="173"/>
      <c r="F1217" s="174" t="s">
        <v>267</v>
      </c>
      <c r="G1217" s="173">
        <v>9</v>
      </c>
      <c r="H1217" s="173" t="s">
        <v>308</v>
      </c>
      <c r="I1217" s="177">
        <v>9363</v>
      </c>
      <c r="J1217" s="177">
        <v>9363</v>
      </c>
      <c r="K1217" s="177">
        <v>5631</v>
      </c>
      <c r="L1217" s="206">
        <v>419</v>
      </c>
      <c r="M1217" s="173" t="s">
        <v>265</v>
      </c>
      <c r="N1217" s="173" t="s">
        <v>269</v>
      </c>
      <c r="O1217" s="175" t="s">
        <v>704</v>
      </c>
      <c r="P1217" s="170">
        <v>9102212.3999999985</v>
      </c>
      <c r="Q1217" s="170">
        <v>0</v>
      </c>
      <c r="R1217" s="170">
        <v>0</v>
      </c>
      <c r="S1217" s="170">
        <f t="shared" si="209"/>
        <v>9102212.3999999985</v>
      </c>
      <c r="T1217" s="170">
        <f t="shared" si="202"/>
        <v>972.14700416533151</v>
      </c>
      <c r="U1217" s="170">
        <v>1463.9788836911246</v>
      </c>
      <c r="V1217" s="202">
        <f t="shared" si="199"/>
        <v>491.83187952579306</v>
      </c>
      <c r="W1217" s="202">
        <f t="shared" si="210"/>
        <v>1213.9987321371357</v>
      </c>
      <c r="X1217" s="202">
        <v>0</v>
      </c>
      <c r="Y1217" s="203">
        <v>0</v>
      </c>
      <c r="Z1217" s="203">
        <v>0</v>
      </c>
      <c r="AA1217" s="203">
        <v>0</v>
      </c>
      <c r="AB1217" s="203">
        <v>0</v>
      </c>
      <c r="AC1217" s="203">
        <v>0</v>
      </c>
      <c r="AD1217" s="203">
        <v>0</v>
      </c>
      <c r="AE1217" s="203">
        <v>1821.9</v>
      </c>
      <c r="AF1217" s="202">
        <f>6238.91*AE1217/I1217</f>
        <v>1213.9987321371357</v>
      </c>
      <c r="AG1217" s="203">
        <v>0</v>
      </c>
      <c r="AH1217" s="202">
        <v>0</v>
      </c>
      <c r="AI1217" s="203">
        <v>0</v>
      </c>
      <c r="AJ1217" s="202">
        <v>0</v>
      </c>
      <c r="AK1217" s="203">
        <v>0</v>
      </c>
      <c r="AL1217" s="203">
        <v>0</v>
      </c>
      <c r="AM1217" s="203">
        <v>0</v>
      </c>
      <c r="AN1217" s="203"/>
      <c r="AO1217" s="203">
        <v>0</v>
      </c>
    </row>
    <row r="1218" spans="1:191" s="176" customFormat="1" ht="36" customHeight="1" x14ac:dyDescent="0.25">
      <c r="A1218" s="176">
        <v>1</v>
      </c>
      <c r="B1218" s="171">
        <f>SUBTOTAL(103,$A$1087:A1218)</f>
        <v>127</v>
      </c>
      <c r="C1218" s="172" t="s">
        <v>626</v>
      </c>
      <c r="D1218" s="173">
        <v>1966</v>
      </c>
      <c r="E1218" s="173"/>
      <c r="F1218" s="174" t="s">
        <v>267</v>
      </c>
      <c r="G1218" s="173">
        <v>5</v>
      </c>
      <c r="H1218" s="173" t="s">
        <v>308</v>
      </c>
      <c r="I1218" s="177">
        <v>3420.4</v>
      </c>
      <c r="J1218" s="177">
        <v>3164.9</v>
      </c>
      <c r="K1218" s="177">
        <v>2916.6</v>
      </c>
      <c r="L1218" s="206">
        <v>75</v>
      </c>
      <c r="M1218" s="173" t="s">
        <v>265</v>
      </c>
      <c r="N1218" s="173" t="s">
        <v>269</v>
      </c>
      <c r="O1218" s="175" t="s">
        <v>703</v>
      </c>
      <c r="P1218" s="170">
        <v>4594480</v>
      </c>
      <c r="Q1218" s="170">
        <v>0</v>
      </c>
      <c r="R1218" s="170">
        <v>0</v>
      </c>
      <c r="S1218" s="170">
        <f t="shared" si="209"/>
        <v>4594480</v>
      </c>
      <c r="T1218" s="170">
        <f t="shared" si="202"/>
        <v>1343.2580984680153</v>
      </c>
      <c r="U1218" s="170">
        <v>1655.9894749152145</v>
      </c>
      <c r="V1218" s="202">
        <f t="shared" si="199"/>
        <v>312.73137644719918</v>
      </c>
      <c r="W1218" s="202">
        <f t="shared" si="210"/>
        <v>1605.1458308969711</v>
      </c>
      <c r="X1218" s="202">
        <v>0</v>
      </c>
      <c r="Y1218" s="203">
        <v>0</v>
      </c>
      <c r="Z1218" s="203">
        <v>0</v>
      </c>
      <c r="AA1218" s="203">
        <v>0</v>
      </c>
      <c r="AB1218" s="203">
        <v>0</v>
      </c>
      <c r="AC1218" s="203">
        <v>0</v>
      </c>
      <c r="AD1218" s="203">
        <v>0</v>
      </c>
      <c r="AE1218" s="203">
        <v>880</v>
      </c>
      <c r="AF1218" s="202">
        <f>6238.91*AE1218/I1218</f>
        <v>1605.1458308969711</v>
      </c>
      <c r="AG1218" s="203">
        <v>0</v>
      </c>
      <c r="AH1218" s="202">
        <v>0</v>
      </c>
      <c r="AI1218" s="203">
        <v>0</v>
      </c>
      <c r="AJ1218" s="202">
        <v>0</v>
      </c>
      <c r="AK1218" s="203">
        <v>0</v>
      </c>
      <c r="AL1218" s="203">
        <v>0</v>
      </c>
      <c r="AM1218" s="203">
        <v>0</v>
      </c>
      <c r="AN1218" s="203"/>
      <c r="AO1218" s="203">
        <v>0</v>
      </c>
    </row>
    <row r="1219" spans="1:191" s="176" customFormat="1" ht="36" customHeight="1" x14ac:dyDescent="0.25">
      <c r="A1219" s="176">
        <v>1</v>
      </c>
      <c r="B1219" s="171">
        <f>SUBTOTAL(103,$A$1087:A1219)</f>
        <v>128</v>
      </c>
      <c r="C1219" s="172" t="s">
        <v>625</v>
      </c>
      <c r="D1219" s="173">
        <v>1972</v>
      </c>
      <c r="E1219" s="173"/>
      <c r="F1219" s="174" t="s">
        <v>267</v>
      </c>
      <c r="G1219" s="173">
        <v>5</v>
      </c>
      <c r="H1219" s="173" t="s">
        <v>308</v>
      </c>
      <c r="I1219" s="177">
        <v>3089.21</v>
      </c>
      <c r="J1219" s="177">
        <v>2785.21</v>
      </c>
      <c r="K1219" s="177">
        <v>2785.21</v>
      </c>
      <c r="L1219" s="206">
        <v>208</v>
      </c>
      <c r="M1219" s="173" t="s">
        <v>265</v>
      </c>
      <c r="N1219" s="173" t="s">
        <v>269</v>
      </c>
      <c r="O1219" s="175" t="s">
        <v>699</v>
      </c>
      <c r="P1219" s="170">
        <v>4121700</v>
      </c>
      <c r="Q1219" s="170">
        <v>0</v>
      </c>
      <c r="R1219" s="170">
        <v>0</v>
      </c>
      <c r="S1219" s="170">
        <f t="shared" si="209"/>
        <v>4121700</v>
      </c>
      <c r="T1219" s="170">
        <f t="shared" ref="T1219:T1282" si="211">P1219/I1219</f>
        <v>1334.2246075857581</v>
      </c>
      <c r="U1219" s="170">
        <v>1718.9304870824581</v>
      </c>
      <c r="V1219" s="202">
        <f t="shared" ref="V1219:V1277" si="212">U1219-T1219</f>
        <v>384.70587949669994</v>
      </c>
      <c r="W1219" s="202">
        <f t="shared" si="210"/>
        <v>1666.1543728008132</v>
      </c>
      <c r="X1219" s="202">
        <v>0</v>
      </c>
      <c r="Y1219" s="203">
        <v>0</v>
      </c>
      <c r="Z1219" s="203">
        <v>0</v>
      </c>
      <c r="AA1219" s="203">
        <v>0</v>
      </c>
      <c r="AB1219" s="203">
        <v>0</v>
      </c>
      <c r="AC1219" s="203">
        <v>0</v>
      </c>
      <c r="AD1219" s="203">
        <v>0</v>
      </c>
      <c r="AE1219" s="203">
        <v>825</v>
      </c>
      <c r="AF1219" s="202">
        <f>6238.91*AE1219/I1219</f>
        <v>1666.1543728008132</v>
      </c>
      <c r="AG1219" s="203">
        <v>0</v>
      </c>
      <c r="AH1219" s="202">
        <v>0</v>
      </c>
      <c r="AI1219" s="203">
        <v>0</v>
      </c>
      <c r="AJ1219" s="202">
        <v>0</v>
      </c>
      <c r="AK1219" s="203">
        <v>0</v>
      </c>
      <c r="AL1219" s="203">
        <v>0</v>
      </c>
      <c r="AM1219" s="203">
        <v>0</v>
      </c>
      <c r="AN1219" s="203"/>
      <c r="AO1219" s="203">
        <v>0</v>
      </c>
    </row>
    <row r="1220" spans="1:191" s="176" customFormat="1" ht="36" customHeight="1" x14ac:dyDescent="0.25">
      <c r="B1220" s="172" t="s">
        <v>808</v>
      </c>
      <c r="C1220" s="172"/>
      <c r="D1220" s="173" t="s">
        <v>882</v>
      </c>
      <c r="E1220" s="173" t="s">
        <v>882</v>
      </c>
      <c r="F1220" s="173" t="s">
        <v>882</v>
      </c>
      <c r="G1220" s="173" t="s">
        <v>882</v>
      </c>
      <c r="H1220" s="173" t="s">
        <v>882</v>
      </c>
      <c r="I1220" s="177">
        <f>SUM(I1221:I1222)</f>
        <v>6151.9</v>
      </c>
      <c r="J1220" s="177">
        <f>SUM(J1221:J1222)</f>
        <v>3654</v>
      </c>
      <c r="K1220" s="177">
        <f>SUM(K1221:K1222)</f>
        <v>3396.8</v>
      </c>
      <c r="L1220" s="357">
        <f>SUM(L1221:L1222)</f>
        <v>158</v>
      </c>
      <c r="M1220" s="173" t="s">
        <v>882</v>
      </c>
      <c r="N1220" s="173" t="s">
        <v>882</v>
      </c>
      <c r="O1220" s="175" t="s">
        <v>882</v>
      </c>
      <c r="P1220" s="177">
        <v>5663822.2999999998</v>
      </c>
      <c r="Q1220" s="177">
        <f>SUM(Q1221:Q1222)</f>
        <v>0</v>
      </c>
      <c r="R1220" s="177">
        <f>SUM(R1221:R1222)</f>
        <v>0</v>
      </c>
      <c r="S1220" s="177">
        <f>SUM(S1221:S1222)</f>
        <v>5663822.2999999998</v>
      </c>
      <c r="T1220" s="170">
        <f t="shared" si="211"/>
        <v>920.66228319706113</v>
      </c>
      <c r="U1220" s="170">
        <f>MAX(U1221:U1222)</f>
        <v>2640.1594609526651</v>
      </c>
      <c r="V1220" s="202">
        <f t="shared" si="212"/>
        <v>1719.4971777556038</v>
      </c>
      <c r="W1220" s="202"/>
      <c r="X1220" s="202"/>
      <c r="Y1220" s="203"/>
      <c r="Z1220" s="203"/>
      <c r="AA1220" s="203"/>
      <c r="AB1220" s="203"/>
      <c r="AC1220" s="203"/>
      <c r="AD1220" s="203"/>
      <c r="AE1220" s="203"/>
      <c r="AF1220" s="203"/>
      <c r="AG1220" s="203"/>
      <c r="AH1220" s="203"/>
      <c r="AI1220" s="203"/>
      <c r="AJ1220" s="203"/>
      <c r="AK1220" s="203"/>
      <c r="AL1220" s="203"/>
      <c r="AM1220" s="203"/>
      <c r="AN1220" s="203"/>
      <c r="AO1220" s="203"/>
    </row>
    <row r="1221" spans="1:191" s="176" customFormat="1" ht="36" customHeight="1" x14ac:dyDescent="0.25">
      <c r="A1221" s="176">
        <v>1</v>
      </c>
      <c r="B1221" s="171">
        <f>SUBTOTAL(103,$A$1087:A1221)</f>
        <v>129</v>
      </c>
      <c r="C1221" s="172" t="s">
        <v>631</v>
      </c>
      <c r="D1221" s="173">
        <v>1993</v>
      </c>
      <c r="E1221" s="173"/>
      <c r="F1221" s="174" t="s">
        <v>311</v>
      </c>
      <c r="G1221" s="173">
        <v>5</v>
      </c>
      <c r="H1221" s="173" t="s">
        <v>312</v>
      </c>
      <c r="I1221" s="177">
        <v>5482.2</v>
      </c>
      <c r="J1221" s="177">
        <v>3303.8</v>
      </c>
      <c r="K1221" s="177">
        <v>3096.3</v>
      </c>
      <c r="L1221" s="206">
        <v>147</v>
      </c>
      <c r="M1221" s="173" t="s">
        <v>265</v>
      </c>
      <c r="N1221" s="173" t="s">
        <v>269</v>
      </c>
      <c r="O1221" s="175" t="s">
        <v>701</v>
      </c>
      <c r="P1221" s="170">
        <v>4229613.5999999996</v>
      </c>
      <c r="Q1221" s="170">
        <v>0</v>
      </c>
      <c r="R1221" s="170">
        <v>0</v>
      </c>
      <c r="S1221" s="170">
        <f>P1221-Q1221-R1221</f>
        <v>4229613.5999999996</v>
      </c>
      <c r="T1221" s="170">
        <f t="shared" si="211"/>
        <v>771.5175659406807</v>
      </c>
      <c r="U1221" s="170">
        <v>993.97437123782413</v>
      </c>
      <c r="V1221" s="202">
        <f t="shared" si="212"/>
        <v>222.45680529714343</v>
      </c>
      <c r="W1221" s="202">
        <f>X1221+Y1221+Z1221+AA1221+AB1221+AD1221+AF1221+AH1221+AJ1221+AL1221+AN1221+AO1221</f>
        <v>963.45649666192412</v>
      </c>
      <c r="X1221" s="202">
        <v>0</v>
      </c>
      <c r="Y1221" s="203">
        <v>0</v>
      </c>
      <c r="Z1221" s="203">
        <v>0</v>
      </c>
      <c r="AA1221" s="203">
        <v>0</v>
      </c>
      <c r="AB1221" s="203">
        <v>0</v>
      </c>
      <c r="AC1221" s="203">
        <v>0</v>
      </c>
      <c r="AD1221" s="203">
        <v>0</v>
      </c>
      <c r="AE1221" s="203">
        <v>846.6</v>
      </c>
      <c r="AF1221" s="202">
        <f>6238.91*AE1221/I1221</f>
        <v>963.45649666192412</v>
      </c>
      <c r="AG1221" s="203">
        <v>0</v>
      </c>
      <c r="AH1221" s="202">
        <v>0</v>
      </c>
      <c r="AI1221" s="203">
        <v>0</v>
      </c>
      <c r="AJ1221" s="202">
        <v>0</v>
      </c>
      <c r="AK1221" s="203">
        <v>0</v>
      </c>
      <c r="AL1221" s="203">
        <v>0</v>
      </c>
      <c r="AM1221" s="203">
        <v>0</v>
      </c>
      <c r="AN1221" s="203"/>
      <c r="AO1221" s="203">
        <v>0</v>
      </c>
    </row>
    <row r="1222" spans="1:191" s="176" customFormat="1" ht="36" customHeight="1" x14ac:dyDescent="0.25">
      <c r="A1222" s="176">
        <v>1</v>
      </c>
      <c r="B1222" s="171">
        <f>SUBTOTAL(103,$A$1087:A1222)</f>
        <v>130</v>
      </c>
      <c r="C1222" s="172" t="s">
        <v>629</v>
      </c>
      <c r="D1222" s="173">
        <v>1964</v>
      </c>
      <c r="E1222" s="173"/>
      <c r="F1222" s="174" t="s">
        <v>267</v>
      </c>
      <c r="G1222" s="173">
        <v>2</v>
      </c>
      <c r="H1222" s="173" t="s">
        <v>303</v>
      </c>
      <c r="I1222" s="177">
        <v>669.7</v>
      </c>
      <c r="J1222" s="177">
        <v>350.2</v>
      </c>
      <c r="K1222" s="177">
        <v>300.5</v>
      </c>
      <c r="L1222" s="206">
        <v>11</v>
      </c>
      <c r="M1222" s="173" t="s">
        <v>265</v>
      </c>
      <c r="N1222" s="173" t="s">
        <v>269</v>
      </c>
      <c r="O1222" s="175" t="s">
        <v>701</v>
      </c>
      <c r="P1222" s="170">
        <v>1434208.7</v>
      </c>
      <c r="Q1222" s="170">
        <v>0</v>
      </c>
      <c r="R1222" s="170">
        <v>0</v>
      </c>
      <c r="S1222" s="170">
        <f>P1222-Q1222-R1222</f>
        <v>1434208.7</v>
      </c>
      <c r="T1222" s="170">
        <f t="shared" si="211"/>
        <v>2141.5689114528891</v>
      </c>
      <c r="U1222" s="170">
        <v>2640.1594609526651</v>
      </c>
      <c r="V1222" s="202">
        <f t="shared" si="212"/>
        <v>498.59054949977599</v>
      </c>
      <c r="W1222" s="202">
        <f>X1222+Y1222+Z1222+AA1222+AB1222+AD1222+AF1222+AH1222+AJ1222+AL1222+AN1222+AO1222</f>
        <v>2559.0989652083017</v>
      </c>
      <c r="X1222" s="202">
        <v>0</v>
      </c>
      <c r="Y1222" s="203">
        <v>0</v>
      </c>
      <c r="Z1222" s="203">
        <v>0</v>
      </c>
      <c r="AA1222" s="203">
        <v>0</v>
      </c>
      <c r="AB1222" s="203">
        <v>0</v>
      </c>
      <c r="AC1222" s="203">
        <v>0</v>
      </c>
      <c r="AD1222" s="203">
        <v>0</v>
      </c>
      <c r="AE1222" s="203">
        <v>274.7</v>
      </c>
      <c r="AF1222" s="202">
        <f>6238.91*AE1222/I1222</f>
        <v>2559.0989652083017</v>
      </c>
      <c r="AG1222" s="203">
        <v>0</v>
      </c>
      <c r="AH1222" s="202">
        <v>0</v>
      </c>
      <c r="AI1222" s="203">
        <v>0</v>
      </c>
      <c r="AJ1222" s="202">
        <v>0</v>
      </c>
      <c r="AK1222" s="203">
        <v>0</v>
      </c>
      <c r="AL1222" s="203">
        <v>0</v>
      </c>
      <c r="AM1222" s="203">
        <v>0</v>
      </c>
      <c r="AN1222" s="203"/>
      <c r="AO1222" s="203">
        <v>0</v>
      </c>
    </row>
    <row r="1223" spans="1:191" s="176" customFormat="1" ht="36" customHeight="1" x14ac:dyDescent="0.25">
      <c r="B1223" s="172" t="s">
        <v>809</v>
      </c>
      <c r="C1223" s="172"/>
      <c r="D1223" s="173" t="s">
        <v>882</v>
      </c>
      <c r="E1223" s="173" t="s">
        <v>882</v>
      </c>
      <c r="F1223" s="173" t="s">
        <v>882</v>
      </c>
      <c r="G1223" s="173" t="s">
        <v>882</v>
      </c>
      <c r="H1223" s="173" t="s">
        <v>882</v>
      </c>
      <c r="I1223" s="177">
        <f>SUM(I1224:I1226)</f>
        <v>8048.2000000000007</v>
      </c>
      <c r="J1223" s="177">
        <f>SUM(J1224:J1226)</f>
        <v>7440.9</v>
      </c>
      <c r="K1223" s="177">
        <f>SUM(K1224:K1226)</f>
        <v>3302.1000000000004</v>
      </c>
      <c r="L1223" s="357">
        <f>SUM(L1224:L1226)</f>
        <v>328</v>
      </c>
      <c r="M1223" s="173" t="s">
        <v>882</v>
      </c>
      <c r="N1223" s="173" t="s">
        <v>882</v>
      </c>
      <c r="O1223" s="175" t="s">
        <v>882</v>
      </c>
      <c r="P1223" s="170">
        <v>7120486.3999999994</v>
      </c>
      <c r="Q1223" s="170">
        <f>SUM(Q1224:Q1226)</f>
        <v>0</v>
      </c>
      <c r="R1223" s="170">
        <f>SUM(R1224:R1226)</f>
        <v>0</v>
      </c>
      <c r="S1223" s="170">
        <f>SUM(S1224:S1226)</f>
        <v>7120486.3999999994</v>
      </c>
      <c r="T1223" s="170">
        <f t="shared" si="211"/>
        <v>884.73029994284423</v>
      </c>
      <c r="U1223" s="170">
        <f>MAX(U1224:U1226)</f>
        <v>13985.34149544588</v>
      </c>
      <c r="V1223" s="202">
        <f t="shared" si="212"/>
        <v>13100.611195503036</v>
      </c>
      <c r="W1223" s="202"/>
      <c r="X1223" s="202"/>
      <c r="Y1223" s="203"/>
      <c r="Z1223" s="203"/>
      <c r="AA1223" s="203"/>
      <c r="AB1223" s="203"/>
      <c r="AC1223" s="203"/>
      <c r="AD1223" s="203"/>
      <c r="AE1223" s="203"/>
      <c r="AF1223" s="203"/>
      <c r="AG1223" s="203"/>
      <c r="AH1223" s="203"/>
      <c r="AI1223" s="203"/>
      <c r="AJ1223" s="203"/>
      <c r="AK1223" s="203"/>
      <c r="AL1223" s="203"/>
      <c r="AM1223" s="203"/>
      <c r="AN1223" s="203"/>
      <c r="AO1223" s="203"/>
    </row>
    <row r="1224" spans="1:191" s="176" customFormat="1" ht="36" customHeight="1" x14ac:dyDescent="0.25">
      <c r="A1224" s="176">
        <v>1</v>
      </c>
      <c r="B1224" s="171">
        <f>SUBTOTAL(103,$A$1087:A1224)</f>
        <v>131</v>
      </c>
      <c r="C1224" s="172" t="s">
        <v>635</v>
      </c>
      <c r="D1224" s="173">
        <v>1882</v>
      </c>
      <c r="E1224" s="173"/>
      <c r="F1224" s="174" t="s">
        <v>267</v>
      </c>
      <c r="G1224" s="173">
        <v>3</v>
      </c>
      <c r="H1224" s="173" t="s">
        <v>312</v>
      </c>
      <c r="I1224" s="177">
        <v>3501.8</v>
      </c>
      <c r="J1224" s="177">
        <v>2939.7</v>
      </c>
      <c r="K1224" s="177">
        <v>1028.9000000000001</v>
      </c>
      <c r="L1224" s="206">
        <v>88</v>
      </c>
      <c r="M1224" s="173" t="s">
        <v>265</v>
      </c>
      <c r="N1224" s="173" t="s">
        <v>269</v>
      </c>
      <c r="O1224" s="175" t="s">
        <v>702</v>
      </c>
      <c r="P1224" s="170">
        <v>4240119.51</v>
      </c>
      <c r="Q1224" s="170">
        <v>0</v>
      </c>
      <c r="R1224" s="170">
        <v>0</v>
      </c>
      <c r="S1224" s="170">
        <f>P1224-Q1224-R1224</f>
        <v>4240119.51</v>
      </c>
      <c r="T1224" s="170">
        <f t="shared" si="211"/>
        <v>1210.839999428865</v>
      </c>
      <c r="U1224" s="170">
        <v>3626.97</v>
      </c>
      <c r="V1224" s="202">
        <f t="shared" si="212"/>
        <v>2416.1300005711346</v>
      </c>
      <c r="W1224" s="202">
        <f>X1224+Y1224+Z1224+AA1224+AB1224+AD1224+AF1224+AH1224+AJ1224+AL1224+AN1224+AO1224</f>
        <v>3259.66</v>
      </c>
      <c r="X1224" s="202">
        <v>0</v>
      </c>
      <c r="Y1224" s="203">
        <v>0</v>
      </c>
      <c r="Z1224" s="203">
        <v>3259.66</v>
      </c>
      <c r="AA1224" s="203">
        <v>0</v>
      </c>
      <c r="AB1224" s="203">
        <v>0</v>
      </c>
      <c r="AC1224" s="203">
        <v>0</v>
      </c>
      <c r="AD1224" s="203">
        <v>0</v>
      </c>
      <c r="AE1224" s="203">
        <v>0</v>
      </c>
      <c r="AF1224" s="202">
        <v>0</v>
      </c>
      <c r="AG1224" s="203">
        <v>0</v>
      </c>
      <c r="AH1224" s="202">
        <v>0</v>
      </c>
      <c r="AI1224" s="203">
        <v>0</v>
      </c>
      <c r="AJ1224" s="202">
        <v>0</v>
      </c>
      <c r="AK1224" s="203">
        <v>0</v>
      </c>
      <c r="AL1224" s="203">
        <v>0</v>
      </c>
      <c r="AM1224" s="203">
        <v>0</v>
      </c>
      <c r="AN1224" s="203"/>
      <c r="AO1224" s="203">
        <v>0</v>
      </c>
    </row>
    <row r="1225" spans="1:191" s="176" customFormat="1" ht="36" customHeight="1" x14ac:dyDescent="0.25">
      <c r="A1225" s="176">
        <v>1</v>
      </c>
      <c r="B1225" s="171">
        <f>SUBTOTAL(103,$A$1087:A1225)</f>
        <v>132</v>
      </c>
      <c r="C1225" s="172" t="s">
        <v>1942</v>
      </c>
      <c r="D1225" s="173">
        <v>1933</v>
      </c>
      <c r="E1225" s="173"/>
      <c r="F1225" s="174" t="s">
        <v>330</v>
      </c>
      <c r="G1225" s="173" t="s">
        <v>303</v>
      </c>
      <c r="H1225" s="173" t="s">
        <v>303</v>
      </c>
      <c r="I1225" s="177">
        <v>472.1</v>
      </c>
      <c r="J1225" s="177">
        <v>426.9</v>
      </c>
      <c r="K1225" s="177">
        <v>426.9</v>
      </c>
      <c r="L1225" s="206">
        <v>31</v>
      </c>
      <c r="M1225" s="173" t="s">
        <v>265</v>
      </c>
      <c r="N1225" s="173" t="s">
        <v>266</v>
      </c>
      <c r="O1225" s="175" t="s">
        <v>268</v>
      </c>
      <c r="P1225" s="170">
        <v>2015397.9200000002</v>
      </c>
      <c r="Q1225" s="170">
        <v>0</v>
      </c>
      <c r="R1225" s="170">
        <v>0</v>
      </c>
      <c r="S1225" s="170">
        <f>P1225-Q1225-R1225</f>
        <v>2015397.9200000002</v>
      </c>
      <c r="T1225" s="170">
        <f t="shared" si="211"/>
        <v>4269.0063969497987</v>
      </c>
      <c r="U1225" s="170">
        <v>13985.34149544588</v>
      </c>
      <c r="V1225" s="202">
        <f t="shared" si="212"/>
        <v>9716.3350984960816</v>
      </c>
      <c r="W1225" s="202">
        <f>X1225+Y1225+Z1225+AA1225+AB1225+AD1225+AF1225+AH1225+AJ1225+AL1225+AN1225+AO1225</f>
        <v>7944.9961703029021</v>
      </c>
      <c r="X1225" s="202">
        <v>0</v>
      </c>
      <c r="Y1225" s="203">
        <v>0</v>
      </c>
      <c r="Z1225" s="203">
        <v>0</v>
      </c>
      <c r="AA1225" s="203">
        <v>0</v>
      </c>
      <c r="AB1225" s="203">
        <v>0</v>
      </c>
      <c r="AC1225" s="203">
        <v>0</v>
      </c>
      <c r="AD1225" s="203">
        <v>0</v>
      </c>
      <c r="AE1225" s="203">
        <v>601.20000000000005</v>
      </c>
      <c r="AF1225" s="202">
        <f>6238.91*AE1225/I1225</f>
        <v>7944.9961703029021</v>
      </c>
      <c r="AG1225" s="203">
        <v>0</v>
      </c>
      <c r="AH1225" s="202">
        <v>0</v>
      </c>
      <c r="AI1225" s="203">
        <v>0</v>
      </c>
      <c r="AJ1225" s="202">
        <v>0</v>
      </c>
      <c r="AK1225" s="203">
        <v>0</v>
      </c>
      <c r="AL1225" s="203">
        <v>0</v>
      </c>
      <c r="AM1225" s="203">
        <v>0</v>
      </c>
      <c r="AN1225" s="203"/>
      <c r="AO1225" s="203">
        <v>0</v>
      </c>
    </row>
    <row r="1226" spans="1:191" s="176" customFormat="1" ht="36" customHeight="1" x14ac:dyDescent="0.25">
      <c r="A1226" s="176">
        <v>1</v>
      </c>
      <c r="B1226" s="171">
        <f>SUBTOTAL(103,$A$1087:A1226)</f>
        <v>133</v>
      </c>
      <c r="C1226" s="172" t="s">
        <v>2287</v>
      </c>
      <c r="D1226" s="173">
        <v>1977</v>
      </c>
      <c r="E1226" s="173"/>
      <c r="F1226" s="174" t="s">
        <v>267</v>
      </c>
      <c r="G1226" s="173">
        <v>5</v>
      </c>
      <c r="H1226" s="173">
        <v>2</v>
      </c>
      <c r="I1226" s="177">
        <v>4074.3</v>
      </c>
      <c r="J1226" s="177">
        <v>4074.3</v>
      </c>
      <c r="K1226" s="177">
        <v>1846.3</v>
      </c>
      <c r="L1226" s="206">
        <v>209</v>
      </c>
      <c r="M1226" s="173" t="s">
        <v>265</v>
      </c>
      <c r="N1226" s="173" t="s">
        <v>269</v>
      </c>
      <c r="O1226" s="175" t="s">
        <v>2419</v>
      </c>
      <c r="P1226" s="170">
        <v>864968.97</v>
      </c>
      <c r="Q1226" s="170">
        <v>0</v>
      </c>
      <c r="R1226" s="170">
        <v>0</v>
      </c>
      <c r="S1226" s="170">
        <f>P1226-Q1226-R1226</f>
        <v>864968.97</v>
      </c>
      <c r="T1226" s="170">
        <f t="shared" si="211"/>
        <v>212.29879243060157</v>
      </c>
      <c r="U1226" s="170">
        <v>212.29879243060157</v>
      </c>
      <c r="V1226" s="202">
        <f t="shared" si="212"/>
        <v>0</v>
      </c>
      <c r="W1226" s="202">
        <f>X1226+Y1226+Z1226+AA1226+AB1226+AD1226+AF1226+AH1226+AJ1226+AL1226+AN1226+AO1226</f>
        <v>4142.3445843457775</v>
      </c>
      <c r="X1226" s="202">
        <v>0</v>
      </c>
      <c r="Y1226" s="203">
        <v>0</v>
      </c>
      <c r="Z1226" s="203">
        <v>0</v>
      </c>
      <c r="AA1226" s="203">
        <v>0</v>
      </c>
      <c r="AB1226" s="203">
        <v>0</v>
      </c>
      <c r="AC1226" s="203">
        <v>0</v>
      </c>
      <c r="AD1226" s="203">
        <v>0</v>
      </c>
      <c r="AE1226" s="203">
        <v>0</v>
      </c>
      <c r="AF1226" s="202">
        <v>0</v>
      </c>
      <c r="AG1226" s="203">
        <v>0</v>
      </c>
      <c r="AH1226" s="202">
        <v>0</v>
      </c>
      <c r="AI1226" s="203">
        <v>782.6</v>
      </c>
      <c r="AJ1226" s="202">
        <f>7439.1*AI1226/I1226</f>
        <v>1428.9177674692585</v>
      </c>
      <c r="AK1226" s="203">
        <v>144</v>
      </c>
      <c r="AL1226" s="202">
        <f>76773.02*AK1226/I1226</f>
        <v>2713.4268168765188</v>
      </c>
      <c r="AM1226" s="203">
        <v>0</v>
      </c>
      <c r="AN1226" s="203"/>
      <c r="AO1226" s="203">
        <v>0</v>
      </c>
    </row>
    <row r="1227" spans="1:191" s="176" customFormat="1" ht="36" customHeight="1" x14ac:dyDescent="0.25">
      <c r="B1227" s="172" t="s">
        <v>810</v>
      </c>
      <c r="C1227" s="172"/>
      <c r="D1227" s="173" t="s">
        <v>882</v>
      </c>
      <c r="E1227" s="173" t="s">
        <v>882</v>
      </c>
      <c r="F1227" s="173" t="s">
        <v>882</v>
      </c>
      <c r="G1227" s="173" t="s">
        <v>882</v>
      </c>
      <c r="H1227" s="173" t="s">
        <v>882</v>
      </c>
      <c r="I1227" s="177">
        <f>SUM(I1228:I1229)</f>
        <v>6442.65</v>
      </c>
      <c r="J1227" s="177">
        <f>SUM(J1228:J1229)</f>
        <v>4839.5</v>
      </c>
      <c r="K1227" s="177">
        <f>SUM(K1228:K1229)</f>
        <v>4755.2999999999993</v>
      </c>
      <c r="L1227" s="357">
        <f>SUM(L1228:L1229)</f>
        <v>188</v>
      </c>
      <c r="M1227" s="173" t="s">
        <v>882</v>
      </c>
      <c r="N1227" s="173" t="s">
        <v>882</v>
      </c>
      <c r="O1227" s="175" t="s">
        <v>882</v>
      </c>
      <c r="P1227" s="177">
        <v>8756823</v>
      </c>
      <c r="Q1227" s="177">
        <f>SUM(Q1228:Q1229)</f>
        <v>0</v>
      </c>
      <c r="R1227" s="177">
        <f>SUM(R1228:R1229)</f>
        <v>0</v>
      </c>
      <c r="S1227" s="177">
        <f>SUM(S1228:S1229)</f>
        <v>8756823</v>
      </c>
      <c r="T1227" s="170">
        <f t="shared" si="211"/>
        <v>1359.1958278037764</v>
      </c>
      <c r="U1227" s="170">
        <f>MAX(U1228:U1229)</f>
        <v>2097.4097204539166</v>
      </c>
      <c r="V1227" s="202">
        <f t="shared" si="212"/>
        <v>738.21389265014022</v>
      </c>
      <c r="W1227" s="202"/>
      <c r="X1227" s="202"/>
      <c r="Y1227" s="203"/>
      <c r="Z1227" s="203"/>
      <c r="AA1227" s="203"/>
      <c r="AB1227" s="203"/>
      <c r="AC1227" s="203"/>
      <c r="AD1227" s="203"/>
      <c r="AE1227" s="203"/>
      <c r="AF1227" s="203"/>
      <c r="AG1227" s="203"/>
      <c r="AH1227" s="203"/>
      <c r="AI1227" s="203"/>
      <c r="AJ1227" s="203"/>
      <c r="AK1227" s="203"/>
      <c r="AL1227" s="203"/>
      <c r="AM1227" s="203"/>
      <c r="AN1227" s="203"/>
      <c r="AO1227" s="203"/>
    </row>
    <row r="1228" spans="1:191" s="176" customFormat="1" ht="36" customHeight="1" x14ac:dyDescent="0.25">
      <c r="A1228" s="176">
        <v>1</v>
      </c>
      <c r="B1228" s="171">
        <f>SUBTOTAL(103,$A$1087:A1228)</f>
        <v>134</v>
      </c>
      <c r="C1228" s="172" t="s">
        <v>643</v>
      </c>
      <c r="D1228" s="173">
        <v>1986</v>
      </c>
      <c r="E1228" s="173"/>
      <c r="F1228" s="174" t="s">
        <v>267</v>
      </c>
      <c r="G1228" s="173">
        <v>5</v>
      </c>
      <c r="H1228" s="173" t="s">
        <v>308</v>
      </c>
      <c r="I1228" s="177">
        <v>3732.9</v>
      </c>
      <c r="J1228" s="177">
        <v>2826.7</v>
      </c>
      <c r="K1228" s="177">
        <v>2826.7</v>
      </c>
      <c r="L1228" s="206">
        <v>115</v>
      </c>
      <c r="M1228" s="173" t="s">
        <v>265</v>
      </c>
      <c r="N1228" s="173" t="s">
        <v>269</v>
      </c>
      <c r="O1228" s="175" t="s">
        <v>705</v>
      </c>
      <c r="P1228" s="170">
        <v>4146680</v>
      </c>
      <c r="Q1228" s="170">
        <v>0</v>
      </c>
      <c r="R1228" s="170">
        <v>0</v>
      </c>
      <c r="S1228" s="170">
        <f>P1228-Q1228-R1228</f>
        <v>4146680</v>
      </c>
      <c r="T1228" s="170">
        <f t="shared" si="211"/>
        <v>1110.8467947172439</v>
      </c>
      <c r="U1228" s="170">
        <v>1431.1446596479946</v>
      </c>
      <c r="V1228" s="202">
        <f t="shared" si="212"/>
        <v>320.29786493075062</v>
      </c>
      <c r="W1228" s="202">
        <f>X1228+Y1228+Z1228+AA1228+AB1228+AD1228+AF1228+AH1228+AJ1228+AL1228+AN1228+AO1228</f>
        <v>1387.2043987248519</v>
      </c>
      <c r="X1228" s="202">
        <v>0</v>
      </c>
      <c r="Y1228" s="203">
        <v>0</v>
      </c>
      <c r="Z1228" s="203">
        <v>0</v>
      </c>
      <c r="AA1228" s="203">
        <v>0</v>
      </c>
      <c r="AB1228" s="203">
        <v>0</v>
      </c>
      <c r="AC1228" s="203">
        <v>0</v>
      </c>
      <c r="AD1228" s="203">
        <v>0</v>
      </c>
      <c r="AE1228" s="203">
        <v>830</v>
      </c>
      <c r="AF1228" s="202">
        <f>6238.91*AE1228/I1228</f>
        <v>1387.2043987248519</v>
      </c>
      <c r="AG1228" s="203">
        <v>0</v>
      </c>
      <c r="AH1228" s="202">
        <v>0</v>
      </c>
      <c r="AI1228" s="203">
        <v>0</v>
      </c>
      <c r="AJ1228" s="202">
        <v>0</v>
      </c>
      <c r="AK1228" s="203">
        <v>0</v>
      </c>
      <c r="AL1228" s="203">
        <v>0</v>
      </c>
      <c r="AM1228" s="203">
        <v>0</v>
      </c>
      <c r="AN1228" s="203"/>
      <c r="AO1228" s="203">
        <v>0</v>
      </c>
    </row>
    <row r="1229" spans="1:191" s="176" customFormat="1" ht="36" customHeight="1" x14ac:dyDescent="0.25">
      <c r="A1229" s="176">
        <v>1</v>
      </c>
      <c r="B1229" s="171">
        <f>SUBTOTAL(103,$A$1087:A1229)</f>
        <v>135</v>
      </c>
      <c r="C1229" s="172" t="s">
        <v>646</v>
      </c>
      <c r="D1229" s="173">
        <v>1964</v>
      </c>
      <c r="E1229" s="173"/>
      <c r="F1229" s="174" t="s">
        <v>267</v>
      </c>
      <c r="G1229" s="173">
        <v>4</v>
      </c>
      <c r="H1229" s="173" t="s">
        <v>312</v>
      </c>
      <c r="I1229" s="177">
        <v>2709.75</v>
      </c>
      <c r="J1229" s="177">
        <v>2012.8</v>
      </c>
      <c r="K1229" s="177">
        <v>1928.6</v>
      </c>
      <c r="L1229" s="206">
        <v>73</v>
      </c>
      <c r="M1229" s="173" t="s">
        <v>265</v>
      </c>
      <c r="N1229" s="173" t="s">
        <v>269</v>
      </c>
      <c r="O1229" s="175" t="s">
        <v>982</v>
      </c>
      <c r="P1229" s="170">
        <v>4610143</v>
      </c>
      <c r="Q1229" s="170">
        <v>0</v>
      </c>
      <c r="R1229" s="170">
        <v>0</v>
      </c>
      <c r="S1229" s="170">
        <f>P1229-Q1229-R1229</f>
        <v>4610143</v>
      </c>
      <c r="T1229" s="170">
        <f t="shared" si="211"/>
        <v>1701.3167266352984</v>
      </c>
      <c r="U1229" s="170">
        <v>2097.4097204539166</v>
      </c>
      <c r="V1229" s="202">
        <f t="shared" si="212"/>
        <v>396.0929938186182</v>
      </c>
      <c r="W1229" s="202">
        <f>X1229+Y1229+Z1229+AA1229+AB1229+AD1229+AF1229+AH1229+AJ1229+AL1229+AN1229+AO1229</f>
        <v>2033.0132041701265</v>
      </c>
      <c r="X1229" s="202">
        <v>0</v>
      </c>
      <c r="Y1229" s="203">
        <v>0</v>
      </c>
      <c r="Z1229" s="203">
        <v>0</v>
      </c>
      <c r="AA1229" s="203">
        <v>0</v>
      </c>
      <c r="AB1229" s="203">
        <v>0</v>
      </c>
      <c r="AC1229" s="203">
        <v>0</v>
      </c>
      <c r="AD1229" s="203">
        <v>0</v>
      </c>
      <c r="AE1229" s="203">
        <v>883</v>
      </c>
      <c r="AF1229" s="202">
        <f>6238.91*AE1229/I1229</f>
        <v>2033.0132041701265</v>
      </c>
      <c r="AG1229" s="203">
        <v>0</v>
      </c>
      <c r="AH1229" s="202">
        <v>0</v>
      </c>
      <c r="AI1229" s="203">
        <v>0</v>
      </c>
      <c r="AJ1229" s="202">
        <v>0</v>
      </c>
      <c r="AK1229" s="203">
        <v>0</v>
      </c>
      <c r="AL1229" s="203">
        <v>0</v>
      </c>
      <c r="AM1229" s="203">
        <v>0</v>
      </c>
      <c r="AN1229" s="203"/>
      <c r="AO1229" s="203">
        <v>0</v>
      </c>
    </row>
    <row r="1230" spans="1:191" s="176" customFormat="1" ht="36" customHeight="1" x14ac:dyDescent="0.25">
      <c r="B1230" s="172" t="s">
        <v>811</v>
      </c>
      <c r="C1230" s="359"/>
      <c r="D1230" s="173" t="s">
        <v>882</v>
      </c>
      <c r="E1230" s="173" t="s">
        <v>882</v>
      </c>
      <c r="F1230" s="173" t="s">
        <v>882</v>
      </c>
      <c r="G1230" s="173" t="s">
        <v>882</v>
      </c>
      <c r="H1230" s="173" t="s">
        <v>882</v>
      </c>
      <c r="I1230" s="177">
        <f>I1231</f>
        <v>1801.1</v>
      </c>
      <c r="J1230" s="177">
        <f>J1231</f>
        <v>1650.5</v>
      </c>
      <c r="K1230" s="177">
        <f>K1231</f>
        <v>277.10000000000002</v>
      </c>
      <c r="L1230" s="357">
        <f>L1231</f>
        <v>87</v>
      </c>
      <c r="M1230" s="173" t="s">
        <v>882</v>
      </c>
      <c r="N1230" s="173" t="s">
        <v>882</v>
      </c>
      <c r="O1230" s="175" t="s">
        <v>882</v>
      </c>
      <c r="P1230" s="170">
        <v>4369866.08</v>
      </c>
      <c r="Q1230" s="170">
        <f>Q1231</f>
        <v>0</v>
      </c>
      <c r="R1230" s="170">
        <f>R1231</f>
        <v>0</v>
      </c>
      <c r="S1230" s="170">
        <f>S1231</f>
        <v>4369866.08</v>
      </c>
      <c r="T1230" s="170">
        <f t="shared" si="211"/>
        <v>2426.2206873577261</v>
      </c>
      <c r="U1230" s="170">
        <f>U1231</f>
        <v>4299.1203098106716</v>
      </c>
      <c r="V1230" s="202">
        <f t="shared" si="212"/>
        <v>1872.8996224529456</v>
      </c>
      <c r="W1230" s="202"/>
      <c r="X1230" s="202"/>
      <c r="Y1230" s="203"/>
      <c r="Z1230" s="203"/>
      <c r="AA1230" s="203"/>
      <c r="AB1230" s="203"/>
      <c r="AC1230" s="203"/>
      <c r="AD1230" s="203"/>
      <c r="AE1230" s="203"/>
      <c r="AF1230" s="203"/>
      <c r="AG1230" s="203"/>
      <c r="AH1230" s="203"/>
      <c r="AI1230" s="203"/>
      <c r="AJ1230" s="203"/>
      <c r="AK1230" s="203"/>
      <c r="AL1230" s="203"/>
      <c r="AM1230" s="203"/>
      <c r="AN1230" s="203"/>
      <c r="AO1230" s="203"/>
    </row>
    <row r="1231" spans="1:191" s="144" customFormat="1" ht="36" customHeight="1" x14ac:dyDescent="0.25">
      <c r="A1231" s="176">
        <v>1</v>
      </c>
      <c r="B1231" s="171">
        <f>SUBTOTAL(103,$A$1087:A1231)</f>
        <v>136</v>
      </c>
      <c r="C1231" s="184" t="s">
        <v>666</v>
      </c>
      <c r="D1231" s="173">
        <v>1978</v>
      </c>
      <c r="E1231" s="173"/>
      <c r="F1231" s="185" t="s">
        <v>267</v>
      </c>
      <c r="G1231" s="173" t="s">
        <v>312</v>
      </c>
      <c r="H1231" s="173" t="s">
        <v>312</v>
      </c>
      <c r="I1231" s="177">
        <v>1801.1</v>
      </c>
      <c r="J1231" s="177">
        <v>1650.5</v>
      </c>
      <c r="K1231" s="177">
        <v>277.10000000000002</v>
      </c>
      <c r="L1231" s="208">
        <v>87</v>
      </c>
      <c r="M1231" s="173" t="s">
        <v>265</v>
      </c>
      <c r="N1231" s="173" t="s">
        <v>269</v>
      </c>
      <c r="O1231" s="173" t="s">
        <v>712</v>
      </c>
      <c r="P1231" s="177">
        <v>4369866.08</v>
      </c>
      <c r="Q1231" s="177">
        <v>0</v>
      </c>
      <c r="R1231" s="177">
        <v>0</v>
      </c>
      <c r="S1231" s="177">
        <f>P1231-Q1231-R1231</f>
        <v>4369866.08</v>
      </c>
      <c r="T1231" s="170">
        <f t="shared" si="211"/>
        <v>2426.2206873577261</v>
      </c>
      <c r="U1231" s="170">
        <v>4299.1203098106716</v>
      </c>
      <c r="V1231" s="202">
        <f>U1231-T1231</f>
        <v>1872.8996224529456</v>
      </c>
      <c r="W1231" s="202">
        <f>X1231+Y1231+Z1231+AA1231+AB1231+AD1231+AF1231+AH1231+AJ1231+AL1231+AN1231+AO1231</f>
        <v>4167.1249403142519</v>
      </c>
      <c r="X1231" s="202">
        <v>0</v>
      </c>
      <c r="Y1231" s="203">
        <v>0</v>
      </c>
      <c r="Z1231" s="203">
        <v>0</v>
      </c>
      <c r="AA1231" s="203">
        <v>0</v>
      </c>
      <c r="AB1231" s="203">
        <v>0</v>
      </c>
      <c r="AC1231" s="203">
        <v>0</v>
      </c>
      <c r="AD1231" s="203">
        <v>0</v>
      </c>
      <c r="AE1231" s="203">
        <v>1203</v>
      </c>
      <c r="AF1231" s="202">
        <f>6238.91*AE1231/I1231</f>
        <v>4167.1249403142519</v>
      </c>
      <c r="AG1231" s="203">
        <v>0</v>
      </c>
      <c r="AH1231" s="202">
        <v>0</v>
      </c>
      <c r="AI1231" s="203">
        <v>0</v>
      </c>
      <c r="AJ1231" s="202">
        <v>0</v>
      </c>
      <c r="AK1231" s="203">
        <v>0</v>
      </c>
      <c r="AL1231" s="203">
        <v>0</v>
      </c>
      <c r="AM1231" s="203">
        <v>0</v>
      </c>
      <c r="AN1231" s="203"/>
      <c r="AO1231" s="203">
        <v>0</v>
      </c>
      <c r="AP1231" s="176"/>
      <c r="DQ1231" s="186"/>
      <c r="DR1231" s="186"/>
      <c r="DS1231" s="186"/>
      <c r="EP1231" s="187"/>
      <c r="FS1231" s="188"/>
      <c r="GI1231" s="189"/>
    </row>
    <row r="1232" spans="1:191" s="176" customFormat="1" ht="36" customHeight="1" x14ac:dyDescent="0.25">
      <c r="B1232" s="172" t="s">
        <v>812</v>
      </c>
      <c r="C1232" s="172"/>
      <c r="D1232" s="173" t="s">
        <v>882</v>
      </c>
      <c r="E1232" s="173" t="s">
        <v>882</v>
      </c>
      <c r="F1232" s="173" t="s">
        <v>882</v>
      </c>
      <c r="G1232" s="173" t="s">
        <v>882</v>
      </c>
      <c r="H1232" s="173" t="s">
        <v>882</v>
      </c>
      <c r="I1232" s="177">
        <f>I1233</f>
        <v>1070.8</v>
      </c>
      <c r="J1232" s="177">
        <f>J1233</f>
        <v>1070.8</v>
      </c>
      <c r="K1232" s="177">
        <f>K1233</f>
        <v>942</v>
      </c>
      <c r="L1232" s="357">
        <f>L1233</f>
        <v>57</v>
      </c>
      <c r="M1232" s="173" t="s">
        <v>882</v>
      </c>
      <c r="N1232" s="173" t="s">
        <v>882</v>
      </c>
      <c r="O1232" s="175" t="s">
        <v>882</v>
      </c>
      <c r="P1232" s="170">
        <v>2936950.21</v>
      </c>
      <c r="Q1232" s="170">
        <f>Q1233</f>
        <v>0</v>
      </c>
      <c r="R1232" s="170">
        <f>R1233</f>
        <v>0</v>
      </c>
      <c r="S1232" s="170">
        <f>S1233</f>
        <v>2936950.21</v>
      </c>
      <c r="T1232" s="170">
        <f t="shared" si="211"/>
        <v>2742.7626167351514</v>
      </c>
      <c r="U1232" s="170">
        <f>U1233</f>
        <v>5467.4745050429592</v>
      </c>
      <c r="V1232" s="202">
        <f t="shared" si="212"/>
        <v>2724.7118883078078</v>
      </c>
      <c r="W1232" s="202"/>
      <c r="X1232" s="202"/>
      <c r="Y1232" s="203"/>
      <c r="Z1232" s="203"/>
      <c r="AA1232" s="203"/>
      <c r="AB1232" s="203"/>
      <c r="AC1232" s="203"/>
      <c r="AD1232" s="203"/>
      <c r="AE1232" s="203"/>
      <c r="AF1232" s="203"/>
      <c r="AG1232" s="203"/>
      <c r="AH1232" s="203"/>
      <c r="AI1232" s="203"/>
      <c r="AJ1232" s="203"/>
      <c r="AK1232" s="203"/>
      <c r="AL1232" s="203"/>
      <c r="AM1232" s="203"/>
      <c r="AN1232" s="203"/>
      <c r="AO1232" s="203"/>
    </row>
    <row r="1233" spans="1:191" s="144" customFormat="1" ht="36" customHeight="1" x14ac:dyDescent="0.25">
      <c r="A1233" s="176">
        <v>1</v>
      </c>
      <c r="B1233" s="171">
        <f>SUBTOTAL(103,$A$1087:A1233)</f>
        <v>137</v>
      </c>
      <c r="C1233" s="184" t="s">
        <v>680</v>
      </c>
      <c r="D1233" s="173">
        <v>1979</v>
      </c>
      <c r="E1233" s="173"/>
      <c r="F1233" s="185" t="s">
        <v>267</v>
      </c>
      <c r="G1233" s="173">
        <v>2</v>
      </c>
      <c r="H1233" s="173" t="s">
        <v>312</v>
      </c>
      <c r="I1233" s="177">
        <v>1070.8</v>
      </c>
      <c r="J1233" s="177">
        <v>1070.8</v>
      </c>
      <c r="K1233" s="177">
        <v>942</v>
      </c>
      <c r="L1233" s="208">
        <v>57</v>
      </c>
      <c r="M1233" s="173" t="s">
        <v>265</v>
      </c>
      <c r="N1233" s="173" t="s">
        <v>341</v>
      </c>
      <c r="O1233" s="173" t="s">
        <v>716</v>
      </c>
      <c r="P1233" s="177">
        <v>2936950.21</v>
      </c>
      <c r="Q1233" s="177">
        <v>0</v>
      </c>
      <c r="R1233" s="177">
        <v>0</v>
      </c>
      <c r="S1233" s="177">
        <f>P1233-Q1233-R1233</f>
        <v>2936950.21</v>
      </c>
      <c r="T1233" s="170">
        <f t="shared" si="211"/>
        <v>2742.7626167351514</v>
      </c>
      <c r="U1233" s="170">
        <v>5467.4745050429592</v>
      </c>
      <c r="V1233" s="202">
        <f>U1233-T1233</f>
        <v>2724.7118883078078</v>
      </c>
      <c r="W1233" s="202">
        <f>X1233+Y1233+Z1233+AA1233+AB1233+AD1233+AF1233+AH1233+AJ1233+AL1233+AN1233+AO1233</f>
        <v>5467.4745050429592</v>
      </c>
      <c r="X1233" s="202">
        <v>0</v>
      </c>
      <c r="Y1233" s="203">
        <v>0</v>
      </c>
      <c r="Z1233" s="203">
        <v>0</v>
      </c>
      <c r="AA1233" s="203">
        <v>0</v>
      </c>
      <c r="AB1233" s="203">
        <v>0</v>
      </c>
      <c r="AC1233" s="203">
        <v>0</v>
      </c>
      <c r="AD1233" s="203">
        <v>0</v>
      </c>
      <c r="AE1233" s="203">
        <v>0</v>
      </c>
      <c r="AF1233" s="202">
        <v>0</v>
      </c>
      <c r="AG1233" s="203">
        <v>0</v>
      </c>
      <c r="AH1233" s="202">
        <v>0</v>
      </c>
      <c r="AI1233" s="203">
        <v>787</v>
      </c>
      <c r="AJ1233" s="202">
        <f>7439.1*AI1233/I1233</f>
        <v>5467.4745050429592</v>
      </c>
      <c r="AK1233" s="203">
        <v>0</v>
      </c>
      <c r="AL1233" s="203">
        <v>0</v>
      </c>
      <c r="AM1233" s="203">
        <v>0</v>
      </c>
      <c r="AN1233" s="203"/>
      <c r="AO1233" s="203">
        <v>0</v>
      </c>
      <c r="AP1233" s="176"/>
      <c r="DQ1233" s="186"/>
      <c r="DR1233" s="186"/>
      <c r="DS1233" s="186"/>
      <c r="EP1233" s="187"/>
      <c r="FS1233" s="188"/>
      <c r="GI1233" s="189"/>
    </row>
    <row r="1234" spans="1:191" s="176" customFormat="1" ht="36" customHeight="1" x14ac:dyDescent="0.25">
      <c r="B1234" s="172" t="s">
        <v>813</v>
      </c>
      <c r="C1234" s="172"/>
      <c r="D1234" s="173" t="s">
        <v>882</v>
      </c>
      <c r="E1234" s="173" t="s">
        <v>882</v>
      </c>
      <c r="F1234" s="173" t="s">
        <v>882</v>
      </c>
      <c r="G1234" s="173" t="s">
        <v>882</v>
      </c>
      <c r="H1234" s="173" t="s">
        <v>882</v>
      </c>
      <c r="I1234" s="177">
        <f>I1235+I1236</f>
        <v>1547.1</v>
      </c>
      <c r="J1234" s="177">
        <f>J1235+J1236</f>
        <v>1426.8</v>
      </c>
      <c r="K1234" s="177">
        <f>K1235+K1236</f>
        <v>275.39999999999998</v>
      </c>
      <c r="L1234" s="357">
        <f>L1235+L1236</f>
        <v>72</v>
      </c>
      <c r="M1234" s="173" t="s">
        <v>882</v>
      </c>
      <c r="N1234" s="173" t="s">
        <v>882</v>
      </c>
      <c r="O1234" s="175" t="s">
        <v>882</v>
      </c>
      <c r="P1234" s="170">
        <v>2773728.46</v>
      </c>
      <c r="Q1234" s="170">
        <f>Q1235+Q1236</f>
        <v>0</v>
      </c>
      <c r="R1234" s="170">
        <f>R1235+R1236</f>
        <v>0</v>
      </c>
      <c r="S1234" s="170">
        <f>S1235+S1236</f>
        <v>2773728.46</v>
      </c>
      <c r="T1234" s="170">
        <f t="shared" si="211"/>
        <v>1792.8566091396808</v>
      </c>
      <c r="U1234" s="170">
        <f>MAX(U1235:U1236)</f>
        <v>3735.1144335612639</v>
      </c>
      <c r="V1234" s="202">
        <f t="shared" si="212"/>
        <v>1942.2578244215831</v>
      </c>
      <c r="W1234" s="202"/>
      <c r="X1234" s="202"/>
      <c r="Y1234" s="203"/>
      <c r="Z1234" s="203"/>
      <c r="AA1234" s="203"/>
      <c r="AB1234" s="203"/>
      <c r="AC1234" s="203"/>
      <c r="AD1234" s="203"/>
      <c r="AE1234" s="203"/>
      <c r="AF1234" s="203"/>
      <c r="AG1234" s="203"/>
      <c r="AH1234" s="203"/>
      <c r="AI1234" s="203"/>
      <c r="AJ1234" s="203"/>
      <c r="AK1234" s="203"/>
      <c r="AL1234" s="203"/>
      <c r="AM1234" s="203"/>
      <c r="AN1234" s="203"/>
      <c r="AO1234" s="203"/>
    </row>
    <row r="1235" spans="1:191" s="144" customFormat="1" ht="36" customHeight="1" x14ac:dyDescent="0.25">
      <c r="A1235" s="176">
        <v>1</v>
      </c>
      <c r="B1235" s="171">
        <f>SUBTOTAL(103,$A$1087:A1235)</f>
        <v>138</v>
      </c>
      <c r="C1235" s="184" t="s">
        <v>673</v>
      </c>
      <c r="D1235" s="173">
        <v>1971</v>
      </c>
      <c r="E1235" s="173"/>
      <c r="F1235" s="185" t="s">
        <v>267</v>
      </c>
      <c r="G1235" s="173">
        <v>3</v>
      </c>
      <c r="H1235" s="173" t="s">
        <v>303</v>
      </c>
      <c r="I1235" s="177">
        <v>1082.2</v>
      </c>
      <c r="J1235" s="177">
        <v>1018.1</v>
      </c>
      <c r="K1235" s="177">
        <v>114.5</v>
      </c>
      <c r="L1235" s="208">
        <v>44</v>
      </c>
      <c r="M1235" s="173" t="s">
        <v>265</v>
      </c>
      <c r="N1235" s="173" t="s">
        <v>266</v>
      </c>
      <c r="O1235" s="173" t="s">
        <v>268</v>
      </c>
      <c r="P1235" s="177">
        <v>2539091.92</v>
      </c>
      <c r="Q1235" s="177">
        <v>0</v>
      </c>
      <c r="R1235" s="177">
        <v>0</v>
      </c>
      <c r="S1235" s="177">
        <f>P1235-Q1235-R1235</f>
        <v>2539091.92</v>
      </c>
      <c r="T1235" s="170">
        <f t="shared" si="211"/>
        <v>2346.2316762151172</v>
      </c>
      <c r="U1235" s="170">
        <v>3735.1144335612639</v>
      </c>
      <c r="V1235" s="202">
        <f t="shared" si="212"/>
        <v>1388.8827573461467</v>
      </c>
      <c r="W1235" s="202">
        <f>X1235+Y1235+Z1235+AA1235+AB1235+AD1235+AF1235+AH1235+AJ1235+AL1235+AN1235+AO1235</f>
        <v>3620.4356680835335</v>
      </c>
      <c r="X1235" s="202">
        <v>0</v>
      </c>
      <c r="Y1235" s="203">
        <v>0</v>
      </c>
      <c r="Z1235" s="203">
        <v>0</v>
      </c>
      <c r="AA1235" s="203">
        <v>0</v>
      </c>
      <c r="AB1235" s="203">
        <v>0</v>
      </c>
      <c r="AC1235" s="203">
        <v>0</v>
      </c>
      <c r="AD1235" s="203">
        <v>0</v>
      </c>
      <c r="AE1235" s="203">
        <v>628</v>
      </c>
      <c r="AF1235" s="202">
        <f>6238.91*AE1235/I1235</f>
        <v>3620.4356680835335</v>
      </c>
      <c r="AG1235" s="203">
        <v>0</v>
      </c>
      <c r="AH1235" s="202">
        <v>0</v>
      </c>
      <c r="AI1235" s="203">
        <v>0</v>
      </c>
      <c r="AJ1235" s="202">
        <v>0</v>
      </c>
      <c r="AK1235" s="203">
        <v>0</v>
      </c>
      <c r="AL1235" s="203">
        <v>0</v>
      </c>
      <c r="AM1235" s="203">
        <v>0</v>
      </c>
      <c r="AN1235" s="203"/>
      <c r="AO1235" s="203">
        <v>0</v>
      </c>
      <c r="AP1235" s="176"/>
      <c r="DQ1235" s="186"/>
      <c r="DR1235" s="186"/>
      <c r="DS1235" s="186"/>
      <c r="EP1235" s="187"/>
      <c r="FS1235" s="188"/>
      <c r="GI1235" s="189"/>
    </row>
    <row r="1236" spans="1:191" s="144" customFormat="1" ht="36" customHeight="1" x14ac:dyDescent="0.25">
      <c r="A1236" s="176">
        <v>1</v>
      </c>
      <c r="B1236" s="171">
        <f>SUBTOTAL(103,$A$1087:A1236)</f>
        <v>139</v>
      </c>
      <c r="C1236" s="184" t="s">
        <v>683</v>
      </c>
      <c r="D1236" s="173">
        <v>1968</v>
      </c>
      <c r="E1236" s="173"/>
      <c r="F1236" s="185" t="s">
        <v>267</v>
      </c>
      <c r="G1236" s="173">
        <v>2</v>
      </c>
      <c r="H1236" s="173" t="s">
        <v>303</v>
      </c>
      <c r="I1236" s="177">
        <v>464.9</v>
      </c>
      <c r="J1236" s="177">
        <v>408.7</v>
      </c>
      <c r="K1236" s="177">
        <v>160.9</v>
      </c>
      <c r="L1236" s="208">
        <v>28</v>
      </c>
      <c r="M1236" s="173" t="s">
        <v>265</v>
      </c>
      <c r="N1236" s="173" t="s">
        <v>266</v>
      </c>
      <c r="O1236" s="173" t="s">
        <v>268</v>
      </c>
      <c r="P1236" s="177">
        <v>234636.54</v>
      </c>
      <c r="Q1236" s="177">
        <v>0</v>
      </c>
      <c r="R1236" s="177">
        <v>0</v>
      </c>
      <c r="S1236" s="177">
        <f>P1236-Q1236-R1236</f>
        <v>234636.54</v>
      </c>
      <c r="T1236" s="170">
        <f t="shared" si="211"/>
        <v>504.70324801032484</v>
      </c>
      <c r="U1236" s="170">
        <v>810.46</v>
      </c>
      <c r="V1236" s="202">
        <f t="shared" si="212"/>
        <v>305.75675198967519</v>
      </c>
      <c r="W1236" s="202">
        <f>X1236+Y1236+Z1236+AA1236+AB1236+AD1236+AF1236+AH1236+AJ1236+AL1236+AN1236+AO1236</f>
        <v>795.31</v>
      </c>
      <c r="X1236" s="202">
        <v>0</v>
      </c>
      <c r="Y1236" s="203">
        <v>0</v>
      </c>
      <c r="Z1236" s="203">
        <v>0</v>
      </c>
      <c r="AA1236" s="203">
        <v>0</v>
      </c>
      <c r="AB1236" s="203">
        <v>795.31</v>
      </c>
      <c r="AC1236" s="203">
        <v>0</v>
      </c>
      <c r="AD1236" s="203">
        <v>0</v>
      </c>
      <c r="AE1236" s="203">
        <v>0</v>
      </c>
      <c r="AF1236" s="202">
        <v>0</v>
      </c>
      <c r="AG1236" s="203">
        <v>0</v>
      </c>
      <c r="AH1236" s="202">
        <v>0</v>
      </c>
      <c r="AI1236" s="203">
        <v>0</v>
      </c>
      <c r="AJ1236" s="202">
        <v>0</v>
      </c>
      <c r="AK1236" s="203">
        <v>0</v>
      </c>
      <c r="AL1236" s="203">
        <v>0</v>
      </c>
      <c r="AM1236" s="203">
        <v>0</v>
      </c>
      <c r="AN1236" s="203"/>
      <c r="AO1236" s="203">
        <v>0</v>
      </c>
      <c r="AP1236" s="176"/>
      <c r="DQ1236" s="186"/>
      <c r="DR1236" s="186"/>
      <c r="DS1236" s="186"/>
      <c r="EP1236" s="187"/>
      <c r="FS1236" s="188"/>
      <c r="GI1236" s="189"/>
    </row>
    <row r="1237" spans="1:191" s="176" customFormat="1" ht="36" customHeight="1" x14ac:dyDescent="0.25">
      <c r="B1237" s="172" t="s">
        <v>876</v>
      </c>
      <c r="C1237" s="172"/>
      <c r="D1237" s="173" t="s">
        <v>882</v>
      </c>
      <c r="E1237" s="173" t="s">
        <v>882</v>
      </c>
      <c r="F1237" s="173" t="s">
        <v>882</v>
      </c>
      <c r="G1237" s="173" t="s">
        <v>882</v>
      </c>
      <c r="H1237" s="173" t="s">
        <v>882</v>
      </c>
      <c r="I1237" s="177">
        <f>I1238</f>
        <v>520.79999999999995</v>
      </c>
      <c r="J1237" s="177">
        <f>J1238</f>
        <v>455.1</v>
      </c>
      <c r="K1237" s="177">
        <f>K1238</f>
        <v>413.6</v>
      </c>
      <c r="L1237" s="357">
        <f>L1238</f>
        <v>32</v>
      </c>
      <c r="M1237" s="173" t="s">
        <v>882</v>
      </c>
      <c r="N1237" s="173" t="s">
        <v>882</v>
      </c>
      <c r="O1237" s="175" t="s">
        <v>882</v>
      </c>
      <c r="P1237" s="170">
        <v>2158336.3499999996</v>
      </c>
      <c r="Q1237" s="170">
        <f>Q1238</f>
        <v>0</v>
      </c>
      <c r="R1237" s="170">
        <f>R1238</f>
        <v>0</v>
      </c>
      <c r="S1237" s="170">
        <f>S1238</f>
        <v>2158336.3499999996</v>
      </c>
      <c r="T1237" s="170">
        <f t="shared" si="211"/>
        <v>4144.2710253456216</v>
      </c>
      <c r="U1237" s="170">
        <f>U1238</f>
        <v>4857.0589285714286</v>
      </c>
      <c r="V1237" s="202">
        <f t="shared" si="212"/>
        <v>712.78790322580699</v>
      </c>
      <c r="W1237" s="202"/>
      <c r="X1237" s="202"/>
      <c r="Y1237" s="203"/>
      <c r="Z1237" s="203"/>
      <c r="AA1237" s="203"/>
      <c r="AB1237" s="203"/>
      <c r="AC1237" s="203"/>
      <c r="AD1237" s="203"/>
      <c r="AE1237" s="203"/>
      <c r="AF1237" s="203"/>
      <c r="AG1237" s="203"/>
      <c r="AH1237" s="203"/>
      <c r="AI1237" s="203"/>
      <c r="AJ1237" s="203"/>
      <c r="AK1237" s="203"/>
      <c r="AL1237" s="203"/>
      <c r="AM1237" s="203"/>
      <c r="AN1237" s="203"/>
      <c r="AO1237" s="203"/>
    </row>
    <row r="1238" spans="1:191" s="144" customFormat="1" ht="36" customHeight="1" x14ac:dyDescent="0.25">
      <c r="A1238" s="176">
        <v>1</v>
      </c>
      <c r="B1238" s="171">
        <f>SUBTOTAL(103,$A$1087:A1238)</f>
        <v>140</v>
      </c>
      <c r="C1238" s="184" t="s">
        <v>665</v>
      </c>
      <c r="D1238" s="173">
        <v>1962</v>
      </c>
      <c r="E1238" s="173"/>
      <c r="F1238" s="185" t="s">
        <v>267</v>
      </c>
      <c r="G1238" s="173">
        <v>2</v>
      </c>
      <c r="H1238" s="173" t="s">
        <v>303</v>
      </c>
      <c r="I1238" s="177">
        <v>520.79999999999995</v>
      </c>
      <c r="J1238" s="177">
        <v>455.1</v>
      </c>
      <c r="K1238" s="177">
        <v>413.6</v>
      </c>
      <c r="L1238" s="208">
        <v>32</v>
      </c>
      <c r="M1238" s="173" t="s">
        <v>265</v>
      </c>
      <c r="N1238" s="173" t="s">
        <v>266</v>
      </c>
      <c r="O1238" s="173" t="s">
        <v>268</v>
      </c>
      <c r="P1238" s="177">
        <v>2158336.3499999996</v>
      </c>
      <c r="Q1238" s="177">
        <v>0</v>
      </c>
      <c r="R1238" s="177">
        <v>0</v>
      </c>
      <c r="S1238" s="177">
        <f>P1238-Q1238-R1238</f>
        <v>2158336.3499999996</v>
      </c>
      <c r="T1238" s="170">
        <f t="shared" si="211"/>
        <v>4144.2710253456216</v>
      </c>
      <c r="U1238" s="170">
        <v>4857.0589285714286</v>
      </c>
      <c r="V1238" s="202">
        <f>U1238-T1238</f>
        <v>712.78790322580699</v>
      </c>
      <c r="W1238" s="202">
        <f>X1238+Y1238+Z1238+AA1238+AB1238+AD1238+AF1238+AH1238+AJ1238+AL1238+AN1238+AO1238</f>
        <v>4707.9332373271891</v>
      </c>
      <c r="X1238" s="202">
        <v>0</v>
      </c>
      <c r="Y1238" s="203">
        <v>0</v>
      </c>
      <c r="Z1238" s="203">
        <v>0</v>
      </c>
      <c r="AA1238" s="203">
        <v>0</v>
      </c>
      <c r="AB1238" s="203">
        <v>0</v>
      </c>
      <c r="AC1238" s="203">
        <v>0</v>
      </c>
      <c r="AD1238" s="203">
        <v>0</v>
      </c>
      <c r="AE1238" s="203">
        <v>393</v>
      </c>
      <c r="AF1238" s="202">
        <f>6238.91*AE1238/I1238</f>
        <v>4707.9332373271891</v>
      </c>
      <c r="AG1238" s="203">
        <v>0</v>
      </c>
      <c r="AH1238" s="202">
        <v>0</v>
      </c>
      <c r="AI1238" s="203">
        <v>0</v>
      </c>
      <c r="AJ1238" s="202">
        <v>0</v>
      </c>
      <c r="AK1238" s="203">
        <v>0</v>
      </c>
      <c r="AL1238" s="203">
        <v>0</v>
      </c>
      <c r="AM1238" s="203">
        <v>0</v>
      </c>
      <c r="AN1238" s="203"/>
      <c r="AO1238" s="203">
        <v>0</v>
      </c>
      <c r="AP1238" s="176"/>
      <c r="DQ1238" s="186"/>
      <c r="DR1238" s="186"/>
      <c r="DS1238" s="186"/>
      <c r="EP1238" s="187"/>
      <c r="FS1238" s="188"/>
      <c r="GI1238" s="189"/>
    </row>
    <row r="1239" spans="1:191" s="176" customFormat="1" ht="36" customHeight="1" x14ac:dyDescent="0.25">
      <c r="B1239" s="172" t="s">
        <v>814</v>
      </c>
      <c r="C1239" s="172"/>
      <c r="D1239" s="173" t="s">
        <v>882</v>
      </c>
      <c r="E1239" s="173" t="s">
        <v>882</v>
      </c>
      <c r="F1239" s="173" t="s">
        <v>882</v>
      </c>
      <c r="G1239" s="173" t="s">
        <v>882</v>
      </c>
      <c r="H1239" s="173" t="s">
        <v>882</v>
      </c>
      <c r="I1239" s="177">
        <f>I1240</f>
        <v>3156.2</v>
      </c>
      <c r="J1239" s="177">
        <f>J1240</f>
        <v>2811.5</v>
      </c>
      <c r="K1239" s="177">
        <f>K1240</f>
        <v>759.56</v>
      </c>
      <c r="L1239" s="357">
        <f>L1240</f>
        <v>151</v>
      </c>
      <c r="M1239" s="173" t="s">
        <v>882</v>
      </c>
      <c r="N1239" s="173" t="s">
        <v>882</v>
      </c>
      <c r="O1239" s="175" t="s">
        <v>882</v>
      </c>
      <c r="P1239" s="177">
        <v>2000000</v>
      </c>
      <c r="Q1239" s="177">
        <f>Q1240</f>
        <v>0</v>
      </c>
      <c r="R1239" s="177">
        <f>R1240</f>
        <v>0</v>
      </c>
      <c r="S1239" s="177">
        <f>S1240</f>
        <v>2000000</v>
      </c>
      <c r="T1239" s="170">
        <f t="shared" si="211"/>
        <v>633.67340472720366</v>
      </c>
      <c r="U1239" s="170">
        <f>U1240</f>
        <v>1376.3431015144795</v>
      </c>
      <c r="V1239" s="202">
        <f t="shared" si="212"/>
        <v>742.66969678727583</v>
      </c>
      <c r="W1239" s="202"/>
      <c r="X1239" s="202"/>
      <c r="Y1239" s="203"/>
      <c r="Z1239" s="203"/>
      <c r="AA1239" s="203"/>
      <c r="AB1239" s="203"/>
      <c r="AC1239" s="203"/>
      <c r="AD1239" s="203"/>
      <c r="AE1239" s="203"/>
      <c r="AF1239" s="203"/>
      <c r="AG1239" s="203"/>
      <c r="AH1239" s="203"/>
      <c r="AI1239" s="203"/>
      <c r="AJ1239" s="203"/>
      <c r="AK1239" s="203"/>
      <c r="AL1239" s="203"/>
      <c r="AM1239" s="203"/>
      <c r="AN1239" s="203"/>
      <c r="AO1239" s="203"/>
    </row>
    <row r="1240" spans="1:191" s="176" customFormat="1" ht="36" customHeight="1" x14ac:dyDescent="0.25">
      <c r="A1240" s="176">
        <v>1</v>
      </c>
      <c r="B1240" s="171">
        <f>SUBTOTAL(103,$A$1087:A1240)</f>
        <v>141</v>
      </c>
      <c r="C1240" s="172" t="s">
        <v>679</v>
      </c>
      <c r="D1240" s="173">
        <v>1990</v>
      </c>
      <c r="E1240" s="173"/>
      <c r="F1240" s="174" t="s">
        <v>715</v>
      </c>
      <c r="G1240" s="173">
        <v>5</v>
      </c>
      <c r="H1240" s="173" t="s">
        <v>308</v>
      </c>
      <c r="I1240" s="177">
        <v>3156.2</v>
      </c>
      <c r="J1240" s="177">
        <v>2811.5</v>
      </c>
      <c r="K1240" s="177">
        <v>759.56</v>
      </c>
      <c r="L1240" s="206">
        <v>151</v>
      </c>
      <c r="M1240" s="173" t="s">
        <v>265</v>
      </c>
      <c r="N1240" s="173" t="s">
        <v>269</v>
      </c>
      <c r="O1240" s="175" t="s">
        <v>712</v>
      </c>
      <c r="P1240" s="170">
        <v>2000000</v>
      </c>
      <c r="Q1240" s="170">
        <v>0</v>
      </c>
      <c r="R1240" s="170">
        <v>0</v>
      </c>
      <c r="S1240" s="170">
        <f>P1240-Q1240-R1240</f>
        <v>2000000</v>
      </c>
      <c r="T1240" s="170">
        <f t="shared" si="211"/>
        <v>633.67340472720366</v>
      </c>
      <c r="U1240" s="170">
        <v>1376.3431015144795</v>
      </c>
      <c r="V1240" s="202">
        <f>U1240-T1240</f>
        <v>742.66969678727583</v>
      </c>
      <c r="W1240" s="202">
        <f>X1240+Y1240+Z1240+AA1240+AB1240+AD1240+AF1240+AH1240+AJ1240+AL1240+AN1240+AO1240</f>
        <v>1334.0854061846526</v>
      </c>
      <c r="X1240" s="202">
        <v>0</v>
      </c>
      <c r="Y1240" s="203">
        <v>0</v>
      </c>
      <c r="Z1240" s="203">
        <v>0</v>
      </c>
      <c r="AA1240" s="203">
        <v>0</v>
      </c>
      <c r="AB1240" s="203">
        <v>0</v>
      </c>
      <c r="AC1240" s="203">
        <v>0</v>
      </c>
      <c r="AD1240" s="203">
        <v>0</v>
      </c>
      <c r="AE1240" s="203">
        <v>674.9</v>
      </c>
      <c r="AF1240" s="202">
        <f>6238.91*AE1240/I1240</f>
        <v>1334.0854061846526</v>
      </c>
      <c r="AG1240" s="203">
        <v>0</v>
      </c>
      <c r="AH1240" s="202">
        <v>0</v>
      </c>
      <c r="AI1240" s="203">
        <v>0</v>
      </c>
      <c r="AJ1240" s="202">
        <v>0</v>
      </c>
      <c r="AK1240" s="203">
        <v>0</v>
      </c>
      <c r="AL1240" s="203">
        <v>0</v>
      </c>
      <c r="AM1240" s="203">
        <v>0</v>
      </c>
      <c r="AN1240" s="203"/>
      <c r="AO1240" s="203">
        <v>0</v>
      </c>
    </row>
    <row r="1241" spans="1:191" s="176" customFormat="1" ht="36" customHeight="1" x14ac:dyDescent="0.25">
      <c r="B1241" s="172" t="s">
        <v>815</v>
      </c>
      <c r="C1241" s="172"/>
      <c r="D1241" s="173" t="s">
        <v>882</v>
      </c>
      <c r="E1241" s="173" t="s">
        <v>882</v>
      </c>
      <c r="F1241" s="173" t="s">
        <v>882</v>
      </c>
      <c r="G1241" s="173" t="s">
        <v>882</v>
      </c>
      <c r="H1241" s="173" t="s">
        <v>882</v>
      </c>
      <c r="I1241" s="177">
        <f>SUM(I1242:I1247)</f>
        <v>11171.599999999999</v>
      </c>
      <c r="J1241" s="177">
        <f>SUM(J1242:J1247)</f>
        <v>10726.3</v>
      </c>
      <c r="K1241" s="177">
        <f>SUM(K1242:K1247)</f>
        <v>9599</v>
      </c>
      <c r="L1241" s="357">
        <f>SUM(L1242:L1247)</f>
        <v>563</v>
      </c>
      <c r="M1241" s="173" t="s">
        <v>882</v>
      </c>
      <c r="N1241" s="173" t="s">
        <v>882</v>
      </c>
      <c r="O1241" s="175" t="s">
        <v>882</v>
      </c>
      <c r="P1241" s="170">
        <v>19139362.629999999</v>
      </c>
      <c r="Q1241" s="170">
        <f>SUM(Q1242:Q1247)</f>
        <v>0</v>
      </c>
      <c r="R1241" s="170">
        <f>SUM(R1242:R1247)</f>
        <v>0</v>
      </c>
      <c r="S1241" s="170">
        <f>SUM(S1242:S1247)</f>
        <v>19139362.629999999</v>
      </c>
      <c r="T1241" s="170">
        <f t="shared" si="211"/>
        <v>1713.2158893981168</v>
      </c>
      <c r="U1241" s="170">
        <f>MAX(U1242:U1247)</f>
        <v>9785.37688751926</v>
      </c>
      <c r="V1241" s="202">
        <f t="shared" si="212"/>
        <v>8072.1609981211432</v>
      </c>
      <c r="W1241" s="202"/>
      <c r="X1241" s="202"/>
      <c r="Y1241" s="203"/>
      <c r="Z1241" s="203"/>
      <c r="AA1241" s="203"/>
      <c r="AB1241" s="203"/>
      <c r="AC1241" s="203"/>
      <c r="AD1241" s="203"/>
      <c r="AE1241" s="203"/>
      <c r="AF1241" s="203"/>
      <c r="AG1241" s="203"/>
      <c r="AH1241" s="203"/>
      <c r="AI1241" s="203"/>
      <c r="AJ1241" s="203"/>
      <c r="AK1241" s="203"/>
      <c r="AL1241" s="203"/>
      <c r="AM1241" s="203"/>
      <c r="AN1241" s="203"/>
      <c r="AO1241" s="203"/>
    </row>
    <row r="1242" spans="1:191" s="144" customFormat="1" ht="36" customHeight="1" x14ac:dyDescent="0.25">
      <c r="A1242" s="176">
        <v>1</v>
      </c>
      <c r="B1242" s="171">
        <f>SUBTOTAL(103,$A$1087:A1242)</f>
        <v>142</v>
      </c>
      <c r="C1242" s="184" t="s">
        <v>652</v>
      </c>
      <c r="D1242" s="173">
        <v>1963</v>
      </c>
      <c r="E1242" s="173"/>
      <c r="F1242" s="185" t="s">
        <v>330</v>
      </c>
      <c r="G1242" s="173">
        <v>2</v>
      </c>
      <c r="H1242" s="173" t="s">
        <v>303</v>
      </c>
      <c r="I1242" s="177">
        <v>279.7</v>
      </c>
      <c r="J1242" s="177">
        <v>175.8</v>
      </c>
      <c r="K1242" s="177">
        <v>175.8</v>
      </c>
      <c r="L1242" s="208">
        <v>24</v>
      </c>
      <c r="M1242" s="173" t="s">
        <v>265</v>
      </c>
      <c r="N1242" s="173" t="s">
        <v>266</v>
      </c>
      <c r="O1242" s="173" t="s">
        <v>268</v>
      </c>
      <c r="P1242" s="177">
        <v>1358190.18</v>
      </c>
      <c r="Q1242" s="177">
        <v>0</v>
      </c>
      <c r="R1242" s="177">
        <v>0</v>
      </c>
      <c r="S1242" s="177">
        <f t="shared" ref="S1242:S1247" si="213">P1242-Q1242-R1242</f>
        <v>1358190.18</v>
      </c>
      <c r="T1242" s="170">
        <f t="shared" si="211"/>
        <v>4855.8819449410084</v>
      </c>
      <c r="U1242" s="170">
        <v>5985.4896424740791</v>
      </c>
      <c r="V1242" s="202">
        <f t="shared" si="212"/>
        <v>1129.6076975330707</v>
      </c>
      <c r="W1242" s="202">
        <f t="shared" ref="W1242:W1247" si="214">X1242+Y1242+Z1242+AA1242+AB1242+AD1242+AF1242+AH1242+AJ1242+AL1242+AN1242+AO1242</f>
        <v>5801.7178798712912</v>
      </c>
      <c r="X1242" s="202">
        <v>0</v>
      </c>
      <c r="Y1242" s="203">
        <v>0</v>
      </c>
      <c r="Z1242" s="203">
        <v>0</v>
      </c>
      <c r="AA1242" s="203">
        <v>0</v>
      </c>
      <c r="AB1242" s="203">
        <v>0</v>
      </c>
      <c r="AC1242" s="203">
        <v>0</v>
      </c>
      <c r="AD1242" s="203">
        <v>0</v>
      </c>
      <c r="AE1242" s="203">
        <v>260.10000000000002</v>
      </c>
      <c r="AF1242" s="202">
        <f>6238.91*AE1242/I1242</f>
        <v>5801.7178798712912</v>
      </c>
      <c r="AG1242" s="203">
        <v>0</v>
      </c>
      <c r="AH1242" s="202">
        <v>0</v>
      </c>
      <c r="AI1242" s="203">
        <v>0</v>
      </c>
      <c r="AJ1242" s="202">
        <v>0</v>
      </c>
      <c r="AK1242" s="203">
        <v>0</v>
      </c>
      <c r="AL1242" s="203">
        <v>0</v>
      </c>
      <c r="AM1242" s="203">
        <v>0</v>
      </c>
      <c r="AN1242" s="203"/>
      <c r="AO1242" s="203">
        <v>0</v>
      </c>
      <c r="AP1242" s="176"/>
      <c r="DQ1242" s="186"/>
      <c r="DR1242" s="186"/>
      <c r="DS1242" s="186"/>
      <c r="EP1242" s="187"/>
      <c r="FS1242" s="188"/>
      <c r="GI1242" s="189"/>
    </row>
    <row r="1243" spans="1:191" s="144" customFormat="1" ht="36" customHeight="1" x14ac:dyDescent="0.25">
      <c r="A1243" s="176">
        <v>1</v>
      </c>
      <c r="B1243" s="171">
        <f>SUBTOTAL(103,$A$1087:A1243)</f>
        <v>143</v>
      </c>
      <c r="C1243" s="184" t="s">
        <v>653</v>
      </c>
      <c r="D1243" s="173">
        <v>1981</v>
      </c>
      <c r="E1243" s="173"/>
      <c r="F1243" s="185" t="s">
        <v>267</v>
      </c>
      <c r="G1243" s="173">
        <v>5</v>
      </c>
      <c r="H1243" s="173" t="s">
        <v>308</v>
      </c>
      <c r="I1243" s="177">
        <v>2798</v>
      </c>
      <c r="J1243" s="177">
        <v>2798</v>
      </c>
      <c r="K1243" s="177">
        <v>1700.7</v>
      </c>
      <c r="L1243" s="208">
        <v>156</v>
      </c>
      <c r="M1243" s="173" t="s">
        <v>265</v>
      </c>
      <c r="N1243" s="173" t="s">
        <v>269</v>
      </c>
      <c r="O1243" s="173" t="s">
        <v>710</v>
      </c>
      <c r="P1243" s="177">
        <v>3967182.94</v>
      </c>
      <c r="Q1243" s="177">
        <v>0</v>
      </c>
      <c r="R1243" s="177">
        <v>0</v>
      </c>
      <c r="S1243" s="177">
        <f t="shared" si="213"/>
        <v>3967182.94</v>
      </c>
      <c r="T1243" s="170">
        <f t="shared" si="211"/>
        <v>1417.8638098641886</v>
      </c>
      <c r="U1243" s="170">
        <v>1955.3432809149392</v>
      </c>
      <c r="V1243" s="202">
        <f t="shared" si="212"/>
        <v>537.47947105075059</v>
      </c>
      <c r="W1243" s="202">
        <f t="shared" si="214"/>
        <v>1895.3086132952108</v>
      </c>
      <c r="X1243" s="202">
        <v>0</v>
      </c>
      <c r="Y1243" s="203">
        <v>0</v>
      </c>
      <c r="Z1243" s="203">
        <v>0</v>
      </c>
      <c r="AA1243" s="203">
        <v>0</v>
      </c>
      <c r="AB1243" s="203">
        <v>0</v>
      </c>
      <c r="AC1243" s="203">
        <v>0</v>
      </c>
      <c r="AD1243" s="203">
        <v>0</v>
      </c>
      <c r="AE1243" s="203">
        <v>850</v>
      </c>
      <c r="AF1243" s="202">
        <f>6238.91*AE1243/I1243</f>
        <v>1895.3086132952108</v>
      </c>
      <c r="AG1243" s="203">
        <v>0</v>
      </c>
      <c r="AH1243" s="202">
        <v>0</v>
      </c>
      <c r="AI1243" s="203">
        <v>0</v>
      </c>
      <c r="AJ1243" s="202">
        <v>0</v>
      </c>
      <c r="AK1243" s="203">
        <v>0</v>
      </c>
      <c r="AL1243" s="203">
        <v>0</v>
      </c>
      <c r="AM1243" s="203">
        <v>0</v>
      </c>
      <c r="AN1243" s="203"/>
      <c r="AO1243" s="203">
        <v>0</v>
      </c>
      <c r="AP1243" s="176"/>
      <c r="DQ1243" s="186"/>
      <c r="DR1243" s="186"/>
      <c r="DS1243" s="186"/>
      <c r="EP1243" s="187"/>
      <c r="FS1243" s="188"/>
      <c r="GI1243" s="189"/>
    </row>
    <row r="1244" spans="1:191" s="144" customFormat="1" ht="36" customHeight="1" x14ac:dyDescent="0.25">
      <c r="A1244" s="176">
        <v>1</v>
      </c>
      <c r="B1244" s="171">
        <f>SUBTOTAL(103,$A$1087:A1244)</f>
        <v>144</v>
      </c>
      <c r="C1244" s="184" t="s">
        <v>2259</v>
      </c>
      <c r="D1244" s="173">
        <v>1980</v>
      </c>
      <c r="E1244" s="173"/>
      <c r="F1244" s="185" t="s">
        <v>267</v>
      </c>
      <c r="G1244" s="173">
        <v>2</v>
      </c>
      <c r="H1244" s="173" t="s">
        <v>312</v>
      </c>
      <c r="I1244" s="177">
        <v>939.9</v>
      </c>
      <c r="J1244" s="177">
        <v>858</v>
      </c>
      <c r="K1244" s="177">
        <v>830.3</v>
      </c>
      <c r="L1244" s="208">
        <v>47</v>
      </c>
      <c r="M1244" s="173" t="s">
        <v>265</v>
      </c>
      <c r="N1244" s="173" t="s">
        <v>269</v>
      </c>
      <c r="O1244" s="173" t="s">
        <v>1073</v>
      </c>
      <c r="P1244" s="177">
        <v>2687908</v>
      </c>
      <c r="Q1244" s="177">
        <v>0</v>
      </c>
      <c r="R1244" s="177">
        <v>0</v>
      </c>
      <c r="S1244" s="177">
        <f t="shared" si="213"/>
        <v>2687908</v>
      </c>
      <c r="T1244" s="170">
        <f t="shared" si="211"/>
        <v>2859.7808277476329</v>
      </c>
      <c r="U1244" s="170">
        <v>3769.8795244174908</v>
      </c>
      <c r="V1244" s="202">
        <f t="shared" si="212"/>
        <v>910.09869666985787</v>
      </c>
      <c r="W1244" s="202">
        <f t="shared" si="214"/>
        <v>3654.1333705713378</v>
      </c>
      <c r="X1244" s="202">
        <v>0</v>
      </c>
      <c r="Y1244" s="203">
        <v>0</v>
      </c>
      <c r="Z1244" s="203">
        <v>0</v>
      </c>
      <c r="AA1244" s="203">
        <v>0</v>
      </c>
      <c r="AB1244" s="203">
        <v>0</v>
      </c>
      <c r="AC1244" s="203">
        <v>0</v>
      </c>
      <c r="AD1244" s="203">
        <v>0</v>
      </c>
      <c r="AE1244" s="203">
        <v>550.5</v>
      </c>
      <c r="AF1244" s="202">
        <f>6238.91*AE1244/I1244</f>
        <v>3654.1333705713378</v>
      </c>
      <c r="AG1244" s="203">
        <v>0</v>
      </c>
      <c r="AH1244" s="202">
        <v>0</v>
      </c>
      <c r="AI1244" s="203">
        <v>0</v>
      </c>
      <c r="AJ1244" s="202">
        <v>0</v>
      </c>
      <c r="AK1244" s="203">
        <v>0</v>
      </c>
      <c r="AL1244" s="203">
        <v>0</v>
      </c>
      <c r="AM1244" s="203">
        <v>0</v>
      </c>
      <c r="AN1244" s="203"/>
      <c r="AO1244" s="203">
        <v>0</v>
      </c>
      <c r="AP1244" s="176"/>
      <c r="DQ1244" s="186"/>
      <c r="DR1244" s="186"/>
      <c r="DS1244" s="186"/>
      <c r="EP1244" s="187"/>
      <c r="FS1244" s="188"/>
      <c r="GI1244" s="189"/>
    </row>
    <row r="1245" spans="1:191" s="144" customFormat="1" ht="36" customHeight="1" x14ac:dyDescent="0.25">
      <c r="A1245" s="176">
        <v>1</v>
      </c>
      <c r="B1245" s="171">
        <f>SUBTOTAL(103,$A$1087:A1245)</f>
        <v>145</v>
      </c>
      <c r="C1245" s="184" t="s">
        <v>661</v>
      </c>
      <c r="D1245" s="173">
        <v>1993</v>
      </c>
      <c r="E1245" s="173"/>
      <c r="F1245" s="185" t="s">
        <v>311</v>
      </c>
      <c r="G1245" s="173">
        <v>5</v>
      </c>
      <c r="H1245" s="173" t="s">
        <v>312</v>
      </c>
      <c r="I1245" s="177">
        <v>3247.3</v>
      </c>
      <c r="J1245" s="177">
        <v>3247.3</v>
      </c>
      <c r="K1245" s="177">
        <v>3245</v>
      </c>
      <c r="L1245" s="208">
        <v>133</v>
      </c>
      <c r="M1245" s="173" t="s">
        <v>265</v>
      </c>
      <c r="N1245" s="173" t="s">
        <v>341</v>
      </c>
      <c r="O1245" s="173" t="s">
        <v>713</v>
      </c>
      <c r="P1245" s="177">
        <v>5240859.63</v>
      </c>
      <c r="Q1245" s="177">
        <v>0</v>
      </c>
      <c r="R1245" s="177">
        <v>0</v>
      </c>
      <c r="S1245" s="177">
        <f t="shared" si="213"/>
        <v>5240859.63</v>
      </c>
      <c r="T1245" s="170">
        <f t="shared" si="211"/>
        <v>1613.912983093647</v>
      </c>
      <c r="U1245" s="170">
        <v>1883.0115788501216</v>
      </c>
      <c r="V1245" s="202">
        <f t="shared" si="212"/>
        <v>269.09859575647465</v>
      </c>
      <c r="W1245" s="202">
        <f t="shared" si="214"/>
        <v>1341.2967850214022</v>
      </c>
      <c r="X1245" s="202">
        <v>0</v>
      </c>
      <c r="Y1245" s="203">
        <v>0</v>
      </c>
      <c r="Z1245" s="203">
        <v>0</v>
      </c>
      <c r="AA1245" s="203">
        <v>0</v>
      </c>
      <c r="AB1245" s="203">
        <v>0</v>
      </c>
      <c r="AC1245" s="203">
        <v>0</v>
      </c>
      <c r="AD1245" s="203">
        <v>0</v>
      </c>
      <c r="AE1245" s="203">
        <v>0</v>
      </c>
      <c r="AF1245" s="202">
        <v>0</v>
      </c>
      <c r="AG1245" s="203">
        <v>0</v>
      </c>
      <c r="AH1245" s="202">
        <v>0</v>
      </c>
      <c r="AI1245" s="203">
        <v>585.5</v>
      </c>
      <c r="AJ1245" s="202">
        <f>7439.1*AI1245/I1245</f>
        <v>1341.2967850214022</v>
      </c>
      <c r="AK1245" s="203">
        <v>0</v>
      </c>
      <c r="AL1245" s="203">
        <v>0</v>
      </c>
      <c r="AM1245" s="203">
        <v>0</v>
      </c>
      <c r="AN1245" s="203"/>
      <c r="AO1245" s="203">
        <v>0</v>
      </c>
      <c r="AP1245" s="176"/>
      <c r="DQ1245" s="186"/>
      <c r="DR1245" s="186"/>
      <c r="DS1245" s="186"/>
      <c r="EP1245" s="187"/>
      <c r="FS1245" s="188"/>
      <c r="GI1245" s="189"/>
    </row>
    <row r="1246" spans="1:191" s="144" customFormat="1" ht="36" customHeight="1" x14ac:dyDescent="0.25">
      <c r="A1246" s="176">
        <v>1</v>
      </c>
      <c r="B1246" s="171">
        <f>SUBTOTAL(103,$A$1087:A1246)</f>
        <v>146</v>
      </c>
      <c r="C1246" s="184" t="s">
        <v>1934</v>
      </c>
      <c r="D1246" s="173">
        <v>1959</v>
      </c>
      <c r="E1246" s="173"/>
      <c r="F1246" s="185" t="s">
        <v>1562</v>
      </c>
      <c r="G1246" s="173" t="s">
        <v>303</v>
      </c>
      <c r="H1246" s="173">
        <v>1</v>
      </c>
      <c r="I1246" s="177">
        <v>194.7</v>
      </c>
      <c r="J1246" s="177">
        <v>194.7</v>
      </c>
      <c r="K1246" s="177">
        <v>194.7</v>
      </c>
      <c r="L1246" s="208">
        <v>21</v>
      </c>
      <c r="M1246" s="173" t="s">
        <v>265</v>
      </c>
      <c r="N1246" s="173" t="s">
        <v>266</v>
      </c>
      <c r="O1246" s="173" t="s">
        <v>268</v>
      </c>
      <c r="P1246" s="177">
        <v>1382465.05</v>
      </c>
      <c r="Q1246" s="177">
        <v>0</v>
      </c>
      <c r="R1246" s="177">
        <v>0</v>
      </c>
      <c r="S1246" s="177">
        <f>P1246-Q1246-R1246</f>
        <v>1382465.05</v>
      </c>
      <c r="T1246" s="170">
        <f>P1246/I1246</f>
        <v>7100.4881869542896</v>
      </c>
      <c r="U1246" s="170">
        <v>9785.37688751926</v>
      </c>
      <c r="V1246" s="202">
        <f>U1246-T1246</f>
        <v>2684.8887005649703</v>
      </c>
      <c r="W1246" s="202">
        <f>X1246+Y1246+Z1246+AA1246+AB1246+AD1246+AF1246+AH1246+AJ1246+AL1246+AN1246+AO1246</f>
        <v>25247.046738572164</v>
      </c>
      <c r="X1246" s="202">
        <v>0</v>
      </c>
      <c r="Y1246" s="203">
        <v>0</v>
      </c>
      <c r="Z1246" s="203">
        <v>0</v>
      </c>
      <c r="AA1246" s="203">
        <v>0</v>
      </c>
      <c r="AB1246" s="203">
        <v>0</v>
      </c>
      <c r="AC1246" s="203">
        <v>2</v>
      </c>
      <c r="AD1246" s="202">
        <f>2457800*AC1246/I1246</f>
        <v>25247.046738572164</v>
      </c>
      <c r="AE1246" s="203">
        <v>0</v>
      </c>
      <c r="AF1246" s="202">
        <v>0</v>
      </c>
      <c r="AG1246" s="203">
        <v>0</v>
      </c>
      <c r="AH1246" s="202">
        <v>0</v>
      </c>
      <c r="AI1246" s="203">
        <v>0</v>
      </c>
      <c r="AJ1246" s="202">
        <v>0</v>
      </c>
      <c r="AK1246" s="203">
        <v>0</v>
      </c>
      <c r="AL1246" s="203">
        <v>0</v>
      </c>
      <c r="AM1246" s="203">
        <v>0</v>
      </c>
      <c r="AN1246" s="203"/>
      <c r="AO1246" s="203">
        <v>0</v>
      </c>
      <c r="AP1246" s="176"/>
      <c r="DQ1246" s="186"/>
      <c r="DR1246" s="186"/>
      <c r="DS1246" s="186"/>
      <c r="EP1246" s="187"/>
      <c r="FS1246" s="188"/>
      <c r="GI1246" s="189"/>
    </row>
    <row r="1247" spans="1:191" s="144" customFormat="1" ht="36" customHeight="1" x14ac:dyDescent="0.25">
      <c r="A1247" s="176">
        <v>1</v>
      </c>
      <c r="B1247" s="171">
        <f>SUBTOTAL(103,$A$1087:A1247)</f>
        <v>147</v>
      </c>
      <c r="C1247" s="184" t="s">
        <v>2424</v>
      </c>
      <c r="D1247" s="173">
        <v>1972</v>
      </c>
      <c r="E1247" s="173"/>
      <c r="F1247" s="185" t="s">
        <v>1562</v>
      </c>
      <c r="G1247" s="173">
        <v>5</v>
      </c>
      <c r="H1247" s="173">
        <v>4</v>
      </c>
      <c r="I1247" s="177">
        <v>3712</v>
      </c>
      <c r="J1247" s="177">
        <v>3452.5</v>
      </c>
      <c r="K1247" s="177">
        <v>3452.5</v>
      </c>
      <c r="L1247" s="208">
        <v>182</v>
      </c>
      <c r="M1247" s="173" t="s">
        <v>265</v>
      </c>
      <c r="N1247" s="173" t="s">
        <v>269</v>
      </c>
      <c r="O1247" s="173" t="s">
        <v>1073</v>
      </c>
      <c r="P1247" s="177">
        <v>4502756.8299999991</v>
      </c>
      <c r="Q1247" s="177">
        <v>0</v>
      </c>
      <c r="R1247" s="177">
        <v>0</v>
      </c>
      <c r="S1247" s="177">
        <f t="shared" si="213"/>
        <v>4502756.8299999991</v>
      </c>
      <c r="T1247" s="170">
        <f t="shared" si="211"/>
        <v>1213.0271632543102</v>
      </c>
      <c r="U1247" s="170">
        <v>1600.6360029633622</v>
      </c>
      <c r="V1247" s="202">
        <f t="shared" si="212"/>
        <v>387.60883970905206</v>
      </c>
      <c r="W1247" s="202">
        <f t="shared" si="214"/>
        <v>1324.2456896551723</v>
      </c>
      <c r="X1247" s="202">
        <v>0</v>
      </c>
      <c r="Y1247" s="203">
        <v>0</v>
      </c>
      <c r="Z1247" s="203">
        <v>0</v>
      </c>
      <c r="AA1247" s="203">
        <v>0</v>
      </c>
      <c r="AB1247" s="203">
        <v>0</v>
      </c>
      <c r="AC1247" s="203">
        <v>2</v>
      </c>
      <c r="AD1247" s="202">
        <f>2457800*AC1247/I1247</f>
        <v>1324.2456896551723</v>
      </c>
      <c r="AE1247" s="203">
        <v>0</v>
      </c>
      <c r="AF1247" s="202">
        <v>0</v>
      </c>
      <c r="AG1247" s="203">
        <v>0</v>
      </c>
      <c r="AH1247" s="202">
        <v>0</v>
      </c>
      <c r="AI1247" s="203">
        <v>0</v>
      </c>
      <c r="AJ1247" s="202">
        <v>0</v>
      </c>
      <c r="AK1247" s="203">
        <v>0</v>
      </c>
      <c r="AL1247" s="203">
        <v>0</v>
      </c>
      <c r="AM1247" s="203">
        <v>0</v>
      </c>
      <c r="AN1247" s="203"/>
      <c r="AO1247" s="203">
        <v>0</v>
      </c>
      <c r="AP1247" s="176"/>
      <c r="DQ1247" s="186"/>
      <c r="DR1247" s="186"/>
      <c r="DS1247" s="186"/>
      <c r="EP1247" s="187"/>
      <c r="FS1247" s="188"/>
      <c r="GI1247" s="189"/>
    </row>
    <row r="1248" spans="1:191" s="176" customFormat="1" ht="36" customHeight="1" x14ac:dyDescent="0.25">
      <c r="B1248" s="172" t="s">
        <v>816</v>
      </c>
      <c r="C1248" s="359"/>
      <c r="D1248" s="173" t="s">
        <v>882</v>
      </c>
      <c r="E1248" s="173" t="s">
        <v>882</v>
      </c>
      <c r="F1248" s="173" t="s">
        <v>882</v>
      </c>
      <c r="G1248" s="173" t="s">
        <v>882</v>
      </c>
      <c r="H1248" s="173" t="s">
        <v>882</v>
      </c>
      <c r="I1248" s="177">
        <f>SUM(I1249:I1251)</f>
        <v>6105.4</v>
      </c>
      <c r="J1248" s="177">
        <f>SUM(J1249:J1251)</f>
        <v>5837.7</v>
      </c>
      <c r="K1248" s="177">
        <f>SUM(K1249:K1251)</f>
        <v>5224.2</v>
      </c>
      <c r="L1248" s="357">
        <f>SUM(L1249:L1251)</f>
        <v>226</v>
      </c>
      <c r="M1248" s="173" t="s">
        <v>882</v>
      </c>
      <c r="N1248" s="173" t="s">
        <v>882</v>
      </c>
      <c r="O1248" s="175" t="s">
        <v>882</v>
      </c>
      <c r="P1248" s="170">
        <v>13813074.67</v>
      </c>
      <c r="Q1248" s="170">
        <f>SUM(Q1249:Q1251)</f>
        <v>0</v>
      </c>
      <c r="R1248" s="170">
        <f>SUM(R1249:R1251)</f>
        <v>0</v>
      </c>
      <c r="S1248" s="170">
        <f>SUM(S1249:S1251)</f>
        <v>13813074.67</v>
      </c>
      <c r="T1248" s="170">
        <f t="shared" si="211"/>
        <v>2262.4356585973073</v>
      </c>
      <c r="U1248" s="170">
        <f>MAX(U1249:U1251)</f>
        <v>31687.633164373648</v>
      </c>
      <c r="V1248" s="202">
        <f t="shared" si="212"/>
        <v>29425.197505776341</v>
      </c>
      <c r="W1248" s="202"/>
      <c r="X1248" s="202"/>
      <c r="Y1248" s="203"/>
      <c r="Z1248" s="203"/>
      <c r="AA1248" s="203"/>
      <c r="AB1248" s="203"/>
      <c r="AC1248" s="203"/>
      <c r="AD1248" s="203"/>
      <c r="AE1248" s="203"/>
      <c r="AF1248" s="203"/>
      <c r="AG1248" s="203"/>
      <c r="AH1248" s="203"/>
      <c r="AI1248" s="203"/>
      <c r="AJ1248" s="203"/>
      <c r="AK1248" s="203"/>
      <c r="AL1248" s="203"/>
      <c r="AM1248" s="203"/>
      <c r="AN1248" s="203"/>
      <c r="AO1248" s="203"/>
    </row>
    <row r="1249" spans="1:191" s="144" customFormat="1" ht="36" customHeight="1" x14ac:dyDescent="0.25">
      <c r="A1249" s="176">
        <v>1</v>
      </c>
      <c r="B1249" s="171">
        <f>SUBTOTAL(103,$A$1087:A1249)</f>
        <v>148</v>
      </c>
      <c r="C1249" s="184" t="s">
        <v>234</v>
      </c>
      <c r="D1249" s="173">
        <v>1954</v>
      </c>
      <c r="E1249" s="173"/>
      <c r="F1249" s="185" t="s">
        <v>336</v>
      </c>
      <c r="G1249" s="173">
        <v>2</v>
      </c>
      <c r="H1249" s="173" t="s">
        <v>303</v>
      </c>
      <c r="I1249" s="177">
        <v>825.3</v>
      </c>
      <c r="J1249" s="177">
        <v>751.4</v>
      </c>
      <c r="K1249" s="177">
        <v>638.6</v>
      </c>
      <c r="L1249" s="208">
        <v>32</v>
      </c>
      <c r="M1249" s="173" t="s">
        <v>265</v>
      </c>
      <c r="N1249" s="173" t="s">
        <v>269</v>
      </c>
      <c r="O1249" s="173" t="s">
        <v>335</v>
      </c>
      <c r="P1249" s="177">
        <v>4620600</v>
      </c>
      <c r="Q1249" s="177">
        <v>0</v>
      </c>
      <c r="R1249" s="177">
        <v>0</v>
      </c>
      <c r="S1249" s="177">
        <f>P1249-Q1249-R1249</f>
        <v>4620600</v>
      </c>
      <c r="T1249" s="170">
        <f t="shared" si="211"/>
        <v>5598.6913849509274</v>
      </c>
      <c r="U1249" s="170">
        <v>7065.9107960741549</v>
      </c>
      <c r="V1249" s="202">
        <f t="shared" si="212"/>
        <v>1467.2194111232275</v>
      </c>
      <c r="W1249" s="202">
        <f>X1249+Y1249+Z1249+AA1249+AB1249+AD1249+AF1249+AH1249+AJ1249+AL1249+AN1249+AO1249</f>
        <v>6848.9669938204297</v>
      </c>
      <c r="X1249" s="202">
        <v>0</v>
      </c>
      <c r="Y1249" s="203">
        <v>0</v>
      </c>
      <c r="Z1249" s="203">
        <v>0</v>
      </c>
      <c r="AA1249" s="203">
        <v>0</v>
      </c>
      <c r="AB1249" s="203">
        <v>0</v>
      </c>
      <c r="AC1249" s="203">
        <v>0</v>
      </c>
      <c r="AD1249" s="203">
        <v>0</v>
      </c>
      <c r="AE1249" s="203">
        <v>906</v>
      </c>
      <c r="AF1249" s="202">
        <f>6238.91*AE1249/I1249</f>
        <v>6848.9669938204297</v>
      </c>
      <c r="AG1249" s="203">
        <v>0</v>
      </c>
      <c r="AH1249" s="202">
        <v>0</v>
      </c>
      <c r="AI1249" s="203">
        <v>0</v>
      </c>
      <c r="AJ1249" s="202">
        <v>0</v>
      </c>
      <c r="AK1249" s="203">
        <v>0</v>
      </c>
      <c r="AL1249" s="203">
        <v>0</v>
      </c>
      <c r="AM1249" s="203">
        <v>0</v>
      </c>
      <c r="AN1249" s="203"/>
      <c r="AO1249" s="203">
        <v>0</v>
      </c>
      <c r="AP1249" s="176"/>
      <c r="DQ1249" s="186"/>
      <c r="DR1249" s="186"/>
      <c r="DS1249" s="186"/>
      <c r="EP1249" s="187"/>
      <c r="FS1249" s="188"/>
      <c r="GI1249" s="189"/>
    </row>
    <row r="1250" spans="1:191" s="144" customFormat="1" ht="36" customHeight="1" x14ac:dyDescent="0.25">
      <c r="A1250" s="176">
        <v>1</v>
      </c>
      <c r="B1250" s="171">
        <f>SUBTOTAL(103,$A$1087:A1250)</f>
        <v>149</v>
      </c>
      <c r="C1250" s="184" t="s">
        <v>1596</v>
      </c>
      <c r="D1250" s="173">
        <v>1846</v>
      </c>
      <c r="E1250" s="173"/>
      <c r="F1250" s="185" t="s">
        <v>1332</v>
      </c>
      <c r="G1250" s="173">
        <v>2</v>
      </c>
      <c r="H1250" s="173" t="s">
        <v>304</v>
      </c>
      <c r="I1250" s="177">
        <v>276.2</v>
      </c>
      <c r="J1250" s="177">
        <v>277.3</v>
      </c>
      <c r="K1250" s="177">
        <v>259.39999999999998</v>
      </c>
      <c r="L1250" s="208">
        <v>9</v>
      </c>
      <c r="M1250" s="173" t="s">
        <v>265</v>
      </c>
      <c r="N1250" s="173" t="s">
        <v>269</v>
      </c>
      <c r="O1250" s="173" t="s">
        <v>334</v>
      </c>
      <c r="P1250" s="177">
        <v>1221174.67</v>
      </c>
      <c r="Q1250" s="177">
        <v>0</v>
      </c>
      <c r="R1250" s="177">
        <v>0</v>
      </c>
      <c r="S1250" s="177">
        <f>P1250-Q1250-R1250</f>
        <v>1221174.67</v>
      </c>
      <c r="T1250" s="170">
        <f t="shared" si="211"/>
        <v>4421.342034757422</v>
      </c>
      <c r="U1250" s="170">
        <v>31687.633164373648</v>
      </c>
      <c r="V1250" s="202">
        <f>U1250-T1250</f>
        <v>27266.291129616227</v>
      </c>
      <c r="W1250" s="202">
        <f>X1250+Y1250+Z1250+AA1250+AB1250+AD1250+AF1250+AH1250+AJ1250+AL1250+AN1250+AO1250</f>
        <v>35305.634793627811</v>
      </c>
      <c r="X1250" s="202">
        <v>0</v>
      </c>
      <c r="Y1250" s="203">
        <v>0</v>
      </c>
      <c r="Z1250" s="203">
        <v>0</v>
      </c>
      <c r="AA1250" s="203">
        <v>0</v>
      </c>
      <c r="AB1250" s="203">
        <v>0</v>
      </c>
      <c r="AC1250" s="203">
        <v>0</v>
      </c>
      <c r="AD1250" s="203">
        <v>0</v>
      </c>
      <c r="AE1250" s="203">
        <v>1563</v>
      </c>
      <c r="AF1250" s="202">
        <f>6238.91*AE1250/I1250</f>
        <v>35305.634793627811</v>
      </c>
      <c r="AG1250" s="203">
        <v>0</v>
      </c>
      <c r="AH1250" s="202">
        <v>0</v>
      </c>
      <c r="AI1250" s="203">
        <v>0</v>
      </c>
      <c r="AJ1250" s="202">
        <v>0</v>
      </c>
      <c r="AK1250" s="203">
        <v>0</v>
      </c>
      <c r="AL1250" s="203">
        <v>0</v>
      </c>
      <c r="AM1250" s="203">
        <v>0</v>
      </c>
      <c r="AN1250" s="203"/>
      <c r="AO1250" s="203">
        <v>0</v>
      </c>
      <c r="AP1250" s="176"/>
      <c r="DQ1250" s="186"/>
      <c r="DR1250" s="186"/>
      <c r="DS1250" s="186"/>
      <c r="EP1250" s="187"/>
      <c r="FS1250" s="188"/>
      <c r="GI1250" s="189"/>
    </row>
    <row r="1251" spans="1:191" s="144" customFormat="1" ht="36" customHeight="1" x14ac:dyDescent="0.25">
      <c r="A1251" s="176">
        <v>1</v>
      </c>
      <c r="B1251" s="171">
        <f>SUBTOTAL(103,$A$1087:A1251)</f>
        <v>150</v>
      </c>
      <c r="C1251" s="184" t="s">
        <v>238</v>
      </c>
      <c r="D1251" s="173">
        <v>1970</v>
      </c>
      <c r="E1251" s="173"/>
      <c r="F1251" s="185" t="s">
        <v>267</v>
      </c>
      <c r="G1251" s="173">
        <v>5</v>
      </c>
      <c r="H1251" s="173" t="s">
        <v>370</v>
      </c>
      <c r="I1251" s="177">
        <v>5003.8999999999996</v>
      </c>
      <c r="J1251" s="177">
        <v>4809</v>
      </c>
      <c r="K1251" s="177">
        <v>4326.2</v>
      </c>
      <c r="L1251" s="208">
        <v>185</v>
      </c>
      <c r="M1251" s="173" t="s">
        <v>265</v>
      </c>
      <c r="N1251" s="173" t="s">
        <v>269</v>
      </c>
      <c r="O1251" s="173" t="s">
        <v>333</v>
      </c>
      <c r="P1251" s="177">
        <v>7971300</v>
      </c>
      <c r="Q1251" s="177">
        <v>0</v>
      </c>
      <c r="R1251" s="177">
        <v>0</v>
      </c>
      <c r="S1251" s="177">
        <f>P1251-Q1251-R1251</f>
        <v>7971300</v>
      </c>
      <c r="T1251" s="170">
        <f t="shared" si="211"/>
        <v>1593.0174463918145</v>
      </c>
      <c r="U1251" s="170">
        <v>2010.491094945942</v>
      </c>
      <c r="V1251" s="202">
        <f t="shared" si="212"/>
        <v>417.47364855412752</v>
      </c>
      <c r="W1251" s="202">
        <f>X1251+Y1251+Z1251+AA1251+AB1251+AD1251+AF1251+AH1251+AJ1251+AL1251+AN1251+AO1251</f>
        <v>1948.7632306800697</v>
      </c>
      <c r="X1251" s="202">
        <v>0</v>
      </c>
      <c r="Y1251" s="203">
        <v>0</v>
      </c>
      <c r="Z1251" s="203">
        <v>0</v>
      </c>
      <c r="AA1251" s="203">
        <v>0</v>
      </c>
      <c r="AB1251" s="203">
        <v>0</v>
      </c>
      <c r="AC1251" s="203">
        <v>0</v>
      </c>
      <c r="AD1251" s="203">
        <v>0</v>
      </c>
      <c r="AE1251" s="203">
        <v>1563</v>
      </c>
      <c r="AF1251" s="202">
        <f>6238.91*AE1251/I1251</f>
        <v>1948.7632306800697</v>
      </c>
      <c r="AG1251" s="203">
        <v>0</v>
      </c>
      <c r="AH1251" s="202">
        <v>0</v>
      </c>
      <c r="AI1251" s="203">
        <v>0</v>
      </c>
      <c r="AJ1251" s="202">
        <v>0</v>
      </c>
      <c r="AK1251" s="203">
        <v>0</v>
      </c>
      <c r="AL1251" s="203">
        <v>0</v>
      </c>
      <c r="AM1251" s="203">
        <v>0</v>
      </c>
      <c r="AN1251" s="203"/>
      <c r="AO1251" s="203">
        <v>0</v>
      </c>
      <c r="AP1251" s="176"/>
      <c r="DQ1251" s="186"/>
      <c r="DR1251" s="186"/>
      <c r="DS1251" s="186"/>
      <c r="EP1251" s="187"/>
      <c r="FS1251" s="188"/>
      <c r="GI1251" s="189"/>
    </row>
    <row r="1252" spans="1:191" s="176" customFormat="1" ht="36" customHeight="1" x14ac:dyDescent="0.25">
      <c r="B1252" s="172" t="s">
        <v>817</v>
      </c>
      <c r="C1252" s="172"/>
      <c r="D1252" s="173" t="s">
        <v>882</v>
      </c>
      <c r="E1252" s="173" t="s">
        <v>882</v>
      </c>
      <c r="F1252" s="173" t="s">
        <v>882</v>
      </c>
      <c r="G1252" s="173" t="s">
        <v>882</v>
      </c>
      <c r="H1252" s="173" t="s">
        <v>882</v>
      </c>
      <c r="I1252" s="177">
        <f>I1253</f>
        <v>396.2</v>
      </c>
      <c r="J1252" s="177">
        <f>J1253</f>
        <v>347.5</v>
      </c>
      <c r="K1252" s="177">
        <f>K1253</f>
        <v>187.9</v>
      </c>
      <c r="L1252" s="357">
        <f>L1253</f>
        <v>20</v>
      </c>
      <c r="M1252" s="173" t="s">
        <v>882</v>
      </c>
      <c r="N1252" s="173" t="s">
        <v>882</v>
      </c>
      <c r="O1252" s="175" t="s">
        <v>882</v>
      </c>
      <c r="P1252" s="170">
        <v>1724820</v>
      </c>
      <c r="Q1252" s="170">
        <f>Q1253</f>
        <v>0</v>
      </c>
      <c r="R1252" s="170">
        <f>R1253</f>
        <v>0</v>
      </c>
      <c r="S1252" s="170">
        <f>S1253</f>
        <v>1724820</v>
      </c>
      <c r="T1252" s="170">
        <f t="shared" si="211"/>
        <v>4353.4073700151439</v>
      </c>
      <c r="U1252" s="170">
        <f>U1253</f>
        <v>5494.2817920242305</v>
      </c>
      <c r="V1252" s="202">
        <f t="shared" si="212"/>
        <v>1140.8744220090866</v>
      </c>
      <c r="W1252" s="202"/>
      <c r="X1252" s="202"/>
      <c r="Y1252" s="203"/>
      <c r="Z1252" s="203"/>
      <c r="AA1252" s="203"/>
      <c r="AB1252" s="203"/>
      <c r="AC1252" s="203"/>
      <c r="AD1252" s="203"/>
      <c r="AE1252" s="203"/>
      <c r="AF1252" s="203"/>
      <c r="AG1252" s="203"/>
      <c r="AH1252" s="203"/>
      <c r="AI1252" s="203"/>
      <c r="AJ1252" s="203"/>
      <c r="AK1252" s="203"/>
      <c r="AL1252" s="203"/>
      <c r="AM1252" s="203"/>
      <c r="AN1252" s="203"/>
      <c r="AO1252" s="203"/>
    </row>
    <row r="1253" spans="1:191" s="144" customFormat="1" ht="36" customHeight="1" x14ac:dyDescent="0.25">
      <c r="A1253" s="176">
        <v>1</v>
      </c>
      <c r="B1253" s="171">
        <f>SUBTOTAL(103,$A$1087:A1253)</f>
        <v>151</v>
      </c>
      <c r="C1253" s="184" t="s">
        <v>243</v>
      </c>
      <c r="D1253" s="173">
        <v>1977</v>
      </c>
      <c r="E1253" s="173"/>
      <c r="F1253" s="185" t="s">
        <v>267</v>
      </c>
      <c r="G1253" s="173">
        <v>2</v>
      </c>
      <c r="H1253" s="173" t="s">
        <v>304</v>
      </c>
      <c r="I1253" s="177">
        <v>396.2</v>
      </c>
      <c r="J1253" s="177">
        <v>347.5</v>
      </c>
      <c r="K1253" s="177">
        <v>187.9</v>
      </c>
      <c r="L1253" s="208">
        <v>20</v>
      </c>
      <c r="M1253" s="173" t="s">
        <v>265</v>
      </c>
      <c r="N1253" s="173" t="s">
        <v>266</v>
      </c>
      <c r="O1253" s="173" t="s">
        <v>268</v>
      </c>
      <c r="P1253" s="177">
        <v>1724820</v>
      </c>
      <c r="Q1253" s="177">
        <v>0</v>
      </c>
      <c r="R1253" s="177">
        <v>0</v>
      </c>
      <c r="S1253" s="177">
        <f>P1253-Q1253-R1253</f>
        <v>1724820</v>
      </c>
      <c r="T1253" s="170">
        <f t="shared" si="211"/>
        <v>4353.4073700151439</v>
      </c>
      <c r="U1253" s="170">
        <v>5494.2817920242305</v>
      </c>
      <c r="V1253" s="202">
        <f>U1253-T1253</f>
        <v>1140.8744220090866</v>
      </c>
      <c r="W1253" s="202">
        <f>X1253+Y1253+Z1253+AA1253+AB1253+AD1253+AF1253+AH1253+AJ1253+AL1253+AN1253+AO1253</f>
        <v>5325.5915244825837</v>
      </c>
      <c r="X1253" s="202">
        <v>0</v>
      </c>
      <c r="Y1253" s="203">
        <v>0</v>
      </c>
      <c r="Z1253" s="203">
        <v>0</v>
      </c>
      <c r="AA1253" s="203">
        <v>0</v>
      </c>
      <c r="AB1253" s="203">
        <v>0</v>
      </c>
      <c r="AC1253" s="203">
        <v>0</v>
      </c>
      <c r="AD1253" s="203">
        <v>0</v>
      </c>
      <c r="AE1253" s="203">
        <v>338.2</v>
      </c>
      <c r="AF1253" s="202">
        <f>6238.91*AE1253/I1253</f>
        <v>5325.5915244825837</v>
      </c>
      <c r="AG1253" s="203">
        <v>0</v>
      </c>
      <c r="AH1253" s="202">
        <v>0</v>
      </c>
      <c r="AI1253" s="203">
        <v>0</v>
      </c>
      <c r="AJ1253" s="202">
        <v>0</v>
      </c>
      <c r="AK1253" s="203">
        <v>0</v>
      </c>
      <c r="AL1253" s="203">
        <v>0</v>
      </c>
      <c r="AM1253" s="203">
        <v>0</v>
      </c>
      <c r="AN1253" s="203"/>
      <c r="AO1253" s="203">
        <v>0</v>
      </c>
      <c r="AP1253" s="176"/>
      <c r="DQ1253" s="186"/>
      <c r="DR1253" s="186"/>
      <c r="DS1253" s="186"/>
      <c r="EP1253" s="187"/>
      <c r="FS1253" s="188"/>
      <c r="GI1253" s="189"/>
    </row>
    <row r="1254" spans="1:191" s="176" customFormat="1" ht="36" customHeight="1" x14ac:dyDescent="0.25">
      <c r="B1254" s="172" t="s">
        <v>818</v>
      </c>
      <c r="C1254" s="172"/>
      <c r="D1254" s="173" t="s">
        <v>882</v>
      </c>
      <c r="E1254" s="173" t="s">
        <v>882</v>
      </c>
      <c r="F1254" s="173" t="s">
        <v>882</v>
      </c>
      <c r="G1254" s="173" t="s">
        <v>882</v>
      </c>
      <c r="H1254" s="173" t="s">
        <v>882</v>
      </c>
      <c r="I1254" s="177">
        <f>I1255</f>
        <v>1011.8</v>
      </c>
      <c r="J1254" s="177">
        <f>J1255</f>
        <v>928.8</v>
      </c>
      <c r="K1254" s="177">
        <f>K1255</f>
        <v>827.3</v>
      </c>
      <c r="L1254" s="357">
        <f>L1255</f>
        <v>36</v>
      </c>
      <c r="M1254" s="173" t="s">
        <v>882</v>
      </c>
      <c r="N1254" s="173" t="s">
        <v>882</v>
      </c>
      <c r="O1254" s="175" t="s">
        <v>882</v>
      </c>
      <c r="P1254" s="170">
        <v>1739107.3499999999</v>
      </c>
      <c r="Q1254" s="170">
        <f>Q1255</f>
        <v>0</v>
      </c>
      <c r="R1254" s="170">
        <f>R1255</f>
        <v>0</v>
      </c>
      <c r="S1254" s="170">
        <f>S1255</f>
        <v>1739107.3499999999</v>
      </c>
      <c r="T1254" s="170">
        <f t="shared" si="211"/>
        <v>1718.8252124925873</v>
      </c>
      <c r="U1254" s="170">
        <f>U1255</f>
        <v>4385.594294326942</v>
      </c>
      <c r="V1254" s="202">
        <f t="shared" si="212"/>
        <v>2666.7690818343544</v>
      </c>
      <c r="W1254" s="202"/>
      <c r="X1254" s="202"/>
      <c r="Y1254" s="203"/>
      <c r="Z1254" s="203"/>
      <c r="AA1254" s="203"/>
      <c r="AB1254" s="203"/>
      <c r="AC1254" s="203"/>
      <c r="AD1254" s="203"/>
      <c r="AE1254" s="203"/>
      <c r="AF1254" s="203"/>
      <c r="AG1254" s="203"/>
      <c r="AH1254" s="203"/>
      <c r="AI1254" s="203"/>
      <c r="AJ1254" s="203"/>
      <c r="AK1254" s="203"/>
      <c r="AL1254" s="203"/>
      <c r="AM1254" s="203"/>
      <c r="AN1254" s="203"/>
      <c r="AO1254" s="203"/>
    </row>
    <row r="1255" spans="1:191" s="144" customFormat="1" ht="36" customHeight="1" x14ac:dyDescent="0.25">
      <c r="A1255" s="176">
        <v>1</v>
      </c>
      <c r="B1255" s="171">
        <f>SUBTOTAL(103,$A$1087:A1255)</f>
        <v>152</v>
      </c>
      <c r="C1255" s="184" t="s">
        <v>245</v>
      </c>
      <c r="D1255" s="173">
        <v>1979</v>
      </c>
      <c r="E1255" s="173"/>
      <c r="F1255" s="185" t="s">
        <v>311</v>
      </c>
      <c r="G1255" s="173">
        <v>3</v>
      </c>
      <c r="H1255" s="173" t="s">
        <v>303</v>
      </c>
      <c r="I1255" s="177">
        <v>1011.8</v>
      </c>
      <c r="J1255" s="177">
        <v>928.8</v>
      </c>
      <c r="K1255" s="177">
        <v>827.3</v>
      </c>
      <c r="L1255" s="208">
        <v>36</v>
      </c>
      <c r="M1255" s="173" t="s">
        <v>265</v>
      </c>
      <c r="N1255" s="173" t="s">
        <v>266</v>
      </c>
      <c r="O1255" s="173" t="s">
        <v>268</v>
      </c>
      <c r="P1255" s="177">
        <v>1739107.3499999999</v>
      </c>
      <c r="Q1255" s="177">
        <v>0</v>
      </c>
      <c r="R1255" s="177">
        <v>0</v>
      </c>
      <c r="S1255" s="177">
        <f>P1255-Q1255-R1255</f>
        <v>1739107.3499999999</v>
      </c>
      <c r="T1255" s="170">
        <f t="shared" si="211"/>
        <v>1718.8252124925873</v>
      </c>
      <c r="U1255" s="170">
        <v>4385.594294326942</v>
      </c>
      <c r="V1255" s="202">
        <f>U1255-T1255</f>
        <v>2666.7690818343544</v>
      </c>
      <c r="W1255" s="202">
        <f>X1255+Y1255+Z1255+AA1255+AB1255+AD1255+AF1255+AH1255+AJ1255+AL1255+AN1255+AO1255</f>
        <v>4385.594294326942</v>
      </c>
      <c r="X1255" s="202">
        <v>0</v>
      </c>
      <c r="Y1255" s="203">
        <v>0</v>
      </c>
      <c r="Z1255" s="203">
        <v>0</v>
      </c>
      <c r="AA1255" s="203">
        <v>0</v>
      </c>
      <c r="AB1255" s="203">
        <v>0</v>
      </c>
      <c r="AC1255" s="203">
        <v>0</v>
      </c>
      <c r="AD1255" s="203">
        <v>0</v>
      </c>
      <c r="AE1255" s="203">
        <v>0</v>
      </c>
      <c r="AF1255" s="202">
        <v>0</v>
      </c>
      <c r="AG1255" s="203">
        <v>0</v>
      </c>
      <c r="AH1255" s="202">
        <v>0</v>
      </c>
      <c r="AI1255" s="203">
        <v>568.70000000000005</v>
      </c>
      <c r="AJ1255" s="202">
        <f>7802.61*AI1255/I1255</f>
        <v>4385.594294326942</v>
      </c>
      <c r="AK1255" s="203">
        <v>0</v>
      </c>
      <c r="AL1255" s="203">
        <v>0</v>
      </c>
      <c r="AM1255" s="203">
        <v>0</v>
      </c>
      <c r="AN1255" s="203"/>
      <c r="AO1255" s="203">
        <v>0</v>
      </c>
      <c r="AP1255" s="176"/>
      <c r="DQ1255" s="186"/>
      <c r="DR1255" s="186"/>
      <c r="DS1255" s="186"/>
      <c r="EP1255" s="187"/>
      <c r="FS1255" s="188"/>
      <c r="GI1255" s="189"/>
    </row>
    <row r="1256" spans="1:191" s="176" customFormat="1" ht="36" customHeight="1" x14ac:dyDescent="0.25">
      <c r="B1256" s="172" t="s">
        <v>877</v>
      </c>
      <c r="C1256" s="361"/>
      <c r="D1256" s="173" t="s">
        <v>882</v>
      </c>
      <c r="E1256" s="173" t="s">
        <v>882</v>
      </c>
      <c r="F1256" s="173" t="s">
        <v>882</v>
      </c>
      <c r="G1256" s="173" t="s">
        <v>882</v>
      </c>
      <c r="H1256" s="173" t="s">
        <v>882</v>
      </c>
      <c r="I1256" s="177">
        <f>I1257</f>
        <v>594.20000000000005</v>
      </c>
      <c r="J1256" s="177">
        <f>J1257</f>
        <v>550.6</v>
      </c>
      <c r="K1256" s="177">
        <f>K1257</f>
        <v>550.6</v>
      </c>
      <c r="L1256" s="357">
        <f>L1257</f>
        <v>21</v>
      </c>
      <c r="M1256" s="173" t="s">
        <v>882</v>
      </c>
      <c r="N1256" s="173" t="s">
        <v>882</v>
      </c>
      <c r="O1256" s="175" t="s">
        <v>882</v>
      </c>
      <c r="P1256" s="170">
        <v>3373804.98</v>
      </c>
      <c r="Q1256" s="170">
        <f>Q1257</f>
        <v>0</v>
      </c>
      <c r="R1256" s="170">
        <f>R1257</f>
        <v>0</v>
      </c>
      <c r="S1256" s="170">
        <f>S1257</f>
        <v>3373804.98</v>
      </c>
      <c r="T1256" s="170">
        <f t="shared" si="211"/>
        <v>5677.8946146078761</v>
      </c>
      <c r="U1256" s="170">
        <f>U1257</f>
        <v>6998.7243907775155</v>
      </c>
      <c r="V1256" s="202">
        <f t="shared" si="212"/>
        <v>1320.8297761696394</v>
      </c>
      <c r="W1256" s="202"/>
      <c r="X1256" s="202"/>
      <c r="Y1256" s="203"/>
      <c r="Z1256" s="203"/>
      <c r="AA1256" s="203"/>
      <c r="AB1256" s="203"/>
      <c r="AC1256" s="203"/>
      <c r="AD1256" s="203"/>
      <c r="AE1256" s="203"/>
      <c r="AF1256" s="203"/>
      <c r="AG1256" s="203"/>
      <c r="AH1256" s="203"/>
      <c r="AI1256" s="203"/>
      <c r="AJ1256" s="203"/>
      <c r="AK1256" s="203"/>
      <c r="AL1256" s="203"/>
      <c r="AM1256" s="203"/>
      <c r="AN1256" s="203"/>
      <c r="AO1256" s="203"/>
    </row>
    <row r="1257" spans="1:191" s="144" customFormat="1" ht="36" customHeight="1" x14ac:dyDescent="0.25">
      <c r="A1257" s="176">
        <v>1</v>
      </c>
      <c r="B1257" s="171">
        <f>SUBTOTAL(103,$A$1087:A1257)</f>
        <v>153</v>
      </c>
      <c r="C1257" s="184" t="s">
        <v>4</v>
      </c>
      <c r="D1257" s="173">
        <v>1977</v>
      </c>
      <c r="E1257" s="173"/>
      <c r="F1257" s="185" t="s">
        <v>267</v>
      </c>
      <c r="G1257" s="173">
        <v>2</v>
      </c>
      <c r="H1257" s="173" t="s">
        <v>303</v>
      </c>
      <c r="I1257" s="177">
        <v>594.20000000000005</v>
      </c>
      <c r="J1257" s="177">
        <v>550.6</v>
      </c>
      <c r="K1257" s="177">
        <v>550.6</v>
      </c>
      <c r="L1257" s="208">
        <v>21</v>
      </c>
      <c r="M1257" s="173" t="s">
        <v>265</v>
      </c>
      <c r="N1257" s="173" t="s">
        <v>266</v>
      </c>
      <c r="O1257" s="173" t="s">
        <v>268</v>
      </c>
      <c r="P1257" s="177">
        <v>3373804.98</v>
      </c>
      <c r="Q1257" s="177">
        <v>0</v>
      </c>
      <c r="R1257" s="177">
        <v>0</v>
      </c>
      <c r="S1257" s="177">
        <f>P1257-Q1257-R1257</f>
        <v>3373804.98</v>
      </c>
      <c r="T1257" s="170">
        <f t="shared" si="211"/>
        <v>5677.8946146078761</v>
      </c>
      <c r="U1257" s="170">
        <v>6998.7243907775155</v>
      </c>
      <c r="V1257" s="202">
        <f>U1257-T1257</f>
        <v>1320.8297761696394</v>
      </c>
      <c r="W1257" s="202">
        <f>X1257+Y1257+Z1257+AA1257+AB1257+AD1257+AF1257+AH1257+AJ1257+AL1257+AN1257+AO1257</f>
        <v>6783.843404577583</v>
      </c>
      <c r="X1257" s="202">
        <v>0</v>
      </c>
      <c r="Y1257" s="203">
        <v>0</v>
      </c>
      <c r="Z1257" s="203">
        <v>0</v>
      </c>
      <c r="AA1257" s="203">
        <v>0</v>
      </c>
      <c r="AB1257" s="203">
        <v>0</v>
      </c>
      <c r="AC1257" s="203">
        <v>0</v>
      </c>
      <c r="AD1257" s="203">
        <v>0</v>
      </c>
      <c r="AE1257" s="203">
        <v>646.1</v>
      </c>
      <c r="AF1257" s="202">
        <f>6238.91*AE1257/I1257</f>
        <v>6783.843404577583</v>
      </c>
      <c r="AG1257" s="203">
        <v>0</v>
      </c>
      <c r="AH1257" s="202">
        <v>0</v>
      </c>
      <c r="AI1257" s="203">
        <v>0</v>
      </c>
      <c r="AJ1257" s="202">
        <v>0</v>
      </c>
      <c r="AK1257" s="203">
        <v>0</v>
      </c>
      <c r="AL1257" s="203">
        <v>0</v>
      </c>
      <c r="AM1257" s="203">
        <v>0</v>
      </c>
      <c r="AN1257" s="203"/>
      <c r="AO1257" s="203">
        <v>0</v>
      </c>
      <c r="AP1257" s="176"/>
      <c r="DQ1257" s="186"/>
      <c r="DR1257" s="186"/>
      <c r="DS1257" s="186"/>
      <c r="EP1257" s="187"/>
      <c r="FS1257" s="188"/>
      <c r="GI1257" s="189"/>
    </row>
    <row r="1258" spans="1:191" s="176" customFormat="1" ht="36" customHeight="1" x14ac:dyDescent="0.25">
      <c r="B1258" s="172" t="s">
        <v>878</v>
      </c>
      <c r="C1258" s="362"/>
      <c r="D1258" s="173" t="s">
        <v>882</v>
      </c>
      <c r="E1258" s="173" t="s">
        <v>882</v>
      </c>
      <c r="F1258" s="173" t="s">
        <v>882</v>
      </c>
      <c r="G1258" s="173" t="s">
        <v>882</v>
      </c>
      <c r="H1258" s="173" t="s">
        <v>882</v>
      </c>
      <c r="I1258" s="177">
        <f>SUM(I1259:I1260)</f>
        <v>1532.1</v>
      </c>
      <c r="J1258" s="177">
        <f>SUM(J1259:J1260)</f>
        <v>1325.8000000000002</v>
      </c>
      <c r="K1258" s="177">
        <f>SUM(K1259:K1260)</f>
        <v>1325.8000000000002</v>
      </c>
      <c r="L1258" s="357">
        <f>SUM(L1259:L1260)</f>
        <v>39</v>
      </c>
      <c r="M1258" s="173" t="s">
        <v>882</v>
      </c>
      <c r="N1258" s="173" t="s">
        <v>882</v>
      </c>
      <c r="O1258" s="175" t="s">
        <v>882</v>
      </c>
      <c r="P1258" s="170">
        <v>3916350</v>
      </c>
      <c r="Q1258" s="170">
        <f>SUM(Q1259:Q1260)</f>
        <v>0</v>
      </c>
      <c r="R1258" s="170">
        <f>SUM(R1259:R1260)</f>
        <v>0</v>
      </c>
      <c r="S1258" s="170">
        <f>SUM(S1259:S1260)</f>
        <v>3916350</v>
      </c>
      <c r="T1258" s="170">
        <f t="shared" si="211"/>
        <v>2556.1973761503818</v>
      </c>
      <c r="U1258" s="170">
        <f>MAX(U1259:U1260)</f>
        <v>5173.826812816189</v>
      </c>
      <c r="V1258" s="202">
        <f t="shared" si="212"/>
        <v>2617.6294366658071</v>
      </c>
      <c r="W1258" s="202"/>
      <c r="X1258" s="202"/>
      <c r="Y1258" s="203"/>
      <c r="Z1258" s="203"/>
      <c r="AA1258" s="203"/>
      <c r="AB1258" s="203"/>
      <c r="AC1258" s="203"/>
      <c r="AD1258" s="203"/>
      <c r="AE1258" s="203"/>
      <c r="AF1258" s="203"/>
      <c r="AG1258" s="203"/>
      <c r="AH1258" s="203"/>
      <c r="AI1258" s="203"/>
      <c r="AJ1258" s="203"/>
      <c r="AK1258" s="203"/>
      <c r="AL1258" s="203"/>
      <c r="AM1258" s="203"/>
      <c r="AN1258" s="203"/>
      <c r="AO1258" s="203"/>
    </row>
    <row r="1259" spans="1:191" s="144" customFormat="1" ht="36" customHeight="1" x14ac:dyDescent="0.25">
      <c r="A1259" s="176">
        <v>1</v>
      </c>
      <c r="B1259" s="171">
        <f>SUBTOTAL(103,$A$1087:A1259)</f>
        <v>154</v>
      </c>
      <c r="C1259" s="184" t="s">
        <v>1679</v>
      </c>
      <c r="D1259" s="173">
        <v>1984</v>
      </c>
      <c r="E1259" s="173"/>
      <c r="F1259" s="185" t="s">
        <v>311</v>
      </c>
      <c r="G1259" s="173">
        <v>2</v>
      </c>
      <c r="H1259" s="173" t="s">
        <v>303</v>
      </c>
      <c r="I1259" s="177">
        <v>998.4</v>
      </c>
      <c r="J1259" s="177">
        <v>805.1</v>
      </c>
      <c r="K1259" s="177">
        <v>805.1</v>
      </c>
      <c r="L1259" s="208">
        <v>19</v>
      </c>
      <c r="M1259" s="173" t="s">
        <v>265</v>
      </c>
      <c r="N1259" s="173" t="s">
        <v>266</v>
      </c>
      <c r="O1259" s="173" t="s">
        <v>268</v>
      </c>
      <c r="P1259" s="177">
        <v>2035617.4</v>
      </c>
      <c r="Q1259" s="177">
        <v>0</v>
      </c>
      <c r="R1259" s="177">
        <v>0</v>
      </c>
      <c r="S1259" s="177">
        <f>P1259-Q1259-R1259</f>
        <v>2035617.4</v>
      </c>
      <c r="T1259" s="170">
        <f t="shared" si="211"/>
        <v>2038.8796073717949</v>
      </c>
      <c r="U1259" s="170">
        <v>3017.1234374999999</v>
      </c>
      <c r="V1259" s="202">
        <f t="shared" si="212"/>
        <v>978.24383012820499</v>
      </c>
      <c r="W1259" s="202">
        <f>X1259+Y1259+Z1259+AA1259+AB1259+AD1259+AF1259+AH1259+AJ1259+AL1259+AN1259+AO1259</f>
        <v>2924.4890624999998</v>
      </c>
      <c r="X1259" s="202">
        <v>0</v>
      </c>
      <c r="Y1259" s="203">
        <v>0</v>
      </c>
      <c r="Z1259" s="203">
        <v>0</v>
      </c>
      <c r="AA1259" s="203">
        <v>0</v>
      </c>
      <c r="AB1259" s="203">
        <v>0</v>
      </c>
      <c r="AC1259" s="203">
        <v>0</v>
      </c>
      <c r="AD1259" s="203">
        <v>0</v>
      </c>
      <c r="AE1259" s="203">
        <v>468</v>
      </c>
      <c r="AF1259" s="202">
        <f>6238.91*AE1259/I1259</f>
        <v>2924.4890624999998</v>
      </c>
      <c r="AG1259" s="203">
        <v>0</v>
      </c>
      <c r="AH1259" s="202">
        <v>0</v>
      </c>
      <c r="AI1259" s="203">
        <v>0</v>
      </c>
      <c r="AJ1259" s="202">
        <v>0</v>
      </c>
      <c r="AK1259" s="203">
        <v>0</v>
      </c>
      <c r="AL1259" s="203">
        <v>0</v>
      </c>
      <c r="AM1259" s="203">
        <v>0</v>
      </c>
      <c r="AN1259" s="203"/>
      <c r="AO1259" s="203">
        <v>0</v>
      </c>
      <c r="AP1259" s="176"/>
      <c r="DQ1259" s="186"/>
      <c r="DR1259" s="186"/>
      <c r="DS1259" s="186"/>
      <c r="EP1259" s="187"/>
      <c r="FS1259" s="188"/>
      <c r="GI1259" s="189"/>
    </row>
    <row r="1260" spans="1:191" s="144" customFormat="1" ht="36" customHeight="1" x14ac:dyDescent="0.25">
      <c r="A1260" s="176">
        <v>1</v>
      </c>
      <c r="B1260" s="171">
        <f>SUBTOTAL(103,$A$1087:A1260)</f>
        <v>155</v>
      </c>
      <c r="C1260" s="184" t="s">
        <v>1680</v>
      </c>
      <c r="D1260" s="173">
        <v>1982</v>
      </c>
      <c r="E1260" s="173"/>
      <c r="F1260" s="185" t="s">
        <v>267</v>
      </c>
      <c r="G1260" s="173">
        <v>2</v>
      </c>
      <c r="H1260" s="173" t="s">
        <v>303</v>
      </c>
      <c r="I1260" s="177">
        <v>533.70000000000005</v>
      </c>
      <c r="J1260" s="177">
        <v>520.70000000000005</v>
      </c>
      <c r="K1260" s="177">
        <v>520.70000000000005</v>
      </c>
      <c r="L1260" s="208">
        <v>20</v>
      </c>
      <c r="M1260" s="173" t="s">
        <v>265</v>
      </c>
      <c r="N1260" s="173" t="s">
        <v>266</v>
      </c>
      <c r="O1260" s="173" t="s">
        <v>268</v>
      </c>
      <c r="P1260" s="177">
        <v>1880732.6</v>
      </c>
      <c r="Q1260" s="177">
        <v>0</v>
      </c>
      <c r="R1260" s="177">
        <v>0</v>
      </c>
      <c r="S1260" s="177">
        <f>P1260-Q1260-R1260</f>
        <v>1880732.6</v>
      </c>
      <c r="T1260" s="170">
        <f t="shared" si="211"/>
        <v>3523.9509087502342</v>
      </c>
      <c r="U1260" s="170">
        <v>5173.826812816189</v>
      </c>
      <c r="V1260" s="202">
        <f t="shared" si="212"/>
        <v>1649.8759040659547</v>
      </c>
      <c r="W1260" s="202">
        <f>X1260+Y1260+Z1260+AA1260+AB1260+AD1260+AF1260+AH1260+AJ1260+AL1260+AN1260+AO1260</f>
        <v>5014.975435637999</v>
      </c>
      <c r="X1260" s="202">
        <v>0</v>
      </c>
      <c r="Y1260" s="203">
        <v>0</v>
      </c>
      <c r="Z1260" s="203">
        <v>0</v>
      </c>
      <c r="AA1260" s="203">
        <v>0</v>
      </c>
      <c r="AB1260" s="203">
        <v>0</v>
      </c>
      <c r="AC1260" s="203">
        <v>0</v>
      </c>
      <c r="AD1260" s="203">
        <v>0</v>
      </c>
      <c r="AE1260" s="203">
        <v>429</v>
      </c>
      <c r="AF1260" s="202">
        <f>6238.91*AE1260/I1260</f>
        <v>5014.975435637999</v>
      </c>
      <c r="AG1260" s="203">
        <v>0</v>
      </c>
      <c r="AH1260" s="202">
        <v>0</v>
      </c>
      <c r="AI1260" s="203">
        <v>0</v>
      </c>
      <c r="AJ1260" s="202">
        <v>0</v>
      </c>
      <c r="AK1260" s="203">
        <v>0</v>
      </c>
      <c r="AL1260" s="203">
        <v>0</v>
      </c>
      <c r="AM1260" s="203">
        <v>0</v>
      </c>
      <c r="AN1260" s="203"/>
      <c r="AO1260" s="203">
        <v>0</v>
      </c>
      <c r="AP1260" s="176"/>
      <c r="DQ1260" s="186"/>
      <c r="DR1260" s="186"/>
      <c r="DS1260" s="186"/>
      <c r="EP1260" s="187"/>
      <c r="FS1260" s="188"/>
      <c r="GI1260" s="189"/>
    </row>
    <row r="1261" spans="1:191" s="176" customFormat="1" ht="36" customHeight="1" x14ac:dyDescent="0.25">
      <c r="B1261" s="172" t="s">
        <v>820</v>
      </c>
      <c r="C1261" s="359"/>
      <c r="D1261" s="173" t="s">
        <v>882</v>
      </c>
      <c r="E1261" s="173" t="s">
        <v>882</v>
      </c>
      <c r="F1261" s="173" t="s">
        <v>882</v>
      </c>
      <c r="G1261" s="173" t="s">
        <v>882</v>
      </c>
      <c r="H1261" s="173" t="s">
        <v>882</v>
      </c>
      <c r="I1261" s="177">
        <f>SUM(I1262:I1263)</f>
        <v>2184</v>
      </c>
      <c r="J1261" s="177">
        <f>SUM(J1262:J1263)</f>
        <v>1810.7</v>
      </c>
      <c r="K1261" s="177">
        <f>SUM(K1262:K1263)</f>
        <v>1606.7</v>
      </c>
      <c r="L1261" s="357">
        <f>SUM(L1262:L1263)</f>
        <v>61</v>
      </c>
      <c r="M1261" s="173" t="s">
        <v>882</v>
      </c>
      <c r="N1261" s="173" t="s">
        <v>882</v>
      </c>
      <c r="O1261" s="175" t="s">
        <v>882</v>
      </c>
      <c r="P1261" s="170">
        <v>3516578.96</v>
      </c>
      <c r="Q1261" s="170">
        <f>Q1262+Q1263</f>
        <v>0</v>
      </c>
      <c r="R1261" s="170">
        <f>R1262+R1263</f>
        <v>0</v>
      </c>
      <c r="S1261" s="170">
        <f>S1262+S1263</f>
        <v>3516578.96</v>
      </c>
      <c r="T1261" s="170">
        <f t="shared" si="211"/>
        <v>1610.1552014652013</v>
      </c>
      <c r="U1261" s="170">
        <f>MAX(U1262:U1263)</f>
        <v>4347.4532878714081</v>
      </c>
      <c r="V1261" s="202">
        <f t="shared" si="212"/>
        <v>2737.2980864062065</v>
      </c>
      <c r="W1261" s="202"/>
      <c r="X1261" s="202"/>
      <c r="Y1261" s="203"/>
      <c r="Z1261" s="203"/>
      <c r="AA1261" s="203"/>
      <c r="AB1261" s="203"/>
      <c r="AC1261" s="203"/>
      <c r="AD1261" s="203"/>
      <c r="AE1261" s="203"/>
      <c r="AF1261" s="203"/>
      <c r="AG1261" s="203"/>
      <c r="AH1261" s="203"/>
      <c r="AI1261" s="203"/>
      <c r="AJ1261" s="203"/>
      <c r="AK1261" s="203"/>
      <c r="AL1261" s="203"/>
      <c r="AM1261" s="203"/>
      <c r="AN1261" s="203"/>
      <c r="AO1261" s="203"/>
    </row>
    <row r="1262" spans="1:191" s="144" customFormat="1" ht="36" customHeight="1" x14ac:dyDescent="0.25">
      <c r="A1262" s="176">
        <v>1</v>
      </c>
      <c r="B1262" s="171">
        <f>SUBTOTAL(103,$A$1087:A1262)</f>
        <v>156</v>
      </c>
      <c r="C1262" s="184" t="s">
        <v>687</v>
      </c>
      <c r="D1262" s="173">
        <v>1985</v>
      </c>
      <c r="E1262" s="173"/>
      <c r="F1262" s="185" t="s">
        <v>267</v>
      </c>
      <c r="G1262" s="173">
        <v>5</v>
      </c>
      <c r="H1262" s="173" t="s">
        <v>303</v>
      </c>
      <c r="I1262" s="177">
        <v>1568.1</v>
      </c>
      <c r="J1262" s="177">
        <v>1442.7</v>
      </c>
      <c r="K1262" s="177">
        <v>1238.7</v>
      </c>
      <c r="L1262" s="208">
        <v>43</v>
      </c>
      <c r="M1262" s="173" t="s">
        <v>265</v>
      </c>
      <c r="N1262" s="173" t="s">
        <v>269</v>
      </c>
      <c r="O1262" s="173" t="s">
        <v>719</v>
      </c>
      <c r="P1262" s="177">
        <v>1923529.37</v>
      </c>
      <c r="Q1262" s="177">
        <v>0</v>
      </c>
      <c r="R1262" s="177">
        <v>0</v>
      </c>
      <c r="S1262" s="177">
        <f>P1262-Q1262-R1262</f>
        <v>1923529.37</v>
      </c>
      <c r="T1262" s="170">
        <f t="shared" si="211"/>
        <v>1226.662438619986</v>
      </c>
      <c r="U1262" s="170">
        <v>1806.0539506409029</v>
      </c>
      <c r="V1262" s="202">
        <f t="shared" si="212"/>
        <v>579.39151202091693</v>
      </c>
      <c r="W1262" s="202">
        <f>X1262+Y1262+Z1262+AA1262+AB1262+AD1262+AF1262+AH1262+AJ1262+AL1262+AN1262+AO1262</f>
        <v>1750.602895223519</v>
      </c>
      <c r="X1262" s="202">
        <v>0</v>
      </c>
      <c r="Y1262" s="203">
        <v>0</v>
      </c>
      <c r="Z1262" s="203">
        <v>0</v>
      </c>
      <c r="AA1262" s="203">
        <v>0</v>
      </c>
      <c r="AB1262" s="203">
        <v>0</v>
      </c>
      <c r="AC1262" s="203">
        <v>0</v>
      </c>
      <c r="AD1262" s="203">
        <v>0</v>
      </c>
      <c r="AE1262" s="203">
        <v>440</v>
      </c>
      <c r="AF1262" s="202">
        <f>6238.91*AE1262/I1262</f>
        <v>1750.602895223519</v>
      </c>
      <c r="AG1262" s="203">
        <v>0</v>
      </c>
      <c r="AH1262" s="202">
        <v>0</v>
      </c>
      <c r="AI1262" s="203">
        <v>0</v>
      </c>
      <c r="AJ1262" s="202">
        <v>0</v>
      </c>
      <c r="AK1262" s="203">
        <v>0</v>
      </c>
      <c r="AL1262" s="203">
        <v>0</v>
      </c>
      <c r="AM1262" s="203">
        <v>0</v>
      </c>
      <c r="AN1262" s="203"/>
      <c r="AO1262" s="203">
        <v>0</v>
      </c>
      <c r="AP1262" s="176"/>
      <c r="DQ1262" s="186"/>
      <c r="DR1262" s="186"/>
      <c r="DS1262" s="186"/>
      <c r="EP1262" s="187"/>
      <c r="FS1262" s="188"/>
      <c r="GI1262" s="189"/>
    </row>
    <row r="1263" spans="1:191" s="144" customFormat="1" ht="36" customHeight="1" x14ac:dyDescent="0.25">
      <c r="A1263" s="176">
        <v>1</v>
      </c>
      <c r="B1263" s="171">
        <f>SUBTOTAL(103,$A$1087:A1263)</f>
        <v>157</v>
      </c>
      <c r="C1263" s="184" t="s">
        <v>685</v>
      </c>
      <c r="D1263" s="173">
        <v>1988</v>
      </c>
      <c r="E1263" s="173" t="s">
        <v>721</v>
      </c>
      <c r="F1263" s="185" t="s">
        <v>267</v>
      </c>
      <c r="G1263" s="173">
        <v>2</v>
      </c>
      <c r="H1263" s="173" t="s">
        <v>304</v>
      </c>
      <c r="I1263" s="177">
        <v>615.9</v>
      </c>
      <c r="J1263" s="177">
        <v>368</v>
      </c>
      <c r="K1263" s="177">
        <v>368</v>
      </c>
      <c r="L1263" s="208">
        <v>18</v>
      </c>
      <c r="M1263" s="173" t="s">
        <v>265</v>
      </c>
      <c r="N1263" s="173" t="s">
        <v>269</v>
      </c>
      <c r="O1263" s="173" t="s">
        <v>719</v>
      </c>
      <c r="P1263" s="177">
        <v>1593049.59</v>
      </c>
      <c r="Q1263" s="177">
        <v>0</v>
      </c>
      <c r="R1263" s="177">
        <v>0</v>
      </c>
      <c r="S1263" s="177">
        <f>P1263-Q1263-R1263</f>
        <v>1593049.59</v>
      </c>
      <c r="T1263" s="170">
        <f t="shared" si="211"/>
        <v>2586.5393570384804</v>
      </c>
      <c r="U1263" s="170">
        <v>4347.4532878714081</v>
      </c>
      <c r="V1263" s="202">
        <f t="shared" si="212"/>
        <v>1760.9139308329277</v>
      </c>
      <c r="W1263" s="202">
        <f>X1263+Y1263+Z1263+AA1263+AB1263+AD1263+AF1263+AH1263+AJ1263+AL1263+AN1263+AO1263</f>
        <v>4213.9739568111709</v>
      </c>
      <c r="X1263" s="202">
        <v>0</v>
      </c>
      <c r="Y1263" s="203">
        <v>0</v>
      </c>
      <c r="Z1263" s="203">
        <v>0</v>
      </c>
      <c r="AA1263" s="203">
        <v>0</v>
      </c>
      <c r="AB1263" s="203">
        <v>0</v>
      </c>
      <c r="AC1263" s="203">
        <v>0</v>
      </c>
      <c r="AD1263" s="203">
        <v>0</v>
      </c>
      <c r="AE1263" s="203">
        <v>416</v>
      </c>
      <c r="AF1263" s="202">
        <f>6238.91*AE1263/I1263</f>
        <v>4213.9739568111709</v>
      </c>
      <c r="AG1263" s="203">
        <v>0</v>
      </c>
      <c r="AH1263" s="202">
        <v>0</v>
      </c>
      <c r="AI1263" s="203">
        <v>0</v>
      </c>
      <c r="AJ1263" s="202">
        <v>0</v>
      </c>
      <c r="AK1263" s="203">
        <v>0</v>
      </c>
      <c r="AL1263" s="203">
        <v>0</v>
      </c>
      <c r="AM1263" s="203">
        <v>0</v>
      </c>
      <c r="AN1263" s="203"/>
      <c r="AO1263" s="203">
        <v>0</v>
      </c>
      <c r="AP1263" s="176"/>
      <c r="DQ1263" s="186"/>
      <c r="DR1263" s="186"/>
      <c r="DS1263" s="186"/>
      <c r="EP1263" s="187"/>
      <c r="FS1263" s="188"/>
      <c r="GI1263" s="189"/>
    </row>
    <row r="1264" spans="1:191" s="176" customFormat="1" ht="36" customHeight="1" x14ac:dyDescent="0.25">
      <c r="B1264" s="172" t="s">
        <v>862</v>
      </c>
      <c r="C1264" s="172"/>
      <c r="D1264" s="173" t="s">
        <v>882</v>
      </c>
      <c r="E1264" s="173" t="s">
        <v>882</v>
      </c>
      <c r="F1264" s="173" t="s">
        <v>882</v>
      </c>
      <c r="G1264" s="173" t="s">
        <v>882</v>
      </c>
      <c r="H1264" s="173" t="s">
        <v>882</v>
      </c>
      <c r="I1264" s="177">
        <f>I1265</f>
        <v>1069.5</v>
      </c>
      <c r="J1264" s="177">
        <f>J1265</f>
        <v>1035.2</v>
      </c>
      <c r="K1264" s="177">
        <f>K1265</f>
        <v>1035.2</v>
      </c>
      <c r="L1264" s="357">
        <f>L1265</f>
        <v>34</v>
      </c>
      <c r="M1264" s="173" t="s">
        <v>882</v>
      </c>
      <c r="N1264" s="173" t="s">
        <v>882</v>
      </c>
      <c r="O1264" s="175" t="s">
        <v>882</v>
      </c>
      <c r="P1264" s="170">
        <v>3598749.4899999998</v>
      </c>
      <c r="Q1264" s="170">
        <f>Q1265</f>
        <v>0</v>
      </c>
      <c r="R1264" s="170">
        <f>R1265</f>
        <v>0</v>
      </c>
      <c r="S1264" s="170">
        <f>S1265</f>
        <v>3598749.4899999998</v>
      </c>
      <c r="T1264" s="170">
        <f t="shared" si="211"/>
        <v>3364.8896587190275</v>
      </c>
      <c r="U1264" s="170">
        <f>U1265</f>
        <v>5872.6189565217383</v>
      </c>
      <c r="V1264" s="202">
        <f t="shared" si="212"/>
        <v>2507.7292978027108</v>
      </c>
      <c r="W1264" s="202"/>
      <c r="X1264" s="202"/>
      <c r="Y1264" s="203"/>
      <c r="Z1264" s="203"/>
      <c r="AA1264" s="203"/>
      <c r="AB1264" s="203"/>
      <c r="AC1264" s="203"/>
      <c r="AD1264" s="203"/>
      <c r="AE1264" s="203"/>
      <c r="AF1264" s="203"/>
      <c r="AG1264" s="203"/>
      <c r="AH1264" s="203"/>
      <c r="AI1264" s="203"/>
      <c r="AJ1264" s="203"/>
      <c r="AK1264" s="203"/>
      <c r="AL1264" s="203"/>
      <c r="AM1264" s="203"/>
      <c r="AN1264" s="203"/>
      <c r="AO1264" s="203"/>
    </row>
    <row r="1265" spans="1:191" s="144" customFormat="1" ht="36" customHeight="1" x14ac:dyDescent="0.25">
      <c r="A1265" s="176">
        <v>1</v>
      </c>
      <c r="B1265" s="171">
        <f>SUBTOTAL(103,$A$1087:A1265)</f>
        <v>158</v>
      </c>
      <c r="C1265" s="184" t="s">
        <v>693</v>
      </c>
      <c r="D1265" s="173">
        <v>1995</v>
      </c>
      <c r="E1265" s="173"/>
      <c r="F1265" s="185" t="s">
        <v>267</v>
      </c>
      <c r="G1265" s="173">
        <v>2</v>
      </c>
      <c r="H1265" s="173" t="s">
        <v>312</v>
      </c>
      <c r="I1265" s="177">
        <v>1069.5</v>
      </c>
      <c r="J1265" s="177">
        <v>1035.2</v>
      </c>
      <c r="K1265" s="177">
        <v>1035.2</v>
      </c>
      <c r="L1265" s="208">
        <v>34</v>
      </c>
      <c r="M1265" s="173" t="s">
        <v>265</v>
      </c>
      <c r="N1265" s="173" t="s">
        <v>266</v>
      </c>
      <c r="O1265" s="173" t="s">
        <v>268</v>
      </c>
      <c r="P1265" s="177">
        <v>3598749.4899999998</v>
      </c>
      <c r="Q1265" s="177">
        <v>0</v>
      </c>
      <c r="R1265" s="177">
        <v>0</v>
      </c>
      <c r="S1265" s="177">
        <f>P1265-Q1265-R1265</f>
        <v>3598749.4899999998</v>
      </c>
      <c r="T1265" s="170">
        <f t="shared" si="211"/>
        <v>3364.8896587190275</v>
      </c>
      <c r="U1265" s="170">
        <v>5872.6189565217383</v>
      </c>
      <c r="V1265" s="202">
        <f>U1265-T1265</f>
        <v>2507.7292978027108</v>
      </c>
      <c r="W1265" s="202">
        <f>X1265+Y1265+Z1265+AA1265+AB1265+AD1265+AF1265+AH1265+AJ1265+AL1265+AN1265+AO1265</f>
        <v>5692.3126489013557</v>
      </c>
      <c r="X1265" s="202">
        <v>0</v>
      </c>
      <c r="Y1265" s="203">
        <v>0</v>
      </c>
      <c r="Z1265" s="203">
        <v>0</v>
      </c>
      <c r="AA1265" s="203">
        <v>0</v>
      </c>
      <c r="AB1265" s="203">
        <v>0</v>
      </c>
      <c r="AC1265" s="203">
        <v>0</v>
      </c>
      <c r="AD1265" s="203">
        <v>0</v>
      </c>
      <c r="AE1265" s="203">
        <v>975.8</v>
      </c>
      <c r="AF1265" s="202">
        <f>6238.91*AE1265/I1265</f>
        <v>5692.3126489013557</v>
      </c>
      <c r="AG1265" s="203">
        <v>0</v>
      </c>
      <c r="AH1265" s="202">
        <v>0</v>
      </c>
      <c r="AI1265" s="203">
        <v>0</v>
      </c>
      <c r="AJ1265" s="202">
        <v>0</v>
      </c>
      <c r="AK1265" s="203">
        <v>0</v>
      </c>
      <c r="AL1265" s="203">
        <v>0</v>
      </c>
      <c r="AM1265" s="203">
        <v>0</v>
      </c>
      <c r="AN1265" s="203"/>
      <c r="AO1265" s="203">
        <v>0</v>
      </c>
      <c r="AP1265" s="176"/>
      <c r="DQ1265" s="186"/>
      <c r="DR1265" s="186"/>
      <c r="DS1265" s="186"/>
      <c r="EP1265" s="187"/>
      <c r="FS1265" s="188"/>
      <c r="GI1265" s="189"/>
    </row>
    <row r="1266" spans="1:191" s="176" customFormat="1" ht="36" customHeight="1" x14ac:dyDescent="0.25">
      <c r="B1266" s="172" t="s">
        <v>822</v>
      </c>
      <c r="C1266" s="172"/>
      <c r="D1266" s="173" t="s">
        <v>743</v>
      </c>
      <c r="E1266" s="173" t="s">
        <v>743</v>
      </c>
      <c r="F1266" s="173" t="s">
        <v>743</v>
      </c>
      <c r="G1266" s="173" t="s">
        <v>743</v>
      </c>
      <c r="H1266" s="173" t="s">
        <v>743</v>
      </c>
      <c r="I1266" s="177">
        <f>I1267</f>
        <v>667.4</v>
      </c>
      <c r="J1266" s="177">
        <f>J1267</f>
        <v>576.1</v>
      </c>
      <c r="K1266" s="177">
        <f>K1267</f>
        <v>424.8</v>
      </c>
      <c r="L1266" s="357">
        <f>L1267</f>
        <v>32</v>
      </c>
      <c r="M1266" s="173" t="s">
        <v>882</v>
      </c>
      <c r="N1266" s="173" t="s">
        <v>882</v>
      </c>
      <c r="O1266" s="175" t="s">
        <v>882</v>
      </c>
      <c r="P1266" s="170">
        <v>1925593.0499999998</v>
      </c>
      <c r="Q1266" s="170">
        <f>Q1267</f>
        <v>0</v>
      </c>
      <c r="R1266" s="170">
        <f>R1267</f>
        <v>0</v>
      </c>
      <c r="S1266" s="170">
        <f>S1267</f>
        <v>1925593.0499999998</v>
      </c>
      <c r="T1266" s="170">
        <f t="shared" si="211"/>
        <v>2885.2158375786635</v>
      </c>
      <c r="U1266" s="170">
        <f>U1267</f>
        <v>2930.2750973928682</v>
      </c>
      <c r="V1266" s="202">
        <f t="shared" si="212"/>
        <v>45.059259814204779</v>
      </c>
      <c r="W1266" s="202"/>
      <c r="X1266" s="202"/>
      <c r="Y1266" s="203"/>
      <c r="Z1266" s="203"/>
      <c r="AA1266" s="203"/>
      <c r="AB1266" s="203"/>
      <c r="AC1266" s="203"/>
      <c r="AD1266" s="203"/>
      <c r="AE1266" s="203"/>
      <c r="AF1266" s="203"/>
      <c r="AG1266" s="203"/>
      <c r="AH1266" s="203"/>
      <c r="AI1266" s="203"/>
      <c r="AJ1266" s="203"/>
      <c r="AK1266" s="203"/>
      <c r="AL1266" s="203"/>
      <c r="AM1266" s="203"/>
      <c r="AN1266" s="203"/>
      <c r="AO1266" s="203"/>
    </row>
    <row r="1267" spans="1:191" s="144" customFormat="1" ht="36" customHeight="1" x14ac:dyDescent="0.25">
      <c r="A1267" s="176">
        <v>1</v>
      </c>
      <c r="B1267" s="171">
        <f>SUBTOTAL(103,$A$1087:A1267)</f>
        <v>159</v>
      </c>
      <c r="C1267" s="184" t="s">
        <v>691</v>
      </c>
      <c r="D1267" s="173">
        <v>1987</v>
      </c>
      <c r="E1267" s="173"/>
      <c r="F1267" s="185" t="s">
        <v>267</v>
      </c>
      <c r="G1267" s="173">
        <v>2</v>
      </c>
      <c r="H1267" s="173" t="s">
        <v>303</v>
      </c>
      <c r="I1267" s="177">
        <v>667.4</v>
      </c>
      <c r="J1267" s="177">
        <v>576.1</v>
      </c>
      <c r="K1267" s="177">
        <v>424.8</v>
      </c>
      <c r="L1267" s="208">
        <v>32</v>
      </c>
      <c r="M1267" s="173" t="s">
        <v>265</v>
      </c>
      <c r="N1267" s="173" t="s">
        <v>266</v>
      </c>
      <c r="O1267" s="173" t="s">
        <v>268</v>
      </c>
      <c r="P1267" s="177">
        <v>1925593.0499999998</v>
      </c>
      <c r="Q1267" s="177">
        <v>0</v>
      </c>
      <c r="R1267" s="177">
        <v>0</v>
      </c>
      <c r="S1267" s="177">
        <f>P1267-Q1267-R1267</f>
        <v>1925593.0499999998</v>
      </c>
      <c r="T1267" s="170">
        <f t="shared" si="211"/>
        <v>2885.2158375786635</v>
      </c>
      <c r="U1267" s="170">
        <v>2930.2750973928682</v>
      </c>
      <c r="V1267" s="202">
        <f>U1267-T1267</f>
        <v>45.059259814204779</v>
      </c>
      <c r="W1267" s="202">
        <f>X1267+Y1267+Z1267+AA1267+AB1267+AD1267+AF1267+AH1267+AJ1267+AL1267+AN1267+AO1267</f>
        <v>8833.9375936469896</v>
      </c>
      <c r="X1267" s="202">
        <v>0</v>
      </c>
      <c r="Y1267" s="203">
        <v>0</v>
      </c>
      <c r="Z1267" s="203">
        <v>0</v>
      </c>
      <c r="AA1267" s="203">
        <v>0</v>
      </c>
      <c r="AB1267" s="203">
        <v>0</v>
      </c>
      <c r="AC1267" s="203">
        <v>0</v>
      </c>
      <c r="AD1267" s="203">
        <v>0</v>
      </c>
      <c r="AE1267" s="203">
        <v>945</v>
      </c>
      <c r="AF1267" s="202">
        <f>6238.91*AE1267/I1267</f>
        <v>8833.9375936469896</v>
      </c>
      <c r="AG1267" s="203">
        <v>0</v>
      </c>
      <c r="AH1267" s="202">
        <v>0</v>
      </c>
      <c r="AI1267" s="203">
        <v>0</v>
      </c>
      <c r="AJ1267" s="202">
        <v>0</v>
      </c>
      <c r="AK1267" s="203">
        <v>0</v>
      </c>
      <c r="AL1267" s="203">
        <v>0</v>
      </c>
      <c r="AM1267" s="203">
        <v>0</v>
      </c>
      <c r="AN1267" s="203"/>
      <c r="AO1267" s="203">
        <v>0</v>
      </c>
      <c r="AP1267" s="176"/>
      <c r="DQ1267" s="186"/>
      <c r="DR1267" s="186"/>
      <c r="DS1267" s="186"/>
      <c r="EP1267" s="187"/>
      <c r="FS1267" s="188"/>
      <c r="GI1267" s="189"/>
    </row>
    <row r="1268" spans="1:191" s="176" customFormat="1" ht="36" customHeight="1" x14ac:dyDescent="0.25">
      <c r="B1268" s="172" t="s">
        <v>879</v>
      </c>
      <c r="C1268" s="172"/>
      <c r="D1268" s="173" t="s">
        <v>743</v>
      </c>
      <c r="E1268" s="173" t="s">
        <v>743</v>
      </c>
      <c r="F1268" s="173" t="s">
        <v>743</v>
      </c>
      <c r="G1268" s="173" t="s">
        <v>743</v>
      </c>
      <c r="H1268" s="173" t="s">
        <v>743</v>
      </c>
      <c r="I1268" s="177">
        <f>I1269</f>
        <v>569.20000000000005</v>
      </c>
      <c r="J1268" s="177">
        <f>J1269</f>
        <v>569.20000000000005</v>
      </c>
      <c r="K1268" s="177">
        <f>K1269</f>
        <v>569.20000000000005</v>
      </c>
      <c r="L1268" s="357">
        <f>L1269</f>
        <v>29</v>
      </c>
      <c r="M1268" s="173" t="s">
        <v>882</v>
      </c>
      <c r="N1268" s="173" t="s">
        <v>882</v>
      </c>
      <c r="O1268" s="175" t="s">
        <v>882</v>
      </c>
      <c r="P1268" s="170">
        <v>1538879.17</v>
      </c>
      <c r="Q1268" s="170">
        <f>Q1269</f>
        <v>0</v>
      </c>
      <c r="R1268" s="170">
        <f>R1269</f>
        <v>0</v>
      </c>
      <c r="S1268" s="170">
        <f>S1269</f>
        <v>1538879.17</v>
      </c>
      <c r="T1268" s="170">
        <f t="shared" si="211"/>
        <v>2703.5825193253686</v>
      </c>
      <c r="U1268" s="170">
        <f>U1269</f>
        <v>3572.2063018271251</v>
      </c>
      <c r="V1268" s="202">
        <f t="shared" si="212"/>
        <v>868.62378250175652</v>
      </c>
      <c r="W1268" s="202"/>
      <c r="X1268" s="202"/>
      <c r="Y1268" s="203"/>
      <c r="Z1268" s="203"/>
      <c r="AA1268" s="203"/>
      <c r="AB1268" s="203"/>
      <c r="AC1268" s="203"/>
      <c r="AD1268" s="203"/>
      <c r="AE1268" s="203"/>
      <c r="AF1268" s="203"/>
      <c r="AG1268" s="203"/>
      <c r="AH1268" s="203"/>
      <c r="AI1268" s="203"/>
      <c r="AJ1268" s="203"/>
      <c r="AK1268" s="203"/>
      <c r="AL1268" s="203"/>
      <c r="AM1268" s="203"/>
      <c r="AN1268" s="203"/>
      <c r="AO1268" s="203"/>
    </row>
    <row r="1269" spans="1:191" s="144" customFormat="1" ht="36" customHeight="1" x14ac:dyDescent="0.25">
      <c r="A1269" s="176">
        <v>1</v>
      </c>
      <c r="B1269" s="171">
        <f>SUBTOTAL(103,$A$1087:A1269)</f>
        <v>160</v>
      </c>
      <c r="C1269" s="184" t="s">
        <v>688</v>
      </c>
      <c r="D1269" s="173">
        <v>1978</v>
      </c>
      <c r="E1269" s="173"/>
      <c r="F1269" s="185" t="s">
        <v>267</v>
      </c>
      <c r="G1269" s="173">
        <v>2</v>
      </c>
      <c r="H1269" s="173" t="s">
        <v>303</v>
      </c>
      <c r="I1269" s="177">
        <v>569.20000000000005</v>
      </c>
      <c r="J1269" s="177">
        <v>569.20000000000005</v>
      </c>
      <c r="K1269" s="177">
        <v>569.20000000000005</v>
      </c>
      <c r="L1269" s="208">
        <v>29</v>
      </c>
      <c r="M1269" s="173" t="s">
        <v>265</v>
      </c>
      <c r="N1269" s="173" t="s">
        <v>266</v>
      </c>
      <c r="O1269" s="173" t="s">
        <v>268</v>
      </c>
      <c r="P1269" s="177">
        <v>1538879.17</v>
      </c>
      <c r="Q1269" s="177">
        <v>0</v>
      </c>
      <c r="R1269" s="177">
        <v>0</v>
      </c>
      <c r="S1269" s="177">
        <f>P1269-Q1269-R1269</f>
        <v>1538879.17</v>
      </c>
      <c r="T1269" s="170">
        <f t="shared" si="211"/>
        <v>2703.5825193253686</v>
      </c>
      <c r="U1269" s="170">
        <v>3572.2063018271251</v>
      </c>
      <c r="V1269" s="202">
        <f>U1269-T1269</f>
        <v>868.62378250175652</v>
      </c>
      <c r="W1269" s="202">
        <f>X1269+Y1269+Z1269+AA1269+AB1269+AD1269+AF1269+AH1269+AJ1269+AL1269+AN1269+AO1269</f>
        <v>4362.4142304989455</v>
      </c>
      <c r="X1269" s="202">
        <v>0</v>
      </c>
      <c r="Y1269" s="203">
        <v>0</v>
      </c>
      <c r="Z1269" s="203">
        <v>0</v>
      </c>
      <c r="AA1269" s="203">
        <v>0</v>
      </c>
      <c r="AB1269" s="203">
        <v>0</v>
      </c>
      <c r="AC1269" s="203">
        <v>0</v>
      </c>
      <c r="AD1269" s="203">
        <v>0</v>
      </c>
      <c r="AE1269" s="203">
        <v>398</v>
      </c>
      <c r="AF1269" s="202">
        <f>6238.91*AE1269/I1269</f>
        <v>4362.4142304989455</v>
      </c>
      <c r="AG1269" s="203">
        <v>0</v>
      </c>
      <c r="AH1269" s="202">
        <v>0</v>
      </c>
      <c r="AI1269" s="203">
        <v>0</v>
      </c>
      <c r="AJ1269" s="202">
        <v>0</v>
      </c>
      <c r="AK1269" s="203">
        <v>0</v>
      </c>
      <c r="AL1269" s="203">
        <v>0</v>
      </c>
      <c r="AM1269" s="203">
        <v>0</v>
      </c>
      <c r="AN1269" s="203"/>
      <c r="AO1269" s="203">
        <v>0</v>
      </c>
      <c r="AP1269" s="176"/>
      <c r="DQ1269" s="186"/>
      <c r="DR1269" s="186"/>
      <c r="DS1269" s="186"/>
      <c r="EP1269" s="187"/>
      <c r="FS1269" s="188"/>
      <c r="GI1269" s="189"/>
    </row>
    <row r="1270" spans="1:191" s="176" customFormat="1" ht="36" customHeight="1" x14ac:dyDescent="0.25">
      <c r="B1270" s="172" t="s">
        <v>823</v>
      </c>
      <c r="C1270" s="359"/>
      <c r="D1270" s="173" t="s">
        <v>882</v>
      </c>
      <c r="E1270" s="173" t="s">
        <v>882</v>
      </c>
      <c r="F1270" s="173" t="s">
        <v>882</v>
      </c>
      <c r="G1270" s="173" t="s">
        <v>882</v>
      </c>
      <c r="H1270" s="173" t="s">
        <v>882</v>
      </c>
      <c r="I1270" s="177">
        <f>SUM(I1271:I1276)</f>
        <v>14681.960000000001</v>
      </c>
      <c r="J1270" s="177">
        <f>SUM(J1271:J1276)</f>
        <v>12768.960000000001</v>
      </c>
      <c r="K1270" s="177">
        <f>SUM(K1271:K1276)</f>
        <v>10622.69</v>
      </c>
      <c r="L1270" s="357">
        <f>SUM(L1271:L1276)</f>
        <v>474</v>
      </c>
      <c r="M1270" s="173" t="s">
        <v>882</v>
      </c>
      <c r="N1270" s="173" t="s">
        <v>882</v>
      </c>
      <c r="O1270" s="175" t="s">
        <v>882</v>
      </c>
      <c r="P1270" s="177">
        <v>29402856.009999998</v>
      </c>
      <c r="Q1270" s="177">
        <f>SUM(Q1271:Q1276)</f>
        <v>0</v>
      </c>
      <c r="R1270" s="177">
        <f>SUM(R1271:R1276)</f>
        <v>0</v>
      </c>
      <c r="S1270" s="177">
        <f>SUM(S1271:S1276)</f>
        <v>29402856.009999998</v>
      </c>
      <c r="T1270" s="170">
        <f t="shared" si="211"/>
        <v>2002.6519626807317</v>
      </c>
      <c r="U1270" s="170">
        <f>MAX(U1271:U1276)</f>
        <v>5747.523812100877</v>
      </c>
      <c r="V1270" s="202">
        <f t="shared" si="212"/>
        <v>3744.8718494201453</v>
      </c>
      <c r="W1270" s="202"/>
      <c r="X1270" s="202"/>
      <c r="Y1270" s="203"/>
      <c r="Z1270" s="203"/>
      <c r="AA1270" s="203"/>
      <c r="AB1270" s="203"/>
      <c r="AC1270" s="203"/>
      <c r="AD1270" s="203"/>
      <c r="AE1270" s="203"/>
      <c r="AF1270" s="203"/>
      <c r="AG1270" s="203"/>
      <c r="AH1270" s="203"/>
      <c r="AI1270" s="203"/>
      <c r="AJ1270" s="203"/>
      <c r="AK1270" s="203"/>
      <c r="AL1270" s="203"/>
      <c r="AM1270" s="203"/>
      <c r="AN1270" s="203"/>
      <c r="AO1270" s="203"/>
    </row>
    <row r="1271" spans="1:191" s="144" customFormat="1" ht="36" customHeight="1" x14ac:dyDescent="0.25">
      <c r="A1271" s="176">
        <v>1</v>
      </c>
      <c r="B1271" s="171">
        <f>SUBTOTAL(103,$A$1087:A1271)</f>
        <v>161</v>
      </c>
      <c r="C1271" s="184" t="s">
        <v>134</v>
      </c>
      <c r="D1271" s="173">
        <v>1994</v>
      </c>
      <c r="E1271" s="173"/>
      <c r="F1271" s="185" t="s">
        <v>267</v>
      </c>
      <c r="G1271" s="173">
        <v>4</v>
      </c>
      <c r="H1271" s="173" t="s">
        <v>312</v>
      </c>
      <c r="I1271" s="177">
        <v>3731.88</v>
      </c>
      <c r="J1271" s="177">
        <v>2769.88</v>
      </c>
      <c r="K1271" s="177">
        <v>2769.88</v>
      </c>
      <c r="L1271" s="208">
        <v>111</v>
      </c>
      <c r="M1271" s="173" t="s">
        <v>265</v>
      </c>
      <c r="N1271" s="173" t="s">
        <v>269</v>
      </c>
      <c r="O1271" s="173" t="s">
        <v>284</v>
      </c>
      <c r="P1271" s="177">
        <v>6567458.7600000007</v>
      </c>
      <c r="Q1271" s="177">
        <v>0</v>
      </c>
      <c r="R1271" s="177">
        <v>0</v>
      </c>
      <c r="S1271" s="177">
        <f t="shared" ref="S1271:S1276" si="215">P1271-Q1271-R1271</f>
        <v>6567458.7600000007</v>
      </c>
      <c r="T1271" s="170">
        <f t="shared" si="211"/>
        <v>1759.8258143348662</v>
      </c>
      <c r="U1271" s="170">
        <v>2026.5717949130196</v>
      </c>
      <c r="V1271" s="202">
        <f t="shared" si="212"/>
        <v>266.74598057815342</v>
      </c>
      <c r="W1271" s="202">
        <f t="shared" ref="W1271:W1276" si="216">X1271+Y1271+Z1271+AA1271+AB1271+AD1271+AF1271+AH1271+AJ1271+AL1271+AN1271+AO1271</f>
        <v>1964.3502068662442</v>
      </c>
      <c r="X1271" s="202">
        <v>0</v>
      </c>
      <c r="Y1271" s="203">
        <v>0</v>
      </c>
      <c r="Z1271" s="203">
        <v>0</v>
      </c>
      <c r="AA1271" s="203">
        <v>0</v>
      </c>
      <c r="AB1271" s="203">
        <v>0</v>
      </c>
      <c r="AC1271" s="203">
        <v>0</v>
      </c>
      <c r="AD1271" s="203">
        <v>0</v>
      </c>
      <c r="AE1271" s="203">
        <v>1175</v>
      </c>
      <c r="AF1271" s="202">
        <f>6238.91*AE1271/I1271</f>
        <v>1964.3502068662442</v>
      </c>
      <c r="AG1271" s="203">
        <v>0</v>
      </c>
      <c r="AH1271" s="202">
        <v>0</v>
      </c>
      <c r="AI1271" s="203">
        <v>0</v>
      </c>
      <c r="AJ1271" s="202">
        <v>0</v>
      </c>
      <c r="AK1271" s="203">
        <v>0</v>
      </c>
      <c r="AL1271" s="203">
        <v>0</v>
      </c>
      <c r="AM1271" s="203">
        <v>0</v>
      </c>
      <c r="AN1271" s="203"/>
      <c r="AO1271" s="203">
        <v>0</v>
      </c>
      <c r="AP1271" s="176"/>
      <c r="DQ1271" s="186"/>
      <c r="DR1271" s="186"/>
      <c r="DS1271" s="186"/>
      <c r="EP1271" s="187"/>
      <c r="FS1271" s="188"/>
      <c r="GI1271" s="189"/>
    </row>
    <row r="1272" spans="1:191" s="144" customFormat="1" ht="36" customHeight="1" x14ac:dyDescent="0.25">
      <c r="A1272" s="176">
        <v>1</v>
      </c>
      <c r="B1272" s="171">
        <f>SUBTOTAL(103,$A$1087:A1272)</f>
        <v>162</v>
      </c>
      <c r="C1272" s="184" t="s">
        <v>131</v>
      </c>
      <c r="D1272" s="173">
        <v>1992</v>
      </c>
      <c r="E1272" s="173"/>
      <c r="F1272" s="185" t="s">
        <v>267</v>
      </c>
      <c r="G1272" s="173">
        <v>2</v>
      </c>
      <c r="H1272" s="173" t="s">
        <v>312</v>
      </c>
      <c r="I1272" s="177">
        <v>1621.8</v>
      </c>
      <c r="J1272" s="177">
        <v>965.3</v>
      </c>
      <c r="K1272" s="177">
        <v>915.9</v>
      </c>
      <c r="L1272" s="208">
        <v>39</v>
      </c>
      <c r="M1272" s="173" t="s">
        <v>265</v>
      </c>
      <c r="N1272" s="173" t="s">
        <v>269</v>
      </c>
      <c r="O1272" s="173" t="s">
        <v>284</v>
      </c>
      <c r="P1272" s="177">
        <v>5163742.3999999994</v>
      </c>
      <c r="Q1272" s="177">
        <v>0</v>
      </c>
      <c r="R1272" s="177">
        <v>0</v>
      </c>
      <c r="S1272" s="177">
        <f t="shared" si="215"/>
        <v>5163742.3999999994</v>
      </c>
      <c r="T1272" s="170">
        <f t="shared" si="211"/>
        <v>3183.9575779997531</v>
      </c>
      <c r="U1272" s="170">
        <v>1631.0497307570477</v>
      </c>
      <c r="V1272" s="202">
        <f t="shared" si="212"/>
        <v>-1552.9078472427054</v>
      </c>
      <c r="W1272" s="202">
        <f t="shared" si="216"/>
        <v>3221.3719077568135</v>
      </c>
      <c r="X1272" s="202">
        <v>0</v>
      </c>
      <c r="Y1272" s="203">
        <v>0</v>
      </c>
      <c r="Z1272" s="203">
        <v>0</v>
      </c>
      <c r="AA1272" s="203">
        <v>0</v>
      </c>
      <c r="AB1272" s="203">
        <v>0</v>
      </c>
      <c r="AC1272" s="203">
        <v>0</v>
      </c>
      <c r="AD1272" s="203">
        <v>0</v>
      </c>
      <c r="AE1272" s="203">
        <v>0</v>
      </c>
      <c r="AF1272" s="202">
        <v>0</v>
      </c>
      <c r="AG1272" s="203">
        <v>0</v>
      </c>
      <c r="AH1272" s="202">
        <v>0</v>
      </c>
      <c r="AI1272" s="203">
        <v>0</v>
      </c>
      <c r="AJ1272" s="202">
        <v>0</v>
      </c>
      <c r="AK1272" s="203">
        <v>0</v>
      </c>
      <c r="AL1272" s="203">
        <v>0</v>
      </c>
      <c r="AM1272" s="203">
        <v>748</v>
      </c>
      <c r="AN1272" s="203">
        <f>6984.52*AM1272/I1272</f>
        <v>3221.3719077568135</v>
      </c>
      <c r="AO1272" s="203">
        <v>0</v>
      </c>
      <c r="AP1272" s="176"/>
      <c r="DQ1272" s="186"/>
      <c r="DR1272" s="186"/>
      <c r="DS1272" s="186"/>
      <c r="EP1272" s="187"/>
      <c r="FS1272" s="188"/>
      <c r="GI1272" s="189"/>
    </row>
    <row r="1273" spans="1:191" s="144" customFormat="1" ht="36" customHeight="1" x14ac:dyDescent="0.25">
      <c r="A1273" s="176">
        <v>1</v>
      </c>
      <c r="B1273" s="171">
        <f>SUBTOTAL(103,$A$1087:A1273)</f>
        <v>163</v>
      </c>
      <c r="C1273" s="184" t="s">
        <v>136</v>
      </c>
      <c r="D1273" s="173">
        <v>1986</v>
      </c>
      <c r="E1273" s="173"/>
      <c r="F1273" s="185" t="s">
        <v>267</v>
      </c>
      <c r="G1273" s="173">
        <v>2</v>
      </c>
      <c r="H1273" s="173" t="s">
        <v>312</v>
      </c>
      <c r="I1273" s="177">
        <v>923.9</v>
      </c>
      <c r="J1273" s="177">
        <v>841.9</v>
      </c>
      <c r="K1273" s="177">
        <v>646.1</v>
      </c>
      <c r="L1273" s="208">
        <v>45</v>
      </c>
      <c r="M1273" s="173" t="s">
        <v>265</v>
      </c>
      <c r="N1273" s="173" t="s">
        <v>269</v>
      </c>
      <c r="O1273" s="173" t="s">
        <v>284</v>
      </c>
      <c r="P1273" s="177">
        <v>4587373.3600000003</v>
      </c>
      <c r="Q1273" s="177">
        <v>0</v>
      </c>
      <c r="R1273" s="177">
        <v>0</v>
      </c>
      <c r="S1273" s="177">
        <f t="shared" si="215"/>
        <v>4587373.3600000003</v>
      </c>
      <c r="T1273" s="170">
        <f t="shared" si="211"/>
        <v>4965.2271457950001</v>
      </c>
      <c r="U1273" s="170">
        <v>5747.523812100877</v>
      </c>
      <c r="V1273" s="202">
        <f t="shared" si="212"/>
        <v>782.2966663058769</v>
      </c>
      <c r="W1273" s="202">
        <f t="shared" si="216"/>
        <v>5571.0582855287366</v>
      </c>
      <c r="X1273" s="202">
        <v>0</v>
      </c>
      <c r="Y1273" s="203">
        <v>0</v>
      </c>
      <c r="Z1273" s="203">
        <v>0</v>
      </c>
      <c r="AA1273" s="203">
        <v>0</v>
      </c>
      <c r="AB1273" s="203">
        <v>0</v>
      </c>
      <c r="AC1273" s="203">
        <v>0</v>
      </c>
      <c r="AD1273" s="203">
        <v>0</v>
      </c>
      <c r="AE1273" s="203">
        <v>825</v>
      </c>
      <c r="AF1273" s="202">
        <f>6238.91*AE1273/I1273</f>
        <v>5571.0582855287366</v>
      </c>
      <c r="AG1273" s="203">
        <v>0</v>
      </c>
      <c r="AH1273" s="202">
        <v>0</v>
      </c>
      <c r="AI1273" s="203">
        <v>0</v>
      </c>
      <c r="AJ1273" s="202">
        <v>0</v>
      </c>
      <c r="AK1273" s="203">
        <v>0</v>
      </c>
      <c r="AL1273" s="203">
        <v>0</v>
      </c>
      <c r="AM1273" s="203">
        <v>0</v>
      </c>
      <c r="AN1273" s="203"/>
      <c r="AO1273" s="203">
        <v>0</v>
      </c>
      <c r="AP1273" s="176"/>
      <c r="DQ1273" s="186"/>
      <c r="DR1273" s="186"/>
      <c r="DS1273" s="186"/>
      <c r="EP1273" s="187"/>
      <c r="FS1273" s="188"/>
      <c r="GI1273" s="189"/>
    </row>
    <row r="1274" spans="1:191" s="144" customFormat="1" ht="36" customHeight="1" x14ac:dyDescent="0.25">
      <c r="A1274" s="176">
        <v>1</v>
      </c>
      <c r="B1274" s="171">
        <f>SUBTOTAL(103,$A$1087:A1274)</f>
        <v>164</v>
      </c>
      <c r="C1274" s="184" t="s">
        <v>132</v>
      </c>
      <c r="D1274" s="173">
        <v>1972</v>
      </c>
      <c r="E1274" s="173"/>
      <c r="F1274" s="185" t="s">
        <v>267</v>
      </c>
      <c r="G1274" s="173">
        <v>5</v>
      </c>
      <c r="H1274" s="173" t="s">
        <v>308</v>
      </c>
      <c r="I1274" s="177">
        <v>3740.78</v>
      </c>
      <c r="J1274" s="177">
        <v>3740.78</v>
      </c>
      <c r="K1274" s="177">
        <v>2819.7</v>
      </c>
      <c r="L1274" s="208">
        <v>124</v>
      </c>
      <c r="M1274" s="173" t="s">
        <v>265</v>
      </c>
      <c r="N1274" s="173" t="s">
        <v>269</v>
      </c>
      <c r="O1274" s="173" t="s">
        <v>285</v>
      </c>
      <c r="P1274" s="177">
        <v>5599375.7199999997</v>
      </c>
      <c r="Q1274" s="177">
        <v>0</v>
      </c>
      <c r="R1274" s="177">
        <v>0</v>
      </c>
      <c r="S1274" s="177">
        <f t="shared" si="215"/>
        <v>5599375.7199999997</v>
      </c>
      <c r="T1274" s="170">
        <f t="shared" si="211"/>
        <v>1496.8471067531368</v>
      </c>
      <c r="U1274" s="170">
        <v>1732.6829458027469</v>
      </c>
      <c r="V1274" s="202">
        <f t="shared" si="212"/>
        <v>235.83583904961006</v>
      </c>
      <c r="W1274" s="202">
        <f t="shared" si="216"/>
        <v>1679.4845914488421</v>
      </c>
      <c r="X1274" s="202">
        <v>0</v>
      </c>
      <c r="Y1274" s="203">
        <v>0</v>
      </c>
      <c r="Z1274" s="203">
        <v>0</v>
      </c>
      <c r="AA1274" s="203">
        <v>0</v>
      </c>
      <c r="AB1274" s="203">
        <v>0</v>
      </c>
      <c r="AC1274" s="203">
        <v>0</v>
      </c>
      <c r="AD1274" s="203">
        <v>0</v>
      </c>
      <c r="AE1274" s="203">
        <v>1007</v>
      </c>
      <c r="AF1274" s="202">
        <f>6238.91*AE1274/I1274</f>
        <v>1679.4845914488421</v>
      </c>
      <c r="AG1274" s="203">
        <v>0</v>
      </c>
      <c r="AH1274" s="202">
        <v>0</v>
      </c>
      <c r="AI1274" s="203">
        <v>0</v>
      </c>
      <c r="AJ1274" s="202">
        <v>0</v>
      </c>
      <c r="AK1274" s="203">
        <v>0</v>
      </c>
      <c r="AL1274" s="203">
        <v>0</v>
      </c>
      <c r="AM1274" s="203">
        <v>0</v>
      </c>
      <c r="AN1274" s="203"/>
      <c r="AO1274" s="203">
        <v>0</v>
      </c>
      <c r="AP1274" s="176"/>
      <c r="DQ1274" s="186"/>
      <c r="DR1274" s="186"/>
      <c r="DS1274" s="186"/>
      <c r="EP1274" s="187"/>
      <c r="FS1274" s="188"/>
      <c r="GI1274" s="189"/>
    </row>
    <row r="1275" spans="1:191" s="144" customFormat="1" ht="36" customHeight="1" x14ac:dyDescent="0.25">
      <c r="A1275" s="176">
        <v>1</v>
      </c>
      <c r="B1275" s="171">
        <f>SUBTOTAL(103,$A$1087:A1275)</f>
        <v>165</v>
      </c>
      <c r="C1275" s="184" t="s">
        <v>133</v>
      </c>
      <c r="D1275" s="173">
        <v>1979</v>
      </c>
      <c r="E1275" s="173"/>
      <c r="F1275" s="185" t="s">
        <v>267</v>
      </c>
      <c r="G1275" s="173">
        <v>5</v>
      </c>
      <c r="H1275" s="173" t="s">
        <v>308</v>
      </c>
      <c r="I1275" s="177">
        <v>4025.6</v>
      </c>
      <c r="J1275" s="177">
        <v>4025.6</v>
      </c>
      <c r="K1275" s="177">
        <v>3076</v>
      </c>
      <c r="L1275" s="208">
        <v>133</v>
      </c>
      <c r="M1275" s="173" t="s">
        <v>265</v>
      </c>
      <c r="N1275" s="173" t="s">
        <v>269</v>
      </c>
      <c r="O1275" s="173" t="s">
        <v>285</v>
      </c>
      <c r="P1275" s="177">
        <v>4480243.62</v>
      </c>
      <c r="Q1275" s="177">
        <v>0</v>
      </c>
      <c r="R1275" s="177">
        <v>0</v>
      </c>
      <c r="S1275" s="177">
        <f t="shared" si="215"/>
        <v>4480243.62</v>
      </c>
      <c r="T1275" s="170">
        <f t="shared" si="211"/>
        <v>1112.9381011526232</v>
      </c>
      <c r="U1275" s="170">
        <v>1235.30978686407</v>
      </c>
      <c r="V1275" s="202">
        <f t="shared" si="212"/>
        <v>122.37168571144684</v>
      </c>
      <c r="W1275" s="202">
        <f t="shared" si="216"/>
        <v>1197.3822202901431</v>
      </c>
      <c r="X1275" s="202">
        <v>0</v>
      </c>
      <c r="Y1275" s="203">
        <v>0</v>
      </c>
      <c r="Z1275" s="203">
        <v>0</v>
      </c>
      <c r="AA1275" s="203">
        <v>0</v>
      </c>
      <c r="AB1275" s="203">
        <v>0</v>
      </c>
      <c r="AC1275" s="203">
        <v>0</v>
      </c>
      <c r="AD1275" s="203">
        <v>0</v>
      </c>
      <c r="AE1275" s="203">
        <v>772.6</v>
      </c>
      <c r="AF1275" s="202">
        <f>6238.91*AE1275/I1275</f>
        <v>1197.3822202901431</v>
      </c>
      <c r="AG1275" s="203">
        <v>0</v>
      </c>
      <c r="AH1275" s="202">
        <v>0</v>
      </c>
      <c r="AI1275" s="203">
        <v>0</v>
      </c>
      <c r="AJ1275" s="202">
        <v>0</v>
      </c>
      <c r="AK1275" s="203">
        <v>0</v>
      </c>
      <c r="AL1275" s="203">
        <v>0</v>
      </c>
      <c r="AM1275" s="203">
        <v>0</v>
      </c>
      <c r="AN1275" s="203"/>
      <c r="AO1275" s="203">
        <v>0</v>
      </c>
      <c r="AP1275" s="176"/>
      <c r="DQ1275" s="186"/>
      <c r="DR1275" s="186"/>
      <c r="DS1275" s="186"/>
      <c r="EP1275" s="187"/>
      <c r="FS1275" s="188"/>
      <c r="GI1275" s="189"/>
    </row>
    <row r="1276" spans="1:191" s="144" customFormat="1" ht="36" customHeight="1" x14ac:dyDescent="0.25">
      <c r="A1276" s="176">
        <v>1</v>
      </c>
      <c r="B1276" s="171">
        <f>SUBTOTAL(103,$A$1087:A1276)</f>
        <v>166</v>
      </c>
      <c r="C1276" s="184" t="s">
        <v>1582</v>
      </c>
      <c r="D1276" s="173">
        <v>1967</v>
      </c>
      <c r="E1276" s="173"/>
      <c r="F1276" s="185" t="s">
        <v>318</v>
      </c>
      <c r="G1276" s="173">
        <v>2</v>
      </c>
      <c r="H1276" s="173" t="s">
        <v>303</v>
      </c>
      <c r="I1276" s="177">
        <v>638</v>
      </c>
      <c r="J1276" s="177">
        <v>425.5</v>
      </c>
      <c r="K1276" s="177">
        <v>395.11</v>
      </c>
      <c r="L1276" s="208">
        <v>22</v>
      </c>
      <c r="M1276" s="173" t="s">
        <v>265</v>
      </c>
      <c r="N1276" s="173" t="s">
        <v>269</v>
      </c>
      <c r="O1276" s="173" t="s">
        <v>1568</v>
      </c>
      <c r="P1276" s="177">
        <v>3004662.15</v>
      </c>
      <c r="Q1276" s="177">
        <v>0</v>
      </c>
      <c r="R1276" s="177">
        <v>0</v>
      </c>
      <c r="S1276" s="177">
        <f t="shared" si="215"/>
        <v>3004662.15</v>
      </c>
      <c r="T1276" s="170">
        <f t="shared" si="211"/>
        <v>4709.5018025078371</v>
      </c>
      <c r="U1276" s="170">
        <v>1631.0497307570477</v>
      </c>
      <c r="V1276" s="202">
        <f t="shared" si="212"/>
        <v>-3078.4520717507894</v>
      </c>
      <c r="W1276" s="202">
        <f t="shared" si="216"/>
        <v>4987.6917115987471</v>
      </c>
      <c r="X1276" s="202">
        <v>0</v>
      </c>
      <c r="Y1276" s="203">
        <v>0</v>
      </c>
      <c r="Z1276" s="203">
        <v>0</v>
      </c>
      <c r="AA1276" s="203">
        <v>0</v>
      </c>
      <c r="AB1276" s="203">
        <v>0</v>
      </c>
      <c r="AC1276" s="203">
        <v>0</v>
      </c>
      <c r="AD1276" s="203">
        <v>0</v>
      </c>
      <c r="AE1276" s="203">
        <v>0</v>
      </c>
      <c r="AF1276" s="202">
        <v>0</v>
      </c>
      <c r="AG1276" s="203">
        <v>0</v>
      </c>
      <c r="AH1276" s="202">
        <v>0</v>
      </c>
      <c r="AI1276" s="203">
        <v>0</v>
      </c>
      <c r="AJ1276" s="202">
        <v>0</v>
      </c>
      <c r="AK1276" s="203">
        <v>0</v>
      </c>
      <c r="AL1276" s="203">
        <v>0</v>
      </c>
      <c r="AM1276" s="203">
        <v>455.6</v>
      </c>
      <c r="AN1276" s="203">
        <f>6984.52*AM1276/I1276</f>
        <v>4987.6917115987471</v>
      </c>
      <c r="AO1276" s="203">
        <v>0</v>
      </c>
      <c r="AP1276" s="176"/>
      <c r="DQ1276" s="365"/>
      <c r="DR1276" s="365"/>
      <c r="DS1276" s="365"/>
      <c r="EP1276" s="187"/>
      <c r="FS1276" s="188"/>
      <c r="GI1276" s="189"/>
    </row>
    <row r="1277" spans="1:191" s="176" customFormat="1" ht="36" customHeight="1" x14ac:dyDescent="0.25">
      <c r="B1277" s="172" t="s">
        <v>829</v>
      </c>
      <c r="C1277" s="359"/>
      <c r="D1277" s="173" t="s">
        <v>882</v>
      </c>
      <c r="E1277" s="173" t="s">
        <v>882</v>
      </c>
      <c r="F1277" s="173" t="s">
        <v>882</v>
      </c>
      <c r="G1277" s="173" t="s">
        <v>882</v>
      </c>
      <c r="H1277" s="173" t="s">
        <v>882</v>
      </c>
      <c r="I1277" s="177">
        <f>SUM(I1278:I1279)</f>
        <v>1573</v>
      </c>
      <c r="J1277" s="177">
        <f>SUM(J1278:J1279)</f>
        <v>1423.2</v>
      </c>
      <c r="K1277" s="177">
        <f>SUM(K1278:K1279)</f>
        <v>1423.2</v>
      </c>
      <c r="L1277" s="357">
        <f>SUM(L1278:L1279)</f>
        <v>86</v>
      </c>
      <c r="M1277" s="173" t="s">
        <v>882</v>
      </c>
      <c r="N1277" s="173" t="s">
        <v>882</v>
      </c>
      <c r="O1277" s="175" t="s">
        <v>882</v>
      </c>
      <c r="P1277" s="170">
        <v>5380655.7999999998</v>
      </c>
      <c r="Q1277" s="170">
        <f>Q1278+Q1279</f>
        <v>0</v>
      </c>
      <c r="R1277" s="170">
        <f>R1278+R1279</f>
        <v>0</v>
      </c>
      <c r="S1277" s="170">
        <f>S1278+S1279</f>
        <v>5380655.7999999998</v>
      </c>
      <c r="T1277" s="170">
        <f t="shared" si="211"/>
        <v>3420.6330578512398</v>
      </c>
      <c r="U1277" s="170">
        <f>MAX(U1278:U1279)</f>
        <v>5289.4349170191999</v>
      </c>
      <c r="V1277" s="202">
        <f t="shared" si="212"/>
        <v>1868.8018591679602</v>
      </c>
      <c r="W1277" s="202"/>
      <c r="X1277" s="202"/>
      <c r="Y1277" s="203"/>
      <c r="Z1277" s="203"/>
      <c r="AA1277" s="203"/>
      <c r="AB1277" s="203"/>
      <c r="AC1277" s="203"/>
      <c r="AD1277" s="203"/>
      <c r="AE1277" s="203"/>
      <c r="AF1277" s="203"/>
      <c r="AG1277" s="203"/>
      <c r="AH1277" s="203"/>
      <c r="AI1277" s="203"/>
      <c r="AJ1277" s="203"/>
      <c r="AK1277" s="203"/>
      <c r="AL1277" s="203"/>
      <c r="AM1277" s="203"/>
      <c r="AN1277" s="203"/>
      <c r="AO1277" s="203"/>
    </row>
    <row r="1278" spans="1:191" s="144" customFormat="1" ht="36" customHeight="1" x14ac:dyDescent="0.25">
      <c r="A1278" s="176">
        <v>1</v>
      </c>
      <c r="B1278" s="171">
        <f>SUBTOTAL(103,$A$1087:A1278)</f>
        <v>167</v>
      </c>
      <c r="C1278" s="184" t="s">
        <v>178</v>
      </c>
      <c r="D1278" s="173">
        <v>1985</v>
      </c>
      <c r="E1278" s="173">
        <v>2009</v>
      </c>
      <c r="F1278" s="185" t="s">
        <v>267</v>
      </c>
      <c r="G1278" s="173">
        <v>2</v>
      </c>
      <c r="H1278" s="173" t="s">
        <v>303</v>
      </c>
      <c r="I1278" s="177">
        <v>958.4</v>
      </c>
      <c r="J1278" s="177">
        <v>858.1</v>
      </c>
      <c r="K1278" s="177">
        <v>858.1</v>
      </c>
      <c r="L1278" s="208">
        <v>63</v>
      </c>
      <c r="M1278" s="173" t="s">
        <v>265</v>
      </c>
      <c r="N1278" s="173" t="s">
        <v>266</v>
      </c>
      <c r="O1278" s="173" t="s">
        <v>268</v>
      </c>
      <c r="P1278" s="177">
        <v>3457143.9</v>
      </c>
      <c r="Q1278" s="177">
        <v>0</v>
      </c>
      <c r="R1278" s="177">
        <v>0</v>
      </c>
      <c r="S1278" s="177">
        <f>P1278-Q1278-R1278</f>
        <v>3457143.9</v>
      </c>
      <c r="T1278" s="170">
        <f t="shared" si="211"/>
        <v>3607.2035684474122</v>
      </c>
      <c r="U1278" s="170">
        <v>4231.0245200333893</v>
      </c>
      <c r="V1278" s="202">
        <f>U1278-T1278</f>
        <v>623.82095158597713</v>
      </c>
      <c r="W1278" s="202">
        <f>X1278+Y1278+Z1278+AA1278+AB1278+AD1278+AF1278+AH1278+AJ1278+AL1278+AN1278+AO1278</f>
        <v>4101.1198873121866</v>
      </c>
      <c r="X1278" s="202">
        <v>0</v>
      </c>
      <c r="Y1278" s="203">
        <v>0</v>
      </c>
      <c r="Z1278" s="203">
        <v>0</v>
      </c>
      <c r="AA1278" s="203">
        <v>0</v>
      </c>
      <c r="AB1278" s="203">
        <v>0</v>
      </c>
      <c r="AC1278" s="203">
        <v>0</v>
      </c>
      <c r="AD1278" s="203">
        <v>0</v>
      </c>
      <c r="AE1278" s="203">
        <v>630</v>
      </c>
      <c r="AF1278" s="202">
        <f>6238.91*AE1278/I1278</f>
        <v>4101.1198873121866</v>
      </c>
      <c r="AG1278" s="203">
        <v>0</v>
      </c>
      <c r="AH1278" s="202">
        <v>0</v>
      </c>
      <c r="AI1278" s="203">
        <v>0</v>
      </c>
      <c r="AJ1278" s="202">
        <v>0</v>
      </c>
      <c r="AK1278" s="203">
        <v>0</v>
      </c>
      <c r="AL1278" s="203">
        <v>0</v>
      </c>
      <c r="AM1278" s="203">
        <v>0</v>
      </c>
      <c r="AN1278" s="203"/>
      <c r="AO1278" s="203">
        <v>0</v>
      </c>
      <c r="AP1278" s="176"/>
      <c r="DQ1278" s="186"/>
      <c r="DR1278" s="186"/>
      <c r="DS1278" s="186"/>
      <c r="EP1278" s="187"/>
      <c r="FS1278" s="188"/>
      <c r="GI1278" s="189"/>
    </row>
    <row r="1279" spans="1:191" s="144" customFormat="1" ht="36" customHeight="1" x14ac:dyDescent="0.25">
      <c r="A1279" s="176">
        <v>1</v>
      </c>
      <c r="B1279" s="171">
        <f>SUBTOTAL(103,$A$1087:A1279)</f>
        <v>168</v>
      </c>
      <c r="C1279" s="184" t="s">
        <v>179</v>
      </c>
      <c r="D1279" s="173">
        <v>1961</v>
      </c>
      <c r="E1279" s="173">
        <v>2009</v>
      </c>
      <c r="F1279" s="185" t="s">
        <v>267</v>
      </c>
      <c r="G1279" s="173">
        <v>2</v>
      </c>
      <c r="H1279" s="173" t="s">
        <v>303</v>
      </c>
      <c r="I1279" s="177">
        <v>614.6</v>
      </c>
      <c r="J1279" s="177">
        <v>565.1</v>
      </c>
      <c r="K1279" s="177">
        <v>565.1</v>
      </c>
      <c r="L1279" s="208">
        <v>23</v>
      </c>
      <c r="M1279" s="173" t="s">
        <v>265</v>
      </c>
      <c r="N1279" s="173" t="s">
        <v>266</v>
      </c>
      <c r="O1279" s="173" t="s">
        <v>268</v>
      </c>
      <c r="P1279" s="177">
        <v>1923511.9</v>
      </c>
      <c r="Q1279" s="177">
        <v>0</v>
      </c>
      <c r="R1279" s="177">
        <v>0</v>
      </c>
      <c r="S1279" s="177">
        <f>P1279-Q1279-R1279</f>
        <v>1923511.9</v>
      </c>
      <c r="T1279" s="170">
        <f t="shared" si="211"/>
        <v>3129.6972014318253</v>
      </c>
      <c r="U1279" s="170">
        <v>5289.4349170191999</v>
      </c>
      <c r="V1279" s="202">
        <f>U1279-T1279</f>
        <v>2159.7377155873746</v>
      </c>
      <c r="W1279" s="202">
        <f>X1279+Y1279+Z1279+AA1279+AB1279+AD1279+AF1279+AH1279+AJ1279+AL1279+AN1279+AO1279</f>
        <v>5289.4349170191999</v>
      </c>
      <c r="X1279" s="202">
        <v>0</v>
      </c>
      <c r="Y1279" s="203">
        <v>0</v>
      </c>
      <c r="Z1279" s="203">
        <v>0</v>
      </c>
      <c r="AA1279" s="203">
        <v>0</v>
      </c>
      <c r="AB1279" s="203">
        <v>0</v>
      </c>
      <c r="AC1279" s="203">
        <v>0</v>
      </c>
      <c r="AD1279" s="203">
        <v>0</v>
      </c>
      <c r="AE1279" s="203">
        <v>0</v>
      </c>
      <c r="AF1279" s="202">
        <v>0</v>
      </c>
      <c r="AG1279" s="203">
        <v>0</v>
      </c>
      <c r="AH1279" s="202">
        <v>0</v>
      </c>
      <c r="AI1279" s="203">
        <v>437</v>
      </c>
      <c r="AJ1279" s="202">
        <f>7439.1*AI1279/I1279</f>
        <v>5289.4349170191999</v>
      </c>
      <c r="AK1279" s="203">
        <v>0</v>
      </c>
      <c r="AL1279" s="203">
        <v>0</v>
      </c>
      <c r="AM1279" s="203">
        <v>0</v>
      </c>
      <c r="AN1279" s="203"/>
      <c r="AO1279" s="203">
        <v>0</v>
      </c>
      <c r="AP1279" s="176"/>
      <c r="DQ1279" s="186"/>
      <c r="DR1279" s="186"/>
      <c r="DS1279" s="186"/>
      <c r="EP1279" s="187"/>
      <c r="FS1279" s="188"/>
      <c r="GI1279" s="189"/>
    </row>
    <row r="1280" spans="1:191" s="176" customFormat="1" ht="36" customHeight="1" x14ac:dyDescent="0.25">
      <c r="B1280" s="172" t="s">
        <v>826</v>
      </c>
      <c r="C1280" s="172"/>
      <c r="D1280" s="173" t="s">
        <v>882</v>
      </c>
      <c r="E1280" s="173" t="s">
        <v>882</v>
      </c>
      <c r="F1280" s="173" t="s">
        <v>882</v>
      </c>
      <c r="G1280" s="173" t="s">
        <v>882</v>
      </c>
      <c r="H1280" s="173" t="s">
        <v>882</v>
      </c>
      <c r="I1280" s="177">
        <f>SUM(I1281:I1283)</f>
        <v>1266.2</v>
      </c>
      <c r="J1280" s="177">
        <f>SUM(J1281:J1283)</f>
        <v>1144.9000000000001</v>
      </c>
      <c r="K1280" s="177">
        <f>SUM(K1281:K1283)</f>
        <v>922.5</v>
      </c>
      <c r="L1280" s="357">
        <f>SUM(L1281:L1283)</f>
        <v>63</v>
      </c>
      <c r="M1280" s="173" t="s">
        <v>882</v>
      </c>
      <c r="N1280" s="173" t="s">
        <v>882</v>
      </c>
      <c r="O1280" s="175" t="s">
        <v>882</v>
      </c>
      <c r="P1280" s="170">
        <v>5206292.58</v>
      </c>
      <c r="Q1280" s="170">
        <f>Q1281+Q1282+Q1283</f>
        <v>0</v>
      </c>
      <c r="R1280" s="170">
        <f>R1281+R1282+R1283</f>
        <v>0</v>
      </c>
      <c r="S1280" s="170">
        <f>S1281+S1282+S1283</f>
        <v>5206292.58</v>
      </c>
      <c r="T1280" s="170">
        <f t="shared" si="211"/>
        <v>4111.7458379402933</v>
      </c>
      <c r="U1280" s="170">
        <f>MAX(U1281:U1283)</f>
        <v>5409.6436314363145</v>
      </c>
      <c r="V1280" s="202">
        <f t="shared" ref="V1280:V1344" si="217">U1280-T1280</f>
        <v>1297.8977934960212</v>
      </c>
      <c r="W1280" s="202"/>
      <c r="X1280" s="202"/>
      <c r="Y1280" s="203"/>
      <c r="Z1280" s="203"/>
      <c r="AA1280" s="203"/>
      <c r="AB1280" s="203"/>
      <c r="AC1280" s="203"/>
      <c r="AD1280" s="203"/>
      <c r="AE1280" s="203"/>
      <c r="AF1280" s="203"/>
      <c r="AG1280" s="203"/>
      <c r="AH1280" s="203"/>
      <c r="AI1280" s="203"/>
      <c r="AJ1280" s="203"/>
      <c r="AK1280" s="203"/>
      <c r="AL1280" s="203"/>
      <c r="AM1280" s="203"/>
      <c r="AN1280" s="203"/>
      <c r="AO1280" s="203"/>
    </row>
    <row r="1281" spans="1:191" s="144" customFormat="1" ht="36" customHeight="1" x14ac:dyDescent="0.25">
      <c r="A1281" s="176">
        <v>1</v>
      </c>
      <c r="B1281" s="171">
        <f>SUBTOTAL(103,$A$1087:A1281)</f>
        <v>169</v>
      </c>
      <c r="C1281" s="184" t="s">
        <v>784</v>
      </c>
      <c r="D1281" s="173">
        <v>1961</v>
      </c>
      <c r="E1281" s="173"/>
      <c r="F1281" s="185" t="s">
        <v>267</v>
      </c>
      <c r="G1281" s="173">
        <v>2</v>
      </c>
      <c r="H1281" s="173" t="s">
        <v>304</v>
      </c>
      <c r="I1281" s="177">
        <v>442.8</v>
      </c>
      <c r="J1281" s="177">
        <v>393.5</v>
      </c>
      <c r="K1281" s="177">
        <v>240.4</v>
      </c>
      <c r="L1281" s="208">
        <v>21</v>
      </c>
      <c r="M1281" s="173" t="s">
        <v>265</v>
      </c>
      <c r="N1281" s="173" t="s">
        <v>337</v>
      </c>
      <c r="O1281" s="173" t="s">
        <v>338</v>
      </c>
      <c r="P1281" s="177">
        <v>1776592.72</v>
      </c>
      <c r="Q1281" s="177">
        <v>0</v>
      </c>
      <c r="R1281" s="177">
        <v>0</v>
      </c>
      <c r="S1281" s="177">
        <f>P1281-Q1281-R1281</f>
        <v>1776592.72</v>
      </c>
      <c r="T1281" s="170">
        <f t="shared" si="211"/>
        <v>4012.1786811201446</v>
      </c>
      <c r="U1281" s="170">
        <v>5409.6436314363145</v>
      </c>
      <c r="V1281" s="202">
        <f t="shared" si="217"/>
        <v>1397.46495031617</v>
      </c>
      <c r="W1281" s="202">
        <f>X1281+Y1281+Z1281+AA1281+AB1281+AD1281+AF1281+AH1281+AJ1281+AL1281+AN1281+AO1281</f>
        <v>5409.6436314363145</v>
      </c>
      <c r="X1281" s="202">
        <v>0</v>
      </c>
      <c r="Y1281" s="203">
        <v>0</v>
      </c>
      <c r="Z1281" s="203">
        <v>0</v>
      </c>
      <c r="AA1281" s="203">
        <v>0</v>
      </c>
      <c r="AB1281" s="203">
        <v>0</v>
      </c>
      <c r="AC1281" s="203">
        <v>0</v>
      </c>
      <c r="AD1281" s="203">
        <v>0</v>
      </c>
      <c r="AE1281" s="203">
        <v>0</v>
      </c>
      <c r="AF1281" s="202">
        <v>0</v>
      </c>
      <c r="AG1281" s="203">
        <v>0</v>
      </c>
      <c r="AH1281" s="202">
        <v>0</v>
      </c>
      <c r="AI1281" s="203">
        <v>322</v>
      </c>
      <c r="AJ1281" s="202">
        <f>7439.1*AI1281/I1281</f>
        <v>5409.6436314363145</v>
      </c>
      <c r="AK1281" s="203">
        <v>0</v>
      </c>
      <c r="AL1281" s="203">
        <v>0</v>
      </c>
      <c r="AM1281" s="203">
        <v>0</v>
      </c>
      <c r="AN1281" s="203"/>
      <c r="AO1281" s="203">
        <v>0</v>
      </c>
      <c r="AP1281" s="176"/>
      <c r="DQ1281" s="186"/>
      <c r="DR1281" s="186"/>
      <c r="DS1281" s="186"/>
      <c r="EP1281" s="187"/>
      <c r="FS1281" s="188"/>
      <c r="GI1281" s="189"/>
    </row>
    <row r="1282" spans="1:191" s="144" customFormat="1" ht="36" customHeight="1" x14ac:dyDescent="0.25">
      <c r="A1282" s="176">
        <v>1</v>
      </c>
      <c r="B1282" s="171">
        <f>SUBTOTAL(103,$A$1087:A1282)</f>
        <v>170</v>
      </c>
      <c r="C1282" s="184" t="s">
        <v>182</v>
      </c>
      <c r="D1282" s="173">
        <v>1960</v>
      </c>
      <c r="E1282" s="173"/>
      <c r="F1282" s="185" t="s">
        <v>267</v>
      </c>
      <c r="G1282" s="173">
        <v>2</v>
      </c>
      <c r="H1282" s="173" t="s">
        <v>304</v>
      </c>
      <c r="I1282" s="177">
        <v>442.6</v>
      </c>
      <c r="J1282" s="177">
        <v>400.2</v>
      </c>
      <c r="K1282" s="177">
        <v>353.8</v>
      </c>
      <c r="L1282" s="208">
        <v>21</v>
      </c>
      <c r="M1282" s="173" t="s">
        <v>265</v>
      </c>
      <c r="N1282" s="173" t="s">
        <v>337</v>
      </c>
      <c r="O1282" s="173" t="s">
        <v>338</v>
      </c>
      <c r="P1282" s="177">
        <v>1689555.1300000001</v>
      </c>
      <c r="Q1282" s="177">
        <v>0</v>
      </c>
      <c r="R1282" s="177">
        <v>0</v>
      </c>
      <c r="S1282" s="177">
        <f>P1282-Q1282-R1282</f>
        <v>1689555.1300000001</v>
      </c>
      <c r="T1282" s="170">
        <f t="shared" si="211"/>
        <v>3817.34100768188</v>
      </c>
      <c r="U1282" s="170">
        <v>4102.971531857208</v>
      </c>
      <c r="V1282" s="202">
        <f t="shared" si="217"/>
        <v>285.63052417532799</v>
      </c>
      <c r="W1282" s="202">
        <f>X1282+Y1282+Z1282+AA1282+AB1282+AD1282+AF1282+AH1282+AJ1282+AL1282+AN1282+AO1282</f>
        <v>3664.9719837324892</v>
      </c>
      <c r="X1282" s="202">
        <v>0</v>
      </c>
      <c r="Y1282" s="203">
        <v>0</v>
      </c>
      <c r="Z1282" s="203">
        <v>0</v>
      </c>
      <c r="AA1282" s="203">
        <v>0</v>
      </c>
      <c r="AB1282" s="203">
        <v>0</v>
      </c>
      <c r="AC1282" s="203">
        <v>0</v>
      </c>
      <c r="AD1282" s="203">
        <v>0</v>
      </c>
      <c r="AE1282" s="203">
        <v>260</v>
      </c>
      <c r="AF1282" s="202">
        <f>6238.91*AE1282/I1282</f>
        <v>3664.9719837324892</v>
      </c>
      <c r="AG1282" s="203">
        <v>0</v>
      </c>
      <c r="AH1282" s="202">
        <v>0</v>
      </c>
      <c r="AI1282" s="203">
        <v>0</v>
      </c>
      <c r="AJ1282" s="202">
        <v>0</v>
      </c>
      <c r="AK1282" s="203">
        <v>0</v>
      </c>
      <c r="AL1282" s="203">
        <v>0</v>
      </c>
      <c r="AM1282" s="203">
        <v>0</v>
      </c>
      <c r="AN1282" s="203"/>
      <c r="AO1282" s="203">
        <v>0</v>
      </c>
      <c r="AP1282" s="176"/>
      <c r="DQ1282" s="186"/>
      <c r="DR1282" s="186"/>
      <c r="DS1282" s="186"/>
      <c r="EP1282" s="187"/>
      <c r="FS1282" s="188"/>
      <c r="GI1282" s="189"/>
    </row>
    <row r="1283" spans="1:191" s="144" customFormat="1" ht="36" customHeight="1" x14ac:dyDescent="0.25">
      <c r="A1283" s="176">
        <v>1</v>
      </c>
      <c r="B1283" s="171">
        <f>SUBTOTAL(103,$A$1087:A1283)</f>
        <v>171</v>
      </c>
      <c r="C1283" s="184" t="s">
        <v>180</v>
      </c>
      <c r="D1283" s="173">
        <v>1968</v>
      </c>
      <c r="E1283" s="173"/>
      <c r="F1283" s="185" t="s">
        <v>267</v>
      </c>
      <c r="G1283" s="173">
        <v>2</v>
      </c>
      <c r="H1283" s="173" t="s">
        <v>304</v>
      </c>
      <c r="I1283" s="177">
        <v>380.8</v>
      </c>
      <c r="J1283" s="177">
        <v>351.2</v>
      </c>
      <c r="K1283" s="177">
        <v>328.3</v>
      </c>
      <c r="L1283" s="208">
        <v>21</v>
      </c>
      <c r="M1283" s="173" t="s">
        <v>265</v>
      </c>
      <c r="N1283" s="173" t="s">
        <v>337</v>
      </c>
      <c r="O1283" s="173" t="s">
        <v>338</v>
      </c>
      <c r="P1283" s="177">
        <v>1740144.7299999997</v>
      </c>
      <c r="Q1283" s="177">
        <v>0</v>
      </c>
      <c r="R1283" s="177">
        <v>0</v>
      </c>
      <c r="S1283" s="177">
        <f>P1283-Q1283-R1283</f>
        <v>1740144.7299999997</v>
      </c>
      <c r="T1283" s="170">
        <f t="shared" ref="T1283:T1347" si="218">P1283/I1283</f>
        <v>4569.7077993697467</v>
      </c>
      <c r="U1283" s="170">
        <v>4783.4506039915968</v>
      </c>
      <c r="V1283" s="202">
        <f t="shared" si="217"/>
        <v>213.74280462185015</v>
      </c>
      <c r="W1283" s="202">
        <f>X1283+Y1283+Z1283+AA1283+AB1283+AD1283+AF1283+AH1283+AJ1283+AL1283+AN1283+AO1283</f>
        <v>4636.584900210084</v>
      </c>
      <c r="X1283" s="202">
        <v>0</v>
      </c>
      <c r="Y1283" s="203">
        <v>0</v>
      </c>
      <c r="Z1283" s="203">
        <v>0</v>
      </c>
      <c r="AA1283" s="203">
        <v>0</v>
      </c>
      <c r="AB1283" s="203">
        <v>0</v>
      </c>
      <c r="AC1283" s="203">
        <v>0</v>
      </c>
      <c r="AD1283" s="203">
        <v>0</v>
      </c>
      <c r="AE1283" s="203">
        <v>283</v>
      </c>
      <c r="AF1283" s="202">
        <f>6238.91*AE1283/I1283</f>
        <v>4636.584900210084</v>
      </c>
      <c r="AG1283" s="203">
        <v>0</v>
      </c>
      <c r="AH1283" s="202">
        <v>0</v>
      </c>
      <c r="AI1283" s="203">
        <v>0</v>
      </c>
      <c r="AJ1283" s="202">
        <v>0</v>
      </c>
      <c r="AK1283" s="203">
        <v>0</v>
      </c>
      <c r="AL1283" s="203">
        <v>0</v>
      </c>
      <c r="AM1283" s="203">
        <v>0</v>
      </c>
      <c r="AN1283" s="203"/>
      <c r="AO1283" s="203">
        <v>0</v>
      </c>
      <c r="AP1283" s="176"/>
      <c r="DQ1283" s="186"/>
      <c r="DR1283" s="186"/>
      <c r="DS1283" s="186"/>
      <c r="EP1283" s="187"/>
      <c r="FS1283" s="188"/>
      <c r="GI1283" s="189"/>
    </row>
    <row r="1284" spans="1:191" s="176" customFormat="1" ht="36" customHeight="1" x14ac:dyDescent="0.25">
      <c r="B1284" s="172" t="s">
        <v>827</v>
      </c>
      <c r="C1284" s="172"/>
      <c r="D1284" s="173" t="s">
        <v>882</v>
      </c>
      <c r="E1284" s="173" t="s">
        <v>882</v>
      </c>
      <c r="F1284" s="173" t="s">
        <v>882</v>
      </c>
      <c r="G1284" s="173" t="s">
        <v>882</v>
      </c>
      <c r="H1284" s="173" t="s">
        <v>882</v>
      </c>
      <c r="I1284" s="177">
        <f>SUM(I1285:I1286)</f>
        <v>666.5</v>
      </c>
      <c r="J1284" s="177">
        <f>SUM(J1285:J1286)</f>
        <v>608.5</v>
      </c>
      <c r="K1284" s="177">
        <f>SUM(K1285:K1286)</f>
        <v>430.2</v>
      </c>
      <c r="L1284" s="357">
        <f>SUM(L1285:L1286)</f>
        <v>37</v>
      </c>
      <c r="M1284" s="173" t="s">
        <v>882</v>
      </c>
      <c r="N1284" s="173" t="s">
        <v>882</v>
      </c>
      <c r="O1284" s="175" t="s">
        <v>882</v>
      </c>
      <c r="P1284" s="170">
        <v>2957426.2299999995</v>
      </c>
      <c r="Q1284" s="170">
        <f>Q1285+Q1286</f>
        <v>0</v>
      </c>
      <c r="R1284" s="170">
        <f>R1285+R1286</f>
        <v>0</v>
      </c>
      <c r="S1284" s="170">
        <f>S1285+S1286</f>
        <v>2957426.2299999995</v>
      </c>
      <c r="T1284" s="170">
        <f t="shared" si="218"/>
        <v>4437.2486571642903</v>
      </c>
      <c r="U1284" s="170">
        <f>MAX(U1285:U1286)</f>
        <v>4920.6807569141192</v>
      </c>
      <c r="V1284" s="202">
        <f t="shared" si="217"/>
        <v>483.43209974982892</v>
      </c>
      <c r="W1284" s="202"/>
      <c r="X1284" s="202"/>
      <c r="Y1284" s="203"/>
      <c r="Z1284" s="203"/>
      <c r="AA1284" s="203"/>
      <c r="AB1284" s="203"/>
      <c r="AC1284" s="203"/>
      <c r="AD1284" s="203"/>
      <c r="AE1284" s="203"/>
      <c r="AF1284" s="203"/>
      <c r="AG1284" s="203"/>
      <c r="AH1284" s="203"/>
      <c r="AI1284" s="203"/>
      <c r="AJ1284" s="203"/>
      <c r="AK1284" s="203"/>
      <c r="AL1284" s="203"/>
      <c r="AM1284" s="203"/>
      <c r="AN1284" s="203"/>
      <c r="AO1284" s="203"/>
    </row>
    <row r="1285" spans="1:191" s="144" customFormat="1" ht="36" customHeight="1" x14ac:dyDescent="0.25">
      <c r="A1285" s="176">
        <v>1</v>
      </c>
      <c r="B1285" s="171">
        <f>SUBTOTAL(103,$A$1087:A1285)</f>
        <v>172</v>
      </c>
      <c r="C1285" s="184" t="s">
        <v>1681</v>
      </c>
      <c r="D1285" s="173">
        <v>1968</v>
      </c>
      <c r="E1285" s="173"/>
      <c r="F1285" s="185" t="s">
        <v>267</v>
      </c>
      <c r="G1285" s="173">
        <v>2</v>
      </c>
      <c r="H1285" s="173" t="s">
        <v>304</v>
      </c>
      <c r="I1285" s="177">
        <v>323</v>
      </c>
      <c r="J1285" s="177">
        <v>293</v>
      </c>
      <c r="K1285" s="177">
        <v>114.7</v>
      </c>
      <c r="L1285" s="208">
        <v>17</v>
      </c>
      <c r="M1285" s="173" t="s">
        <v>265</v>
      </c>
      <c r="N1285" s="173" t="s">
        <v>337</v>
      </c>
      <c r="O1285" s="173" t="s">
        <v>339</v>
      </c>
      <c r="P1285" s="177">
        <v>1276754.0999999999</v>
      </c>
      <c r="Q1285" s="177">
        <v>0</v>
      </c>
      <c r="R1285" s="177">
        <v>0</v>
      </c>
      <c r="S1285" s="177">
        <f>P1285-Q1285-R1285</f>
        <v>1276754.0999999999</v>
      </c>
      <c r="T1285" s="170">
        <f t="shared" si="218"/>
        <v>3952.7990712074297</v>
      </c>
      <c r="U1285" s="170">
        <v>4583.2876160990709</v>
      </c>
      <c r="V1285" s="202">
        <f t="shared" si="217"/>
        <v>630.48854489164114</v>
      </c>
      <c r="W1285" s="202">
        <f>X1285+Y1285+Z1285+AA1285+AB1285+AD1285+AF1285+AH1285+AJ1285+AL1285+AN1285+AO1285</f>
        <v>4442.567492260062</v>
      </c>
      <c r="X1285" s="202">
        <v>0</v>
      </c>
      <c r="Y1285" s="203">
        <v>0</v>
      </c>
      <c r="Z1285" s="203">
        <v>0</v>
      </c>
      <c r="AA1285" s="203">
        <v>0</v>
      </c>
      <c r="AB1285" s="203">
        <v>0</v>
      </c>
      <c r="AC1285" s="203">
        <v>0</v>
      </c>
      <c r="AD1285" s="203">
        <v>0</v>
      </c>
      <c r="AE1285" s="203">
        <v>230</v>
      </c>
      <c r="AF1285" s="202">
        <f>6238.91*AE1285/I1285</f>
        <v>4442.567492260062</v>
      </c>
      <c r="AG1285" s="203">
        <v>0</v>
      </c>
      <c r="AH1285" s="202">
        <v>0</v>
      </c>
      <c r="AI1285" s="203">
        <v>0</v>
      </c>
      <c r="AJ1285" s="202">
        <v>0</v>
      </c>
      <c r="AK1285" s="203">
        <v>0</v>
      </c>
      <c r="AL1285" s="203">
        <v>0</v>
      </c>
      <c r="AM1285" s="203">
        <v>0</v>
      </c>
      <c r="AN1285" s="203"/>
      <c r="AO1285" s="203">
        <v>0</v>
      </c>
      <c r="AP1285" s="176"/>
      <c r="DQ1285" s="186"/>
      <c r="DR1285" s="186"/>
      <c r="DS1285" s="186"/>
      <c r="EP1285" s="187"/>
      <c r="FS1285" s="188"/>
      <c r="GI1285" s="189"/>
    </row>
    <row r="1286" spans="1:191" s="144" customFormat="1" ht="36" customHeight="1" x14ac:dyDescent="0.25">
      <c r="A1286" s="176">
        <v>1</v>
      </c>
      <c r="B1286" s="171">
        <f>SUBTOTAL(103,$A$1087:A1286)</f>
        <v>173</v>
      </c>
      <c r="C1286" s="184" t="s">
        <v>177</v>
      </c>
      <c r="D1286" s="173">
        <v>1970</v>
      </c>
      <c r="E1286" s="173"/>
      <c r="F1286" s="185" t="s">
        <v>267</v>
      </c>
      <c r="G1286" s="173">
        <v>2</v>
      </c>
      <c r="H1286" s="173" t="s">
        <v>304</v>
      </c>
      <c r="I1286" s="177">
        <v>343.5</v>
      </c>
      <c r="J1286" s="177">
        <v>315.5</v>
      </c>
      <c r="K1286" s="177">
        <v>315.5</v>
      </c>
      <c r="L1286" s="208">
        <v>20</v>
      </c>
      <c r="M1286" s="173" t="s">
        <v>265</v>
      </c>
      <c r="N1286" s="173" t="s">
        <v>337</v>
      </c>
      <c r="O1286" s="173" t="s">
        <v>339</v>
      </c>
      <c r="P1286" s="177">
        <v>1680672.13</v>
      </c>
      <c r="Q1286" s="177">
        <v>0</v>
      </c>
      <c r="R1286" s="177">
        <v>0</v>
      </c>
      <c r="S1286" s="177">
        <f>P1286-Q1286-R1286</f>
        <v>1680672.13</v>
      </c>
      <c r="T1286" s="170">
        <f t="shared" si="218"/>
        <v>4892.7864046579325</v>
      </c>
      <c r="U1286" s="170">
        <v>4920.6807569141192</v>
      </c>
      <c r="V1286" s="202">
        <f t="shared" si="217"/>
        <v>27.894352256186721</v>
      </c>
      <c r="W1286" s="202">
        <f>X1286+Y1286+Z1286+AA1286+AB1286+AD1286+AF1286+AH1286+AJ1286+AL1286+AN1286+AO1286</f>
        <v>4395.3892867540026</v>
      </c>
      <c r="X1286" s="202">
        <v>0</v>
      </c>
      <c r="Y1286" s="203">
        <v>0</v>
      </c>
      <c r="Z1286" s="203">
        <v>0</v>
      </c>
      <c r="AA1286" s="203">
        <v>0</v>
      </c>
      <c r="AB1286" s="203">
        <v>0</v>
      </c>
      <c r="AC1286" s="203">
        <v>0</v>
      </c>
      <c r="AD1286" s="203">
        <v>0</v>
      </c>
      <c r="AE1286" s="203">
        <v>242</v>
      </c>
      <c r="AF1286" s="202">
        <f>6238.91*AE1286/I1286</f>
        <v>4395.3892867540026</v>
      </c>
      <c r="AG1286" s="203">
        <v>0</v>
      </c>
      <c r="AH1286" s="202">
        <v>0</v>
      </c>
      <c r="AI1286" s="203">
        <v>0</v>
      </c>
      <c r="AJ1286" s="202">
        <v>0</v>
      </c>
      <c r="AK1286" s="203">
        <v>0</v>
      </c>
      <c r="AL1286" s="203">
        <v>0</v>
      </c>
      <c r="AM1286" s="203">
        <v>0</v>
      </c>
      <c r="AN1286" s="203"/>
      <c r="AO1286" s="203">
        <v>0</v>
      </c>
      <c r="AP1286" s="176"/>
      <c r="DQ1286" s="186"/>
      <c r="DR1286" s="186"/>
      <c r="DS1286" s="186"/>
      <c r="EP1286" s="187"/>
      <c r="FS1286" s="188"/>
      <c r="GI1286" s="189"/>
    </row>
    <row r="1287" spans="1:191" s="176" customFormat="1" ht="36" customHeight="1" x14ac:dyDescent="0.25">
      <c r="B1287" s="172" t="s">
        <v>828</v>
      </c>
      <c r="C1287" s="172"/>
      <c r="D1287" s="173" t="s">
        <v>882</v>
      </c>
      <c r="E1287" s="173" t="s">
        <v>882</v>
      </c>
      <c r="F1287" s="173" t="s">
        <v>882</v>
      </c>
      <c r="G1287" s="173" t="s">
        <v>882</v>
      </c>
      <c r="H1287" s="173" t="s">
        <v>882</v>
      </c>
      <c r="I1287" s="177">
        <f>I1288</f>
        <v>1217.2</v>
      </c>
      <c r="J1287" s="177">
        <f>J1288</f>
        <v>862.2</v>
      </c>
      <c r="K1287" s="177">
        <f>K1288</f>
        <v>862.2</v>
      </c>
      <c r="L1287" s="357">
        <f>L1288</f>
        <v>47</v>
      </c>
      <c r="M1287" s="173" t="s">
        <v>882</v>
      </c>
      <c r="N1287" s="173" t="s">
        <v>882</v>
      </c>
      <c r="O1287" s="175" t="s">
        <v>882</v>
      </c>
      <c r="P1287" s="170">
        <v>1486533.11</v>
      </c>
      <c r="Q1287" s="170">
        <f>Q1288</f>
        <v>0</v>
      </c>
      <c r="R1287" s="170">
        <f>R1288</f>
        <v>0</v>
      </c>
      <c r="S1287" s="170">
        <f>S1288</f>
        <v>1486533.11</v>
      </c>
      <c r="T1287" s="170">
        <f t="shared" si="218"/>
        <v>1221.2726832073613</v>
      </c>
      <c r="U1287" s="170">
        <f>U1288</f>
        <v>1480.6345711468944</v>
      </c>
      <c r="V1287" s="202">
        <f t="shared" si="217"/>
        <v>259.36188793953306</v>
      </c>
      <c r="W1287" s="202"/>
      <c r="X1287" s="202"/>
      <c r="Y1287" s="203"/>
      <c r="Z1287" s="203"/>
      <c r="AA1287" s="203"/>
      <c r="AB1287" s="203"/>
      <c r="AC1287" s="203"/>
      <c r="AD1287" s="203"/>
      <c r="AE1287" s="203"/>
      <c r="AF1287" s="203"/>
      <c r="AG1287" s="203"/>
      <c r="AH1287" s="203"/>
      <c r="AI1287" s="203"/>
      <c r="AJ1287" s="203"/>
      <c r="AK1287" s="203"/>
      <c r="AL1287" s="203"/>
      <c r="AM1287" s="203"/>
      <c r="AN1287" s="203"/>
      <c r="AO1287" s="203"/>
    </row>
    <row r="1288" spans="1:191" s="144" customFormat="1" ht="36" customHeight="1" x14ac:dyDescent="0.25">
      <c r="A1288" s="176">
        <v>1</v>
      </c>
      <c r="B1288" s="171">
        <f>SUBTOTAL(103,$A$1087:A1288)</f>
        <v>174</v>
      </c>
      <c r="C1288" s="184" t="s">
        <v>785</v>
      </c>
      <c r="D1288" s="173">
        <v>1980</v>
      </c>
      <c r="E1288" s="173"/>
      <c r="F1288" s="185" t="s">
        <v>267</v>
      </c>
      <c r="G1288" s="173">
        <v>2</v>
      </c>
      <c r="H1288" s="173" t="s">
        <v>312</v>
      </c>
      <c r="I1288" s="177">
        <v>1217.2</v>
      </c>
      <c r="J1288" s="177">
        <v>862.2</v>
      </c>
      <c r="K1288" s="177">
        <v>862.2</v>
      </c>
      <c r="L1288" s="208">
        <v>47</v>
      </c>
      <c r="M1288" s="173" t="s">
        <v>265</v>
      </c>
      <c r="N1288" s="173" t="s">
        <v>341</v>
      </c>
      <c r="O1288" s="173" t="s">
        <v>804</v>
      </c>
      <c r="P1288" s="177">
        <v>1486533.11</v>
      </c>
      <c r="Q1288" s="177">
        <v>0</v>
      </c>
      <c r="R1288" s="177">
        <v>0</v>
      </c>
      <c r="S1288" s="177">
        <f>P1288-Q1288-R1288</f>
        <v>1486533.11</v>
      </c>
      <c r="T1288" s="170">
        <f t="shared" si="218"/>
        <v>1221.2726832073613</v>
      </c>
      <c r="U1288" s="170">
        <v>1480.6345711468944</v>
      </c>
      <c r="V1288" s="202">
        <f>U1288-T1288</f>
        <v>259.36188793953306</v>
      </c>
      <c r="W1288" s="202">
        <f>X1288+Y1288+Z1288+AA1288+AB1288+AD1288+AF1288+AH1288+AJ1288+AL1288+AN1288+AO1288</f>
        <v>1435.1748274728886</v>
      </c>
      <c r="X1288" s="202">
        <v>0</v>
      </c>
      <c r="Y1288" s="203">
        <v>0</v>
      </c>
      <c r="Z1288" s="203">
        <v>0</v>
      </c>
      <c r="AA1288" s="203">
        <v>0</v>
      </c>
      <c r="AB1288" s="203">
        <v>0</v>
      </c>
      <c r="AC1288" s="203">
        <v>0</v>
      </c>
      <c r="AD1288" s="203">
        <v>0</v>
      </c>
      <c r="AE1288" s="203">
        <v>280</v>
      </c>
      <c r="AF1288" s="202">
        <f>6238.91*AE1288/I1288</f>
        <v>1435.1748274728886</v>
      </c>
      <c r="AG1288" s="203">
        <v>0</v>
      </c>
      <c r="AH1288" s="202">
        <v>0</v>
      </c>
      <c r="AI1288" s="203">
        <v>0</v>
      </c>
      <c r="AJ1288" s="202">
        <v>0</v>
      </c>
      <c r="AK1288" s="203">
        <v>0</v>
      </c>
      <c r="AL1288" s="203">
        <v>0</v>
      </c>
      <c r="AM1288" s="203">
        <v>0</v>
      </c>
      <c r="AN1288" s="203"/>
      <c r="AO1288" s="203">
        <v>0</v>
      </c>
      <c r="AP1288" s="176"/>
      <c r="DQ1288" s="186"/>
      <c r="DR1288" s="186"/>
      <c r="DS1288" s="186"/>
      <c r="EP1288" s="187"/>
      <c r="FS1288" s="188"/>
      <c r="GI1288" s="189"/>
    </row>
    <row r="1289" spans="1:191" s="176" customFormat="1" ht="36" customHeight="1" x14ac:dyDescent="0.25">
      <c r="B1289" s="172" t="s">
        <v>830</v>
      </c>
      <c r="C1289" s="359"/>
      <c r="D1289" s="173" t="s">
        <v>882</v>
      </c>
      <c r="E1289" s="173" t="s">
        <v>882</v>
      </c>
      <c r="F1289" s="173" t="s">
        <v>882</v>
      </c>
      <c r="G1289" s="173" t="s">
        <v>882</v>
      </c>
      <c r="H1289" s="173" t="s">
        <v>882</v>
      </c>
      <c r="I1289" s="177">
        <f>SUM(I1290:I1292)</f>
        <v>1774</v>
      </c>
      <c r="J1289" s="177">
        <f>SUM(J1290:J1292)</f>
        <v>1612.3</v>
      </c>
      <c r="K1289" s="177">
        <f>SUM(K1290:K1292)</f>
        <v>1526.7</v>
      </c>
      <c r="L1289" s="357">
        <f>SUM(L1290:L1292)</f>
        <v>80</v>
      </c>
      <c r="M1289" s="173" t="s">
        <v>882</v>
      </c>
      <c r="N1289" s="173" t="s">
        <v>882</v>
      </c>
      <c r="O1289" s="175" t="s">
        <v>882</v>
      </c>
      <c r="P1289" s="170">
        <v>10290828.25</v>
      </c>
      <c r="Q1289" s="170">
        <f>Q1290+Q1291+Q1292</f>
        <v>0</v>
      </c>
      <c r="R1289" s="170">
        <f>R1290+R1291+R1292</f>
        <v>0</v>
      </c>
      <c r="S1289" s="170">
        <f>S1290+S1291+S1292</f>
        <v>10290828.25</v>
      </c>
      <c r="T1289" s="170">
        <f t="shared" si="218"/>
        <v>5800.9178410372042</v>
      </c>
      <c r="U1289" s="170">
        <f>MAX(U1290:U1292)</f>
        <v>9713.7142503711038</v>
      </c>
      <c r="V1289" s="202">
        <f t="shared" si="217"/>
        <v>3912.7964093338996</v>
      </c>
      <c r="W1289" s="202"/>
      <c r="X1289" s="202"/>
      <c r="Y1289" s="203"/>
      <c r="Z1289" s="203"/>
      <c r="AA1289" s="203"/>
      <c r="AB1289" s="203"/>
      <c r="AC1289" s="203"/>
      <c r="AD1289" s="203"/>
      <c r="AE1289" s="203"/>
      <c r="AF1289" s="203"/>
      <c r="AG1289" s="203"/>
      <c r="AH1289" s="203"/>
      <c r="AI1289" s="203"/>
      <c r="AJ1289" s="203"/>
      <c r="AK1289" s="203"/>
      <c r="AL1289" s="203"/>
      <c r="AM1289" s="203"/>
      <c r="AN1289" s="203"/>
      <c r="AO1289" s="203"/>
    </row>
    <row r="1290" spans="1:191" s="144" customFormat="1" ht="36" customHeight="1" x14ac:dyDescent="0.25">
      <c r="A1290" s="176">
        <v>1</v>
      </c>
      <c r="B1290" s="171">
        <f>SUBTOTAL(103,$A$1087:A1290)</f>
        <v>175</v>
      </c>
      <c r="C1290" s="184" t="s">
        <v>85</v>
      </c>
      <c r="D1290" s="173">
        <v>1952</v>
      </c>
      <c r="E1290" s="173"/>
      <c r="F1290" s="185" t="s">
        <v>267</v>
      </c>
      <c r="G1290" s="173">
        <v>2</v>
      </c>
      <c r="H1290" s="173" t="s">
        <v>303</v>
      </c>
      <c r="I1290" s="177">
        <v>744</v>
      </c>
      <c r="J1290" s="177">
        <v>669.9</v>
      </c>
      <c r="K1290" s="177">
        <v>617</v>
      </c>
      <c r="L1290" s="208">
        <v>23</v>
      </c>
      <c r="M1290" s="173" t="s">
        <v>265</v>
      </c>
      <c r="N1290" s="173" t="s">
        <v>266</v>
      </c>
      <c r="O1290" s="173" t="s">
        <v>268</v>
      </c>
      <c r="P1290" s="177">
        <v>3665226.5</v>
      </c>
      <c r="Q1290" s="177">
        <v>0</v>
      </c>
      <c r="R1290" s="177">
        <v>0</v>
      </c>
      <c r="S1290" s="177">
        <f>P1290-Q1290-R1290</f>
        <v>3665226.5</v>
      </c>
      <c r="T1290" s="170">
        <f t="shared" si="218"/>
        <v>4926.3797043010754</v>
      </c>
      <c r="U1290" s="170">
        <v>5623.3125</v>
      </c>
      <c r="V1290" s="202">
        <f t="shared" si="217"/>
        <v>696.93279569892456</v>
      </c>
      <c r="W1290" s="202">
        <f>X1290+Y1290+Z1290+AA1290+AB1290+AD1290+AF1290+AH1290+AJ1290+AL1290+AN1290+AO1290</f>
        <v>5450.6606182795695</v>
      </c>
      <c r="X1290" s="202">
        <v>0</v>
      </c>
      <c r="Y1290" s="203">
        <v>0</v>
      </c>
      <c r="Z1290" s="203">
        <v>0</v>
      </c>
      <c r="AA1290" s="203">
        <v>0</v>
      </c>
      <c r="AB1290" s="203">
        <v>0</v>
      </c>
      <c r="AC1290" s="203">
        <v>0</v>
      </c>
      <c r="AD1290" s="203">
        <v>0</v>
      </c>
      <c r="AE1290" s="203">
        <v>650</v>
      </c>
      <c r="AF1290" s="202">
        <f>6238.91*AE1290/I1290</f>
        <v>5450.6606182795695</v>
      </c>
      <c r="AG1290" s="203">
        <v>0</v>
      </c>
      <c r="AH1290" s="202">
        <v>0</v>
      </c>
      <c r="AI1290" s="203">
        <v>0</v>
      </c>
      <c r="AJ1290" s="202">
        <v>0</v>
      </c>
      <c r="AK1290" s="203">
        <v>0</v>
      </c>
      <c r="AL1290" s="203">
        <v>0</v>
      </c>
      <c r="AM1290" s="203">
        <v>0</v>
      </c>
      <c r="AN1290" s="203"/>
      <c r="AO1290" s="203">
        <v>0</v>
      </c>
      <c r="AP1290" s="176"/>
      <c r="DQ1290" s="186"/>
      <c r="DR1290" s="186"/>
      <c r="DS1290" s="186"/>
      <c r="EP1290" s="187"/>
      <c r="FS1290" s="188"/>
      <c r="GI1290" s="189"/>
    </row>
    <row r="1291" spans="1:191" s="144" customFormat="1" ht="36" customHeight="1" x14ac:dyDescent="0.25">
      <c r="A1291" s="176">
        <v>1</v>
      </c>
      <c r="B1291" s="171">
        <f>SUBTOTAL(103,$A$1087:A1291)</f>
        <v>176</v>
      </c>
      <c r="C1291" s="184" t="s">
        <v>86</v>
      </c>
      <c r="D1291" s="173">
        <v>1951</v>
      </c>
      <c r="E1291" s="173"/>
      <c r="F1291" s="185" t="s">
        <v>267</v>
      </c>
      <c r="G1291" s="173">
        <v>2</v>
      </c>
      <c r="H1291" s="173" t="s">
        <v>303</v>
      </c>
      <c r="I1291" s="177">
        <v>625.79999999999995</v>
      </c>
      <c r="J1291" s="177">
        <v>578.70000000000005</v>
      </c>
      <c r="K1291" s="177">
        <v>546</v>
      </c>
      <c r="L1291" s="208">
        <v>42</v>
      </c>
      <c r="M1291" s="173" t="s">
        <v>265</v>
      </c>
      <c r="N1291" s="173" t="s">
        <v>266</v>
      </c>
      <c r="O1291" s="173" t="s">
        <v>268</v>
      </c>
      <c r="P1291" s="177">
        <v>3185927.6500000004</v>
      </c>
      <c r="Q1291" s="177">
        <v>0</v>
      </c>
      <c r="R1291" s="177">
        <v>0</v>
      </c>
      <c r="S1291" s="177">
        <f>P1291-Q1291-R1291</f>
        <v>3185927.6500000004</v>
      </c>
      <c r="T1291" s="170">
        <f t="shared" si="218"/>
        <v>5090.9678012144468</v>
      </c>
      <c r="U1291" s="170">
        <v>5811.1848034515815</v>
      </c>
      <c r="V1291" s="202">
        <f t="shared" si="217"/>
        <v>720.21700223713469</v>
      </c>
      <c r="W1291" s="202">
        <f>X1291+Y1291+Z1291+AA1291+AB1291+AD1291+AF1291+AH1291+AJ1291+AL1291+AN1291+AO1291</f>
        <v>5632.7647011824865</v>
      </c>
      <c r="X1291" s="202">
        <v>0</v>
      </c>
      <c r="Y1291" s="203">
        <v>0</v>
      </c>
      <c r="Z1291" s="203">
        <v>0</v>
      </c>
      <c r="AA1291" s="203">
        <v>0</v>
      </c>
      <c r="AB1291" s="203">
        <v>0</v>
      </c>
      <c r="AC1291" s="203">
        <v>0</v>
      </c>
      <c r="AD1291" s="203">
        <v>0</v>
      </c>
      <c r="AE1291" s="203">
        <v>565</v>
      </c>
      <c r="AF1291" s="202">
        <f>6238.91*AE1291/I1291</f>
        <v>5632.7647011824865</v>
      </c>
      <c r="AG1291" s="203">
        <v>0</v>
      </c>
      <c r="AH1291" s="202">
        <v>0</v>
      </c>
      <c r="AI1291" s="203">
        <v>0</v>
      </c>
      <c r="AJ1291" s="202">
        <v>0</v>
      </c>
      <c r="AK1291" s="203">
        <v>0</v>
      </c>
      <c r="AL1291" s="203">
        <v>0</v>
      </c>
      <c r="AM1291" s="203">
        <v>0</v>
      </c>
      <c r="AN1291" s="203"/>
      <c r="AO1291" s="203">
        <v>0</v>
      </c>
      <c r="AP1291" s="176"/>
      <c r="DQ1291" s="186"/>
      <c r="DR1291" s="186"/>
      <c r="DS1291" s="186"/>
      <c r="EP1291" s="187"/>
      <c r="FS1291" s="188"/>
      <c r="GI1291" s="189"/>
    </row>
    <row r="1292" spans="1:191" s="144" customFormat="1" ht="36" customHeight="1" x14ac:dyDescent="0.25">
      <c r="A1292" s="176">
        <v>1</v>
      </c>
      <c r="B1292" s="171">
        <f>SUBTOTAL(103,$A$1087:A1292)</f>
        <v>177</v>
      </c>
      <c r="C1292" s="184" t="s">
        <v>84</v>
      </c>
      <c r="D1292" s="173">
        <v>1951</v>
      </c>
      <c r="E1292" s="173"/>
      <c r="F1292" s="185" t="s">
        <v>267</v>
      </c>
      <c r="G1292" s="173">
        <v>2</v>
      </c>
      <c r="H1292" s="173" t="s">
        <v>303</v>
      </c>
      <c r="I1292" s="177">
        <v>404.2</v>
      </c>
      <c r="J1292" s="177">
        <v>363.7</v>
      </c>
      <c r="K1292" s="177">
        <v>363.7</v>
      </c>
      <c r="L1292" s="208">
        <v>15</v>
      </c>
      <c r="M1292" s="173" t="s">
        <v>265</v>
      </c>
      <c r="N1292" s="173" t="s">
        <v>266</v>
      </c>
      <c r="O1292" s="173" t="s">
        <v>268</v>
      </c>
      <c r="P1292" s="177">
        <v>3439674.1</v>
      </c>
      <c r="Q1292" s="177">
        <v>0</v>
      </c>
      <c r="R1292" s="177">
        <v>0</v>
      </c>
      <c r="S1292" s="177">
        <f>P1292-Q1292-R1292</f>
        <v>3439674.1</v>
      </c>
      <c r="T1292" s="170">
        <f t="shared" si="218"/>
        <v>8509.8320138545278</v>
      </c>
      <c r="U1292" s="170">
        <v>9713.7142503711038</v>
      </c>
      <c r="V1292" s="202">
        <f t="shared" si="217"/>
        <v>1203.8822365165761</v>
      </c>
      <c r="W1292" s="202">
        <f>X1292+Y1292+Z1292+AA1292+AB1292+AD1292+AF1292+AH1292+AJ1292+AL1292+AN1292+AO1292</f>
        <v>9415.4752597723909</v>
      </c>
      <c r="X1292" s="202">
        <v>0</v>
      </c>
      <c r="Y1292" s="203">
        <v>0</v>
      </c>
      <c r="Z1292" s="203">
        <v>0</v>
      </c>
      <c r="AA1292" s="203">
        <v>0</v>
      </c>
      <c r="AB1292" s="203">
        <v>0</v>
      </c>
      <c r="AC1292" s="203">
        <v>0</v>
      </c>
      <c r="AD1292" s="203">
        <v>0</v>
      </c>
      <c r="AE1292" s="203">
        <v>610</v>
      </c>
      <c r="AF1292" s="202">
        <f>6238.91*AE1292/I1292</f>
        <v>9415.4752597723909</v>
      </c>
      <c r="AG1292" s="203">
        <v>0</v>
      </c>
      <c r="AH1292" s="202">
        <v>0</v>
      </c>
      <c r="AI1292" s="203">
        <v>0</v>
      </c>
      <c r="AJ1292" s="202">
        <v>0</v>
      </c>
      <c r="AK1292" s="203">
        <v>0</v>
      </c>
      <c r="AL1292" s="203">
        <v>0</v>
      </c>
      <c r="AM1292" s="203">
        <v>0</v>
      </c>
      <c r="AN1292" s="203"/>
      <c r="AO1292" s="203">
        <v>0</v>
      </c>
      <c r="AP1292" s="176"/>
      <c r="DQ1292" s="186"/>
      <c r="DR1292" s="186"/>
      <c r="DS1292" s="186"/>
      <c r="EP1292" s="187"/>
      <c r="FS1292" s="188"/>
      <c r="GI1292" s="189"/>
    </row>
    <row r="1293" spans="1:191" s="176" customFormat="1" ht="36" customHeight="1" x14ac:dyDescent="0.25">
      <c r="B1293" s="172" t="s">
        <v>831</v>
      </c>
      <c r="C1293" s="172"/>
      <c r="D1293" s="173" t="s">
        <v>882</v>
      </c>
      <c r="E1293" s="173" t="s">
        <v>882</v>
      </c>
      <c r="F1293" s="173" t="s">
        <v>882</v>
      </c>
      <c r="G1293" s="173" t="s">
        <v>882</v>
      </c>
      <c r="H1293" s="173" t="s">
        <v>882</v>
      </c>
      <c r="I1293" s="177">
        <f>I1294</f>
        <v>609</v>
      </c>
      <c r="J1293" s="177">
        <f>J1294</f>
        <v>579</v>
      </c>
      <c r="K1293" s="177">
        <f>K1294</f>
        <v>387.6</v>
      </c>
      <c r="L1293" s="357">
        <f>L1294</f>
        <v>32</v>
      </c>
      <c r="M1293" s="173" t="s">
        <v>882</v>
      </c>
      <c r="N1293" s="173" t="s">
        <v>882</v>
      </c>
      <c r="O1293" s="175" t="s">
        <v>882</v>
      </c>
      <c r="P1293" s="170">
        <v>3013803.8600000003</v>
      </c>
      <c r="Q1293" s="170">
        <f>Q1294</f>
        <v>0</v>
      </c>
      <c r="R1293" s="170">
        <f>R1294</f>
        <v>0</v>
      </c>
      <c r="S1293" s="170">
        <f>S1294</f>
        <v>3013803.8600000003</v>
      </c>
      <c r="T1293" s="170">
        <f t="shared" si="218"/>
        <v>4948.7748111658466</v>
      </c>
      <c r="U1293" s="170">
        <f>U1294</f>
        <v>6193.4426600985225</v>
      </c>
      <c r="V1293" s="202">
        <f t="shared" si="217"/>
        <v>1244.667848932676</v>
      </c>
      <c r="W1293" s="202"/>
      <c r="X1293" s="202"/>
      <c r="Y1293" s="203"/>
      <c r="Z1293" s="203"/>
      <c r="AA1293" s="203"/>
      <c r="AB1293" s="203"/>
      <c r="AC1293" s="203"/>
      <c r="AD1293" s="203"/>
      <c r="AE1293" s="203"/>
      <c r="AF1293" s="203"/>
      <c r="AG1293" s="203"/>
      <c r="AH1293" s="203"/>
      <c r="AI1293" s="203"/>
      <c r="AJ1293" s="203"/>
      <c r="AK1293" s="203"/>
      <c r="AL1293" s="203"/>
      <c r="AM1293" s="203"/>
      <c r="AN1293" s="203"/>
      <c r="AO1293" s="203"/>
    </row>
    <row r="1294" spans="1:191" s="144" customFormat="1" ht="36" customHeight="1" x14ac:dyDescent="0.25">
      <c r="A1294" s="176">
        <v>1</v>
      </c>
      <c r="B1294" s="171">
        <f>SUBTOTAL(103,$A$1087:A1294)</f>
        <v>178</v>
      </c>
      <c r="C1294" s="184" t="s">
        <v>88</v>
      </c>
      <c r="D1294" s="173">
        <v>1967</v>
      </c>
      <c r="E1294" s="173"/>
      <c r="F1294" s="185" t="s">
        <v>267</v>
      </c>
      <c r="G1294" s="173">
        <v>2</v>
      </c>
      <c r="H1294" s="173" t="s">
        <v>303</v>
      </c>
      <c r="I1294" s="177">
        <v>609</v>
      </c>
      <c r="J1294" s="177">
        <v>579</v>
      </c>
      <c r="K1294" s="177">
        <v>387.6</v>
      </c>
      <c r="L1294" s="208">
        <v>32</v>
      </c>
      <c r="M1294" s="173" t="s">
        <v>265</v>
      </c>
      <c r="N1294" s="173" t="s">
        <v>266</v>
      </c>
      <c r="O1294" s="173" t="s">
        <v>268</v>
      </c>
      <c r="P1294" s="177">
        <v>3013803.8600000003</v>
      </c>
      <c r="Q1294" s="177">
        <v>0</v>
      </c>
      <c r="R1294" s="177">
        <v>0</v>
      </c>
      <c r="S1294" s="177">
        <f>P1294-Q1294-R1294</f>
        <v>3013803.8600000003</v>
      </c>
      <c r="T1294" s="170">
        <f t="shared" si="218"/>
        <v>4948.7748111658466</v>
      </c>
      <c r="U1294" s="170">
        <v>6193.4426600985225</v>
      </c>
      <c r="V1294" s="202">
        <f>U1294-T1294</f>
        <v>1244.667848932676</v>
      </c>
      <c r="W1294" s="202">
        <f>X1294+Y1294+Z1294+AA1294+AB1294+AD1294+AF1294+AH1294+AJ1294+AL1294+AN1294+AO1294</f>
        <v>6003.286141215106</v>
      </c>
      <c r="X1294" s="202">
        <v>0</v>
      </c>
      <c r="Y1294" s="203">
        <v>0</v>
      </c>
      <c r="Z1294" s="203">
        <v>0</v>
      </c>
      <c r="AA1294" s="203">
        <v>0</v>
      </c>
      <c r="AB1294" s="203">
        <v>0</v>
      </c>
      <c r="AC1294" s="203">
        <v>0</v>
      </c>
      <c r="AD1294" s="203">
        <v>0</v>
      </c>
      <c r="AE1294" s="203">
        <v>586</v>
      </c>
      <c r="AF1294" s="202">
        <f>6238.91*AE1294/I1294</f>
        <v>6003.286141215106</v>
      </c>
      <c r="AG1294" s="203">
        <v>0</v>
      </c>
      <c r="AH1294" s="202">
        <v>0</v>
      </c>
      <c r="AI1294" s="203">
        <v>0</v>
      </c>
      <c r="AJ1294" s="202">
        <v>0</v>
      </c>
      <c r="AK1294" s="203">
        <v>0</v>
      </c>
      <c r="AL1294" s="203">
        <v>0</v>
      </c>
      <c r="AM1294" s="203">
        <v>0</v>
      </c>
      <c r="AN1294" s="203"/>
      <c r="AO1294" s="203">
        <v>0</v>
      </c>
      <c r="AP1294" s="176"/>
      <c r="DQ1294" s="186"/>
      <c r="DR1294" s="186"/>
      <c r="DS1294" s="186"/>
      <c r="EP1294" s="187"/>
      <c r="FS1294" s="188"/>
      <c r="GI1294" s="189"/>
    </row>
    <row r="1295" spans="1:191" s="176" customFormat="1" ht="36" customHeight="1" x14ac:dyDescent="0.25">
      <c r="B1295" s="172" t="s">
        <v>880</v>
      </c>
      <c r="C1295" s="172"/>
      <c r="D1295" s="173" t="s">
        <v>882</v>
      </c>
      <c r="E1295" s="173" t="s">
        <v>882</v>
      </c>
      <c r="F1295" s="173" t="s">
        <v>882</v>
      </c>
      <c r="G1295" s="173" t="s">
        <v>882</v>
      </c>
      <c r="H1295" s="173" t="s">
        <v>882</v>
      </c>
      <c r="I1295" s="177">
        <f>I1296</f>
        <v>616.20000000000005</v>
      </c>
      <c r="J1295" s="177">
        <f>J1296</f>
        <v>540.1</v>
      </c>
      <c r="K1295" s="177">
        <f>K1296</f>
        <v>315</v>
      </c>
      <c r="L1295" s="357">
        <f>L1296</f>
        <v>21</v>
      </c>
      <c r="M1295" s="173" t="s">
        <v>882</v>
      </c>
      <c r="N1295" s="173" t="s">
        <v>882</v>
      </c>
      <c r="O1295" s="175" t="s">
        <v>882</v>
      </c>
      <c r="P1295" s="170">
        <v>2036502</v>
      </c>
      <c r="Q1295" s="170">
        <f>Q1296</f>
        <v>0</v>
      </c>
      <c r="R1295" s="170">
        <f>R1296</f>
        <v>0</v>
      </c>
      <c r="S1295" s="170">
        <f>S1296</f>
        <v>2036502</v>
      </c>
      <c r="T1295" s="170">
        <f t="shared" si="218"/>
        <v>3304.9367088607592</v>
      </c>
      <c r="U1295" s="170">
        <f>U1296</f>
        <v>4073.7531645569611</v>
      </c>
      <c r="V1295" s="202">
        <f t="shared" si="217"/>
        <v>768.81645569620196</v>
      </c>
      <c r="W1295" s="202"/>
      <c r="X1295" s="202"/>
      <c r="Y1295" s="203"/>
      <c r="Z1295" s="203"/>
      <c r="AA1295" s="203"/>
      <c r="AB1295" s="203"/>
      <c r="AC1295" s="203"/>
      <c r="AD1295" s="203"/>
      <c r="AE1295" s="203"/>
      <c r="AF1295" s="203"/>
      <c r="AG1295" s="203"/>
      <c r="AH1295" s="203"/>
      <c r="AI1295" s="203"/>
      <c r="AJ1295" s="203"/>
      <c r="AK1295" s="203"/>
      <c r="AL1295" s="203"/>
      <c r="AM1295" s="203"/>
      <c r="AN1295" s="203"/>
      <c r="AO1295" s="203"/>
    </row>
    <row r="1296" spans="1:191" s="144" customFormat="1" ht="36" customHeight="1" x14ac:dyDescent="0.25">
      <c r="A1296" s="176">
        <v>1</v>
      </c>
      <c r="B1296" s="171">
        <f>SUBTOTAL(103,$A$1087:A1296)</f>
        <v>179</v>
      </c>
      <c r="C1296" s="184" t="s">
        <v>87</v>
      </c>
      <c r="D1296" s="173">
        <v>1982</v>
      </c>
      <c r="E1296" s="173"/>
      <c r="F1296" s="185" t="s">
        <v>267</v>
      </c>
      <c r="G1296" s="173">
        <v>2</v>
      </c>
      <c r="H1296" s="173" t="s">
        <v>303</v>
      </c>
      <c r="I1296" s="177">
        <v>616.20000000000005</v>
      </c>
      <c r="J1296" s="177">
        <v>540.1</v>
      </c>
      <c r="K1296" s="177">
        <v>315</v>
      </c>
      <c r="L1296" s="208">
        <v>21</v>
      </c>
      <c r="M1296" s="173" t="s">
        <v>265</v>
      </c>
      <c r="N1296" s="173" t="s">
        <v>266</v>
      </c>
      <c r="O1296" s="173" t="s">
        <v>268</v>
      </c>
      <c r="P1296" s="177">
        <v>2036502</v>
      </c>
      <c r="Q1296" s="177">
        <v>0</v>
      </c>
      <c r="R1296" s="177">
        <v>0</v>
      </c>
      <c r="S1296" s="177">
        <f>P1296-Q1296-R1296</f>
        <v>2036502</v>
      </c>
      <c r="T1296" s="170">
        <f t="shared" si="218"/>
        <v>3304.9367088607592</v>
      </c>
      <c r="U1296" s="170">
        <v>4073.7531645569611</v>
      </c>
      <c r="V1296" s="202">
        <f>U1296-T1296</f>
        <v>768.81645569620196</v>
      </c>
      <c r="W1296" s="202">
        <f>X1296+Y1296+Z1296+AA1296+AB1296+AD1296+AF1296+AH1296+AJ1296+AL1296+AN1296+AO1296</f>
        <v>3948.6772151898731</v>
      </c>
      <c r="X1296" s="202">
        <v>0</v>
      </c>
      <c r="Y1296" s="203">
        <v>0</v>
      </c>
      <c r="Z1296" s="203">
        <v>0</v>
      </c>
      <c r="AA1296" s="203">
        <v>0</v>
      </c>
      <c r="AB1296" s="203">
        <v>0</v>
      </c>
      <c r="AC1296" s="203">
        <v>0</v>
      </c>
      <c r="AD1296" s="203">
        <v>0</v>
      </c>
      <c r="AE1296" s="203">
        <v>390</v>
      </c>
      <c r="AF1296" s="202">
        <f>6238.91*AE1296/I1296</f>
        <v>3948.6772151898731</v>
      </c>
      <c r="AG1296" s="203">
        <v>0</v>
      </c>
      <c r="AH1296" s="202">
        <v>0</v>
      </c>
      <c r="AI1296" s="203">
        <v>0</v>
      </c>
      <c r="AJ1296" s="202">
        <v>0</v>
      </c>
      <c r="AK1296" s="203">
        <v>0</v>
      </c>
      <c r="AL1296" s="203">
        <v>0</v>
      </c>
      <c r="AM1296" s="203">
        <v>0</v>
      </c>
      <c r="AN1296" s="203"/>
      <c r="AO1296" s="203">
        <v>0</v>
      </c>
      <c r="AP1296" s="176"/>
      <c r="DQ1296" s="186"/>
      <c r="DR1296" s="186"/>
      <c r="DS1296" s="186"/>
      <c r="EP1296" s="187"/>
      <c r="FS1296" s="188"/>
      <c r="GI1296" s="189"/>
    </row>
    <row r="1297" spans="1:191" s="176" customFormat="1" ht="36" customHeight="1" x14ac:dyDescent="0.25">
      <c r="B1297" s="172" t="s">
        <v>832</v>
      </c>
      <c r="C1297" s="359"/>
      <c r="D1297" s="173" t="s">
        <v>882</v>
      </c>
      <c r="E1297" s="173" t="s">
        <v>882</v>
      </c>
      <c r="F1297" s="173" t="s">
        <v>882</v>
      </c>
      <c r="G1297" s="173" t="s">
        <v>882</v>
      </c>
      <c r="H1297" s="173" t="s">
        <v>882</v>
      </c>
      <c r="I1297" s="177">
        <f>I1298</f>
        <v>772.9</v>
      </c>
      <c r="J1297" s="177">
        <f>J1298</f>
        <v>728.9</v>
      </c>
      <c r="K1297" s="177">
        <f>K1298</f>
        <v>650.20000000000005</v>
      </c>
      <c r="L1297" s="357">
        <f>L1298</f>
        <v>30</v>
      </c>
      <c r="M1297" s="173" t="s">
        <v>882</v>
      </c>
      <c r="N1297" s="173" t="s">
        <v>882</v>
      </c>
      <c r="O1297" s="175" t="s">
        <v>882</v>
      </c>
      <c r="P1297" s="170">
        <v>3592598.4</v>
      </c>
      <c r="Q1297" s="170">
        <f>Q1298</f>
        <v>0</v>
      </c>
      <c r="R1297" s="170">
        <f>R1298</f>
        <v>0</v>
      </c>
      <c r="S1297" s="170">
        <f>S1298</f>
        <v>3592598.4</v>
      </c>
      <c r="T1297" s="170">
        <f t="shared" si="218"/>
        <v>4648.2059774873851</v>
      </c>
      <c r="U1297" s="170">
        <f>U1298</f>
        <v>5729.5027041014355</v>
      </c>
      <c r="V1297" s="202">
        <f t="shared" si="217"/>
        <v>1081.2967266140504</v>
      </c>
      <c r="W1297" s="202"/>
      <c r="X1297" s="202"/>
      <c r="Y1297" s="203"/>
      <c r="Z1297" s="203"/>
      <c r="AA1297" s="203"/>
      <c r="AB1297" s="203"/>
      <c r="AC1297" s="203"/>
      <c r="AD1297" s="203"/>
      <c r="AE1297" s="203"/>
      <c r="AF1297" s="203"/>
      <c r="AG1297" s="203"/>
      <c r="AH1297" s="203"/>
      <c r="AI1297" s="203"/>
      <c r="AJ1297" s="203"/>
      <c r="AK1297" s="203"/>
      <c r="AL1297" s="203"/>
      <c r="AM1297" s="203"/>
      <c r="AN1297" s="203"/>
      <c r="AO1297" s="203"/>
    </row>
    <row r="1298" spans="1:191" s="144" customFormat="1" ht="36" customHeight="1" x14ac:dyDescent="0.25">
      <c r="A1298" s="176">
        <v>1</v>
      </c>
      <c r="B1298" s="171">
        <f>SUBTOTAL(103,$A$1087:A1298)</f>
        <v>180</v>
      </c>
      <c r="C1298" s="184" t="s">
        <v>108</v>
      </c>
      <c r="D1298" s="173">
        <v>1971</v>
      </c>
      <c r="E1298" s="173"/>
      <c r="F1298" s="185" t="s">
        <v>267</v>
      </c>
      <c r="G1298" s="173">
        <v>2</v>
      </c>
      <c r="H1298" s="173" t="s">
        <v>304</v>
      </c>
      <c r="I1298" s="177">
        <v>772.9</v>
      </c>
      <c r="J1298" s="177">
        <v>728.9</v>
      </c>
      <c r="K1298" s="177">
        <v>650.20000000000005</v>
      </c>
      <c r="L1298" s="208">
        <v>30</v>
      </c>
      <c r="M1298" s="173" t="s">
        <v>265</v>
      </c>
      <c r="N1298" s="173" t="s">
        <v>266</v>
      </c>
      <c r="O1298" s="173" t="s">
        <v>268</v>
      </c>
      <c r="P1298" s="177">
        <v>3592598.4</v>
      </c>
      <c r="Q1298" s="177">
        <v>0</v>
      </c>
      <c r="R1298" s="177">
        <v>0</v>
      </c>
      <c r="S1298" s="177">
        <f>P1298-Q1298-R1298</f>
        <v>3592598.4</v>
      </c>
      <c r="T1298" s="170">
        <f t="shared" si="218"/>
        <v>4648.2059774873851</v>
      </c>
      <c r="U1298" s="170">
        <v>5729.5027041014355</v>
      </c>
      <c r="V1298" s="202">
        <f>U1298-T1298</f>
        <v>1081.2967266140504</v>
      </c>
      <c r="W1298" s="202">
        <f>X1298+Y1298+Z1298+AA1298+AB1298+AD1298+AF1298+AH1298+AJ1298+AL1298+AN1298+AO1298</f>
        <v>5553.5904774226938</v>
      </c>
      <c r="X1298" s="202">
        <v>0</v>
      </c>
      <c r="Y1298" s="203">
        <v>0</v>
      </c>
      <c r="Z1298" s="203">
        <v>0</v>
      </c>
      <c r="AA1298" s="203">
        <v>0</v>
      </c>
      <c r="AB1298" s="203">
        <v>0</v>
      </c>
      <c r="AC1298" s="203">
        <v>0</v>
      </c>
      <c r="AD1298" s="203">
        <v>0</v>
      </c>
      <c r="AE1298" s="203">
        <v>688</v>
      </c>
      <c r="AF1298" s="202">
        <f>6238.91*AE1298/I1298</f>
        <v>5553.5904774226938</v>
      </c>
      <c r="AG1298" s="203">
        <v>0</v>
      </c>
      <c r="AH1298" s="202">
        <v>0</v>
      </c>
      <c r="AI1298" s="203">
        <v>0</v>
      </c>
      <c r="AJ1298" s="202">
        <v>0</v>
      </c>
      <c r="AK1298" s="203">
        <v>0</v>
      </c>
      <c r="AL1298" s="203">
        <v>0</v>
      </c>
      <c r="AM1298" s="203">
        <v>0</v>
      </c>
      <c r="AN1298" s="203"/>
      <c r="AO1298" s="203">
        <v>0</v>
      </c>
      <c r="AP1298" s="176"/>
      <c r="DQ1298" s="186"/>
      <c r="DR1298" s="186"/>
      <c r="DS1298" s="186"/>
      <c r="EP1298" s="187"/>
      <c r="FS1298" s="188"/>
      <c r="GI1298" s="189"/>
    </row>
    <row r="1299" spans="1:191" s="176" customFormat="1" ht="36" customHeight="1" x14ac:dyDescent="0.25">
      <c r="B1299" s="172" t="s">
        <v>867</v>
      </c>
      <c r="C1299" s="172"/>
      <c r="D1299" s="173" t="s">
        <v>743</v>
      </c>
      <c r="E1299" s="173" t="s">
        <v>743</v>
      </c>
      <c r="F1299" s="173" t="s">
        <v>743</v>
      </c>
      <c r="G1299" s="173" t="s">
        <v>743</v>
      </c>
      <c r="H1299" s="173" t="s">
        <v>743</v>
      </c>
      <c r="I1299" s="177">
        <f>I1300</f>
        <v>976.3</v>
      </c>
      <c r="J1299" s="177">
        <f>J1300</f>
        <v>976.3</v>
      </c>
      <c r="K1299" s="177">
        <f>K1300</f>
        <v>880.1</v>
      </c>
      <c r="L1299" s="357">
        <f>L1300</f>
        <v>36</v>
      </c>
      <c r="M1299" s="173" t="s">
        <v>882</v>
      </c>
      <c r="N1299" s="173" t="s">
        <v>882</v>
      </c>
      <c r="O1299" s="175" t="s">
        <v>882</v>
      </c>
      <c r="P1299" s="170">
        <v>4454195.3999999994</v>
      </c>
      <c r="Q1299" s="170">
        <f>Q1300</f>
        <v>0</v>
      </c>
      <c r="R1299" s="170">
        <f>R1300</f>
        <v>0</v>
      </c>
      <c r="S1299" s="170">
        <f>S1300</f>
        <v>4454195.3999999994</v>
      </c>
      <c r="T1299" s="170">
        <f t="shared" si="218"/>
        <v>4562.3224418723748</v>
      </c>
      <c r="U1299" s="170">
        <f>U1300</f>
        <v>5623.6403666905662</v>
      </c>
      <c r="V1299" s="202">
        <f t="shared" si="217"/>
        <v>1061.3179248181914</v>
      </c>
      <c r="W1299" s="202"/>
      <c r="X1299" s="202"/>
      <c r="Y1299" s="203"/>
      <c r="Z1299" s="203"/>
      <c r="AA1299" s="203"/>
      <c r="AB1299" s="203"/>
      <c r="AC1299" s="203"/>
      <c r="AD1299" s="203"/>
      <c r="AE1299" s="203"/>
      <c r="AF1299" s="203"/>
      <c r="AG1299" s="203"/>
      <c r="AH1299" s="203"/>
      <c r="AI1299" s="203"/>
      <c r="AJ1299" s="203"/>
      <c r="AK1299" s="203"/>
      <c r="AL1299" s="203"/>
      <c r="AM1299" s="203"/>
      <c r="AN1299" s="203"/>
      <c r="AO1299" s="203"/>
    </row>
    <row r="1300" spans="1:191" s="144" customFormat="1" ht="36" customHeight="1" x14ac:dyDescent="0.25">
      <c r="A1300" s="176">
        <v>1</v>
      </c>
      <c r="B1300" s="171">
        <f>SUBTOTAL(103,$A$1087:A1300)</f>
        <v>181</v>
      </c>
      <c r="C1300" s="184" t="s">
        <v>110</v>
      </c>
      <c r="D1300" s="173">
        <v>1987</v>
      </c>
      <c r="E1300" s="173"/>
      <c r="F1300" s="185" t="s">
        <v>267</v>
      </c>
      <c r="G1300" s="173">
        <v>2</v>
      </c>
      <c r="H1300" s="173" t="s">
        <v>312</v>
      </c>
      <c r="I1300" s="177">
        <v>976.3</v>
      </c>
      <c r="J1300" s="177">
        <v>976.3</v>
      </c>
      <c r="K1300" s="177">
        <v>880.1</v>
      </c>
      <c r="L1300" s="208">
        <v>36</v>
      </c>
      <c r="M1300" s="173" t="s">
        <v>265</v>
      </c>
      <c r="N1300" s="173" t="s">
        <v>266</v>
      </c>
      <c r="O1300" s="173" t="s">
        <v>268</v>
      </c>
      <c r="P1300" s="177">
        <v>4454195.3999999994</v>
      </c>
      <c r="Q1300" s="177">
        <v>0</v>
      </c>
      <c r="R1300" s="177">
        <v>0</v>
      </c>
      <c r="S1300" s="177">
        <f>P1300-Q1300-R1300</f>
        <v>4454195.3999999994</v>
      </c>
      <c r="T1300" s="170">
        <f t="shared" si="218"/>
        <v>4562.3224418723748</v>
      </c>
      <c r="U1300" s="170">
        <v>5623.6403666905662</v>
      </c>
      <c r="V1300" s="202">
        <f>U1300-T1300</f>
        <v>1061.3179248181914</v>
      </c>
      <c r="W1300" s="202">
        <f>X1300+Y1300+Z1300+AA1300+AB1300+AD1300+AF1300+AH1300+AJ1300+AL1300+AN1300+AO1300</f>
        <v>5450.9784185188973</v>
      </c>
      <c r="X1300" s="202">
        <v>0</v>
      </c>
      <c r="Y1300" s="203">
        <v>0</v>
      </c>
      <c r="Z1300" s="203">
        <v>0</v>
      </c>
      <c r="AA1300" s="203">
        <v>0</v>
      </c>
      <c r="AB1300" s="203">
        <v>0</v>
      </c>
      <c r="AC1300" s="203">
        <v>0</v>
      </c>
      <c r="AD1300" s="203">
        <v>0</v>
      </c>
      <c r="AE1300" s="203">
        <v>853</v>
      </c>
      <c r="AF1300" s="202">
        <f>6238.91*AE1300/I1300</f>
        <v>5450.9784185188973</v>
      </c>
      <c r="AG1300" s="203">
        <v>0</v>
      </c>
      <c r="AH1300" s="202">
        <v>0</v>
      </c>
      <c r="AI1300" s="203">
        <v>0</v>
      </c>
      <c r="AJ1300" s="202">
        <v>0</v>
      </c>
      <c r="AK1300" s="203">
        <v>0</v>
      </c>
      <c r="AL1300" s="203">
        <v>0</v>
      </c>
      <c r="AM1300" s="203">
        <v>0</v>
      </c>
      <c r="AN1300" s="203"/>
      <c r="AO1300" s="203">
        <v>0</v>
      </c>
      <c r="AP1300" s="176"/>
      <c r="DQ1300" s="186"/>
      <c r="DR1300" s="186"/>
      <c r="DS1300" s="186"/>
      <c r="EP1300" s="187"/>
      <c r="FS1300" s="188"/>
      <c r="GI1300" s="189"/>
    </row>
    <row r="1301" spans="1:191" s="176" customFormat="1" ht="36" customHeight="1" x14ac:dyDescent="0.25">
      <c r="B1301" s="172" t="s">
        <v>881</v>
      </c>
      <c r="C1301" s="359"/>
      <c r="D1301" s="173" t="s">
        <v>743</v>
      </c>
      <c r="E1301" s="173" t="s">
        <v>743</v>
      </c>
      <c r="F1301" s="173" t="s">
        <v>743</v>
      </c>
      <c r="G1301" s="173" t="s">
        <v>743</v>
      </c>
      <c r="H1301" s="173" t="s">
        <v>743</v>
      </c>
      <c r="I1301" s="177">
        <f>I1302</f>
        <v>781.7</v>
      </c>
      <c r="J1301" s="177">
        <f>J1302</f>
        <v>781.7</v>
      </c>
      <c r="K1301" s="177">
        <f>K1302</f>
        <v>505.6</v>
      </c>
      <c r="L1301" s="357">
        <f>L1302</f>
        <v>40</v>
      </c>
      <c r="M1301" s="173" t="s">
        <v>882</v>
      </c>
      <c r="N1301" s="173" t="s">
        <v>882</v>
      </c>
      <c r="O1301" s="175" t="s">
        <v>882</v>
      </c>
      <c r="P1301" s="170">
        <v>5304624.57</v>
      </c>
      <c r="Q1301" s="170">
        <f>Q1302</f>
        <v>0</v>
      </c>
      <c r="R1301" s="170">
        <f>R1302</f>
        <v>0</v>
      </c>
      <c r="S1301" s="170">
        <f>S1302</f>
        <v>5304624.57</v>
      </c>
      <c r="T1301" s="170">
        <f t="shared" si="218"/>
        <v>6786.0107074325188</v>
      </c>
      <c r="U1301" s="170">
        <f>U1302</f>
        <v>7631.532685045413</v>
      </c>
      <c r="V1301" s="202">
        <f t="shared" si="217"/>
        <v>845.52197761289426</v>
      </c>
      <c r="W1301" s="202"/>
      <c r="X1301" s="202"/>
      <c r="Y1301" s="203"/>
      <c r="Z1301" s="203"/>
      <c r="AA1301" s="203"/>
      <c r="AB1301" s="203"/>
      <c r="AC1301" s="203"/>
      <c r="AD1301" s="203"/>
      <c r="AE1301" s="203"/>
      <c r="AF1301" s="203"/>
      <c r="AG1301" s="203"/>
      <c r="AH1301" s="203"/>
      <c r="AI1301" s="203"/>
      <c r="AJ1301" s="203"/>
      <c r="AK1301" s="203"/>
      <c r="AL1301" s="203"/>
      <c r="AM1301" s="203"/>
      <c r="AN1301" s="203"/>
      <c r="AO1301" s="203"/>
    </row>
    <row r="1302" spans="1:191" s="144" customFormat="1" ht="36" customHeight="1" x14ac:dyDescent="0.25">
      <c r="A1302" s="176">
        <v>1</v>
      </c>
      <c r="B1302" s="171">
        <f>SUBTOTAL(103,$A$1087:A1302)</f>
        <v>182</v>
      </c>
      <c r="C1302" s="184" t="s">
        <v>210</v>
      </c>
      <c r="D1302" s="173">
        <v>1968</v>
      </c>
      <c r="E1302" s="173"/>
      <c r="F1302" s="185" t="s">
        <v>267</v>
      </c>
      <c r="G1302" s="173">
        <v>2</v>
      </c>
      <c r="H1302" s="173" t="s">
        <v>303</v>
      </c>
      <c r="I1302" s="177">
        <v>781.7</v>
      </c>
      <c r="J1302" s="177">
        <v>781.7</v>
      </c>
      <c r="K1302" s="177">
        <v>505.6</v>
      </c>
      <c r="L1302" s="208">
        <v>40</v>
      </c>
      <c r="M1302" s="173" t="s">
        <v>265</v>
      </c>
      <c r="N1302" s="173" t="s">
        <v>269</v>
      </c>
      <c r="O1302" s="173" t="s">
        <v>331</v>
      </c>
      <c r="P1302" s="177">
        <v>5304624.57</v>
      </c>
      <c r="Q1302" s="177">
        <v>0</v>
      </c>
      <c r="R1302" s="177">
        <v>0</v>
      </c>
      <c r="S1302" s="177">
        <f>P1302-Q1302-R1302</f>
        <v>5304624.57</v>
      </c>
      <c r="T1302" s="170">
        <f t="shared" si="218"/>
        <v>6786.0107074325188</v>
      </c>
      <c r="U1302" s="170">
        <v>7631.532685045413</v>
      </c>
      <c r="V1302" s="202">
        <f>U1302-T1302</f>
        <v>845.52197761289426</v>
      </c>
      <c r="W1302" s="202">
        <f>X1302+Y1302+Z1302+AA1302+AB1302+AD1302+AF1302+AH1302+AJ1302+AL1302+AN1302+AO1302</f>
        <v>7397.2226625303829</v>
      </c>
      <c r="X1302" s="202">
        <v>0</v>
      </c>
      <c r="Y1302" s="203">
        <v>0</v>
      </c>
      <c r="Z1302" s="203">
        <v>0</v>
      </c>
      <c r="AA1302" s="203">
        <v>0</v>
      </c>
      <c r="AB1302" s="203">
        <v>0</v>
      </c>
      <c r="AC1302" s="203">
        <v>0</v>
      </c>
      <c r="AD1302" s="203">
        <v>0</v>
      </c>
      <c r="AE1302" s="203">
        <v>926.83</v>
      </c>
      <c r="AF1302" s="202">
        <f>6238.91*AE1302/I1302</f>
        <v>7397.2226625303829</v>
      </c>
      <c r="AG1302" s="203">
        <v>0</v>
      </c>
      <c r="AH1302" s="202">
        <v>0</v>
      </c>
      <c r="AI1302" s="203">
        <v>0</v>
      </c>
      <c r="AJ1302" s="202">
        <v>0</v>
      </c>
      <c r="AK1302" s="203">
        <v>0</v>
      </c>
      <c r="AL1302" s="203">
        <v>0</v>
      </c>
      <c r="AM1302" s="203">
        <v>0</v>
      </c>
      <c r="AN1302" s="203"/>
      <c r="AO1302" s="203">
        <v>0</v>
      </c>
      <c r="AP1302" s="176"/>
      <c r="DQ1302" s="186"/>
      <c r="DR1302" s="186"/>
      <c r="DS1302" s="186"/>
      <c r="EP1302" s="187"/>
      <c r="FS1302" s="188"/>
      <c r="GI1302" s="189"/>
    </row>
    <row r="1303" spans="1:191" s="176" customFormat="1" ht="36" customHeight="1" x14ac:dyDescent="0.25">
      <c r="B1303" s="172" t="s">
        <v>833</v>
      </c>
      <c r="C1303" s="359"/>
      <c r="D1303" s="173" t="s">
        <v>743</v>
      </c>
      <c r="E1303" s="173" t="s">
        <v>743</v>
      </c>
      <c r="F1303" s="173" t="s">
        <v>743</v>
      </c>
      <c r="G1303" s="173" t="s">
        <v>743</v>
      </c>
      <c r="H1303" s="173" t="s">
        <v>743</v>
      </c>
      <c r="I1303" s="177">
        <f>I1304</f>
        <v>736.7</v>
      </c>
      <c r="J1303" s="177">
        <f>J1304</f>
        <v>450.8</v>
      </c>
      <c r="K1303" s="177">
        <f>K1304</f>
        <v>447.6</v>
      </c>
      <c r="L1303" s="357">
        <f>L1304</f>
        <v>41</v>
      </c>
      <c r="M1303" s="173" t="s">
        <v>882</v>
      </c>
      <c r="N1303" s="173" t="s">
        <v>882</v>
      </c>
      <c r="O1303" s="175" t="s">
        <v>882</v>
      </c>
      <c r="P1303" s="170">
        <v>3231458.3</v>
      </c>
      <c r="Q1303" s="170">
        <f>Q1304</f>
        <v>0</v>
      </c>
      <c r="R1303" s="170">
        <f>R1304</f>
        <v>1851570.68</v>
      </c>
      <c r="S1303" s="170">
        <f>S1304</f>
        <v>1379887.6199999999</v>
      </c>
      <c r="T1303" s="170">
        <f t="shared" si="218"/>
        <v>4386.3964978960221</v>
      </c>
      <c r="U1303" s="170">
        <f>U1304</f>
        <v>6773.6504411565084</v>
      </c>
      <c r="V1303" s="202">
        <f t="shared" si="217"/>
        <v>2387.2539432604863</v>
      </c>
      <c r="W1303" s="202"/>
      <c r="X1303" s="202"/>
      <c r="Y1303" s="203"/>
      <c r="Z1303" s="203"/>
      <c r="AA1303" s="203"/>
      <c r="AB1303" s="203"/>
      <c r="AC1303" s="203"/>
      <c r="AD1303" s="203"/>
      <c r="AE1303" s="203"/>
      <c r="AF1303" s="203"/>
      <c r="AG1303" s="203"/>
      <c r="AH1303" s="203"/>
      <c r="AI1303" s="203"/>
      <c r="AJ1303" s="203"/>
      <c r="AK1303" s="203"/>
      <c r="AL1303" s="203"/>
      <c r="AM1303" s="203"/>
      <c r="AN1303" s="203"/>
      <c r="AO1303" s="203"/>
    </row>
    <row r="1304" spans="1:191" s="144" customFormat="1" ht="36" customHeight="1" x14ac:dyDescent="0.25">
      <c r="A1304" s="176">
        <v>1</v>
      </c>
      <c r="B1304" s="171">
        <f>SUBTOTAL(103,$A$1087:A1304)</f>
        <v>183</v>
      </c>
      <c r="C1304" s="184" t="s">
        <v>66</v>
      </c>
      <c r="D1304" s="173">
        <v>1978</v>
      </c>
      <c r="E1304" s="173"/>
      <c r="F1304" s="185" t="s">
        <v>267</v>
      </c>
      <c r="G1304" s="173">
        <v>2</v>
      </c>
      <c r="H1304" s="173" t="s">
        <v>303</v>
      </c>
      <c r="I1304" s="177">
        <v>736.7</v>
      </c>
      <c r="J1304" s="177">
        <v>450.8</v>
      </c>
      <c r="K1304" s="177">
        <v>447.6</v>
      </c>
      <c r="L1304" s="208">
        <v>41</v>
      </c>
      <c r="M1304" s="173" t="s">
        <v>265</v>
      </c>
      <c r="N1304" s="173" t="s">
        <v>266</v>
      </c>
      <c r="O1304" s="173" t="s">
        <v>268</v>
      </c>
      <c r="P1304" s="177">
        <v>3231458.3</v>
      </c>
      <c r="Q1304" s="177">
        <v>0</v>
      </c>
      <c r="R1304" s="177">
        <v>1851570.68</v>
      </c>
      <c r="S1304" s="177">
        <f>P1304-Q1304-R1304</f>
        <v>1379887.6199999999</v>
      </c>
      <c r="T1304" s="170">
        <f t="shared" si="218"/>
        <v>4386.3964978960221</v>
      </c>
      <c r="U1304" s="170">
        <v>6773.6504411565084</v>
      </c>
      <c r="V1304" s="202">
        <f>U1304-T1304</f>
        <v>2387.2539432604863</v>
      </c>
      <c r="W1304" s="202">
        <f>X1304+Y1304+Z1304+AA1304+AB1304+AD1304+AF1304+AH1304+AJ1304+AL1304+AN1304+AO1304</f>
        <v>6773.6504411565084</v>
      </c>
      <c r="X1304" s="202">
        <v>0</v>
      </c>
      <c r="Y1304" s="203">
        <v>0</v>
      </c>
      <c r="Z1304" s="203">
        <v>0</v>
      </c>
      <c r="AA1304" s="203">
        <v>0</v>
      </c>
      <c r="AB1304" s="203">
        <v>0</v>
      </c>
      <c r="AC1304" s="203">
        <v>0</v>
      </c>
      <c r="AD1304" s="203">
        <v>0</v>
      </c>
      <c r="AE1304" s="203">
        <v>0</v>
      </c>
      <c r="AF1304" s="202">
        <v>0</v>
      </c>
      <c r="AG1304" s="203">
        <v>0</v>
      </c>
      <c r="AH1304" s="202">
        <v>0</v>
      </c>
      <c r="AI1304" s="203">
        <v>670.8</v>
      </c>
      <c r="AJ1304" s="202">
        <f>7439.1*AI1304/I1304</f>
        <v>6773.6504411565084</v>
      </c>
      <c r="AK1304" s="203">
        <v>0</v>
      </c>
      <c r="AL1304" s="203">
        <v>0</v>
      </c>
      <c r="AM1304" s="203">
        <v>0</v>
      </c>
      <c r="AN1304" s="203"/>
      <c r="AO1304" s="203">
        <v>0</v>
      </c>
      <c r="AP1304" s="176"/>
      <c r="DQ1304" s="186"/>
      <c r="DR1304" s="186"/>
      <c r="DS1304" s="186"/>
      <c r="EP1304" s="187"/>
      <c r="FS1304" s="188"/>
      <c r="GI1304" s="189"/>
    </row>
    <row r="1305" spans="1:191" s="176" customFormat="1" ht="36" customHeight="1" x14ac:dyDescent="0.25">
      <c r="B1305" s="172" t="s">
        <v>835</v>
      </c>
      <c r="C1305" s="172"/>
      <c r="D1305" s="173" t="s">
        <v>882</v>
      </c>
      <c r="E1305" s="173" t="s">
        <v>882</v>
      </c>
      <c r="F1305" s="173" t="s">
        <v>882</v>
      </c>
      <c r="G1305" s="173" t="s">
        <v>882</v>
      </c>
      <c r="H1305" s="173" t="s">
        <v>882</v>
      </c>
      <c r="I1305" s="177">
        <f>SUM(I1306:I1309)</f>
        <v>12250.7</v>
      </c>
      <c r="J1305" s="177">
        <f>SUM(J1306:J1309)</f>
        <v>11422.199999999999</v>
      </c>
      <c r="K1305" s="177">
        <f>SUM(K1306:K1309)</f>
        <v>10775.519999999999</v>
      </c>
      <c r="L1305" s="357">
        <f>SUM(L1306:L1309)</f>
        <v>563</v>
      </c>
      <c r="M1305" s="173" t="s">
        <v>882</v>
      </c>
      <c r="N1305" s="173" t="s">
        <v>882</v>
      </c>
      <c r="O1305" s="175" t="s">
        <v>882</v>
      </c>
      <c r="P1305" s="170">
        <v>21660267.710000001</v>
      </c>
      <c r="Q1305" s="170">
        <f>Q1306+Q1307+Q1309</f>
        <v>0</v>
      </c>
      <c r="R1305" s="170">
        <f>R1306+R1307+R1309</f>
        <v>0</v>
      </c>
      <c r="S1305" s="170">
        <f>S1306+S1307+S1309</f>
        <v>17417588.34</v>
      </c>
      <c r="T1305" s="170">
        <f t="shared" si="218"/>
        <v>1768.0840858073416</v>
      </c>
      <c r="U1305" s="170">
        <f>MAX(U1306:U1309)</f>
        <v>4187.79</v>
      </c>
      <c r="V1305" s="202">
        <f t="shared" si="217"/>
        <v>2419.7059141926584</v>
      </c>
      <c r="W1305" s="202"/>
      <c r="X1305" s="202"/>
      <c r="Y1305" s="203"/>
      <c r="Z1305" s="203"/>
      <c r="AA1305" s="203"/>
      <c r="AB1305" s="203"/>
      <c r="AC1305" s="203"/>
      <c r="AD1305" s="203"/>
      <c r="AE1305" s="203"/>
      <c r="AF1305" s="203"/>
      <c r="AG1305" s="203"/>
      <c r="AH1305" s="203"/>
      <c r="AI1305" s="203"/>
      <c r="AJ1305" s="203"/>
      <c r="AK1305" s="203"/>
      <c r="AL1305" s="203"/>
      <c r="AM1305" s="203"/>
      <c r="AN1305" s="203"/>
      <c r="AO1305" s="203"/>
    </row>
    <row r="1306" spans="1:191" s="144" customFormat="1" ht="36" customHeight="1" x14ac:dyDescent="0.25">
      <c r="A1306" s="176">
        <v>1</v>
      </c>
      <c r="B1306" s="171">
        <f>SUBTOTAL(103,$A$1087:A1306)</f>
        <v>184</v>
      </c>
      <c r="C1306" s="184" t="s">
        <v>69</v>
      </c>
      <c r="D1306" s="173">
        <v>1977</v>
      </c>
      <c r="E1306" s="173"/>
      <c r="F1306" s="185" t="s">
        <v>267</v>
      </c>
      <c r="G1306" s="173">
        <v>5</v>
      </c>
      <c r="H1306" s="173" t="s">
        <v>370</v>
      </c>
      <c r="I1306" s="177">
        <v>4338.6000000000004</v>
      </c>
      <c r="J1306" s="177">
        <v>4154.6000000000004</v>
      </c>
      <c r="K1306" s="177">
        <v>3916.52</v>
      </c>
      <c r="L1306" s="208">
        <v>177</v>
      </c>
      <c r="M1306" s="173" t="s">
        <v>265</v>
      </c>
      <c r="N1306" s="173" t="s">
        <v>269</v>
      </c>
      <c r="O1306" s="173" t="s">
        <v>271</v>
      </c>
      <c r="P1306" s="177">
        <v>5782944.25</v>
      </c>
      <c r="Q1306" s="177">
        <v>0</v>
      </c>
      <c r="R1306" s="177">
        <v>0</v>
      </c>
      <c r="S1306" s="177">
        <f>P1306-Q1306-R1306</f>
        <v>5782944.25</v>
      </c>
      <c r="T1306" s="170">
        <f t="shared" si="218"/>
        <v>1332.905603189969</v>
      </c>
      <c r="U1306" s="170">
        <v>1554.1669727561882</v>
      </c>
      <c r="V1306" s="202">
        <f t="shared" si="217"/>
        <v>221.26136956621917</v>
      </c>
      <c r="W1306" s="202">
        <f>X1306+Y1306+Z1306+AA1306+AB1306+AD1306+AF1306+AH1306+AJ1306+AL1306+AN1306+AO1306</f>
        <v>1506.4495726732123</v>
      </c>
      <c r="X1306" s="202">
        <v>0</v>
      </c>
      <c r="Y1306" s="203">
        <v>0</v>
      </c>
      <c r="Z1306" s="203">
        <v>0</v>
      </c>
      <c r="AA1306" s="203">
        <v>0</v>
      </c>
      <c r="AB1306" s="203">
        <v>0</v>
      </c>
      <c r="AC1306" s="203">
        <v>0</v>
      </c>
      <c r="AD1306" s="203">
        <v>0</v>
      </c>
      <c r="AE1306" s="203">
        <v>1047.5999999999999</v>
      </c>
      <c r="AF1306" s="202">
        <f>6238.91*AE1306/I1306</f>
        <v>1506.4495726732123</v>
      </c>
      <c r="AG1306" s="203">
        <v>0</v>
      </c>
      <c r="AH1306" s="202">
        <v>0</v>
      </c>
      <c r="AI1306" s="203">
        <v>0</v>
      </c>
      <c r="AJ1306" s="202">
        <v>0</v>
      </c>
      <c r="AK1306" s="203">
        <v>0</v>
      </c>
      <c r="AL1306" s="203">
        <v>0</v>
      </c>
      <c r="AM1306" s="203">
        <v>0</v>
      </c>
      <c r="AN1306" s="203"/>
      <c r="AO1306" s="203">
        <v>0</v>
      </c>
      <c r="AP1306" s="176"/>
      <c r="DQ1306" s="186"/>
      <c r="DR1306" s="186"/>
      <c r="DS1306" s="186"/>
      <c r="EP1306" s="187"/>
      <c r="FS1306" s="188"/>
      <c r="GI1306" s="189"/>
    </row>
    <row r="1307" spans="1:191" s="144" customFormat="1" ht="36" customHeight="1" x14ac:dyDescent="0.25">
      <c r="A1307" s="176">
        <v>1</v>
      </c>
      <c r="B1307" s="171">
        <f>SUBTOTAL(103,$A$1087:A1307)</f>
        <v>185</v>
      </c>
      <c r="C1307" s="184" t="s">
        <v>68</v>
      </c>
      <c r="D1307" s="173">
        <v>1965</v>
      </c>
      <c r="E1307" s="173"/>
      <c r="F1307" s="185" t="s">
        <v>267</v>
      </c>
      <c r="G1307" s="173">
        <v>4</v>
      </c>
      <c r="H1307" s="173" t="s">
        <v>308</v>
      </c>
      <c r="I1307" s="177">
        <v>2512.9</v>
      </c>
      <c r="J1307" s="177">
        <v>2431.4</v>
      </c>
      <c r="K1307" s="177">
        <v>2131.1999999999998</v>
      </c>
      <c r="L1307" s="208">
        <v>90</v>
      </c>
      <c r="M1307" s="173" t="s">
        <v>265</v>
      </c>
      <c r="N1307" s="173" t="s">
        <v>269</v>
      </c>
      <c r="O1307" s="173" t="s">
        <v>271</v>
      </c>
      <c r="P1307" s="177">
        <v>6823737.3099999996</v>
      </c>
      <c r="Q1307" s="177">
        <v>0</v>
      </c>
      <c r="R1307" s="177">
        <v>0</v>
      </c>
      <c r="S1307" s="177">
        <f>P1307-Q1307-R1307</f>
        <v>6823737.3099999996</v>
      </c>
      <c r="T1307" s="170">
        <f t="shared" si="218"/>
        <v>2715.4830315571648</v>
      </c>
      <c r="U1307" s="170">
        <v>3173.3125142265908</v>
      </c>
      <c r="V1307" s="202">
        <f t="shared" si="217"/>
        <v>457.82948266942594</v>
      </c>
      <c r="W1307" s="202">
        <f>X1307+Y1307+Z1307+AA1307+AB1307+AD1307+AF1307+AH1307+AJ1307+AL1307+AN1307+AO1307</f>
        <v>3075.8826849456805</v>
      </c>
      <c r="X1307" s="202">
        <v>0</v>
      </c>
      <c r="Y1307" s="203">
        <v>0</v>
      </c>
      <c r="Z1307" s="203">
        <v>0</v>
      </c>
      <c r="AA1307" s="203">
        <v>0</v>
      </c>
      <c r="AB1307" s="203">
        <v>0</v>
      </c>
      <c r="AC1307" s="203">
        <v>0</v>
      </c>
      <c r="AD1307" s="203">
        <v>0</v>
      </c>
      <c r="AE1307" s="203">
        <v>1238.9000000000001</v>
      </c>
      <c r="AF1307" s="202">
        <f>6238.91*AE1307/I1307</f>
        <v>3075.8826849456805</v>
      </c>
      <c r="AG1307" s="203">
        <v>0</v>
      </c>
      <c r="AH1307" s="202">
        <v>0</v>
      </c>
      <c r="AI1307" s="203">
        <v>0</v>
      </c>
      <c r="AJ1307" s="202">
        <v>0</v>
      </c>
      <c r="AK1307" s="203">
        <v>0</v>
      </c>
      <c r="AL1307" s="203">
        <v>0</v>
      </c>
      <c r="AM1307" s="203">
        <v>0</v>
      </c>
      <c r="AN1307" s="203"/>
      <c r="AO1307" s="203">
        <v>0</v>
      </c>
      <c r="AP1307" s="176"/>
      <c r="DQ1307" s="186"/>
      <c r="DR1307" s="186"/>
      <c r="DS1307" s="186"/>
      <c r="EP1307" s="187"/>
      <c r="FS1307" s="188"/>
      <c r="GI1307" s="189"/>
    </row>
    <row r="1308" spans="1:191" s="144" customFormat="1" ht="36" customHeight="1" x14ac:dyDescent="0.25">
      <c r="A1308" s="176">
        <v>1</v>
      </c>
      <c r="B1308" s="171">
        <f>SUBTOTAL(103,$A$1087:A1308)</f>
        <v>186</v>
      </c>
      <c r="C1308" s="184" t="s">
        <v>67</v>
      </c>
      <c r="D1308" s="173">
        <v>1967</v>
      </c>
      <c r="E1308" s="173"/>
      <c r="F1308" s="185" t="s">
        <v>267</v>
      </c>
      <c r="G1308" s="173">
        <v>4</v>
      </c>
      <c r="H1308" s="173" t="s">
        <v>308</v>
      </c>
      <c r="I1308" s="177">
        <v>2500.9</v>
      </c>
      <c r="J1308" s="177">
        <v>2416.3000000000002</v>
      </c>
      <c r="K1308" s="177">
        <v>2307.9</v>
      </c>
      <c r="L1308" s="208">
        <v>117</v>
      </c>
      <c r="M1308" s="173" t="s">
        <v>265</v>
      </c>
      <c r="N1308" s="173" t="s">
        <v>269</v>
      </c>
      <c r="O1308" s="173" t="s">
        <v>271</v>
      </c>
      <c r="P1308" s="177">
        <v>4242679.37</v>
      </c>
      <c r="Q1308" s="177">
        <v>0</v>
      </c>
      <c r="R1308" s="177">
        <v>0</v>
      </c>
      <c r="S1308" s="177">
        <f>P1308-Q1308-R1308</f>
        <v>4242679.37</v>
      </c>
      <c r="T1308" s="170">
        <f t="shared" ref="T1308" si="219">P1308/I1308</f>
        <v>1696.4610220320685</v>
      </c>
      <c r="U1308" s="170">
        <v>4187.79</v>
      </c>
      <c r="V1308" s="202">
        <f t="shared" ref="V1308" si="220">U1308-T1308</f>
        <v>2491.3289779679317</v>
      </c>
      <c r="W1308" s="202">
        <f>X1308+Y1308+Z1308+AA1308+AB1308+AD1308+AF1308+AH1308+AJ1308+AL1308+AN1308+AO1308</f>
        <v>3791.6299999999997</v>
      </c>
      <c r="X1308" s="202">
        <v>101.55</v>
      </c>
      <c r="Y1308" s="203">
        <v>245.44</v>
      </c>
      <c r="Z1308" s="203">
        <v>3259.66</v>
      </c>
      <c r="AA1308" s="203">
        <v>184.98</v>
      </c>
      <c r="AB1308" s="203">
        <v>0</v>
      </c>
      <c r="AC1308" s="203">
        <v>0</v>
      </c>
      <c r="AD1308" s="203">
        <v>0</v>
      </c>
      <c r="AE1308" s="203">
        <v>0</v>
      </c>
      <c r="AF1308" s="202">
        <v>0</v>
      </c>
      <c r="AG1308" s="203">
        <v>0</v>
      </c>
      <c r="AH1308" s="202">
        <v>0</v>
      </c>
      <c r="AI1308" s="203">
        <v>0</v>
      </c>
      <c r="AJ1308" s="202">
        <v>0</v>
      </c>
      <c r="AK1308" s="203">
        <v>0</v>
      </c>
      <c r="AL1308" s="203">
        <v>0</v>
      </c>
      <c r="AM1308" s="203">
        <v>0</v>
      </c>
      <c r="AN1308" s="203"/>
      <c r="AO1308" s="203">
        <v>0</v>
      </c>
      <c r="AP1308" s="176"/>
      <c r="DQ1308" s="186"/>
      <c r="DR1308" s="186"/>
      <c r="DS1308" s="186"/>
      <c r="EP1308" s="187"/>
      <c r="FS1308" s="188"/>
      <c r="GI1308" s="189"/>
    </row>
    <row r="1309" spans="1:191" s="144" customFormat="1" ht="36" customHeight="1" x14ac:dyDescent="0.25">
      <c r="A1309" s="176">
        <v>1</v>
      </c>
      <c r="B1309" s="171">
        <f>SUBTOTAL(103,$A$1087:A1309)</f>
        <v>187</v>
      </c>
      <c r="C1309" s="184" t="s">
        <v>2615</v>
      </c>
      <c r="D1309" s="173">
        <v>1986</v>
      </c>
      <c r="E1309" s="173"/>
      <c r="F1309" s="185" t="s">
        <v>267</v>
      </c>
      <c r="G1309" s="173">
        <v>5</v>
      </c>
      <c r="H1309" s="173">
        <v>1</v>
      </c>
      <c r="I1309" s="177">
        <v>2898.3</v>
      </c>
      <c r="J1309" s="177">
        <v>2419.9</v>
      </c>
      <c r="K1309" s="177">
        <f>J1309</f>
        <v>2419.9</v>
      </c>
      <c r="L1309" s="208">
        <v>179</v>
      </c>
      <c r="M1309" s="173" t="s">
        <v>265</v>
      </c>
      <c r="N1309" s="173" t="s">
        <v>269</v>
      </c>
      <c r="O1309" s="173" t="s">
        <v>1293</v>
      </c>
      <c r="P1309" s="177">
        <v>4810906.78</v>
      </c>
      <c r="Q1309" s="177">
        <v>0</v>
      </c>
      <c r="R1309" s="177">
        <v>0</v>
      </c>
      <c r="S1309" s="177">
        <f>P1309-Q1309-R1309</f>
        <v>4810906.78</v>
      </c>
      <c r="T1309" s="170">
        <f>P1309/I1309</f>
        <v>1659.9064210054169</v>
      </c>
      <c r="U1309" s="170">
        <v>1725.1017748335228</v>
      </c>
      <c r="V1309" s="202">
        <f t="shared" si="217"/>
        <v>65.195353828105908</v>
      </c>
      <c r="W1309" s="202">
        <f>X1309+Y1309+Z1309+AA1309+AB1309+AD1309+AF1309+AH1309+AJ1309+AL1309+AN1309+AO1309</f>
        <v>3791.6299999999997</v>
      </c>
      <c r="X1309" s="202">
        <v>101.55</v>
      </c>
      <c r="Y1309" s="203">
        <v>245.44</v>
      </c>
      <c r="Z1309" s="203">
        <v>3259.66</v>
      </c>
      <c r="AA1309" s="203">
        <v>184.98</v>
      </c>
      <c r="AB1309" s="203">
        <v>0</v>
      </c>
      <c r="AC1309" s="203">
        <v>0</v>
      </c>
      <c r="AD1309" s="203">
        <v>0</v>
      </c>
      <c r="AE1309" s="203">
        <v>0</v>
      </c>
      <c r="AF1309" s="202">
        <v>0</v>
      </c>
      <c r="AG1309" s="203">
        <v>0</v>
      </c>
      <c r="AH1309" s="202">
        <v>0</v>
      </c>
      <c r="AI1309" s="203">
        <v>0</v>
      </c>
      <c r="AJ1309" s="202">
        <v>0</v>
      </c>
      <c r="AK1309" s="203">
        <v>0</v>
      </c>
      <c r="AL1309" s="203">
        <v>0</v>
      </c>
      <c r="AM1309" s="203">
        <v>0</v>
      </c>
      <c r="AN1309" s="203"/>
      <c r="AO1309" s="203">
        <v>0</v>
      </c>
      <c r="AP1309" s="176"/>
      <c r="DQ1309" s="186"/>
      <c r="DR1309" s="186"/>
      <c r="DS1309" s="186"/>
      <c r="EP1309" s="187"/>
      <c r="FS1309" s="188"/>
      <c r="GI1309" s="189"/>
    </row>
    <row r="1310" spans="1:191" s="176" customFormat="1" ht="36" customHeight="1" x14ac:dyDescent="0.25">
      <c r="B1310" s="172" t="s">
        <v>836</v>
      </c>
      <c r="C1310" s="172"/>
      <c r="D1310" s="173" t="s">
        <v>882</v>
      </c>
      <c r="E1310" s="173" t="s">
        <v>882</v>
      </c>
      <c r="F1310" s="173" t="s">
        <v>882</v>
      </c>
      <c r="G1310" s="173" t="s">
        <v>882</v>
      </c>
      <c r="H1310" s="173" t="s">
        <v>882</v>
      </c>
      <c r="I1310" s="177">
        <f>I1311</f>
        <v>2168.41</v>
      </c>
      <c r="J1310" s="177">
        <f>J1311</f>
        <v>1286.56</v>
      </c>
      <c r="K1310" s="177">
        <f>K1311</f>
        <v>1251.51</v>
      </c>
      <c r="L1310" s="357">
        <f>L1311</f>
        <v>63</v>
      </c>
      <c r="M1310" s="173" t="s">
        <v>882</v>
      </c>
      <c r="N1310" s="173" t="s">
        <v>882</v>
      </c>
      <c r="O1310" s="175" t="s">
        <v>882</v>
      </c>
      <c r="P1310" s="170">
        <v>3221353.3</v>
      </c>
      <c r="Q1310" s="170">
        <f>Q1311</f>
        <v>0</v>
      </c>
      <c r="R1310" s="170">
        <f>R1311</f>
        <v>0</v>
      </c>
      <c r="S1310" s="170">
        <f>S1311</f>
        <v>3221353.3</v>
      </c>
      <c r="T1310" s="170">
        <f t="shared" si="218"/>
        <v>1485.5831231178606</v>
      </c>
      <c r="U1310" s="170">
        <f>U1311</f>
        <v>2102.4594975120017</v>
      </c>
      <c r="V1310" s="202">
        <f t="shared" si="217"/>
        <v>616.87637439414107</v>
      </c>
      <c r="W1310" s="202"/>
      <c r="X1310" s="202"/>
      <c r="Y1310" s="203"/>
      <c r="Z1310" s="203"/>
      <c r="AA1310" s="203"/>
      <c r="AB1310" s="203"/>
      <c r="AC1310" s="203"/>
      <c r="AD1310" s="203"/>
      <c r="AE1310" s="203"/>
      <c r="AF1310" s="203"/>
      <c r="AG1310" s="203"/>
      <c r="AH1310" s="203"/>
      <c r="AI1310" s="203"/>
      <c r="AJ1310" s="203"/>
      <c r="AK1310" s="203"/>
      <c r="AL1310" s="203"/>
      <c r="AM1310" s="203"/>
      <c r="AN1310" s="203"/>
      <c r="AO1310" s="203"/>
    </row>
    <row r="1311" spans="1:191" s="144" customFormat="1" ht="36" customHeight="1" x14ac:dyDescent="0.25">
      <c r="A1311" s="176">
        <v>1</v>
      </c>
      <c r="B1311" s="171">
        <f>SUBTOTAL(103,$A$1087:A1311)</f>
        <v>188</v>
      </c>
      <c r="C1311" s="184" t="s">
        <v>65</v>
      </c>
      <c r="D1311" s="173">
        <v>1954</v>
      </c>
      <c r="E1311" s="173"/>
      <c r="F1311" s="185" t="s">
        <v>267</v>
      </c>
      <c r="G1311" s="173">
        <v>3</v>
      </c>
      <c r="H1311" s="173" t="s">
        <v>312</v>
      </c>
      <c r="I1311" s="177">
        <v>2168.41</v>
      </c>
      <c r="J1311" s="177">
        <v>1286.56</v>
      </c>
      <c r="K1311" s="177">
        <v>1251.51</v>
      </c>
      <c r="L1311" s="208">
        <v>63</v>
      </c>
      <c r="M1311" s="173" t="s">
        <v>265</v>
      </c>
      <c r="N1311" s="173" t="s">
        <v>269</v>
      </c>
      <c r="O1311" s="173" t="s">
        <v>272</v>
      </c>
      <c r="P1311" s="177">
        <v>3221353.3</v>
      </c>
      <c r="Q1311" s="177">
        <v>0</v>
      </c>
      <c r="R1311" s="177">
        <v>0</v>
      </c>
      <c r="S1311" s="177">
        <f>P1311-Q1311-R1311</f>
        <v>3221353.3</v>
      </c>
      <c r="T1311" s="170">
        <f t="shared" si="218"/>
        <v>1485.5831231178606</v>
      </c>
      <c r="U1311" s="170">
        <v>2102.4594975120017</v>
      </c>
      <c r="V1311" s="202">
        <f>U1311-T1311</f>
        <v>616.87637439414107</v>
      </c>
      <c r="W1311" s="202">
        <f>X1311+Y1311+Z1311+AA1311+AB1311+AD1311+AF1311+AH1311+AJ1311+AL1311+AN1311+AO1311</f>
        <v>2576.4374197684019</v>
      </c>
      <c r="X1311" s="202">
        <v>0</v>
      </c>
      <c r="Y1311" s="203">
        <v>0</v>
      </c>
      <c r="Z1311" s="203">
        <v>0</v>
      </c>
      <c r="AA1311" s="203">
        <v>0</v>
      </c>
      <c r="AB1311" s="203">
        <v>0</v>
      </c>
      <c r="AC1311" s="203">
        <v>0</v>
      </c>
      <c r="AD1311" s="203">
        <v>0</v>
      </c>
      <c r="AE1311" s="203">
        <v>0</v>
      </c>
      <c r="AF1311" s="202">
        <v>0</v>
      </c>
      <c r="AG1311" s="203">
        <v>0</v>
      </c>
      <c r="AH1311" s="202">
        <v>0</v>
      </c>
      <c r="AI1311" s="203">
        <v>0</v>
      </c>
      <c r="AJ1311" s="202">
        <v>0</v>
      </c>
      <c r="AK1311" s="203">
        <v>72.77</v>
      </c>
      <c r="AL1311" s="202">
        <f>76773.02*AK1311/I1311</f>
        <v>2576.4374197684019</v>
      </c>
      <c r="AM1311" s="203">
        <v>0</v>
      </c>
      <c r="AN1311" s="203"/>
      <c r="AO1311" s="203">
        <v>0</v>
      </c>
      <c r="AP1311" s="176"/>
      <c r="DQ1311" s="186"/>
      <c r="DR1311" s="186"/>
      <c r="DS1311" s="186"/>
      <c r="EP1311" s="187"/>
      <c r="FS1311" s="188"/>
      <c r="GI1311" s="189"/>
    </row>
    <row r="1312" spans="1:191" s="176" customFormat="1" ht="36" customHeight="1" x14ac:dyDescent="0.25">
      <c r="B1312" s="172" t="s">
        <v>837</v>
      </c>
      <c r="C1312" s="172"/>
      <c r="D1312" s="173" t="s">
        <v>743</v>
      </c>
      <c r="E1312" s="173" t="s">
        <v>743</v>
      </c>
      <c r="F1312" s="173" t="s">
        <v>743</v>
      </c>
      <c r="G1312" s="173" t="s">
        <v>743</v>
      </c>
      <c r="H1312" s="173" t="s">
        <v>743</v>
      </c>
      <c r="I1312" s="177">
        <f>I1313</f>
        <v>780.3</v>
      </c>
      <c r="J1312" s="177">
        <f>J1313</f>
        <v>720.3</v>
      </c>
      <c r="K1312" s="177">
        <f>K1313</f>
        <v>720.3</v>
      </c>
      <c r="L1312" s="357">
        <f>L1313</f>
        <v>40</v>
      </c>
      <c r="M1312" s="173" t="s">
        <v>882</v>
      </c>
      <c r="N1312" s="173" t="s">
        <v>882</v>
      </c>
      <c r="O1312" s="175" t="s">
        <v>882</v>
      </c>
      <c r="P1312" s="170">
        <v>2580625.15</v>
      </c>
      <c r="Q1312" s="170">
        <f>Q1313</f>
        <v>0</v>
      </c>
      <c r="R1312" s="170">
        <f>R1313</f>
        <v>0</v>
      </c>
      <c r="S1312" s="170">
        <f>S1313</f>
        <v>2580625.15</v>
      </c>
      <c r="T1312" s="170">
        <f t="shared" si="218"/>
        <v>3307.2217736767911</v>
      </c>
      <c r="U1312" s="170">
        <f>U1313</f>
        <v>3876.9307958477511</v>
      </c>
      <c r="V1312" s="202">
        <f t="shared" si="217"/>
        <v>569.70902217096</v>
      </c>
      <c r="W1312" s="202"/>
      <c r="X1312" s="202"/>
      <c r="Y1312" s="203"/>
      <c r="Z1312" s="203"/>
      <c r="AA1312" s="203"/>
      <c r="AB1312" s="203"/>
      <c r="AC1312" s="203"/>
      <c r="AD1312" s="203"/>
      <c r="AE1312" s="203"/>
      <c r="AF1312" s="203"/>
      <c r="AG1312" s="203"/>
      <c r="AH1312" s="203"/>
      <c r="AI1312" s="203"/>
      <c r="AJ1312" s="203"/>
      <c r="AK1312" s="203"/>
      <c r="AL1312" s="203"/>
      <c r="AM1312" s="203"/>
      <c r="AN1312" s="203"/>
      <c r="AO1312" s="203"/>
    </row>
    <row r="1313" spans="1:191" s="144" customFormat="1" ht="36" customHeight="1" x14ac:dyDescent="0.25">
      <c r="A1313" s="176">
        <v>1</v>
      </c>
      <c r="B1313" s="171">
        <f>SUBTOTAL(103,$A$1087:A1313)</f>
        <v>189</v>
      </c>
      <c r="C1313" s="184" t="s">
        <v>64</v>
      </c>
      <c r="D1313" s="173">
        <v>1961</v>
      </c>
      <c r="E1313" s="173"/>
      <c r="F1313" s="185" t="s">
        <v>267</v>
      </c>
      <c r="G1313" s="173">
        <v>2</v>
      </c>
      <c r="H1313" s="173" t="s">
        <v>303</v>
      </c>
      <c r="I1313" s="177">
        <v>780.3</v>
      </c>
      <c r="J1313" s="177">
        <v>720.3</v>
      </c>
      <c r="K1313" s="177">
        <v>720.3</v>
      </c>
      <c r="L1313" s="208">
        <v>40</v>
      </c>
      <c r="M1313" s="173" t="s">
        <v>265</v>
      </c>
      <c r="N1313" s="173" t="s">
        <v>269</v>
      </c>
      <c r="O1313" s="173" t="s">
        <v>273</v>
      </c>
      <c r="P1313" s="177">
        <v>2580625.15</v>
      </c>
      <c r="Q1313" s="177">
        <v>0</v>
      </c>
      <c r="R1313" s="177">
        <v>0</v>
      </c>
      <c r="S1313" s="177">
        <f>P1313-Q1313-R1313</f>
        <v>2580625.15</v>
      </c>
      <c r="T1313" s="170">
        <f t="shared" si="218"/>
        <v>3307.2217736767911</v>
      </c>
      <c r="U1313" s="170">
        <v>3876.9307958477511</v>
      </c>
      <c r="V1313" s="202">
        <f>U1313-T1313</f>
        <v>569.70902217096</v>
      </c>
      <c r="W1313" s="202">
        <f>X1313+Y1313+Z1313+AA1313+AB1313+AD1313+AF1313+AH1313+AJ1313+AL1313+AN1313+AO1313</f>
        <v>3757.8978597975138</v>
      </c>
      <c r="X1313" s="202">
        <v>0</v>
      </c>
      <c r="Y1313" s="203">
        <v>0</v>
      </c>
      <c r="Z1313" s="203">
        <v>0</v>
      </c>
      <c r="AA1313" s="203">
        <v>0</v>
      </c>
      <c r="AB1313" s="203">
        <v>0</v>
      </c>
      <c r="AC1313" s="203">
        <v>0</v>
      </c>
      <c r="AD1313" s="203">
        <v>0</v>
      </c>
      <c r="AE1313" s="203">
        <v>470</v>
      </c>
      <c r="AF1313" s="202">
        <f>6238.91*AE1313/I1313</f>
        <v>3757.8978597975138</v>
      </c>
      <c r="AG1313" s="203">
        <v>0</v>
      </c>
      <c r="AH1313" s="202">
        <v>0</v>
      </c>
      <c r="AI1313" s="203">
        <v>0</v>
      </c>
      <c r="AJ1313" s="202">
        <v>0</v>
      </c>
      <c r="AK1313" s="203">
        <v>0</v>
      </c>
      <c r="AL1313" s="203">
        <v>0</v>
      </c>
      <c r="AM1313" s="203">
        <v>0</v>
      </c>
      <c r="AN1313" s="203"/>
      <c r="AO1313" s="203">
        <v>0</v>
      </c>
      <c r="AP1313" s="176"/>
      <c r="DQ1313" s="186"/>
      <c r="DR1313" s="186"/>
      <c r="DS1313" s="186"/>
      <c r="EP1313" s="187"/>
      <c r="FS1313" s="188"/>
      <c r="GI1313" s="189"/>
    </row>
    <row r="1314" spans="1:191" s="176" customFormat="1" ht="36" customHeight="1" x14ac:dyDescent="0.25">
      <c r="B1314" s="172" t="s">
        <v>875</v>
      </c>
      <c r="C1314" s="172"/>
      <c r="D1314" s="173" t="s">
        <v>743</v>
      </c>
      <c r="E1314" s="173" t="s">
        <v>743</v>
      </c>
      <c r="F1314" s="173" t="s">
        <v>743</v>
      </c>
      <c r="G1314" s="173" t="s">
        <v>743</v>
      </c>
      <c r="H1314" s="173" t="s">
        <v>743</v>
      </c>
      <c r="I1314" s="177">
        <f>I1315</f>
        <v>540.79999999999995</v>
      </c>
      <c r="J1314" s="177">
        <f>J1315</f>
        <v>388.59</v>
      </c>
      <c r="K1314" s="177">
        <f>K1315</f>
        <v>251.8</v>
      </c>
      <c r="L1314" s="357">
        <f>L1315</f>
        <v>26</v>
      </c>
      <c r="M1314" s="173" t="s">
        <v>882</v>
      </c>
      <c r="N1314" s="173" t="s">
        <v>882</v>
      </c>
      <c r="O1314" s="175" t="s">
        <v>882</v>
      </c>
      <c r="P1314" s="170">
        <v>3215375.5700000003</v>
      </c>
      <c r="Q1314" s="170">
        <f>Q1315</f>
        <v>0</v>
      </c>
      <c r="R1314" s="170">
        <f>R1315</f>
        <v>0</v>
      </c>
      <c r="S1314" s="170">
        <f>S1315</f>
        <v>3215375.5700000003</v>
      </c>
      <c r="T1314" s="170">
        <f t="shared" si="218"/>
        <v>5945.5909208579897</v>
      </c>
      <c r="U1314" s="170">
        <f>U1315</f>
        <v>7328.6939955621301</v>
      </c>
      <c r="V1314" s="202">
        <f t="shared" si="217"/>
        <v>1383.1030747041405</v>
      </c>
      <c r="W1314" s="202"/>
      <c r="X1314" s="202"/>
      <c r="Y1314" s="203"/>
      <c r="Z1314" s="203"/>
      <c r="AA1314" s="203"/>
      <c r="AB1314" s="203"/>
      <c r="AC1314" s="203"/>
      <c r="AD1314" s="203"/>
      <c r="AE1314" s="203"/>
      <c r="AF1314" s="203"/>
      <c r="AG1314" s="203"/>
      <c r="AH1314" s="203"/>
      <c r="AI1314" s="203"/>
      <c r="AJ1314" s="203"/>
      <c r="AK1314" s="203"/>
      <c r="AL1314" s="203"/>
      <c r="AM1314" s="203"/>
      <c r="AN1314" s="203"/>
      <c r="AO1314" s="203"/>
    </row>
    <row r="1315" spans="1:191" s="144" customFormat="1" ht="36" customHeight="1" x14ac:dyDescent="0.25">
      <c r="A1315" s="176">
        <v>1</v>
      </c>
      <c r="B1315" s="171">
        <f>SUBTOTAL(103,$A$1087:A1315)</f>
        <v>190</v>
      </c>
      <c r="C1315" s="184" t="s">
        <v>70</v>
      </c>
      <c r="D1315" s="173">
        <v>1958</v>
      </c>
      <c r="E1315" s="173"/>
      <c r="F1315" s="185" t="s">
        <v>267</v>
      </c>
      <c r="G1315" s="173">
        <v>2</v>
      </c>
      <c r="H1315" s="173" t="s">
        <v>303</v>
      </c>
      <c r="I1315" s="177">
        <v>540.79999999999995</v>
      </c>
      <c r="J1315" s="177">
        <v>388.59</v>
      </c>
      <c r="K1315" s="177">
        <v>251.8</v>
      </c>
      <c r="L1315" s="208">
        <v>26</v>
      </c>
      <c r="M1315" s="173" t="s">
        <v>265</v>
      </c>
      <c r="N1315" s="173" t="s">
        <v>266</v>
      </c>
      <c r="O1315" s="173" t="s">
        <v>268</v>
      </c>
      <c r="P1315" s="177">
        <v>3215375.5700000003</v>
      </c>
      <c r="Q1315" s="177">
        <v>0</v>
      </c>
      <c r="R1315" s="177">
        <v>0</v>
      </c>
      <c r="S1315" s="177">
        <f>P1315-Q1315-R1315</f>
        <v>3215375.5700000003</v>
      </c>
      <c r="T1315" s="170">
        <f t="shared" si="218"/>
        <v>5945.5909208579897</v>
      </c>
      <c r="U1315" s="170">
        <v>7328.6939955621301</v>
      </c>
      <c r="V1315" s="202">
        <f>U1315-T1315</f>
        <v>1383.1030747041405</v>
      </c>
      <c r="W1315" s="202">
        <f>X1315+Y1315+Z1315+AA1315+AB1315+AD1315+AF1315+AH1315+AJ1315+AL1315+AN1315+AO1315</f>
        <v>7103.6819926035505</v>
      </c>
      <c r="X1315" s="202">
        <v>0</v>
      </c>
      <c r="Y1315" s="203">
        <v>0</v>
      </c>
      <c r="Z1315" s="203">
        <v>0</v>
      </c>
      <c r="AA1315" s="203">
        <v>0</v>
      </c>
      <c r="AB1315" s="203">
        <v>0</v>
      </c>
      <c r="AC1315" s="203">
        <v>0</v>
      </c>
      <c r="AD1315" s="203">
        <v>0</v>
      </c>
      <c r="AE1315" s="203">
        <v>615.76</v>
      </c>
      <c r="AF1315" s="202">
        <f>6238.91*AE1315/I1315</f>
        <v>7103.6819926035505</v>
      </c>
      <c r="AG1315" s="203">
        <v>0</v>
      </c>
      <c r="AH1315" s="202">
        <v>0</v>
      </c>
      <c r="AI1315" s="203">
        <v>0</v>
      </c>
      <c r="AJ1315" s="202">
        <v>0</v>
      </c>
      <c r="AK1315" s="203">
        <v>0</v>
      </c>
      <c r="AL1315" s="203">
        <v>0</v>
      </c>
      <c r="AM1315" s="203">
        <v>0</v>
      </c>
      <c r="AN1315" s="203"/>
      <c r="AO1315" s="203">
        <v>0</v>
      </c>
      <c r="AP1315" s="176"/>
      <c r="DQ1315" s="186"/>
      <c r="DR1315" s="186"/>
      <c r="DS1315" s="186"/>
      <c r="EP1315" s="187"/>
      <c r="FS1315" s="188"/>
      <c r="GI1315" s="189"/>
    </row>
    <row r="1316" spans="1:191" s="176" customFormat="1" ht="36" customHeight="1" x14ac:dyDescent="0.25">
      <c r="B1316" s="172" t="s">
        <v>838</v>
      </c>
      <c r="C1316" s="172"/>
      <c r="D1316" s="173" t="s">
        <v>882</v>
      </c>
      <c r="E1316" s="173" t="s">
        <v>882</v>
      </c>
      <c r="F1316" s="173" t="s">
        <v>882</v>
      </c>
      <c r="G1316" s="173" t="s">
        <v>882</v>
      </c>
      <c r="H1316" s="173" t="s">
        <v>882</v>
      </c>
      <c r="I1316" s="177">
        <f>SUM(I1317:I1319)</f>
        <v>2550.6999999999998</v>
      </c>
      <c r="J1316" s="177">
        <f>SUM(J1317:J1319)</f>
        <v>2520.7799999999997</v>
      </c>
      <c r="K1316" s="177">
        <f>SUM(K1317:K1319)</f>
        <v>2068.7200000000003</v>
      </c>
      <c r="L1316" s="357">
        <f>SUM(L1317:L1319)</f>
        <v>140</v>
      </c>
      <c r="M1316" s="173" t="s">
        <v>882</v>
      </c>
      <c r="N1316" s="173" t="s">
        <v>882</v>
      </c>
      <c r="O1316" s="175" t="s">
        <v>882</v>
      </c>
      <c r="P1316" s="170">
        <v>10672314.84</v>
      </c>
      <c r="Q1316" s="170">
        <f>Q1317+Q1318+Q1319</f>
        <v>0</v>
      </c>
      <c r="R1316" s="170">
        <f>R1317+R1318+R1319</f>
        <v>0</v>
      </c>
      <c r="S1316" s="170">
        <f>S1317+S1318+S1319</f>
        <v>10672314.84</v>
      </c>
      <c r="T1316" s="170">
        <f t="shared" si="218"/>
        <v>4184.0729368408674</v>
      </c>
      <c r="U1316" s="170">
        <f>MAX(U1317:U1319)</f>
        <v>6237.4620618556701</v>
      </c>
      <c r="V1316" s="202">
        <f t="shared" si="217"/>
        <v>2053.3891250148026</v>
      </c>
      <c r="W1316" s="202"/>
      <c r="X1316" s="202"/>
      <c r="Y1316" s="203"/>
      <c r="Z1316" s="203"/>
      <c r="AA1316" s="203"/>
      <c r="AB1316" s="203"/>
      <c r="AC1316" s="203"/>
      <c r="AD1316" s="203"/>
      <c r="AE1316" s="203"/>
      <c r="AF1316" s="203"/>
      <c r="AG1316" s="203"/>
      <c r="AH1316" s="203"/>
      <c r="AI1316" s="203"/>
      <c r="AJ1316" s="203"/>
      <c r="AK1316" s="203"/>
      <c r="AL1316" s="203"/>
      <c r="AM1316" s="203"/>
      <c r="AN1316" s="203"/>
      <c r="AO1316" s="203"/>
    </row>
    <row r="1317" spans="1:191" s="144" customFormat="1" ht="36" customHeight="1" x14ac:dyDescent="0.25">
      <c r="A1317" s="176">
        <v>1</v>
      </c>
      <c r="B1317" s="171">
        <f>SUBTOTAL(103,$A$1087:A1317)</f>
        <v>191</v>
      </c>
      <c r="C1317" s="184" t="s">
        <v>71</v>
      </c>
      <c r="D1317" s="173">
        <v>1977</v>
      </c>
      <c r="E1317" s="173"/>
      <c r="F1317" s="185" t="s">
        <v>267</v>
      </c>
      <c r="G1317" s="173">
        <v>3</v>
      </c>
      <c r="H1317" s="173" t="s">
        <v>303</v>
      </c>
      <c r="I1317" s="177">
        <v>850.1</v>
      </c>
      <c r="J1317" s="177">
        <v>850.1</v>
      </c>
      <c r="K1317" s="177">
        <v>745</v>
      </c>
      <c r="L1317" s="208">
        <v>38</v>
      </c>
      <c r="M1317" s="173" t="s">
        <v>265</v>
      </c>
      <c r="N1317" s="173" t="s">
        <v>266</v>
      </c>
      <c r="O1317" s="173" t="s">
        <v>268</v>
      </c>
      <c r="P1317" s="177">
        <v>2391584.4</v>
      </c>
      <c r="Q1317" s="177">
        <v>0</v>
      </c>
      <c r="R1317" s="177">
        <v>0</v>
      </c>
      <c r="S1317" s="177">
        <f>P1317-Q1317-R1317</f>
        <v>2391584.4</v>
      </c>
      <c r="T1317" s="170">
        <f t="shared" si="218"/>
        <v>2813.2977296788613</v>
      </c>
      <c r="U1317" s="170">
        <v>3467.7458416656859</v>
      </c>
      <c r="V1317" s="202">
        <f t="shared" si="217"/>
        <v>654.44811198682464</v>
      </c>
      <c r="W1317" s="202">
        <f>X1317+Y1317+Z1317+AA1317+AB1317+AD1317+AF1317+AH1317+AJ1317+AL1317+AN1317+AO1317</f>
        <v>3361.2760616398068</v>
      </c>
      <c r="X1317" s="202">
        <v>0</v>
      </c>
      <c r="Y1317" s="203">
        <v>0</v>
      </c>
      <c r="Z1317" s="203">
        <v>0</v>
      </c>
      <c r="AA1317" s="203">
        <v>0</v>
      </c>
      <c r="AB1317" s="203">
        <v>0</v>
      </c>
      <c r="AC1317" s="203">
        <v>0</v>
      </c>
      <c r="AD1317" s="203">
        <v>0</v>
      </c>
      <c r="AE1317" s="203">
        <v>458</v>
      </c>
      <c r="AF1317" s="202">
        <f>6238.91*AE1317/I1317</f>
        <v>3361.2760616398068</v>
      </c>
      <c r="AG1317" s="203">
        <v>0</v>
      </c>
      <c r="AH1317" s="202">
        <v>0</v>
      </c>
      <c r="AI1317" s="203">
        <v>0</v>
      </c>
      <c r="AJ1317" s="202">
        <v>0</v>
      </c>
      <c r="AK1317" s="203">
        <v>0</v>
      </c>
      <c r="AL1317" s="203">
        <v>0</v>
      </c>
      <c r="AM1317" s="203">
        <v>0</v>
      </c>
      <c r="AN1317" s="203"/>
      <c r="AO1317" s="203">
        <v>0</v>
      </c>
      <c r="AP1317" s="176"/>
      <c r="DQ1317" s="186"/>
      <c r="DR1317" s="186"/>
      <c r="DS1317" s="186"/>
      <c r="EP1317" s="187"/>
      <c r="FS1317" s="188"/>
      <c r="GI1317" s="189"/>
    </row>
    <row r="1318" spans="1:191" s="144" customFormat="1" ht="36" customHeight="1" x14ac:dyDescent="0.25">
      <c r="A1318" s="176">
        <v>1</v>
      </c>
      <c r="B1318" s="171">
        <f>SUBTOTAL(103,$A$1087:A1318)</f>
        <v>192</v>
      </c>
      <c r="C1318" s="184" t="s">
        <v>72</v>
      </c>
      <c r="D1318" s="173">
        <v>1980</v>
      </c>
      <c r="E1318" s="173"/>
      <c r="F1318" s="185" t="s">
        <v>267</v>
      </c>
      <c r="G1318" s="173">
        <v>2</v>
      </c>
      <c r="H1318" s="173" t="s">
        <v>312</v>
      </c>
      <c r="I1318" s="177">
        <v>970</v>
      </c>
      <c r="J1318" s="177">
        <v>970</v>
      </c>
      <c r="K1318" s="177">
        <v>826.90000000000009</v>
      </c>
      <c r="L1318" s="208">
        <v>68</v>
      </c>
      <c r="M1318" s="173" t="s">
        <v>265</v>
      </c>
      <c r="N1318" s="173" t="s">
        <v>266</v>
      </c>
      <c r="O1318" s="173" t="s">
        <v>268</v>
      </c>
      <c r="P1318" s="177">
        <v>4908492</v>
      </c>
      <c r="Q1318" s="177">
        <v>0</v>
      </c>
      <c r="R1318" s="177">
        <v>0</v>
      </c>
      <c r="S1318" s="177">
        <f>P1318-Q1318-R1318</f>
        <v>4908492</v>
      </c>
      <c r="T1318" s="170">
        <f t="shared" si="218"/>
        <v>5060.3010309278352</v>
      </c>
      <c r="U1318" s="170">
        <v>6237.4620618556701</v>
      </c>
      <c r="V1318" s="202">
        <f t="shared" si="217"/>
        <v>1177.1610309278349</v>
      </c>
      <c r="W1318" s="202">
        <f>X1318+Y1318+Z1318+AA1318+AB1318+AD1318+AF1318+AH1318+AJ1318+AL1318+AN1318+AO1318</f>
        <v>6045.9540206185566</v>
      </c>
      <c r="X1318" s="202">
        <v>0</v>
      </c>
      <c r="Y1318" s="203">
        <v>0</v>
      </c>
      <c r="Z1318" s="203">
        <v>0</v>
      </c>
      <c r="AA1318" s="203">
        <v>0</v>
      </c>
      <c r="AB1318" s="203">
        <v>0</v>
      </c>
      <c r="AC1318" s="203">
        <v>0</v>
      </c>
      <c r="AD1318" s="203">
        <v>0</v>
      </c>
      <c r="AE1318" s="203">
        <v>940</v>
      </c>
      <c r="AF1318" s="202">
        <f>6238.91*AE1318/I1318</f>
        <v>6045.9540206185566</v>
      </c>
      <c r="AG1318" s="203">
        <v>0</v>
      </c>
      <c r="AH1318" s="202">
        <v>0</v>
      </c>
      <c r="AI1318" s="203">
        <v>0</v>
      </c>
      <c r="AJ1318" s="202">
        <v>0</v>
      </c>
      <c r="AK1318" s="203">
        <v>0</v>
      </c>
      <c r="AL1318" s="203">
        <v>0</v>
      </c>
      <c r="AM1318" s="203">
        <v>0</v>
      </c>
      <c r="AN1318" s="203"/>
      <c r="AO1318" s="203">
        <v>0</v>
      </c>
      <c r="AP1318" s="176"/>
      <c r="DQ1318" s="186"/>
      <c r="DR1318" s="186"/>
      <c r="DS1318" s="186"/>
      <c r="EP1318" s="187"/>
      <c r="FS1318" s="188"/>
      <c r="GI1318" s="189"/>
    </row>
    <row r="1319" spans="1:191" s="144" customFormat="1" ht="36" customHeight="1" x14ac:dyDescent="0.25">
      <c r="A1319" s="176">
        <v>1</v>
      </c>
      <c r="B1319" s="171">
        <f>SUBTOTAL(103,$A$1087:A1319)</f>
        <v>193</v>
      </c>
      <c r="C1319" s="184" t="s">
        <v>73</v>
      </c>
      <c r="D1319" s="173">
        <v>1969</v>
      </c>
      <c r="E1319" s="173"/>
      <c r="F1319" s="185" t="s">
        <v>267</v>
      </c>
      <c r="G1319" s="173">
        <v>2</v>
      </c>
      <c r="H1319" s="173" t="s">
        <v>303</v>
      </c>
      <c r="I1319" s="177">
        <v>730.6</v>
      </c>
      <c r="J1319" s="177">
        <v>700.68</v>
      </c>
      <c r="K1319" s="177">
        <v>496.82</v>
      </c>
      <c r="L1319" s="208">
        <v>34</v>
      </c>
      <c r="M1319" s="173" t="s">
        <v>265</v>
      </c>
      <c r="N1319" s="173" t="s">
        <v>266</v>
      </c>
      <c r="O1319" s="173" t="s">
        <v>268</v>
      </c>
      <c r="P1319" s="177">
        <v>3372238.44</v>
      </c>
      <c r="Q1319" s="177">
        <v>0</v>
      </c>
      <c r="R1319" s="177">
        <v>0</v>
      </c>
      <c r="S1319" s="177">
        <f>P1319-Q1319-R1319</f>
        <v>3372238.44</v>
      </c>
      <c r="T1319" s="170">
        <f t="shared" si="218"/>
        <v>4615.710977278949</v>
      </c>
      <c r="U1319" s="170">
        <v>5689.4484998631251</v>
      </c>
      <c r="V1319" s="202">
        <f t="shared" si="217"/>
        <v>1073.7375225841761</v>
      </c>
      <c r="W1319" s="202">
        <f>X1319+Y1319+Z1319+AA1319+AB1319+AD1319+AF1319+AH1319+AJ1319+AL1319+AN1319+AO1319</f>
        <v>5514.7660525595393</v>
      </c>
      <c r="X1319" s="202">
        <v>0</v>
      </c>
      <c r="Y1319" s="203">
        <v>0</v>
      </c>
      <c r="Z1319" s="203">
        <v>0</v>
      </c>
      <c r="AA1319" s="203">
        <v>0</v>
      </c>
      <c r="AB1319" s="203">
        <v>0</v>
      </c>
      <c r="AC1319" s="203">
        <v>0</v>
      </c>
      <c r="AD1319" s="203">
        <v>0</v>
      </c>
      <c r="AE1319" s="203">
        <v>645.79999999999995</v>
      </c>
      <c r="AF1319" s="202">
        <f>6238.91*AE1319/I1319</f>
        <v>5514.7660525595393</v>
      </c>
      <c r="AG1319" s="203">
        <v>0</v>
      </c>
      <c r="AH1319" s="202">
        <v>0</v>
      </c>
      <c r="AI1319" s="203">
        <v>0</v>
      </c>
      <c r="AJ1319" s="202">
        <v>0</v>
      </c>
      <c r="AK1319" s="203">
        <v>0</v>
      </c>
      <c r="AL1319" s="203">
        <v>0</v>
      </c>
      <c r="AM1319" s="203">
        <v>0</v>
      </c>
      <c r="AN1319" s="203"/>
      <c r="AO1319" s="203">
        <v>0</v>
      </c>
      <c r="AP1319" s="176"/>
      <c r="DQ1319" s="186"/>
      <c r="DR1319" s="186"/>
      <c r="DS1319" s="186"/>
      <c r="EP1319" s="187"/>
      <c r="FS1319" s="188"/>
      <c r="GI1319" s="189"/>
    </row>
    <row r="1320" spans="1:191" s="176" customFormat="1" ht="36" customHeight="1" x14ac:dyDescent="0.25">
      <c r="B1320" s="172" t="s">
        <v>834</v>
      </c>
      <c r="C1320" s="172"/>
      <c r="D1320" s="173" t="s">
        <v>882</v>
      </c>
      <c r="E1320" s="173" t="s">
        <v>882</v>
      </c>
      <c r="F1320" s="173" t="s">
        <v>882</v>
      </c>
      <c r="G1320" s="173" t="s">
        <v>882</v>
      </c>
      <c r="H1320" s="173" t="s">
        <v>882</v>
      </c>
      <c r="I1320" s="177">
        <f>I1321</f>
        <v>5523</v>
      </c>
      <c r="J1320" s="177">
        <f>J1321</f>
        <v>4570.6000000000004</v>
      </c>
      <c r="K1320" s="177">
        <f>K1321</f>
        <v>2967.3500000000004</v>
      </c>
      <c r="L1320" s="357">
        <f>L1321</f>
        <v>208</v>
      </c>
      <c r="M1320" s="173" t="s">
        <v>882</v>
      </c>
      <c r="N1320" s="173" t="s">
        <v>882</v>
      </c>
      <c r="O1320" s="175" t="s">
        <v>882</v>
      </c>
      <c r="P1320" s="170">
        <v>3962770.8299999996</v>
      </c>
      <c r="Q1320" s="170">
        <f>Q1321</f>
        <v>0</v>
      </c>
      <c r="R1320" s="170">
        <f>R1321</f>
        <v>0</v>
      </c>
      <c r="S1320" s="170">
        <f>S1321</f>
        <v>3962770.8299999996</v>
      </c>
      <c r="T1320" s="170">
        <f t="shared" si="218"/>
        <v>717.50331884845184</v>
      </c>
      <c r="U1320" s="170">
        <f>U1321</f>
        <v>1538.334166214014</v>
      </c>
      <c r="V1320" s="202">
        <f t="shared" si="217"/>
        <v>820.83084736556214</v>
      </c>
      <c r="W1320" s="202"/>
      <c r="X1320" s="202"/>
      <c r="Y1320" s="203"/>
      <c r="Z1320" s="203"/>
      <c r="AA1320" s="203"/>
      <c r="AB1320" s="203"/>
      <c r="AC1320" s="203"/>
      <c r="AD1320" s="203"/>
      <c r="AE1320" s="203"/>
      <c r="AF1320" s="203"/>
      <c r="AG1320" s="203"/>
      <c r="AH1320" s="203"/>
      <c r="AI1320" s="203"/>
      <c r="AJ1320" s="203"/>
      <c r="AK1320" s="203"/>
      <c r="AL1320" s="203"/>
      <c r="AM1320" s="203"/>
      <c r="AN1320" s="203"/>
      <c r="AO1320" s="203"/>
    </row>
    <row r="1321" spans="1:191" s="144" customFormat="1" ht="36" customHeight="1" x14ac:dyDescent="0.25">
      <c r="A1321" s="176">
        <v>1</v>
      </c>
      <c r="B1321" s="171">
        <f>SUBTOTAL(103,$A$1087:A1321)</f>
        <v>194</v>
      </c>
      <c r="C1321" s="184" t="s">
        <v>1552</v>
      </c>
      <c r="D1321" s="173">
        <v>1979</v>
      </c>
      <c r="E1321" s="173"/>
      <c r="F1321" s="185" t="s">
        <v>1562</v>
      </c>
      <c r="G1321" s="173">
        <v>5</v>
      </c>
      <c r="H1321" s="173" t="s">
        <v>370</v>
      </c>
      <c r="I1321" s="177">
        <v>5523</v>
      </c>
      <c r="J1321" s="177">
        <v>4570.6000000000004</v>
      </c>
      <c r="K1321" s="177">
        <v>2967.3500000000004</v>
      </c>
      <c r="L1321" s="208">
        <v>208</v>
      </c>
      <c r="M1321" s="173" t="s">
        <v>265</v>
      </c>
      <c r="N1321" s="173" t="s">
        <v>269</v>
      </c>
      <c r="O1321" s="173" t="s">
        <v>1514</v>
      </c>
      <c r="P1321" s="177">
        <v>3962770.8299999996</v>
      </c>
      <c r="Q1321" s="177">
        <v>0</v>
      </c>
      <c r="R1321" s="177">
        <v>0</v>
      </c>
      <c r="S1321" s="177">
        <f>P1321-Q1321-R1321</f>
        <v>3962770.8299999996</v>
      </c>
      <c r="T1321" s="170">
        <f t="shared" si="218"/>
        <v>717.50331884845184</v>
      </c>
      <c r="U1321" s="170">
        <v>1538.334166214014</v>
      </c>
      <c r="V1321" s="202">
        <f>U1321-T1321</f>
        <v>820.83084736556214</v>
      </c>
      <c r="W1321" s="202">
        <f>X1321+Y1321+Z1321+AA1321+AB1321+AD1321+AF1321+AH1321+AJ1321+AL1321+AN1321+AO1321</f>
        <v>1491.1028788701792</v>
      </c>
      <c r="X1321" s="202">
        <v>0</v>
      </c>
      <c r="Y1321" s="203">
        <v>0</v>
      </c>
      <c r="Z1321" s="203">
        <v>0</v>
      </c>
      <c r="AA1321" s="203">
        <v>0</v>
      </c>
      <c r="AB1321" s="203">
        <v>0</v>
      </c>
      <c r="AC1321" s="203">
        <v>0</v>
      </c>
      <c r="AD1321" s="203">
        <v>0</v>
      </c>
      <c r="AE1321" s="203">
        <v>1320</v>
      </c>
      <c r="AF1321" s="202">
        <f>6238.91*AE1321/I1321</f>
        <v>1491.1028788701792</v>
      </c>
      <c r="AG1321" s="203">
        <v>0</v>
      </c>
      <c r="AH1321" s="202">
        <v>0</v>
      </c>
      <c r="AI1321" s="203">
        <v>0</v>
      </c>
      <c r="AJ1321" s="202">
        <v>0</v>
      </c>
      <c r="AK1321" s="203">
        <v>0</v>
      </c>
      <c r="AL1321" s="203">
        <v>0</v>
      </c>
      <c r="AM1321" s="203">
        <v>0</v>
      </c>
      <c r="AN1321" s="203"/>
      <c r="AO1321" s="203">
        <v>0</v>
      </c>
      <c r="AP1321" s="176"/>
      <c r="DQ1321" s="186"/>
      <c r="DR1321" s="186"/>
      <c r="DS1321" s="186"/>
      <c r="EP1321" s="187"/>
      <c r="FS1321" s="188"/>
      <c r="GI1321" s="189"/>
    </row>
    <row r="1322" spans="1:191" s="176" customFormat="1" ht="36" customHeight="1" x14ac:dyDescent="0.25">
      <c r="B1322" s="172" t="s">
        <v>839</v>
      </c>
      <c r="C1322" s="359"/>
      <c r="D1322" s="173" t="s">
        <v>882</v>
      </c>
      <c r="E1322" s="173" t="s">
        <v>882</v>
      </c>
      <c r="F1322" s="173" t="s">
        <v>882</v>
      </c>
      <c r="G1322" s="173" t="s">
        <v>882</v>
      </c>
      <c r="H1322" s="173" t="s">
        <v>882</v>
      </c>
      <c r="I1322" s="177">
        <f>I1323</f>
        <v>1046.8</v>
      </c>
      <c r="J1322" s="177">
        <f>J1323</f>
        <v>929.5</v>
      </c>
      <c r="K1322" s="177">
        <f>K1323</f>
        <v>929.5</v>
      </c>
      <c r="L1322" s="357">
        <f>L1323</f>
        <v>44</v>
      </c>
      <c r="M1322" s="173" t="s">
        <v>882</v>
      </c>
      <c r="N1322" s="173" t="s">
        <v>882</v>
      </c>
      <c r="O1322" s="175" t="s">
        <v>882</v>
      </c>
      <c r="P1322" s="170">
        <v>5841301.9000000004</v>
      </c>
      <c r="Q1322" s="170">
        <f>Q1323</f>
        <v>0</v>
      </c>
      <c r="R1322" s="170">
        <f>R1323</f>
        <v>0</v>
      </c>
      <c r="S1322" s="170">
        <f>S1323</f>
        <v>5841301.9000000004</v>
      </c>
      <c r="T1322" s="170">
        <f t="shared" si="218"/>
        <v>5580.150840657242</v>
      </c>
      <c r="U1322" s="170">
        <f>U1323</f>
        <v>5687.6100974398169</v>
      </c>
      <c r="V1322" s="202">
        <f t="shared" si="217"/>
        <v>107.45925678257481</v>
      </c>
      <c r="W1322" s="202"/>
      <c r="X1322" s="202"/>
      <c r="Y1322" s="203"/>
      <c r="Z1322" s="203"/>
      <c r="AA1322" s="203"/>
      <c r="AB1322" s="203"/>
      <c r="AC1322" s="203"/>
      <c r="AD1322" s="203"/>
      <c r="AE1322" s="203"/>
      <c r="AF1322" s="203"/>
      <c r="AG1322" s="203"/>
      <c r="AH1322" s="203"/>
      <c r="AI1322" s="203"/>
      <c r="AJ1322" s="203"/>
      <c r="AK1322" s="203"/>
      <c r="AL1322" s="203"/>
      <c r="AM1322" s="203"/>
      <c r="AN1322" s="203"/>
      <c r="AO1322" s="203"/>
    </row>
    <row r="1323" spans="1:191" s="144" customFormat="1" ht="36" customHeight="1" x14ac:dyDescent="0.25">
      <c r="A1323" s="176">
        <v>1</v>
      </c>
      <c r="B1323" s="171">
        <f>SUBTOTAL(103,$A$1087:A1323)</f>
        <v>195</v>
      </c>
      <c r="C1323" s="184" t="s">
        <v>226</v>
      </c>
      <c r="D1323" s="173">
        <v>1994</v>
      </c>
      <c r="E1323" s="173"/>
      <c r="F1323" s="185" t="s">
        <v>267</v>
      </c>
      <c r="G1323" s="173">
        <v>2</v>
      </c>
      <c r="H1323" s="173" t="s">
        <v>312</v>
      </c>
      <c r="I1323" s="177">
        <v>1046.8</v>
      </c>
      <c r="J1323" s="177">
        <v>929.5</v>
      </c>
      <c r="K1323" s="177">
        <v>929.5</v>
      </c>
      <c r="L1323" s="208">
        <v>44</v>
      </c>
      <c r="M1323" s="173" t="s">
        <v>265</v>
      </c>
      <c r="N1323" s="173" t="s">
        <v>269</v>
      </c>
      <c r="O1323" s="173" t="s">
        <v>694</v>
      </c>
      <c r="P1323" s="177">
        <v>5841301.9000000004</v>
      </c>
      <c r="Q1323" s="177">
        <v>0</v>
      </c>
      <c r="R1323" s="177">
        <v>0</v>
      </c>
      <c r="S1323" s="177">
        <f>P1323-Q1323-R1323</f>
        <v>5841301.9000000004</v>
      </c>
      <c r="T1323" s="170">
        <f t="shared" si="218"/>
        <v>5580.150840657242</v>
      </c>
      <c r="U1323" s="170">
        <v>5687.6100974398169</v>
      </c>
      <c r="V1323" s="202">
        <f>U1323-T1323</f>
        <v>107.45925678257481</v>
      </c>
      <c r="W1323" s="202">
        <f>X1323+Y1323+Z1323+AA1323+AB1323+AD1323+AF1323+AH1323+AJ1323+AL1323+AN1323+AO1323</f>
        <v>5512.9840943828813</v>
      </c>
      <c r="X1323" s="202">
        <v>0</v>
      </c>
      <c r="Y1323" s="203">
        <v>0</v>
      </c>
      <c r="Z1323" s="203">
        <v>0</v>
      </c>
      <c r="AA1323" s="203">
        <v>0</v>
      </c>
      <c r="AB1323" s="203">
        <v>0</v>
      </c>
      <c r="AC1323" s="203">
        <v>0</v>
      </c>
      <c r="AD1323" s="203">
        <v>0</v>
      </c>
      <c r="AE1323" s="203">
        <v>925</v>
      </c>
      <c r="AF1323" s="202">
        <f>6238.91*AE1323/I1323</f>
        <v>5512.9840943828813</v>
      </c>
      <c r="AG1323" s="203">
        <v>0</v>
      </c>
      <c r="AH1323" s="202">
        <v>0</v>
      </c>
      <c r="AI1323" s="203">
        <v>0</v>
      </c>
      <c r="AJ1323" s="202">
        <v>0</v>
      </c>
      <c r="AK1323" s="203">
        <v>0</v>
      </c>
      <c r="AL1323" s="203">
        <v>0</v>
      </c>
      <c r="AM1323" s="203">
        <v>0</v>
      </c>
      <c r="AN1323" s="203"/>
      <c r="AO1323" s="203">
        <v>0</v>
      </c>
      <c r="AP1323" s="176"/>
      <c r="DQ1323" s="186"/>
      <c r="DR1323" s="186"/>
      <c r="DS1323" s="186"/>
      <c r="EP1323" s="187"/>
      <c r="FS1323" s="188"/>
      <c r="GI1323" s="189"/>
    </row>
    <row r="1324" spans="1:191" s="176" customFormat="1" ht="36" customHeight="1" x14ac:dyDescent="0.25">
      <c r="B1324" s="172" t="s">
        <v>874</v>
      </c>
      <c r="C1324" s="359"/>
      <c r="D1324" s="173" t="s">
        <v>882</v>
      </c>
      <c r="E1324" s="173" t="s">
        <v>882</v>
      </c>
      <c r="F1324" s="173" t="s">
        <v>882</v>
      </c>
      <c r="G1324" s="173" t="s">
        <v>882</v>
      </c>
      <c r="H1324" s="173" t="s">
        <v>882</v>
      </c>
      <c r="I1324" s="177">
        <f>I1325</f>
        <v>3554.5</v>
      </c>
      <c r="J1324" s="177">
        <f>J1325</f>
        <v>3554.5</v>
      </c>
      <c r="K1324" s="177">
        <f>K1325</f>
        <v>3220.4</v>
      </c>
      <c r="L1324" s="357">
        <f>L1325</f>
        <v>158</v>
      </c>
      <c r="M1324" s="173" t="s">
        <v>882</v>
      </c>
      <c r="N1324" s="173" t="s">
        <v>882</v>
      </c>
      <c r="O1324" s="175" t="s">
        <v>882</v>
      </c>
      <c r="P1324" s="170">
        <v>7297176.4800000004</v>
      </c>
      <c r="Q1324" s="170">
        <f>Q1325</f>
        <v>0</v>
      </c>
      <c r="R1324" s="170">
        <f>R1325</f>
        <v>0</v>
      </c>
      <c r="S1324" s="170">
        <f>S1325</f>
        <v>7297176.4800000004</v>
      </c>
      <c r="T1324" s="170">
        <f t="shared" si="218"/>
        <v>2052.9403516669013</v>
      </c>
      <c r="U1324" s="170">
        <f>U1325</f>
        <v>2718.951796398931</v>
      </c>
      <c r="V1324" s="202">
        <f t="shared" si="217"/>
        <v>666.01144473202976</v>
      </c>
      <c r="W1324" s="202"/>
      <c r="X1324" s="202"/>
      <c r="Y1324" s="203"/>
      <c r="Z1324" s="203"/>
      <c r="AA1324" s="203"/>
      <c r="AB1324" s="203"/>
      <c r="AC1324" s="203"/>
      <c r="AD1324" s="203"/>
      <c r="AE1324" s="203"/>
      <c r="AF1324" s="203"/>
      <c r="AG1324" s="203"/>
      <c r="AH1324" s="203"/>
      <c r="AI1324" s="203"/>
      <c r="AJ1324" s="203"/>
      <c r="AK1324" s="203"/>
      <c r="AL1324" s="203"/>
      <c r="AM1324" s="203"/>
      <c r="AN1324" s="203"/>
      <c r="AO1324" s="203"/>
    </row>
    <row r="1325" spans="1:191" s="144" customFormat="1" ht="36" customHeight="1" x14ac:dyDescent="0.25">
      <c r="A1325" s="176">
        <v>1</v>
      </c>
      <c r="B1325" s="171">
        <f>SUBTOTAL(103,$A$1087:A1325)</f>
        <v>196</v>
      </c>
      <c r="C1325" s="184" t="s">
        <v>159</v>
      </c>
      <c r="D1325" s="173">
        <v>1987</v>
      </c>
      <c r="E1325" s="173"/>
      <c r="F1325" s="185" t="s">
        <v>287</v>
      </c>
      <c r="G1325" s="173">
        <v>3</v>
      </c>
      <c r="H1325" s="173" t="s">
        <v>2251</v>
      </c>
      <c r="I1325" s="177">
        <v>3554.5</v>
      </c>
      <c r="J1325" s="177">
        <v>3554.5</v>
      </c>
      <c r="K1325" s="177">
        <v>3220.4</v>
      </c>
      <c r="L1325" s="208">
        <v>158</v>
      </c>
      <c r="M1325" s="173" t="s">
        <v>265</v>
      </c>
      <c r="N1325" s="173" t="s">
        <v>269</v>
      </c>
      <c r="O1325" s="173" t="s">
        <v>984</v>
      </c>
      <c r="P1325" s="177">
        <v>7297176.4800000004</v>
      </c>
      <c r="Q1325" s="177">
        <v>0</v>
      </c>
      <c r="R1325" s="177">
        <v>0</v>
      </c>
      <c r="S1325" s="177">
        <f>P1325-Q1325-R1325</f>
        <v>7297176.4800000004</v>
      </c>
      <c r="T1325" s="170">
        <f t="shared" si="218"/>
        <v>2052.9403516669013</v>
      </c>
      <c r="U1325" s="170">
        <v>2718.951796398931</v>
      </c>
      <c r="V1325" s="202">
        <f>U1325-T1325</f>
        <v>666.01144473202976</v>
      </c>
      <c r="W1325" s="202">
        <f>X1325+Y1325+Z1325+AA1325+AB1325+AD1325+AF1325+AH1325+AJ1325+AL1325+AN1325+AO1325</f>
        <v>2635.4670456907224</v>
      </c>
      <c r="X1325" s="202">
        <v>0</v>
      </c>
      <c r="Y1325" s="203">
        <v>0</v>
      </c>
      <c r="Z1325" s="203">
        <v>0</v>
      </c>
      <c r="AA1325" s="203">
        <v>0</v>
      </c>
      <c r="AB1325" s="203">
        <v>0</v>
      </c>
      <c r="AC1325" s="203">
        <v>0</v>
      </c>
      <c r="AD1325" s="203">
        <v>0</v>
      </c>
      <c r="AE1325" s="203">
        <v>1501.50709241</v>
      </c>
      <c r="AF1325" s="202">
        <f>6238.91*AE1325/I1325</f>
        <v>2635.4670456907224</v>
      </c>
      <c r="AG1325" s="203">
        <v>0</v>
      </c>
      <c r="AH1325" s="202">
        <v>0</v>
      </c>
      <c r="AI1325" s="203">
        <v>0</v>
      </c>
      <c r="AJ1325" s="202">
        <v>0</v>
      </c>
      <c r="AK1325" s="203">
        <v>0</v>
      </c>
      <c r="AL1325" s="203">
        <v>0</v>
      </c>
      <c r="AM1325" s="203">
        <v>0</v>
      </c>
      <c r="AN1325" s="203"/>
      <c r="AO1325" s="203">
        <v>0</v>
      </c>
      <c r="AP1325" s="176"/>
      <c r="DQ1325" s="186"/>
      <c r="DR1325" s="186"/>
      <c r="DS1325" s="186"/>
      <c r="EP1325" s="187"/>
      <c r="FS1325" s="188"/>
      <c r="GI1325" s="189"/>
    </row>
    <row r="1326" spans="1:191" s="176" customFormat="1" ht="36" customHeight="1" x14ac:dyDescent="0.25">
      <c r="B1326" s="172" t="s">
        <v>870</v>
      </c>
      <c r="C1326" s="172"/>
      <c r="D1326" s="173" t="s">
        <v>882</v>
      </c>
      <c r="E1326" s="173" t="s">
        <v>882</v>
      </c>
      <c r="F1326" s="173" t="s">
        <v>882</v>
      </c>
      <c r="G1326" s="173" t="s">
        <v>882</v>
      </c>
      <c r="H1326" s="173" t="s">
        <v>882</v>
      </c>
      <c r="I1326" s="177">
        <f>SUM(I1327:I1328)</f>
        <v>2640.94</v>
      </c>
      <c r="J1326" s="177">
        <f>SUM(J1327:J1328)</f>
        <v>1584.6</v>
      </c>
      <c r="K1326" s="177">
        <f>SUM(K1327:K1328)</f>
        <v>1443.9</v>
      </c>
      <c r="L1326" s="357">
        <f>SUM(L1327:L1328)</f>
        <v>92</v>
      </c>
      <c r="M1326" s="173" t="s">
        <v>882</v>
      </c>
      <c r="N1326" s="173" t="s">
        <v>882</v>
      </c>
      <c r="O1326" s="175" t="s">
        <v>882</v>
      </c>
      <c r="P1326" s="170">
        <v>4011881.02</v>
      </c>
      <c r="Q1326" s="170">
        <f>Q1327+Q1328</f>
        <v>0</v>
      </c>
      <c r="R1326" s="170">
        <f>R1327+R1328</f>
        <v>0</v>
      </c>
      <c r="S1326" s="170">
        <f>S1327+S1328</f>
        <v>4011881.02</v>
      </c>
      <c r="T1326" s="170">
        <f t="shared" si="218"/>
        <v>1519.1110059297068</v>
      </c>
      <c r="U1326" s="170">
        <f>MAX(U1327:U1328)</f>
        <v>3492.2658900928791</v>
      </c>
      <c r="V1326" s="202">
        <f t="shared" si="217"/>
        <v>1973.1548841631723</v>
      </c>
      <c r="W1326" s="202"/>
      <c r="X1326" s="202"/>
      <c r="Y1326" s="203"/>
      <c r="Z1326" s="203"/>
      <c r="AA1326" s="203"/>
      <c r="AB1326" s="203"/>
      <c r="AC1326" s="203"/>
      <c r="AD1326" s="203"/>
      <c r="AE1326" s="203"/>
      <c r="AF1326" s="203"/>
      <c r="AG1326" s="203"/>
      <c r="AH1326" s="203"/>
      <c r="AI1326" s="203"/>
      <c r="AJ1326" s="203"/>
      <c r="AK1326" s="203"/>
      <c r="AL1326" s="203"/>
      <c r="AM1326" s="203"/>
      <c r="AN1326" s="203"/>
      <c r="AO1326" s="203"/>
    </row>
    <row r="1327" spans="1:191" s="144" customFormat="1" ht="36" customHeight="1" x14ac:dyDescent="0.25">
      <c r="A1327" s="176">
        <v>1</v>
      </c>
      <c r="B1327" s="171">
        <f>SUBTOTAL(103,$A$1087:A1327)</f>
        <v>197</v>
      </c>
      <c r="C1327" s="184" t="s">
        <v>164</v>
      </c>
      <c r="D1327" s="173">
        <v>1978</v>
      </c>
      <c r="E1327" s="173"/>
      <c r="F1327" s="185" t="s">
        <v>267</v>
      </c>
      <c r="G1327" s="173">
        <v>2</v>
      </c>
      <c r="H1327" s="173" t="s">
        <v>303</v>
      </c>
      <c r="I1327" s="177">
        <v>1219.74</v>
      </c>
      <c r="J1327" s="177">
        <v>712.8</v>
      </c>
      <c r="K1327" s="177">
        <v>712.8</v>
      </c>
      <c r="L1327" s="208">
        <v>45</v>
      </c>
      <c r="M1327" s="173" t="s">
        <v>265</v>
      </c>
      <c r="N1327" s="173" t="s">
        <v>269</v>
      </c>
      <c r="O1327" s="173" t="s">
        <v>984</v>
      </c>
      <c r="P1327" s="177">
        <v>329863.09999999998</v>
      </c>
      <c r="Q1327" s="177">
        <v>0</v>
      </c>
      <c r="R1327" s="177">
        <v>0</v>
      </c>
      <c r="S1327" s="177">
        <f>P1327-Q1327-R1327</f>
        <v>329863.09999999998</v>
      </c>
      <c r="T1327" s="170">
        <f t="shared" si="218"/>
        <v>270.43722432649577</v>
      </c>
      <c r="U1327" s="170">
        <v>597.69442668109605</v>
      </c>
      <c r="V1327" s="202">
        <f t="shared" si="217"/>
        <v>327.25720235460028</v>
      </c>
      <c r="W1327" s="202">
        <f>X1327+Y1327+Z1327+AA1327+AB1327+AD1327+AF1327+AH1327+AJ1327+AL1327+AN1327+AO1327</f>
        <v>597.69442668109605</v>
      </c>
      <c r="X1327" s="202">
        <v>0</v>
      </c>
      <c r="Y1327" s="203">
        <v>0</v>
      </c>
      <c r="Z1327" s="203">
        <v>0</v>
      </c>
      <c r="AA1327" s="203">
        <v>0</v>
      </c>
      <c r="AB1327" s="203">
        <v>0</v>
      </c>
      <c r="AC1327" s="203">
        <v>0</v>
      </c>
      <c r="AD1327" s="203">
        <v>0</v>
      </c>
      <c r="AE1327" s="203">
        <v>0</v>
      </c>
      <c r="AF1327" s="202">
        <v>0</v>
      </c>
      <c r="AG1327" s="203">
        <v>0</v>
      </c>
      <c r="AH1327" s="202">
        <v>0</v>
      </c>
      <c r="AI1327" s="203">
        <v>98</v>
      </c>
      <c r="AJ1327" s="202">
        <f>7439.1*AI1327/I1327</f>
        <v>597.69442668109605</v>
      </c>
      <c r="AK1327" s="203">
        <v>0</v>
      </c>
      <c r="AL1327" s="203">
        <v>0</v>
      </c>
      <c r="AM1327" s="203">
        <v>0</v>
      </c>
      <c r="AN1327" s="203"/>
      <c r="AO1327" s="203">
        <v>0</v>
      </c>
      <c r="AP1327" s="176"/>
      <c r="DQ1327" s="186"/>
      <c r="DR1327" s="186"/>
      <c r="DS1327" s="186"/>
      <c r="EP1327" s="187"/>
      <c r="FS1327" s="188"/>
      <c r="GI1327" s="189"/>
    </row>
    <row r="1328" spans="1:191" s="144" customFormat="1" ht="36" customHeight="1" x14ac:dyDescent="0.25">
      <c r="A1328" s="176">
        <v>1</v>
      </c>
      <c r="B1328" s="171">
        <f>SUBTOTAL(103,$A$1087:A1328)</f>
        <v>198</v>
      </c>
      <c r="C1328" s="184" t="s">
        <v>165</v>
      </c>
      <c r="D1328" s="173">
        <v>1989</v>
      </c>
      <c r="E1328" s="173"/>
      <c r="F1328" s="185" t="s">
        <v>267</v>
      </c>
      <c r="G1328" s="173">
        <v>2</v>
      </c>
      <c r="H1328" s="173" t="s">
        <v>312</v>
      </c>
      <c r="I1328" s="177">
        <v>1421.2</v>
      </c>
      <c r="J1328" s="177">
        <v>871.8</v>
      </c>
      <c r="K1328" s="177">
        <v>731.1</v>
      </c>
      <c r="L1328" s="208">
        <v>47</v>
      </c>
      <c r="M1328" s="173" t="s">
        <v>265</v>
      </c>
      <c r="N1328" s="173" t="s">
        <v>269</v>
      </c>
      <c r="O1328" s="173" t="s">
        <v>984</v>
      </c>
      <c r="P1328" s="177">
        <v>3682017.92</v>
      </c>
      <c r="Q1328" s="177">
        <v>0</v>
      </c>
      <c r="R1328" s="177">
        <v>0</v>
      </c>
      <c r="S1328" s="177">
        <f>P1328-Q1328-R1328</f>
        <v>3682017.92</v>
      </c>
      <c r="T1328" s="170">
        <f t="shared" si="218"/>
        <v>2590.7809738249366</v>
      </c>
      <c r="U1328" s="170">
        <v>3492.2658900928791</v>
      </c>
      <c r="V1328" s="202">
        <f t="shared" si="217"/>
        <v>901.48491626794248</v>
      </c>
      <c r="W1328" s="202">
        <f>X1328+Y1328+Z1328+AA1328+AB1328+AD1328+AF1328+AH1328+AJ1328+AL1328+AN1328+AO1328</f>
        <v>3385.0432739938083</v>
      </c>
      <c r="X1328" s="202">
        <v>0</v>
      </c>
      <c r="Y1328" s="203">
        <v>0</v>
      </c>
      <c r="Z1328" s="203">
        <v>0</v>
      </c>
      <c r="AA1328" s="203">
        <v>0</v>
      </c>
      <c r="AB1328" s="203">
        <v>0</v>
      </c>
      <c r="AC1328" s="203">
        <v>0</v>
      </c>
      <c r="AD1328" s="203">
        <v>0</v>
      </c>
      <c r="AE1328" s="203">
        <v>771.1</v>
      </c>
      <c r="AF1328" s="202">
        <f>6238.91*AE1328/I1328</f>
        <v>3385.0432739938083</v>
      </c>
      <c r="AG1328" s="203">
        <v>0</v>
      </c>
      <c r="AH1328" s="202">
        <v>0</v>
      </c>
      <c r="AI1328" s="203">
        <v>0</v>
      </c>
      <c r="AJ1328" s="202">
        <v>0</v>
      </c>
      <c r="AK1328" s="203">
        <v>0</v>
      </c>
      <c r="AL1328" s="203">
        <v>0</v>
      </c>
      <c r="AM1328" s="203">
        <v>0</v>
      </c>
      <c r="AN1328" s="203"/>
      <c r="AO1328" s="203">
        <v>0</v>
      </c>
      <c r="AP1328" s="176"/>
      <c r="DQ1328" s="186"/>
      <c r="DR1328" s="186"/>
      <c r="DS1328" s="186"/>
      <c r="EP1328" s="187"/>
      <c r="FS1328" s="188"/>
      <c r="GI1328" s="189"/>
    </row>
    <row r="1329" spans="1:191" s="176" customFormat="1" ht="36" customHeight="1" x14ac:dyDescent="0.25">
      <c r="B1329" s="172" t="s">
        <v>843</v>
      </c>
      <c r="C1329" s="172"/>
      <c r="D1329" s="173" t="s">
        <v>882</v>
      </c>
      <c r="E1329" s="173" t="s">
        <v>882</v>
      </c>
      <c r="F1329" s="173" t="s">
        <v>882</v>
      </c>
      <c r="G1329" s="173" t="s">
        <v>882</v>
      </c>
      <c r="H1329" s="173" t="s">
        <v>882</v>
      </c>
      <c r="I1329" s="177">
        <f>SUM(I1330:I1332)</f>
        <v>3872.1</v>
      </c>
      <c r="J1329" s="177">
        <f>SUM(J1330:J1332)</f>
        <v>3872.1</v>
      </c>
      <c r="K1329" s="177">
        <f>SUM(K1330:K1332)</f>
        <v>3735</v>
      </c>
      <c r="L1329" s="357">
        <f>SUM(L1330:L1332)</f>
        <v>163</v>
      </c>
      <c r="M1329" s="173" t="s">
        <v>882</v>
      </c>
      <c r="N1329" s="173" t="s">
        <v>882</v>
      </c>
      <c r="O1329" s="175" t="s">
        <v>882</v>
      </c>
      <c r="P1329" s="170">
        <v>6079528.0199999996</v>
      </c>
      <c r="Q1329" s="170">
        <f>Q1330+Q1331+Q1332</f>
        <v>0</v>
      </c>
      <c r="R1329" s="170">
        <f>R1330+R1331+R1332</f>
        <v>0</v>
      </c>
      <c r="S1329" s="170">
        <f>S1330+S1331+S1332</f>
        <v>6079528.0199999996</v>
      </c>
      <c r="T1329" s="170">
        <f t="shared" si="218"/>
        <v>1570.0854884946152</v>
      </c>
      <c r="U1329" s="170">
        <f>MAX(U1330:U1332)</f>
        <v>6623.6900124712829</v>
      </c>
      <c r="V1329" s="202">
        <f t="shared" si="217"/>
        <v>5053.6045239766681</v>
      </c>
      <c r="W1329" s="202"/>
      <c r="X1329" s="202"/>
      <c r="Y1329" s="203"/>
      <c r="Z1329" s="203"/>
      <c r="AA1329" s="203"/>
      <c r="AB1329" s="203"/>
      <c r="AC1329" s="203"/>
      <c r="AD1329" s="203"/>
      <c r="AE1329" s="203"/>
      <c r="AF1329" s="203"/>
      <c r="AG1329" s="203"/>
      <c r="AH1329" s="203"/>
      <c r="AI1329" s="203"/>
      <c r="AJ1329" s="203"/>
      <c r="AK1329" s="203"/>
      <c r="AL1329" s="203"/>
      <c r="AM1329" s="203"/>
      <c r="AN1329" s="203"/>
      <c r="AO1329" s="203"/>
    </row>
    <row r="1330" spans="1:191" s="144" customFormat="1" ht="36" customHeight="1" x14ac:dyDescent="0.25">
      <c r="A1330" s="176">
        <v>1</v>
      </c>
      <c r="B1330" s="171">
        <f>SUBTOTAL(103,$A$1087:A1330)</f>
        <v>199</v>
      </c>
      <c r="C1330" s="184" t="s">
        <v>1935</v>
      </c>
      <c r="D1330" s="173">
        <v>1986</v>
      </c>
      <c r="E1330" s="173"/>
      <c r="F1330" s="185" t="s">
        <v>267</v>
      </c>
      <c r="G1330" s="173">
        <v>5</v>
      </c>
      <c r="H1330" s="173" t="s">
        <v>308</v>
      </c>
      <c r="I1330" s="177">
        <v>2959.8</v>
      </c>
      <c r="J1330" s="177">
        <v>2959.8</v>
      </c>
      <c r="K1330" s="177">
        <f>J1330-113.1</f>
        <v>2846.7000000000003</v>
      </c>
      <c r="L1330" s="208">
        <v>127</v>
      </c>
      <c r="M1330" s="173" t="s">
        <v>265</v>
      </c>
      <c r="N1330" s="173" t="s">
        <v>269</v>
      </c>
      <c r="O1330" s="173" t="s">
        <v>289</v>
      </c>
      <c r="P1330" s="177">
        <v>3274967.59</v>
      </c>
      <c r="Q1330" s="177">
        <v>0</v>
      </c>
      <c r="R1330" s="177">
        <v>0</v>
      </c>
      <c r="S1330" s="177">
        <f>P1330-Q1330-R1330</f>
        <v>3274967.59</v>
      </c>
      <c r="T1330" s="170">
        <f t="shared" si="218"/>
        <v>1106.4827319413473</v>
      </c>
      <c r="U1330" s="170">
        <v>1668.8266511250758</v>
      </c>
      <c r="V1330" s="202">
        <f t="shared" si="217"/>
        <v>562.34391918372853</v>
      </c>
      <c r="W1330" s="202">
        <f>X1330+Y1330+Z1330+AA1330+AB1330+AD1330+AF1330+AH1330+AJ1330+AL1330+AN1330+AO1330</f>
        <v>1851.5638029596591</v>
      </c>
      <c r="X1330" s="202">
        <v>0</v>
      </c>
      <c r="Y1330" s="203">
        <v>0</v>
      </c>
      <c r="Z1330" s="203">
        <v>0</v>
      </c>
      <c r="AA1330" s="203">
        <v>0</v>
      </c>
      <c r="AB1330" s="203">
        <v>0</v>
      </c>
      <c r="AC1330" s="203">
        <v>0</v>
      </c>
      <c r="AD1330" s="203">
        <v>0</v>
      </c>
      <c r="AE1330" s="203">
        <v>878.4</v>
      </c>
      <c r="AF1330" s="202">
        <f>6238.91*AE1330/I1330</f>
        <v>1851.5638029596591</v>
      </c>
      <c r="AG1330" s="203">
        <v>0</v>
      </c>
      <c r="AH1330" s="202">
        <v>0</v>
      </c>
      <c r="AI1330" s="203">
        <v>0</v>
      </c>
      <c r="AJ1330" s="202">
        <v>0</v>
      </c>
      <c r="AK1330" s="203">
        <v>0</v>
      </c>
      <c r="AL1330" s="203">
        <v>0</v>
      </c>
      <c r="AM1330" s="203">
        <v>0</v>
      </c>
      <c r="AN1330" s="203"/>
      <c r="AO1330" s="203">
        <v>0</v>
      </c>
      <c r="AP1330" s="176"/>
      <c r="DQ1330" s="186"/>
      <c r="DR1330" s="186"/>
      <c r="DS1330" s="186"/>
      <c r="EP1330" s="187"/>
      <c r="FS1330" s="188"/>
      <c r="GI1330" s="189"/>
    </row>
    <row r="1331" spans="1:191" s="144" customFormat="1" ht="36" customHeight="1" x14ac:dyDescent="0.25">
      <c r="A1331" s="176">
        <v>1</v>
      </c>
      <c r="B1331" s="171">
        <f>SUBTOTAL(103,$A$1087:A1331)</f>
        <v>200</v>
      </c>
      <c r="C1331" s="184" t="s">
        <v>1943</v>
      </c>
      <c r="D1331" s="173">
        <v>1970</v>
      </c>
      <c r="E1331" s="173"/>
      <c r="F1331" s="185" t="s">
        <v>1562</v>
      </c>
      <c r="G1331" s="173" t="s">
        <v>308</v>
      </c>
      <c r="H1331" s="173" t="s">
        <v>304</v>
      </c>
      <c r="I1331" s="177">
        <v>607.6</v>
      </c>
      <c r="J1331" s="177">
        <v>607.6</v>
      </c>
      <c r="K1331" s="177">
        <v>607.6</v>
      </c>
      <c r="L1331" s="208">
        <v>25</v>
      </c>
      <c r="M1331" s="173" t="s">
        <v>265</v>
      </c>
      <c r="N1331" s="173" t="s">
        <v>269</v>
      </c>
      <c r="O1331" s="173" t="s">
        <v>289</v>
      </c>
      <c r="P1331" s="177">
        <v>1167219.1299999999</v>
      </c>
      <c r="Q1331" s="177">
        <v>0</v>
      </c>
      <c r="R1331" s="177">
        <v>0</v>
      </c>
      <c r="S1331" s="177">
        <f>P1331-Q1331-R1331</f>
        <v>1167219.1299999999</v>
      </c>
      <c r="T1331" s="170">
        <f t="shared" si="218"/>
        <v>1921.0321428571426</v>
      </c>
      <c r="U1331" s="170">
        <v>2049.8165816326527</v>
      </c>
      <c r="V1331" s="202">
        <f>U1331-T1331</f>
        <v>128.78443877551013</v>
      </c>
      <c r="W1331" s="202">
        <f>X1331+Y1331+Z1331+AA1331+AB1331+AD1331+AF1331+AH1331+AJ1331+AL1331+AN1331+AO1331</f>
        <v>3219.657480457538</v>
      </c>
      <c r="X1331" s="202">
        <v>0</v>
      </c>
      <c r="Y1331" s="203">
        <v>0</v>
      </c>
      <c r="Z1331" s="203">
        <v>0</v>
      </c>
      <c r="AA1331" s="203">
        <v>0</v>
      </c>
      <c r="AB1331" s="203">
        <v>0</v>
      </c>
      <c r="AC1331" s="203">
        <v>0</v>
      </c>
      <c r="AD1331" s="203">
        <v>0</v>
      </c>
      <c r="AE1331" s="203">
        <v>313.55860000000001</v>
      </c>
      <c r="AF1331" s="202">
        <f>6238.91*AE1331/I1331</f>
        <v>3219.657480457538</v>
      </c>
      <c r="AG1331" s="203">
        <v>0</v>
      </c>
      <c r="AH1331" s="202">
        <v>0</v>
      </c>
      <c r="AI1331" s="203">
        <v>0</v>
      </c>
      <c r="AJ1331" s="202">
        <v>0</v>
      </c>
      <c r="AK1331" s="203">
        <v>0</v>
      </c>
      <c r="AL1331" s="203">
        <v>0</v>
      </c>
      <c r="AM1331" s="203">
        <v>0</v>
      </c>
      <c r="AN1331" s="203"/>
      <c r="AO1331" s="203">
        <v>0</v>
      </c>
      <c r="AP1331" s="176"/>
      <c r="DQ1331" s="186"/>
      <c r="DR1331" s="186"/>
      <c r="DS1331" s="186"/>
      <c r="EP1331" s="187"/>
      <c r="FS1331" s="188"/>
      <c r="GI1331" s="189"/>
    </row>
    <row r="1332" spans="1:191" s="144" customFormat="1" ht="36" customHeight="1" x14ac:dyDescent="0.25">
      <c r="A1332" s="176">
        <v>1</v>
      </c>
      <c r="B1332" s="171">
        <f>SUBTOTAL(103,$A$1087:A1332)</f>
        <v>201</v>
      </c>
      <c r="C1332" s="184" t="s">
        <v>163</v>
      </c>
      <c r="D1332" s="173">
        <v>1973</v>
      </c>
      <c r="E1332" s="173"/>
      <c r="F1332" s="185" t="s">
        <v>267</v>
      </c>
      <c r="G1332" s="173">
        <v>2</v>
      </c>
      <c r="H1332" s="173" t="s">
        <v>304</v>
      </c>
      <c r="I1332" s="177">
        <v>304.7</v>
      </c>
      <c r="J1332" s="177">
        <v>304.7</v>
      </c>
      <c r="K1332" s="177">
        <v>280.7</v>
      </c>
      <c r="L1332" s="208">
        <v>11</v>
      </c>
      <c r="M1332" s="173" t="s">
        <v>265</v>
      </c>
      <c r="N1332" s="173" t="s">
        <v>269</v>
      </c>
      <c r="O1332" s="173" t="s">
        <v>289</v>
      </c>
      <c r="P1332" s="177">
        <v>1637341.3</v>
      </c>
      <c r="Q1332" s="177">
        <v>0</v>
      </c>
      <c r="R1332" s="177">
        <v>0</v>
      </c>
      <c r="S1332" s="177">
        <f>P1332-Q1332-R1332</f>
        <v>1637341.3</v>
      </c>
      <c r="T1332" s="170">
        <f t="shared" si="218"/>
        <v>5373.6176567115199</v>
      </c>
      <c r="U1332" s="170">
        <v>6623.6900124712829</v>
      </c>
      <c r="V1332" s="202">
        <f t="shared" si="217"/>
        <v>1250.072355759763</v>
      </c>
      <c r="W1332" s="202">
        <f>X1332+Y1332+Z1332+AA1332+AB1332+AD1332+AF1332+AH1332+AJ1332+AL1332+AN1332+AO1332</f>
        <v>6420.2949954906471</v>
      </c>
      <c r="X1332" s="202">
        <v>0</v>
      </c>
      <c r="Y1332" s="203">
        <v>0</v>
      </c>
      <c r="Z1332" s="203">
        <v>0</v>
      </c>
      <c r="AA1332" s="203">
        <v>0</v>
      </c>
      <c r="AB1332" s="203">
        <v>0</v>
      </c>
      <c r="AC1332" s="203">
        <v>0</v>
      </c>
      <c r="AD1332" s="203">
        <v>0</v>
      </c>
      <c r="AE1332" s="203">
        <v>313.55860000000001</v>
      </c>
      <c r="AF1332" s="202">
        <f>6238.91*AE1332/I1332</f>
        <v>6420.2949954906471</v>
      </c>
      <c r="AG1332" s="203">
        <v>0</v>
      </c>
      <c r="AH1332" s="202">
        <v>0</v>
      </c>
      <c r="AI1332" s="203">
        <v>0</v>
      </c>
      <c r="AJ1332" s="202">
        <v>0</v>
      </c>
      <c r="AK1332" s="203">
        <v>0</v>
      </c>
      <c r="AL1332" s="203">
        <v>0</v>
      </c>
      <c r="AM1332" s="203">
        <v>0</v>
      </c>
      <c r="AN1332" s="203"/>
      <c r="AO1332" s="203">
        <v>0</v>
      </c>
      <c r="AP1332" s="176"/>
      <c r="DQ1332" s="186"/>
      <c r="DR1332" s="186"/>
      <c r="DS1332" s="186"/>
      <c r="EP1332" s="187"/>
      <c r="FS1332" s="188"/>
      <c r="GI1332" s="189"/>
    </row>
    <row r="1333" spans="1:191" s="176" customFormat="1" ht="36" customHeight="1" x14ac:dyDescent="0.25">
      <c r="B1333" s="172" t="s">
        <v>844</v>
      </c>
      <c r="C1333" s="172"/>
      <c r="D1333" s="173" t="s">
        <v>882</v>
      </c>
      <c r="E1333" s="173" t="s">
        <v>882</v>
      </c>
      <c r="F1333" s="173" t="s">
        <v>882</v>
      </c>
      <c r="G1333" s="173" t="s">
        <v>882</v>
      </c>
      <c r="H1333" s="173" t="s">
        <v>882</v>
      </c>
      <c r="I1333" s="177">
        <f>I1334+I1335+I1336</f>
        <v>13642.179999999998</v>
      </c>
      <c r="J1333" s="177">
        <f>J1334+J1335+J1336</f>
        <v>8514.9</v>
      </c>
      <c r="K1333" s="177">
        <f>K1334+K1335+K1336</f>
        <v>504.30000000000007</v>
      </c>
      <c r="L1333" s="357">
        <f>L1334+L1335+L1336</f>
        <v>462</v>
      </c>
      <c r="M1333" s="173" t="s">
        <v>882</v>
      </c>
      <c r="N1333" s="173" t="s">
        <v>882</v>
      </c>
      <c r="O1333" s="175" t="s">
        <v>882</v>
      </c>
      <c r="P1333" s="170">
        <v>12459674.15</v>
      </c>
      <c r="Q1333" s="170">
        <f>Q1334+Q1335+Q1336</f>
        <v>0</v>
      </c>
      <c r="R1333" s="170">
        <f>R1334+R1335+R1336</f>
        <v>0</v>
      </c>
      <c r="S1333" s="170">
        <f>S1334+S1335+S1336</f>
        <v>12459674.15</v>
      </c>
      <c r="T1333" s="170">
        <f t="shared" si="218"/>
        <v>913.31987629543096</v>
      </c>
      <c r="U1333" s="170">
        <f>MAX(U1334:U1336)</f>
        <v>1797.3470724789133</v>
      </c>
      <c r="V1333" s="202">
        <f t="shared" si="217"/>
        <v>884.02719618348237</v>
      </c>
      <c r="W1333" s="202"/>
      <c r="X1333" s="202"/>
      <c r="Y1333" s="203"/>
      <c r="Z1333" s="203"/>
      <c r="AA1333" s="203"/>
      <c r="AB1333" s="203"/>
      <c r="AC1333" s="203"/>
      <c r="AD1333" s="203"/>
      <c r="AE1333" s="203"/>
      <c r="AF1333" s="203"/>
      <c r="AG1333" s="203"/>
      <c r="AH1333" s="203"/>
      <c r="AI1333" s="203"/>
      <c r="AJ1333" s="203"/>
      <c r="AK1333" s="203"/>
      <c r="AL1333" s="203"/>
      <c r="AM1333" s="203"/>
      <c r="AN1333" s="203"/>
      <c r="AO1333" s="203"/>
    </row>
    <row r="1334" spans="1:191" s="144" customFormat="1" ht="36" customHeight="1" x14ac:dyDescent="0.25">
      <c r="A1334" s="176">
        <v>1</v>
      </c>
      <c r="B1334" s="171">
        <f>SUBTOTAL(103,$A$1087:A1334)</f>
        <v>202</v>
      </c>
      <c r="C1334" s="184" t="s">
        <v>160</v>
      </c>
      <c r="D1334" s="173">
        <v>1988</v>
      </c>
      <c r="E1334" s="173"/>
      <c r="F1334" s="185" t="s">
        <v>267</v>
      </c>
      <c r="G1334" s="173">
        <v>5</v>
      </c>
      <c r="H1334" s="173" t="s">
        <v>370</v>
      </c>
      <c r="I1334" s="177">
        <v>6118.54</v>
      </c>
      <c r="J1334" s="177">
        <v>4395.5</v>
      </c>
      <c r="K1334" s="177">
        <v>202.8</v>
      </c>
      <c r="L1334" s="208">
        <v>234</v>
      </c>
      <c r="M1334" s="173" t="s">
        <v>265</v>
      </c>
      <c r="N1334" s="173" t="s">
        <v>269</v>
      </c>
      <c r="O1334" s="173" t="s">
        <v>290</v>
      </c>
      <c r="P1334" s="177">
        <v>5095413.53</v>
      </c>
      <c r="Q1334" s="177">
        <v>0</v>
      </c>
      <c r="R1334" s="177">
        <v>0</v>
      </c>
      <c r="S1334" s="177">
        <f>P1334-Q1334-R1334</f>
        <v>5095413.53</v>
      </c>
      <c r="T1334" s="170">
        <f t="shared" si="218"/>
        <v>832.78258048488692</v>
      </c>
      <c r="U1334" s="170">
        <v>1343.1467537517119</v>
      </c>
      <c r="V1334" s="202">
        <f t="shared" si="217"/>
        <v>510.36417326682499</v>
      </c>
      <c r="W1334" s="202">
        <f>X1334+Y1334+Z1334+AA1334+AB1334+AD1334+AF1334+AH1334+AJ1334+AL1334+AN1334+AO1334</f>
        <v>1301.908281861359</v>
      </c>
      <c r="X1334" s="202">
        <v>0</v>
      </c>
      <c r="Y1334" s="203">
        <v>0</v>
      </c>
      <c r="Z1334" s="203">
        <v>0</v>
      </c>
      <c r="AA1334" s="203">
        <v>0</v>
      </c>
      <c r="AB1334" s="203">
        <v>0</v>
      </c>
      <c r="AC1334" s="203">
        <v>0</v>
      </c>
      <c r="AD1334" s="203">
        <v>0</v>
      </c>
      <c r="AE1334" s="203">
        <v>1276.79</v>
      </c>
      <c r="AF1334" s="202">
        <f>6238.91*AE1334/I1334</f>
        <v>1301.908281861359</v>
      </c>
      <c r="AG1334" s="203">
        <v>0</v>
      </c>
      <c r="AH1334" s="202">
        <v>0</v>
      </c>
      <c r="AI1334" s="203">
        <v>0</v>
      </c>
      <c r="AJ1334" s="202">
        <v>0</v>
      </c>
      <c r="AK1334" s="203">
        <v>0</v>
      </c>
      <c r="AL1334" s="203">
        <v>0</v>
      </c>
      <c r="AM1334" s="203">
        <v>0</v>
      </c>
      <c r="AN1334" s="203"/>
      <c r="AO1334" s="203">
        <v>0</v>
      </c>
      <c r="AP1334" s="176"/>
      <c r="DQ1334" s="186"/>
      <c r="DR1334" s="186"/>
      <c r="DS1334" s="186"/>
      <c r="EP1334" s="187"/>
      <c r="FS1334" s="188"/>
      <c r="GI1334" s="189"/>
    </row>
    <row r="1335" spans="1:191" s="144" customFormat="1" ht="36" customHeight="1" x14ac:dyDescent="0.25">
      <c r="A1335" s="176">
        <v>1</v>
      </c>
      <c r="B1335" s="171">
        <f>SUBTOTAL(103,$A$1087:A1335)</f>
        <v>203</v>
      </c>
      <c r="C1335" s="184" t="s">
        <v>161</v>
      </c>
      <c r="D1335" s="173">
        <v>1985</v>
      </c>
      <c r="E1335" s="173"/>
      <c r="F1335" s="185" t="s">
        <v>267</v>
      </c>
      <c r="G1335" s="173">
        <v>5</v>
      </c>
      <c r="H1335" s="173" t="s">
        <v>351</v>
      </c>
      <c r="I1335" s="177">
        <v>4844.24</v>
      </c>
      <c r="J1335" s="177">
        <v>2814.6</v>
      </c>
      <c r="K1335" s="177">
        <v>192.4</v>
      </c>
      <c r="L1335" s="208">
        <v>152</v>
      </c>
      <c r="M1335" s="173" t="s">
        <v>265</v>
      </c>
      <c r="N1335" s="173" t="s">
        <v>269</v>
      </c>
      <c r="O1335" s="173" t="s">
        <v>290</v>
      </c>
      <c r="P1335" s="177">
        <v>3457309.86</v>
      </c>
      <c r="Q1335" s="177">
        <v>0</v>
      </c>
      <c r="R1335" s="177">
        <v>0</v>
      </c>
      <c r="S1335" s="177">
        <f>P1335-Q1335-R1335</f>
        <v>3457309.86</v>
      </c>
      <c r="T1335" s="170">
        <f t="shared" si="218"/>
        <v>713.69499859627103</v>
      </c>
      <c r="U1335" s="170">
        <v>1151.0772937757006</v>
      </c>
      <c r="V1335" s="202">
        <f t="shared" si="217"/>
        <v>437.38229517942955</v>
      </c>
      <c r="W1335" s="202">
        <f>X1335+Y1335+Z1335+AA1335+AB1335+AD1335+AF1335+AH1335+AJ1335+AL1335+AN1335+AO1335</f>
        <v>1115.7359072217728</v>
      </c>
      <c r="X1335" s="202">
        <v>0</v>
      </c>
      <c r="Y1335" s="203">
        <v>0</v>
      </c>
      <c r="Z1335" s="203">
        <v>0</v>
      </c>
      <c r="AA1335" s="203">
        <v>0</v>
      </c>
      <c r="AB1335" s="203">
        <v>0</v>
      </c>
      <c r="AC1335" s="203">
        <v>0</v>
      </c>
      <c r="AD1335" s="203">
        <v>0</v>
      </c>
      <c r="AE1335" s="203">
        <v>866.32</v>
      </c>
      <c r="AF1335" s="202">
        <f>6238.91*AE1335/I1335</f>
        <v>1115.7359072217728</v>
      </c>
      <c r="AG1335" s="203">
        <v>0</v>
      </c>
      <c r="AH1335" s="202">
        <v>0</v>
      </c>
      <c r="AI1335" s="203">
        <v>0</v>
      </c>
      <c r="AJ1335" s="202">
        <v>0</v>
      </c>
      <c r="AK1335" s="203">
        <v>0</v>
      </c>
      <c r="AL1335" s="203">
        <v>0</v>
      </c>
      <c r="AM1335" s="203">
        <v>0</v>
      </c>
      <c r="AN1335" s="203"/>
      <c r="AO1335" s="203">
        <v>0</v>
      </c>
      <c r="AP1335" s="176"/>
      <c r="DQ1335" s="186"/>
      <c r="DR1335" s="186"/>
      <c r="DS1335" s="186"/>
      <c r="EP1335" s="187"/>
      <c r="FS1335" s="188"/>
      <c r="GI1335" s="189"/>
    </row>
    <row r="1336" spans="1:191" s="144" customFormat="1" ht="36" customHeight="1" x14ac:dyDescent="0.25">
      <c r="A1336" s="176">
        <v>1</v>
      </c>
      <c r="B1336" s="171">
        <f>SUBTOTAL(103,$A$1087:A1336)</f>
        <v>204</v>
      </c>
      <c r="C1336" s="184" t="s">
        <v>162</v>
      </c>
      <c r="D1336" s="173">
        <v>1979</v>
      </c>
      <c r="E1336" s="173"/>
      <c r="F1336" s="185" t="s">
        <v>267</v>
      </c>
      <c r="G1336" s="173">
        <v>3</v>
      </c>
      <c r="H1336" s="173" t="s">
        <v>312</v>
      </c>
      <c r="I1336" s="177">
        <v>2679.4</v>
      </c>
      <c r="J1336" s="177">
        <v>1304.8</v>
      </c>
      <c r="K1336" s="177">
        <v>109.1</v>
      </c>
      <c r="L1336" s="208">
        <v>76</v>
      </c>
      <c r="M1336" s="173" t="s">
        <v>265</v>
      </c>
      <c r="N1336" s="173" t="s">
        <v>269</v>
      </c>
      <c r="O1336" s="173" t="s">
        <v>294</v>
      </c>
      <c r="P1336" s="177">
        <v>3906950.76</v>
      </c>
      <c r="Q1336" s="177">
        <v>0</v>
      </c>
      <c r="R1336" s="177">
        <v>0</v>
      </c>
      <c r="S1336" s="177">
        <f>P1336-Q1336-R1336</f>
        <v>3906950.76</v>
      </c>
      <c r="T1336" s="170">
        <f t="shared" si="218"/>
        <v>1458.1438978875867</v>
      </c>
      <c r="U1336" s="170">
        <v>1797.3470724789133</v>
      </c>
      <c r="V1336" s="202">
        <f t="shared" si="217"/>
        <v>339.20317459132661</v>
      </c>
      <c r="W1336" s="202">
        <f>X1336+Y1336+Z1336+AA1336+AB1336+AD1336+AF1336+AH1336+AJ1336+AL1336+AN1336+AO1336</f>
        <v>1742.1633432858102</v>
      </c>
      <c r="X1336" s="202">
        <v>0</v>
      </c>
      <c r="Y1336" s="203">
        <v>0</v>
      </c>
      <c r="Z1336" s="203">
        <v>0</v>
      </c>
      <c r="AA1336" s="203">
        <v>0</v>
      </c>
      <c r="AB1336" s="203">
        <v>0</v>
      </c>
      <c r="AC1336" s="203">
        <v>0</v>
      </c>
      <c r="AD1336" s="203">
        <v>0</v>
      </c>
      <c r="AE1336" s="203">
        <v>748.2</v>
      </c>
      <c r="AF1336" s="202">
        <f>6238.91*AE1336/I1336</f>
        <v>1742.1633432858102</v>
      </c>
      <c r="AG1336" s="203">
        <v>0</v>
      </c>
      <c r="AH1336" s="202">
        <v>0</v>
      </c>
      <c r="AI1336" s="203">
        <v>0</v>
      </c>
      <c r="AJ1336" s="202">
        <v>0</v>
      </c>
      <c r="AK1336" s="203">
        <v>0</v>
      </c>
      <c r="AL1336" s="203">
        <v>0</v>
      </c>
      <c r="AM1336" s="203">
        <v>0</v>
      </c>
      <c r="AN1336" s="203"/>
      <c r="AO1336" s="203">
        <v>0</v>
      </c>
      <c r="AP1336" s="176"/>
      <c r="DQ1336" s="186"/>
      <c r="DR1336" s="186"/>
      <c r="DS1336" s="186"/>
      <c r="EP1336" s="187"/>
      <c r="FS1336" s="188"/>
      <c r="GI1336" s="189"/>
    </row>
    <row r="1337" spans="1:191" s="176" customFormat="1" ht="36" customHeight="1" x14ac:dyDescent="0.25">
      <c r="B1337" s="172" t="s">
        <v>845</v>
      </c>
      <c r="C1337" s="172"/>
      <c r="D1337" s="173" t="s">
        <v>882</v>
      </c>
      <c r="E1337" s="173" t="s">
        <v>882</v>
      </c>
      <c r="F1337" s="173" t="s">
        <v>882</v>
      </c>
      <c r="G1337" s="173" t="s">
        <v>882</v>
      </c>
      <c r="H1337" s="173" t="s">
        <v>882</v>
      </c>
      <c r="I1337" s="177">
        <f>SUM(I1338:I1340)</f>
        <v>5318.7099999999991</v>
      </c>
      <c r="J1337" s="177">
        <f>SUM(J1338:J1340)</f>
        <v>3721.18</v>
      </c>
      <c r="K1337" s="177">
        <f>SUM(K1338:K1340)</f>
        <v>3281.14</v>
      </c>
      <c r="L1337" s="357">
        <f>SUM(L1338:L1340)</f>
        <v>278</v>
      </c>
      <c r="M1337" s="173" t="s">
        <v>882</v>
      </c>
      <c r="N1337" s="173" t="s">
        <v>882</v>
      </c>
      <c r="O1337" s="175" t="s">
        <v>882</v>
      </c>
      <c r="P1337" s="170">
        <v>8976986.379999999</v>
      </c>
      <c r="Q1337" s="170">
        <f>SUM(Q1338:Q1340)</f>
        <v>0</v>
      </c>
      <c r="R1337" s="170">
        <f>SUM(R1338:R1340)</f>
        <v>0</v>
      </c>
      <c r="S1337" s="170">
        <f>SUM(S1338:S1340)</f>
        <v>8976986.379999999</v>
      </c>
      <c r="T1337" s="170">
        <f t="shared" si="218"/>
        <v>1687.8127177454685</v>
      </c>
      <c r="U1337" s="170">
        <f>MAX(U1338:U1340)</f>
        <v>6123.1343665070153</v>
      </c>
      <c r="V1337" s="202">
        <f t="shared" si="217"/>
        <v>4435.3216487615464</v>
      </c>
      <c r="W1337" s="202"/>
      <c r="X1337" s="202"/>
      <c r="Y1337" s="203"/>
      <c r="Z1337" s="203"/>
      <c r="AA1337" s="203"/>
      <c r="AB1337" s="203"/>
      <c r="AC1337" s="203"/>
      <c r="AD1337" s="203"/>
      <c r="AE1337" s="203"/>
      <c r="AF1337" s="203"/>
      <c r="AG1337" s="203"/>
      <c r="AH1337" s="203"/>
      <c r="AI1337" s="203"/>
      <c r="AJ1337" s="203"/>
      <c r="AK1337" s="203"/>
      <c r="AL1337" s="203"/>
      <c r="AM1337" s="203"/>
      <c r="AN1337" s="203"/>
      <c r="AO1337" s="203"/>
    </row>
    <row r="1338" spans="1:191" s="144" customFormat="1" ht="36" customHeight="1" x14ac:dyDescent="0.25">
      <c r="A1338" s="176">
        <v>1</v>
      </c>
      <c r="B1338" s="171">
        <f>SUBTOTAL(103,$A$1087:A1338)</f>
        <v>205</v>
      </c>
      <c r="C1338" s="184" t="s">
        <v>156</v>
      </c>
      <c r="D1338" s="173">
        <v>1971</v>
      </c>
      <c r="E1338" s="173"/>
      <c r="F1338" s="185" t="s">
        <v>267</v>
      </c>
      <c r="G1338" s="173">
        <v>5</v>
      </c>
      <c r="H1338" s="173" t="s">
        <v>312</v>
      </c>
      <c r="I1338" s="177">
        <v>3186.9</v>
      </c>
      <c r="J1338" s="177">
        <v>1676</v>
      </c>
      <c r="K1338" s="177">
        <v>1676</v>
      </c>
      <c r="L1338" s="208">
        <v>174</v>
      </c>
      <c r="M1338" s="173" t="s">
        <v>265</v>
      </c>
      <c r="N1338" s="173" t="s">
        <v>298</v>
      </c>
      <c r="O1338" s="173" t="s">
        <v>299</v>
      </c>
      <c r="P1338" s="177">
        <v>3026428.7099999995</v>
      </c>
      <c r="Q1338" s="177">
        <v>0</v>
      </c>
      <c r="R1338" s="177">
        <v>0</v>
      </c>
      <c r="S1338" s="177">
        <f>P1338-Q1338-R1338</f>
        <v>3026428.7099999995</v>
      </c>
      <c r="T1338" s="170">
        <f t="shared" si="218"/>
        <v>949.64658759295844</v>
      </c>
      <c r="U1338" s="170">
        <v>1216.8337676111582</v>
      </c>
      <c r="V1338" s="202">
        <f t="shared" si="217"/>
        <v>267.1871800181998</v>
      </c>
      <c r="W1338" s="202">
        <f>X1338+Y1338+Z1338+AA1338+AB1338+AD1338+AF1338+AH1338+AJ1338+AL1338+AN1338+AO1338</f>
        <v>406.3737676111582</v>
      </c>
      <c r="X1338" s="202">
        <v>0</v>
      </c>
      <c r="Y1338" s="203">
        <v>0</v>
      </c>
      <c r="Z1338" s="203">
        <v>0</v>
      </c>
      <c r="AA1338" s="203">
        <v>0</v>
      </c>
      <c r="AB1338" s="203">
        <v>0</v>
      </c>
      <c r="AC1338" s="203">
        <v>0</v>
      </c>
      <c r="AD1338" s="203">
        <v>0</v>
      </c>
      <c r="AE1338" s="203">
        <v>0</v>
      </c>
      <c r="AF1338" s="202">
        <v>0</v>
      </c>
      <c r="AG1338" s="203">
        <v>146</v>
      </c>
      <c r="AH1338" s="202">
        <f>8870.36*AG1338/I1338</f>
        <v>406.3737676111582</v>
      </c>
      <c r="AI1338" s="203">
        <v>0</v>
      </c>
      <c r="AJ1338" s="202">
        <v>0</v>
      </c>
      <c r="AK1338" s="203">
        <v>0</v>
      </c>
      <c r="AL1338" s="203">
        <v>0</v>
      </c>
      <c r="AM1338" s="203">
        <v>0</v>
      </c>
      <c r="AN1338" s="203"/>
      <c r="AO1338" s="203">
        <v>0</v>
      </c>
      <c r="AP1338" s="176"/>
      <c r="DQ1338" s="186"/>
      <c r="DR1338" s="186"/>
      <c r="DS1338" s="186"/>
      <c r="EP1338" s="187"/>
      <c r="FS1338" s="188"/>
      <c r="GI1338" s="189"/>
    </row>
    <row r="1339" spans="1:191" s="176" customFormat="1" ht="36" customHeight="1" x14ac:dyDescent="0.25">
      <c r="A1339" s="176">
        <v>1</v>
      </c>
      <c r="B1339" s="171">
        <f>SUBTOTAL(103,$A$1087:A1339)</f>
        <v>206</v>
      </c>
      <c r="C1339" s="172" t="s">
        <v>148</v>
      </c>
      <c r="D1339" s="173">
        <v>1928</v>
      </c>
      <c r="E1339" s="173"/>
      <c r="F1339" s="174" t="s">
        <v>267</v>
      </c>
      <c r="G1339" s="173">
        <v>3</v>
      </c>
      <c r="H1339" s="173" t="s">
        <v>308</v>
      </c>
      <c r="I1339" s="177">
        <v>1718.33</v>
      </c>
      <c r="J1339" s="177">
        <v>1631.7</v>
      </c>
      <c r="K1339" s="177">
        <v>1224.44</v>
      </c>
      <c r="L1339" s="206">
        <v>85</v>
      </c>
      <c r="M1339" s="173" t="s">
        <v>265</v>
      </c>
      <c r="N1339" s="173" t="s">
        <v>269</v>
      </c>
      <c r="O1339" s="175" t="s">
        <v>296</v>
      </c>
      <c r="P1339" s="170">
        <v>4434630.67</v>
      </c>
      <c r="Q1339" s="170">
        <v>0</v>
      </c>
      <c r="R1339" s="170">
        <v>0</v>
      </c>
      <c r="S1339" s="170">
        <f>P1339-Q1339-R1339</f>
        <v>4434630.67</v>
      </c>
      <c r="T1339" s="170">
        <f t="shared" si="218"/>
        <v>2580.7794020938936</v>
      </c>
      <c r="U1339" s="170">
        <v>6123.1343665070153</v>
      </c>
      <c r="V1339" s="202">
        <f t="shared" si="217"/>
        <v>3542.3549644131217</v>
      </c>
      <c r="W1339" s="202">
        <f>X1339+Y1339+Z1339+AA1339+AB1339+AD1339+AF1339+AH1339+AJ1339+AL1339+AN1339+AO1339</f>
        <v>6123.1343665070153</v>
      </c>
      <c r="X1339" s="202">
        <v>0</v>
      </c>
      <c r="Y1339" s="203">
        <v>0</v>
      </c>
      <c r="Z1339" s="203">
        <v>0</v>
      </c>
      <c r="AA1339" s="203">
        <v>0</v>
      </c>
      <c r="AB1339" s="203">
        <v>0</v>
      </c>
      <c r="AC1339" s="203">
        <v>0</v>
      </c>
      <c r="AD1339" s="203">
        <v>0</v>
      </c>
      <c r="AE1339" s="203">
        <v>0</v>
      </c>
      <c r="AF1339" s="202">
        <v>0</v>
      </c>
      <c r="AG1339" s="203">
        <v>0</v>
      </c>
      <c r="AH1339" s="202">
        <v>0</v>
      </c>
      <c r="AI1339" s="203">
        <v>1414.36</v>
      </c>
      <c r="AJ1339" s="202">
        <f>7439.1*AI1339/I1339</f>
        <v>6123.1343665070153</v>
      </c>
      <c r="AK1339" s="203">
        <v>0</v>
      </c>
      <c r="AL1339" s="203">
        <v>0</v>
      </c>
      <c r="AM1339" s="203">
        <v>0</v>
      </c>
      <c r="AN1339" s="203"/>
      <c r="AO1339" s="203">
        <v>0</v>
      </c>
    </row>
    <row r="1340" spans="1:191" s="144" customFormat="1" ht="36" customHeight="1" x14ac:dyDescent="0.25">
      <c r="A1340" s="176">
        <v>1</v>
      </c>
      <c r="B1340" s="171">
        <f>SUBTOTAL(103,$A$1087:A1340)</f>
        <v>207</v>
      </c>
      <c r="C1340" s="184" t="s">
        <v>2283</v>
      </c>
      <c r="D1340" s="173">
        <v>1989</v>
      </c>
      <c r="E1340" s="173"/>
      <c r="F1340" s="185" t="s">
        <v>267</v>
      </c>
      <c r="G1340" s="173">
        <v>2</v>
      </c>
      <c r="H1340" s="173">
        <v>1</v>
      </c>
      <c r="I1340" s="177">
        <v>413.48</v>
      </c>
      <c r="J1340" s="177">
        <v>413.48</v>
      </c>
      <c r="K1340" s="177">
        <v>380.7</v>
      </c>
      <c r="L1340" s="208">
        <v>19</v>
      </c>
      <c r="M1340" s="173" t="s">
        <v>265</v>
      </c>
      <c r="N1340" s="173" t="s">
        <v>269</v>
      </c>
      <c r="O1340" s="173" t="s">
        <v>1889</v>
      </c>
      <c r="P1340" s="177">
        <v>1515927</v>
      </c>
      <c r="Q1340" s="177">
        <v>0</v>
      </c>
      <c r="R1340" s="177">
        <v>0</v>
      </c>
      <c r="S1340" s="177">
        <f>P1340-Q1340-R1340</f>
        <v>1515927</v>
      </c>
      <c r="T1340" s="170">
        <f t="shared" si="218"/>
        <v>3666.2643900551416</v>
      </c>
      <c r="U1340" s="170">
        <v>4278.3590625906927</v>
      </c>
      <c r="V1340" s="202">
        <f t="shared" si="217"/>
        <v>612.09467253555113</v>
      </c>
      <c r="W1340" s="202">
        <f>X1340+Y1340+Z1340+AA1340+AB1340+AD1340+AF1340+AH1340+AJ1340+AL1340+AN1340+AO1340</f>
        <v>15488.892691303085</v>
      </c>
      <c r="X1340" s="202">
        <v>0</v>
      </c>
      <c r="Y1340" s="203">
        <v>0</v>
      </c>
      <c r="Z1340" s="203">
        <v>0</v>
      </c>
      <c r="AA1340" s="203">
        <v>0</v>
      </c>
      <c r="AB1340" s="203">
        <v>0</v>
      </c>
      <c r="AC1340" s="203">
        <v>0</v>
      </c>
      <c r="AD1340" s="203">
        <v>0</v>
      </c>
      <c r="AE1340" s="203">
        <v>995</v>
      </c>
      <c r="AF1340" s="202">
        <f>6436.53*AE1340/I1340</f>
        <v>15488.892691303085</v>
      </c>
      <c r="AG1340" s="203">
        <v>0</v>
      </c>
      <c r="AH1340" s="202">
        <v>0</v>
      </c>
      <c r="AI1340" s="203">
        <v>0</v>
      </c>
      <c r="AJ1340" s="202">
        <v>0</v>
      </c>
      <c r="AK1340" s="203">
        <v>0</v>
      </c>
      <c r="AL1340" s="203">
        <v>0</v>
      </c>
      <c r="AM1340" s="203">
        <v>0</v>
      </c>
      <c r="AN1340" s="203"/>
      <c r="AO1340" s="203">
        <v>0</v>
      </c>
      <c r="AP1340" s="176"/>
      <c r="DQ1340" s="186"/>
      <c r="DR1340" s="186"/>
      <c r="DS1340" s="186"/>
      <c r="EP1340" s="187"/>
      <c r="FS1340" s="188"/>
      <c r="GI1340" s="189"/>
    </row>
    <row r="1341" spans="1:191" s="176" customFormat="1" ht="36" customHeight="1" x14ac:dyDescent="0.25">
      <c r="B1341" s="172" t="s">
        <v>846</v>
      </c>
      <c r="C1341" s="359"/>
      <c r="D1341" s="173" t="s">
        <v>882</v>
      </c>
      <c r="E1341" s="173" t="s">
        <v>882</v>
      </c>
      <c r="F1341" s="173" t="s">
        <v>882</v>
      </c>
      <c r="G1341" s="173" t="s">
        <v>882</v>
      </c>
      <c r="H1341" s="173" t="s">
        <v>882</v>
      </c>
      <c r="I1341" s="177">
        <f>SUM(I1342:I1343)</f>
        <v>5101.2</v>
      </c>
      <c r="J1341" s="177">
        <f>SUM(J1342:J1343)</f>
        <v>4028.2</v>
      </c>
      <c r="K1341" s="177">
        <f>SUM(K1342:K1343)</f>
        <v>3874</v>
      </c>
      <c r="L1341" s="357">
        <f>SUM(L1342:L1343)</f>
        <v>130</v>
      </c>
      <c r="M1341" s="173" t="s">
        <v>882</v>
      </c>
      <c r="N1341" s="173" t="s">
        <v>882</v>
      </c>
      <c r="O1341" s="175" t="s">
        <v>882</v>
      </c>
      <c r="P1341" s="170">
        <v>9221698.8000000007</v>
      </c>
      <c r="Q1341" s="170">
        <f>Q1342+Q1343</f>
        <v>0</v>
      </c>
      <c r="R1341" s="170">
        <f>R1342+R1343</f>
        <v>0</v>
      </c>
      <c r="S1341" s="170">
        <f>S1342+S1343</f>
        <v>9221698.8000000007</v>
      </c>
      <c r="T1341" s="170">
        <f t="shared" si="218"/>
        <v>1807.7508821453778</v>
      </c>
      <c r="U1341" s="170">
        <f>MAX(U1342:U1343)</f>
        <v>3116.3977485928708</v>
      </c>
      <c r="V1341" s="202">
        <f t="shared" si="217"/>
        <v>1308.646866447493</v>
      </c>
      <c r="W1341" s="202"/>
      <c r="X1341" s="202"/>
      <c r="Y1341" s="203"/>
      <c r="Z1341" s="203"/>
      <c r="AA1341" s="203"/>
      <c r="AB1341" s="203"/>
      <c r="AC1341" s="203"/>
      <c r="AD1341" s="203"/>
      <c r="AE1341" s="203"/>
      <c r="AF1341" s="203"/>
      <c r="AG1341" s="203"/>
      <c r="AH1341" s="203"/>
      <c r="AI1341" s="203"/>
      <c r="AJ1341" s="203"/>
      <c r="AK1341" s="203"/>
      <c r="AL1341" s="203"/>
      <c r="AM1341" s="203"/>
      <c r="AN1341" s="203"/>
      <c r="AO1341" s="203"/>
    </row>
    <row r="1342" spans="1:191" s="144" customFormat="1" ht="36" customHeight="1" x14ac:dyDescent="0.25">
      <c r="A1342" s="176">
        <v>1</v>
      </c>
      <c r="B1342" s="171">
        <f>SUBTOTAL(103,$A$1087:A1342)</f>
        <v>208</v>
      </c>
      <c r="C1342" s="184" t="s">
        <v>100</v>
      </c>
      <c r="D1342" s="173">
        <v>1985</v>
      </c>
      <c r="E1342" s="173"/>
      <c r="F1342" s="185" t="s">
        <v>267</v>
      </c>
      <c r="G1342" s="173">
        <v>3</v>
      </c>
      <c r="H1342" s="173" t="s">
        <v>312</v>
      </c>
      <c r="I1342" s="177">
        <v>1652.3</v>
      </c>
      <c r="J1342" s="177">
        <v>1505</v>
      </c>
      <c r="K1342" s="177">
        <v>1350.8</v>
      </c>
      <c r="L1342" s="208">
        <v>25</v>
      </c>
      <c r="M1342" s="173" t="s">
        <v>265</v>
      </c>
      <c r="N1342" s="173" t="s">
        <v>269</v>
      </c>
      <c r="O1342" s="173" t="s">
        <v>282</v>
      </c>
      <c r="P1342" s="177">
        <v>4177440</v>
      </c>
      <c r="Q1342" s="177">
        <v>0</v>
      </c>
      <c r="R1342" s="177">
        <v>0</v>
      </c>
      <c r="S1342" s="177">
        <f>P1342-Q1342-R1342</f>
        <v>4177440</v>
      </c>
      <c r="T1342" s="170">
        <f t="shared" si="218"/>
        <v>2528.257580342553</v>
      </c>
      <c r="U1342" s="170">
        <v>3116.3977485928708</v>
      </c>
      <c r="V1342" s="202">
        <f t="shared" si="217"/>
        <v>588.14016825031786</v>
      </c>
      <c r="W1342" s="202">
        <f>X1342+Y1342+Z1342+AA1342+AB1342+AD1342+AF1342+AH1342+AJ1342+AL1342+AN1342+AO1342</f>
        <v>3020.7153664588755</v>
      </c>
      <c r="X1342" s="202">
        <v>0</v>
      </c>
      <c r="Y1342" s="203">
        <v>0</v>
      </c>
      <c r="Z1342" s="203">
        <v>0</v>
      </c>
      <c r="AA1342" s="203">
        <v>0</v>
      </c>
      <c r="AB1342" s="203">
        <v>0</v>
      </c>
      <c r="AC1342" s="203">
        <v>0</v>
      </c>
      <c r="AD1342" s="203">
        <v>0</v>
      </c>
      <c r="AE1342" s="203">
        <v>800</v>
      </c>
      <c r="AF1342" s="202">
        <f>6238.91*AE1342/I1342</f>
        <v>3020.7153664588755</v>
      </c>
      <c r="AG1342" s="203">
        <v>0</v>
      </c>
      <c r="AH1342" s="202">
        <v>0</v>
      </c>
      <c r="AI1342" s="203">
        <v>0</v>
      </c>
      <c r="AJ1342" s="202">
        <v>0</v>
      </c>
      <c r="AK1342" s="203">
        <v>0</v>
      </c>
      <c r="AL1342" s="203">
        <v>0</v>
      </c>
      <c r="AM1342" s="203">
        <v>0</v>
      </c>
      <c r="AN1342" s="203"/>
      <c r="AO1342" s="203">
        <v>0</v>
      </c>
      <c r="AP1342" s="176"/>
      <c r="DQ1342" s="186"/>
      <c r="DR1342" s="186"/>
      <c r="DS1342" s="186"/>
      <c r="EP1342" s="187"/>
      <c r="FS1342" s="188"/>
      <c r="GI1342" s="189"/>
    </row>
    <row r="1343" spans="1:191" s="144" customFormat="1" ht="36" customHeight="1" x14ac:dyDescent="0.25">
      <c r="A1343" s="176">
        <v>1</v>
      </c>
      <c r="B1343" s="171">
        <f>SUBTOTAL(103,$A$1087:A1343)</f>
        <v>209</v>
      </c>
      <c r="C1343" s="184" t="s">
        <v>101</v>
      </c>
      <c r="D1343" s="173">
        <v>1972</v>
      </c>
      <c r="E1343" s="173"/>
      <c r="F1343" s="185" t="s">
        <v>267</v>
      </c>
      <c r="G1343" s="173">
        <v>5</v>
      </c>
      <c r="H1343" s="173" t="s">
        <v>308</v>
      </c>
      <c r="I1343" s="177">
        <v>3448.9</v>
      </c>
      <c r="J1343" s="177">
        <v>2523.1999999999998</v>
      </c>
      <c r="K1343" s="177">
        <v>2523.1999999999998</v>
      </c>
      <c r="L1343" s="208">
        <v>105</v>
      </c>
      <c r="M1343" s="173" t="s">
        <v>265</v>
      </c>
      <c r="N1343" s="173" t="s">
        <v>269</v>
      </c>
      <c r="O1343" s="173" t="s">
        <v>280</v>
      </c>
      <c r="P1343" s="177">
        <v>5044258.8</v>
      </c>
      <c r="Q1343" s="177">
        <v>0</v>
      </c>
      <c r="R1343" s="177">
        <v>0</v>
      </c>
      <c r="S1343" s="177">
        <f>P1343-Q1343-R1343</f>
        <v>5044258.8</v>
      </c>
      <c r="T1343" s="170">
        <f t="shared" si="218"/>
        <v>1462.5703267708543</v>
      </c>
      <c r="U1343" s="170">
        <v>1802.8032068195655</v>
      </c>
      <c r="V1343" s="202">
        <f t="shared" si="217"/>
        <v>340.23288004871119</v>
      </c>
      <c r="W1343" s="202">
        <f>X1343+Y1343+Z1343+AA1343+AB1343+AD1343+AF1343+AH1343+AJ1343+AL1343+AN1343+AO1343</f>
        <v>1747.451958595494</v>
      </c>
      <c r="X1343" s="202">
        <v>0</v>
      </c>
      <c r="Y1343" s="203">
        <v>0</v>
      </c>
      <c r="Z1343" s="203">
        <v>0</v>
      </c>
      <c r="AA1343" s="203">
        <v>0</v>
      </c>
      <c r="AB1343" s="203">
        <v>0</v>
      </c>
      <c r="AC1343" s="203">
        <v>0</v>
      </c>
      <c r="AD1343" s="203">
        <v>0</v>
      </c>
      <c r="AE1343" s="203">
        <v>966</v>
      </c>
      <c r="AF1343" s="202">
        <f>6238.91*AE1343/I1343</f>
        <v>1747.451958595494</v>
      </c>
      <c r="AG1343" s="203">
        <v>0</v>
      </c>
      <c r="AH1343" s="202">
        <v>0</v>
      </c>
      <c r="AI1343" s="203">
        <v>0</v>
      </c>
      <c r="AJ1343" s="202">
        <v>0</v>
      </c>
      <c r="AK1343" s="203">
        <v>0</v>
      </c>
      <c r="AL1343" s="203">
        <v>0</v>
      </c>
      <c r="AM1343" s="203">
        <v>0</v>
      </c>
      <c r="AN1343" s="203"/>
      <c r="AO1343" s="203">
        <v>0</v>
      </c>
      <c r="AP1343" s="176"/>
      <c r="DQ1343" s="186"/>
      <c r="DR1343" s="186"/>
      <c r="DS1343" s="186"/>
      <c r="EP1343" s="187"/>
      <c r="FS1343" s="188"/>
      <c r="GI1343" s="189"/>
    </row>
    <row r="1344" spans="1:191" s="176" customFormat="1" ht="36" customHeight="1" x14ac:dyDescent="0.25">
      <c r="B1344" s="172" t="s">
        <v>873</v>
      </c>
      <c r="C1344" s="172"/>
      <c r="D1344" s="173" t="s">
        <v>882</v>
      </c>
      <c r="E1344" s="173" t="s">
        <v>882</v>
      </c>
      <c r="F1344" s="173" t="s">
        <v>882</v>
      </c>
      <c r="G1344" s="173" t="s">
        <v>882</v>
      </c>
      <c r="H1344" s="173" t="s">
        <v>882</v>
      </c>
      <c r="I1344" s="177">
        <f>I1345</f>
        <v>783.81</v>
      </c>
      <c r="J1344" s="177">
        <f>J1345</f>
        <v>726</v>
      </c>
      <c r="K1344" s="177">
        <f>K1345</f>
        <v>668.19</v>
      </c>
      <c r="L1344" s="357">
        <f>L1345</f>
        <v>16</v>
      </c>
      <c r="M1344" s="173" t="s">
        <v>882</v>
      </c>
      <c r="N1344" s="173" t="s">
        <v>882</v>
      </c>
      <c r="O1344" s="175" t="s">
        <v>882</v>
      </c>
      <c r="P1344" s="170">
        <v>3623929.1999999997</v>
      </c>
      <c r="Q1344" s="170">
        <f>Q1345</f>
        <v>0</v>
      </c>
      <c r="R1344" s="170">
        <f>R1345</f>
        <v>0</v>
      </c>
      <c r="S1344" s="170">
        <f>S1345</f>
        <v>3623929.1999999997</v>
      </c>
      <c r="T1344" s="170">
        <f t="shared" si="218"/>
        <v>4623.4791594901826</v>
      </c>
      <c r="U1344" s="170">
        <f>U1345</f>
        <v>5699.0237685153288</v>
      </c>
      <c r="V1344" s="202">
        <f t="shared" si="217"/>
        <v>1075.5446090251462</v>
      </c>
      <c r="W1344" s="202"/>
      <c r="X1344" s="202"/>
      <c r="Y1344" s="203"/>
      <c r="Z1344" s="203"/>
      <c r="AA1344" s="203"/>
      <c r="AB1344" s="203"/>
      <c r="AC1344" s="203"/>
      <c r="AD1344" s="203"/>
      <c r="AE1344" s="203"/>
      <c r="AF1344" s="203"/>
      <c r="AG1344" s="203"/>
      <c r="AH1344" s="203"/>
      <c r="AI1344" s="203"/>
      <c r="AJ1344" s="203"/>
      <c r="AK1344" s="203"/>
      <c r="AL1344" s="203"/>
      <c r="AM1344" s="203"/>
      <c r="AN1344" s="203"/>
      <c r="AO1344" s="203"/>
    </row>
    <row r="1345" spans="1:191" s="144" customFormat="1" ht="36" customHeight="1" x14ac:dyDescent="0.25">
      <c r="A1345" s="176">
        <v>1</v>
      </c>
      <c r="B1345" s="171">
        <f>SUBTOTAL(103,$A$1087:A1345)</f>
        <v>210</v>
      </c>
      <c r="C1345" s="184" t="s">
        <v>105</v>
      </c>
      <c r="D1345" s="173">
        <v>1968</v>
      </c>
      <c r="E1345" s="173"/>
      <c r="F1345" s="185" t="s">
        <v>267</v>
      </c>
      <c r="G1345" s="173">
        <v>2</v>
      </c>
      <c r="H1345" s="173" t="s">
        <v>303</v>
      </c>
      <c r="I1345" s="177">
        <v>783.81</v>
      </c>
      <c r="J1345" s="177">
        <v>726</v>
      </c>
      <c r="K1345" s="177">
        <v>668.19</v>
      </c>
      <c r="L1345" s="208">
        <v>16</v>
      </c>
      <c r="M1345" s="173" t="s">
        <v>265</v>
      </c>
      <c r="N1345" s="173" t="s">
        <v>269</v>
      </c>
      <c r="O1345" s="173" t="s">
        <v>282</v>
      </c>
      <c r="P1345" s="177">
        <v>3623929.1999999997</v>
      </c>
      <c r="Q1345" s="177">
        <v>0</v>
      </c>
      <c r="R1345" s="177">
        <v>0</v>
      </c>
      <c r="S1345" s="177">
        <f>P1345-Q1345-R1345</f>
        <v>3623929.1999999997</v>
      </c>
      <c r="T1345" s="170">
        <f t="shared" si="218"/>
        <v>4623.4791594901826</v>
      </c>
      <c r="U1345" s="170">
        <v>5699.0237685153288</v>
      </c>
      <c r="V1345" s="202">
        <f>U1345-T1345</f>
        <v>1075.5446090251462</v>
      </c>
      <c r="W1345" s="202">
        <f>X1345+Y1345+Z1345+AA1345+AB1345+AD1345+AF1345+AH1345+AJ1345+AL1345+AN1345+AO1345</f>
        <v>5524.0473328995549</v>
      </c>
      <c r="X1345" s="202">
        <v>0</v>
      </c>
      <c r="Y1345" s="203">
        <v>0</v>
      </c>
      <c r="Z1345" s="203">
        <v>0</v>
      </c>
      <c r="AA1345" s="203">
        <v>0</v>
      </c>
      <c r="AB1345" s="203">
        <v>0</v>
      </c>
      <c r="AC1345" s="203">
        <v>0</v>
      </c>
      <c r="AD1345" s="203">
        <v>0</v>
      </c>
      <c r="AE1345" s="203">
        <v>694</v>
      </c>
      <c r="AF1345" s="202">
        <f>6238.91*AE1345/I1345</f>
        <v>5524.0473328995549</v>
      </c>
      <c r="AG1345" s="203">
        <v>0</v>
      </c>
      <c r="AH1345" s="202">
        <v>0</v>
      </c>
      <c r="AI1345" s="203">
        <v>0</v>
      </c>
      <c r="AJ1345" s="202">
        <v>0</v>
      </c>
      <c r="AK1345" s="203">
        <v>0</v>
      </c>
      <c r="AL1345" s="203">
        <v>0</v>
      </c>
      <c r="AM1345" s="203">
        <v>0</v>
      </c>
      <c r="AN1345" s="203"/>
      <c r="AO1345" s="203">
        <v>0</v>
      </c>
      <c r="AP1345" s="176"/>
      <c r="DQ1345" s="186"/>
      <c r="DR1345" s="186"/>
      <c r="DS1345" s="186"/>
      <c r="EP1345" s="187"/>
      <c r="FS1345" s="188"/>
      <c r="GI1345" s="189"/>
    </row>
    <row r="1346" spans="1:191" s="176" customFormat="1" ht="36" customHeight="1" x14ac:dyDescent="0.25">
      <c r="B1346" s="172" t="s">
        <v>847</v>
      </c>
      <c r="C1346" s="172"/>
      <c r="D1346" s="173" t="s">
        <v>882</v>
      </c>
      <c r="E1346" s="173" t="s">
        <v>882</v>
      </c>
      <c r="F1346" s="173" t="s">
        <v>882</v>
      </c>
      <c r="G1346" s="173" t="s">
        <v>882</v>
      </c>
      <c r="H1346" s="173" t="s">
        <v>882</v>
      </c>
      <c r="I1346" s="177">
        <f>I1347</f>
        <v>680.2</v>
      </c>
      <c r="J1346" s="177">
        <f>J1347</f>
        <v>680.2</v>
      </c>
      <c r="K1346" s="177">
        <f>K1347</f>
        <v>617.70000000000005</v>
      </c>
      <c r="L1346" s="357">
        <f>L1347</f>
        <v>33</v>
      </c>
      <c r="M1346" s="173" t="s">
        <v>882</v>
      </c>
      <c r="N1346" s="173" t="s">
        <v>882</v>
      </c>
      <c r="O1346" s="175" t="s">
        <v>882</v>
      </c>
      <c r="P1346" s="170">
        <v>3080862</v>
      </c>
      <c r="Q1346" s="170">
        <f>Q1347</f>
        <v>0</v>
      </c>
      <c r="R1346" s="170">
        <f>R1347</f>
        <v>0</v>
      </c>
      <c r="S1346" s="170">
        <f>S1347</f>
        <v>3080862</v>
      </c>
      <c r="T1346" s="170">
        <f t="shared" si="218"/>
        <v>4529.3472508085852</v>
      </c>
      <c r="U1346" s="170">
        <f>U1347</f>
        <v>5582.9942663922366</v>
      </c>
      <c r="V1346" s="202">
        <f t="shared" ref="V1346:V1365" si="221">U1346-T1346</f>
        <v>1053.6470155836514</v>
      </c>
      <c r="W1346" s="202"/>
      <c r="X1346" s="202"/>
      <c r="Y1346" s="203"/>
      <c r="Z1346" s="203"/>
      <c r="AA1346" s="203"/>
      <c r="AB1346" s="203"/>
      <c r="AC1346" s="203"/>
      <c r="AD1346" s="203"/>
      <c r="AE1346" s="203"/>
      <c r="AF1346" s="203"/>
      <c r="AG1346" s="203"/>
      <c r="AH1346" s="203"/>
      <c r="AI1346" s="203"/>
      <c r="AJ1346" s="203"/>
      <c r="AK1346" s="203"/>
      <c r="AL1346" s="203"/>
      <c r="AM1346" s="203"/>
      <c r="AN1346" s="203"/>
      <c r="AO1346" s="203"/>
    </row>
    <row r="1347" spans="1:191" s="144" customFormat="1" ht="36" customHeight="1" x14ac:dyDescent="0.25">
      <c r="A1347" s="176">
        <v>1</v>
      </c>
      <c r="B1347" s="171">
        <f>SUBTOTAL(103,$A$1087:A1347)</f>
        <v>211</v>
      </c>
      <c r="C1347" s="184" t="s">
        <v>102</v>
      </c>
      <c r="D1347" s="173">
        <v>1969</v>
      </c>
      <c r="E1347" s="173"/>
      <c r="F1347" s="185" t="s">
        <v>267</v>
      </c>
      <c r="G1347" s="173">
        <v>2</v>
      </c>
      <c r="H1347" s="173" t="s">
        <v>303</v>
      </c>
      <c r="I1347" s="177">
        <v>680.2</v>
      </c>
      <c r="J1347" s="177">
        <v>680.2</v>
      </c>
      <c r="K1347" s="177">
        <v>617.70000000000005</v>
      </c>
      <c r="L1347" s="208">
        <v>33</v>
      </c>
      <c r="M1347" s="173" t="s">
        <v>265</v>
      </c>
      <c r="N1347" s="173" t="s">
        <v>269</v>
      </c>
      <c r="O1347" s="173" t="s">
        <v>985</v>
      </c>
      <c r="P1347" s="177">
        <v>3080862</v>
      </c>
      <c r="Q1347" s="177">
        <v>0</v>
      </c>
      <c r="R1347" s="177">
        <v>0</v>
      </c>
      <c r="S1347" s="177">
        <f>P1347-Q1347-R1347</f>
        <v>3080862</v>
      </c>
      <c r="T1347" s="170">
        <f t="shared" si="218"/>
        <v>4529.3472508085852</v>
      </c>
      <c r="U1347" s="170">
        <v>5582.9942663922366</v>
      </c>
      <c r="V1347" s="202">
        <f>U1347-T1347</f>
        <v>1053.6470155836514</v>
      </c>
      <c r="W1347" s="202">
        <f>X1347+Y1347+Z1347+AA1347+AB1347+AD1347+AF1347+AH1347+AJ1347+AL1347+AN1347+AO1347</f>
        <v>5411.5802705086735</v>
      </c>
      <c r="X1347" s="202">
        <v>0</v>
      </c>
      <c r="Y1347" s="203">
        <v>0</v>
      </c>
      <c r="Z1347" s="203">
        <v>0</v>
      </c>
      <c r="AA1347" s="203">
        <v>0</v>
      </c>
      <c r="AB1347" s="203">
        <v>0</v>
      </c>
      <c r="AC1347" s="203">
        <v>0</v>
      </c>
      <c r="AD1347" s="203">
        <v>0</v>
      </c>
      <c r="AE1347" s="203">
        <v>590</v>
      </c>
      <c r="AF1347" s="202">
        <f>6238.91*AE1347/I1347</f>
        <v>5411.5802705086735</v>
      </c>
      <c r="AG1347" s="203">
        <v>0</v>
      </c>
      <c r="AH1347" s="202">
        <v>0</v>
      </c>
      <c r="AI1347" s="203">
        <v>0</v>
      </c>
      <c r="AJ1347" s="202">
        <v>0</v>
      </c>
      <c r="AK1347" s="203">
        <v>0</v>
      </c>
      <c r="AL1347" s="203">
        <v>0</v>
      </c>
      <c r="AM1347" s="203">
        <v>0</v>
      </c>
      <c r="AN1347" s="203"/>
      <c r="AO1347" s="203">
        <v>0</v>
      </c>
      <c r="AP1347" s="176"/>
      <c r="DQ1347" s="186"/>
      <c r="DR1347" s="186"/>
      <c r="DS1347" s="186"/>
      <c r="EP1347" s="187"/>
      <c r="FS1347" s="188"/>
      <c r="GI1347" s="189"/>
    </row>
    <row r="1348" spans="1:191" s="176" customFormat="1" ht="36" customHeight="1" x14ac:dyDescent="0.25">
      <c r="B1348" s="172" t="s">
        <v>848</v>
      </c>
      <c r="C1348" s="172"/>
      <c r="D1348" s="173" t="s">
        <v>882</v>
      </c>
      <c r="E1348" s="173" t="s">
        <v>882</v>
      </c>
      <c r="F1348" s="173" t="s">
        <v>882</v>
      </c>
      <c r="G1348" s="173" t="s">
        <v>882</v>
      </c>
      <c r="H1348" s="173" t="s">
        <v>882</v>
      </c>
      <c r="I1348" s="177">
        <f>SUM(I1349:I1350)</f>
        <v>646.4</v>
      </c>
      <c r="J1348" s="177">
        <f>SUM(J1349:J1350)</f>
        <v>612.5</v>
      </c>
      <c r="K1348" s="177">
        <f>SUM(K1349:K1350)</f>
        <v>546.1</v>
      </c>
      <c r="L1348" s="357">
        <f>SUM(L1349:L1350)</f>
        <v>15</v>
      </c>
      <c r="M1348" s="173" t="s">
        <v>882</v>
      </c>
      <c r="N1348" s="173" t="s">
        <v>882</v>
      </c>
      <c r="O1348" s="175" t="s">
        <v>882</v>
      </c>
      <c r="P1348" s="170">
        <v>2610892.59</v>
      </c>
      <c r="Q1348" s="170">
        <f>Q1349+Q1350</f>
        <v>0</v>
      </c>
      <c r="R1348" s="170">
        <f>R1349+R1350</f>
        <v>0</v>
      </c>
      <c r="S1348" s="170">
        <f>S1349+S1350</f>
        <v>2610892.59</v>
      </c>
      <c r="T1348" s="170">
        <f t="shared" ref="T1348:T1366" si="222">P1348/I1348</f>
        <v>4039.1283879950493</v>
      </c>
      <c r="U1348" s="170">
        <f>MAX(U1349:U1350)</f>
        <v>5231.4014807502472</v>
      </c>
      <c r="V1348" s="202">
        <f t="shared" si="221"/>
        <v>1192.2730927551979</v>
      </c>
      <c r="W1348" s="202"/>
      <c r="X1348" s="202"/>
      <c r="Y1348" s="203"/>
      <c r="Z1348" s="203"/>
      <c r="AA1348" s="203"/>
      <c r="AB1348" s="203"/>
      <c r="AC1348" s="203"/>
      <c r="AD1348" s="203"/>
      <c r="AE1348" s="203"/>
      <c r="AF1348" s="203"/>
      <c r="AG1348" s="203"/>
      <c r="AH1348" s="203"/>
      <c r="AI1348" s="203"/>
      <c r="AJ1348" s="203"/>
      <c r="AK1348" s="203"/>
      <c r="AL1348" s="203"/>
      <c r="AM1348" s="203"/>
      <c r="AN1348" s="203"/>
      <c r="AO1348" s="203"/>
    </row>
    <row r="1349" spans="1:191" s="144" customFormat="1" ht="36" customHeight="1" x14ac:dyDescent="0.25">
      <c r="A1349" s="176">
        <v>1</v>
      </c>
      <c r="B1349" s="171">
        <f>SUBTOTAL(103,$A$1087:A1349)</f>
        <v>212</v>
      </c>
      <c r="C1349" s="184" t="s">
        <v>103</v>
      </c>
      <c r="D1349" s="173">
        <v>1966</v>
      </c>
      <c r="E1349" s="173"/>
      <c r="F1349" s="185" t="s">
        <v>267</v>
      </c>
      <c r="G1349" s="173">
        <v>2</v>
      </c>
      <c r="H1349" s="173" t="s">
        <v>304</v>
      </c>
      <c r="I1349" s="177">
        <v>342.5</v>
      </c>
      <c r="J1349" s="177">
        <v>308.7</v>
      </c>
      <c r="K1349" s="177">
        <v>273.8</v>
      </c>
      <c r="L1349" s="208">
        <v>7</v>
      </c>
      <c r="M1349" s="173" t="s">
        <v>265</v>
      </c>
      <c r="N1349" s="173" t="s">
        <v>269</v>
      </c>
      <c r="O1349" s="173" t="s">
        <v>282</v>
      </c>
      <c r="P1349" s="177">
        <v>1321115.3999999999</v>
      </c>
      <c r="Q1349" s="177">
        <v>0</v>
      </c>
      <c r="R1349" s="177">
        <v>0</v>
      </c>
      <c r="S1349" s="177">
        <f>P1349-Q1349-R1349</f>
        <v>1321115.3999999999</v>
      </c>
      <c r="T1349" s="170">
        <f t="shared" si="222"/>
        <v>3857.2712408759121</v>
      </c>
      <c r="U1349" s="170">
        <v>4754.5754452554738</v>
      </c>
      <c r="V1349" s="202">
        <f t="shared" si="221"/>
        <v>897.30420437956172</v>
      </c>
      <c r="W1349" s="202">
        <f>X1349+Y1349+Z1349+AA1349+AB1349+AD1349+AF1349+AH1349+AJ1349+AL1349+AN1349+AO1349</f>
        <v>4608.5962919708027</v>
      </c>
      <c r="X1349" s="202">
        <v>0</v>
      </c>
      <c r="Y1349" s="203">
        <v>0</v>
      </c>
      <c r="Z1349" s="203">
        <v>0</v>
      </c>
      <c r="AA1349" s="203">
        <v>0</v>
      </c>
      <c r="AB1349" s="203">
        <v>0</v>
      </c>
      <c r="AC1349" s="203">
        <v>0</v>
      </c>
      <c r="AD1349" s="203">
        <v>0</v>
      </c>
      <c r="AE1349" s="203">
        <v>253</v>
      </c>
      <c r="AF1349" s="202">
        <f>6238.91*AE1349/I1349</f>
        <v>4608.5962919708027</v>
      </c>
      <c r="AG1349" s="203">
        <v>0</v>
      </c>
      <c r="AH1349" s="202">
        <v>0</v>
      </c>
      <c r="AI1349" s="203">
        <v>0</v>
      </c>
      <c r="AJ1349" s="202">
        <v>0</v>
      </c>
      <c r="AK1349" s="203">
        <v>0</v>
      </c>
      <c r="AL1349" s="203">
        <v>0</v>
      </c>
      <c r="AM1349" s="203">
        <v>0</v>
      </c>
      <c r="AN1349" s="203"/>
      <c r="AO1349" s="203">
        <v>0</v>
      </c>
      <c r="AP1349" s="176"/>
      <c r="DQ1349" s="186"/>
      <c r="DR1349" s="186"/>
      <c r="DS1349" s="186"/>
      <c r="EP1349" s="187"/>
      <c r="FS1349" s="188"/>
      <c r="GI1349" s="189"/>
    </row>
    <row r="1350" spans="1:191" s="144" customFormat="1" ht="36" customHeight="1" x14ac:dyDescent="0.25">
      <c r="A1350" s="176">
        <v>1</v>
      </c>
      <c r="B1350" s="171">
        <f>SUBTOTAL(103,$A$1087:A1350)</f>
        <v>213</v>
      </c>
      <c r="C1350" s="184" t="s">
        <v>104</v>
      </c>
      <c r="D1350" s="173">
        <v>1970</v>
      </c>
      <c r="E1350" s="173"/>
      <c r="F1350" s="185" t="s">
        <v>267</v>
      </c>
      <c r="G1350" s="173">
        <v>2</v>
      </c>
      <c r="H1350" s="173" t="s">
        <v>303</v>
      </c>
      <c r="I1350" s="177">
        <v>303.89999999999998</v>
      </c>
      <c r="J1350" s="177">
        <v>303.8</v>
      </c>
      <c r="K1350" s="177">
        <v>272.3</v>
      </c>
      <c r="L1350" s="208">
        <v>8</v>
      </c>
      <c r="M1350" s="173" t="s">
        <v>265</v>
      </c>
      <c r="N1350" s="173" t="s">
        <v>269</v>
      </c>
      <c r="O1350" s="173" t="s">
        <v>282</v>
      </c>
      <c r="P1350" s="177">
        <v>1289777.1900000002</v>
      </c>
      <c r="Q1350" s="177">
        <v>0</v>
      </c>
      <c r="R1350" s="177">
        <v>0</v>
      </c>
      <c r="S1350" s="177">
        <f>P1350-Q1350-R1350</f>
        <v>1289777.1900000002</v>
      </c>
      <c r="T1350" s="170">
        <f t="shared" si="222"/>
        <v>4244.0842053307015</v>
      </c>
      <c r="U1350" s="170">
        <v>5231.4014807502472</v>
      </c>
      <c r="V1350" s="202">
        <f t="shared" si="221"/>
        <v>987.31727541954569</v>
      </c>
      <c r="W1350" s="202">
        <f>X1350+Y1350+Z1350+AA1350+AB1350+AD1350+AF1350+AH1350+AJ1350+AL1350+AN1350+AO1350</f>
        <v>5070.7823955248441</v>
      </c>
      <c r="X1350" s="202">
        <v>0</v>
      </c>
      <c r="Y1350" s="203">
        <v>0</v>
      </c>
      <c r="Z1350" s="203">
        <v>0</v>
      </c>
      <c r="AA1350" s="203">
        <v>0</v>
      </c>
      <c r="AB1350" s="203">
        <v>0</v>
      </c>
      <c r="AC1350" s="203">
        <v>0</v>
      </c>
      <c r="AD1350" s="203">
        <v>0</v>
      </c>
      <c r="AE1350" s="203">
        <v>247</v>
      </c>
      <c r="AF1350" s="202">
        <f>6238.91*AE1350/I1350</f>
        <v>5070.7823955248441</v>
      </c>
      <c r="AG1350" s="203">
        <v>0</v>
      </c>
      <c r="AH1350" s="202">
        <v>0</v>
      </c>
      <c r="AI1350" s="203">
        <v>0</v>
      </c>
      <c r="AJ1350" s="202">
        <v>0</v>
      </c>
      <c r="AK1350" s="203">
        <v>0</v>
      </c>
      <c r="AL1350" s="203">
        <v>0</v>
      </c>
      <c r="AM1350" s="203">
        <v>0</v>
      </c>
      <c r="AN1350" s="203"/>
      <c r="AO1350" s="203">
        <v>0</v>
      </c>
      <c r="AP1350" s="176"/>
      <c r="DQ1350" s="186"/>
      <c r="DR1350" s="186"/>
      <c r="DS1350" s="186"/>
      <c r="EP1350" s="187"/>
      <c r="FS1350" s="188"/>
      <c r="GI1350" s="189"/>
    </row>
    <row r="1351" spans="1:191" s="176" customFormat="1" ht="36" customHeight="1" x14ac:dyDescent="0.25">
      <c r="B1351" s="172" t="s">
        <v>850</v>
      </c>
      <c r="C1351" s="359"/>
      <c r="D1351" s="173" t="s">
        <v>882</v>
      </c>
      <c r="E1351" s="173" t="s">
        <v>882</v>
      </c>
      <c r="F1351" s="173" t="s">
        <v>882</v>
      </c>
      <c r="G1351" s="173" t="s">
        <v>882</v>
      </c>
      <c r="H1351" s="173" t="s">
        <v>882</v>
      </c>
      <c r="I1351" s="177">
        <f>SUM(I1352:I1354)</f>
        <v>2009.6000000000001</v>
      </c>
      <c r="J1351" s="177">
        <f>SUM(J1352:J1354)</f>
        <v>1554.1000000000001</v>
      </c>
      <c r="K1351" s="177">
        <f>SUM(K1352:K1354)</f>
        <v>1492</v>
      </c>
      <c r="L1351" s="357">
        <f>SUM(L1352:L1354)</f>
        <v>65</v>
      </c>
      <c r="M1351" s="173" t="s">
        <v>882</v>
      </c>
      <c r="N1351" s="173" t="s">
        <v>882</v>
      </c>
      <c r="O1351" s="175" t="s">
        <v>882</v>
      </c>
      <c r="P1351" s="170">
        <v>6332416.4000000004</v>
      </c>
      <c r="Q1351" s="170">
        <f>Q1352+Q1353+Q1354</f>
        <v>0</v>
      </c>
      <c r="R1351" s="170">
        <f>R1352+R1353+R1354</f>
        <v>0</v>
      </c>
      <c r="S1351" s="170">
        <f>S1352+S1353+S1354</f>
        <v>6332416.4000000004</v>
      </c>
      <c r="T1351" s="170">
        <f t="shared" si="222"/>
        <v>3151.0830015923566</v>
      </c>
      <c r="U1351" s="170">
        <f>MAX(U1352:U1354)</f>
        <v>6694.6776353007735</v>
      </c>
      <c r="V1351" s="202">
        <f t="shared" si="221"/>
        <v>3543.5946337084169</v>
      </c>
      <c r="W1351" s="202"/>
      <c r="X1351" s="202"/>
      <c r="Y1351" s="203"/>
      <c r="Z1351" s="203"/>
      <c r="AA1351" s="203"/>
      <c r="AB1351" s="203"/>
      <c r="AC1351" s="203"/>
      <c r="AD1351" s="203"/>
      <c r="AE1351" s="203"/>
      <c r="AF1351" s="203"/>
      <c r="AG1351" s="203"/>
      <c r="AH1351" s="203"/>
      <c r="AI1351" s="203"/>
      <c r="AJ1351" s="203"/>
      <c r="AK1351" s="203"/>
      <c r="AL1351" s="203"/>
      <c r="AM1351" s="203"/>
      <c r="AN1351" s="203"/>
      <c r="AO1351" s="203"/>
    </row>
    <row r="1352" spans="1:191" s="144" customFormat="1" ht="36" customHeight="1" x14ac:dyDescent="0.25">
      <c r="A1352" s="176">
        <v>1</v>
      </c>
      <c r="B1352" s="171">
        <f>SUBTOTAL(103,$A$1087:A1352)</f>
        <v>214</v>
      </c>
      <c r="C1352" s="184" t="s">
        <v>193</v>
      </c>
      <c r="D1352" s="173" t="s">
        <v>313</v>
      </c>
      <c r="E1352" s="173"/>
      <c r="F1352" s="185" t="s">
        <v>267</v>
      </c>
      <c r="G1352" s="173" t="s">
        <v>303</v>
      </c>
      <c r="H1352" s="173" t="s">
        <v>303</v>
      </c>
      <c r="I1352" s="177">
        <v>945.6</v>
      </c>
      <c r="J1352" s="177">
        <v>572.29999999999995</v>
      </c>
      <c r="K1352" s="177">
        <v>513.5</v>
      </c>
      <c r="L1352" s="208">
        <v>21</v>
      </c>
      <c r="M1352" s="173" t="s">
        <v>265</v>
      </c>
      <c r="N1352" s="173" t="s">
        <v>266</v>
      </c>
      <c r="O1352" s="173" t="s">
        <v>268</v>
      </c>
      <c r="P1352" s="177">
        <v>3549600</v>
      </c>
      <c r="Q1352" s="177">
        <v>0</v>
      </c>
      <c r="R1352" s="177">
        <v>0</v>
      </c>
      <c r="S1352" s="177">
        <f>P1352-Q1352-R1352</f>
        <v>3549600</v>
      </c>
      <c r="T1352" s="170">
        <f t="shared" si="222"/>
        <v>3753.8071065989848</v>
      </c>
      <c r="U1352" s="170">
        <v>4737.5474619289334</v>
      </c>
      <c r="V1352" s="202">
        <f t="shared" si="221"/>
        <v>983.74035532994867</v>
      </c>
      <c r="W1352" s="202">
        <f>X1352+Y1352+Z1352+AA1352+AB1352+AD1352+AF1352+AH1352+AJ1352+AL1352+AN1352+AO1352</f>
        <v>4592.0911167512695</v>
      </c>
      <c r="X1352" s="202">
        <v>0</v>
      </c>
      <c r="Y1352" s="203">
        <v>0</v>
      </c>
      <c r="Z1352" s="203">
        <v>0</v>
      </c>
      <c r="AA1352" s="203">
        <v>0</v>
      </c>
      <c r="AB1352" s="203">
        <v>0</v>
      </c>
      <c r="AC1352" s="203">
        <v>0</v>
      </c>
      <c r="AD1352" s="203">
        <v>0</v>
      </c>
      <c r="AE1352" s="203">
        <v>696</v>
      </c>
      <c r="AF1352" s="202">
        <f>6238.91*AE1352/I1352</f>
        <v>4592.0911167512695</v>
      </c>
      <c r="AG1352" s="203">
        <v>0</v>
      </c>
      <c r="AH1352" s="202">
        <v>0</v>
      </c>
      <c r="AI1352" s="203">
        <v>0</v>
      </c>
      <c r="AJ1352" s="202">
        <v>0</v>
      </c>
      <c r="AK1352" s="203">
        <v>0</v>
      </c>
      <c r="AL1352" s="203">
        <v>0</v>
      </c>
      <c r="AM1352" s="203">
        <v>0</v>
      </c>
      <c r="AN1352" s="203"/>
      <c r="AO1352" s="203">
        <v>0</v>
      </c>
      <c r="AP1352" s="176"/>
      <c r="DQ1352" s="186"/>
      <c r="DR1352" s="186"/>
      <c r="DS1352" s="186"/>
      <c r="EP1352" s="187"/>
      <c r="FS1352" s="188"/>
      <c r="GI1352" s="189"/>
    </row>
    <row r="1353" spans="1:191" s="144" customFormat="1" ht="36" customHeight="1" x14ac:dyDescent="0.25">
      <c r="A1353" s="176">
        <v>1</v>
      </c>
      <c r="B1353" s="171">
        <f>SUBTOTAL(103,$A$1087:A1353)</f>
        <v>215</v>
      </c>
      <c r="C1353" s="184" t="s">
        <v>194</v>
      </c>
      <c r="D1353" s="173" t="s">
        <v>314</v>
      </c>
      <c r="E1353" s="173"/>
      <c r="F1353" s="185" t="s">
        <v>318</v>
      </c>
      <c r="G1353" s="173" t="s">
        <v>312</v>
      </c>
      <c r="H1353" s="173" t="s">
        <v>304</v>
      </c>
      <c r="I1353" s="177">
        <v>533.70000000000005</v>
      </c>
      <c r="J1353" s="177">
        <v>492.1</v>
      </c>
      <c r="K1353" s="177">
        <v>488.8</v>
      </c>
      <c r="L1353" s="208">
        <v>13</v>
      </c>
      <c r="M1353" s="173" t="s">
        <v>265</v>
      </c>
      <c r="N1353" s="173" t="s">
        <v>266</v>
      </c>
      <c r="O1353" s="173" t="s">
        <v>268</v>
      </c>
      <c r="P1353" s="177">
        <v>1391408.2</v>
      </c>
      <c r="Q1353" s="177">
        <v>0</v>
      </c>
      <c r="R1353" s="177">
        <v>0</v>
      </c>
      <c r="S1353" s="177">
        <f>P1353-Q1353-R1353</f>
        <v>1391408.2</v>
      </c>
      <c r="T1353" s="170">
        <f t="shared" si="222"/>
        <v>2607.0979951283489</v>
      </c>
      <c r="U1353" s="170">
        <v>6652.0283867341195</v>
      </c>
      <c r="V1353" s="202">
        <f t="shared" si="221"/>
        <v>4044.9303916057706</v>
      </c>
      <c r="W1353" s="202">
        <f>X1353+Y1353+Z1353+AA1353+AB1353+AD1353+AF1353+AH1353+AJ1353+AL1353+AN1353+AO1353</f>
        <v>6652.0283867341195</v>
      </c>
      <c r="X1353" s="202">
        <v>0</v>
      </c>
      <c r="Y1353" s="203">
        <v>0</v>
      </c>
      <c r="Z1353" s="203">
        <v>0</v>
      </c>
      <c r="AA1353" s="203">
        <v>0</v>
      </c>
      <c r="AB1353" s="203">
        <v>0</v>
      </c>
      <c r="AC1353" s="203">
        <v>0</v>
      </c>
      <c r="AD1353" s="203">
        <v>0</v>
      </c>
      <c r="AE1353" s="203">
        <v>0</v>
      </c>
      <c r="AF1353" s="202">
        <v>0</v>
      </c>
      <c r="AG1353" s="203">
        <v>0</v>
      </c>
      <c r="AH1353" s="202">
        <v>0</v>
      </c>
      <c r="AI1353" s="203">
        <v>455</v>
      </c>
      <c r="AJ1353" s="202">
        <f>7802.61*AI1353/I1353</f>
        <v>6652.0283867341195</v>
      </c>
      <c r="AK1353" s="203">
        <v>0</v>
      </c>
      <c r="AL1353" s="203">
        <v>0</v>
      </c>
      <c r="AM1353" s="203">
        <v>0</v>
      </c>
      <c r="AN1353" s="203"/>
      <c r="AO1353" s="203">
        <v>0</v>
      </c>
      <c r="AP1353" s="176"/>
      <c r="DQ1353" s="186"/>
      <c r="DR1353" s="186"/>
      <c r="DS1353" s="186"/>
      <c r="EP1353" s="187"/>
      <c r="FS1353" s="188"/>
      <c r="GI1353" s="189"/>
    </row>
    <row r="1354" spans="1:191" s="144" customFormat="1" ht="36" customHeight="1" x14ac:dyDescent="0.25">
      <c r="A1354" s="176">
        <v>1</v>
      </c>
      <c r="B1354" s="171">
        <f>SUBTOTAL(103,$A$1087:A1354)</f>
        <v>216</v>
      </c>
      <c r="C1354" s="184" t="s">
        <v>195</v>
      </c>
      <c r="D1354" s="173">
        <v>1971</v>
      </c>
      <c r="E1354" s="173"/>
      <c r="F1354" s="185" t="s">
        <v>318</v>
      </c>
      <c r="G1354" s="173" t="s">
        <v>312</v>
      </c>
      <c r="H1354" s="173" t="s">
        <v>304</v>
      </c>
      <c r="I1354" s="177">
        <v>530.29999999999995</v>
      </c>
      <c r="J1354" s="177">
        <v>489.7</v>
      </c>
      <c r="K1354" s="177">
        <v>489.7</v>
      </c>
      <c r="L1354" s="208">
        <v>31</v>
      </c>
      <c r="M1354" s="173" t="s">
        <v>265</v>
      </c>
      <c r="N1354" s="173" t="s">
        <v>266</v>
      </c>
      <c r="O1354" s="173" t="s">
        <v>268</v>
      </c>
      <c r="P1354" s="177">
        <v>1391408.2</v>
      </c>
      <c r="Q1354" s="177">
        <v>0</v>
      </c>
      <c r="R1354" s="177">
        <v>0</v>
      </c>
      <c r="S1354" s="177">
        <f>P1354-Q1354-R1354</f>
        <v>1391408.2</v>
      </c>
      <c r="T1354" s="170">
        <f t="shared" si="222"/>
        <v>2623.8133132189328</v>
      </c>
      <c r="U1354" s="170">
        <v>6694.6776353007735</v>
      </c>
      <c r="V1354" s="202">
        <f t="shared" si="221"/>
        <v>4070.8643220818408</v>
      </c>
      <c r="W1354" s="202">
        <f>X1354+Y1354+Z1354+AA1354+AB1354+AD1354+AF1354+AH1354+AJ1354+AL1354+AN1354+AO1354</f>
        <v>6694.6776353007735</v>
      </c>
      <c r="X1354" s="202">
        <v>0</v>
      </c>
      <c r="Y1354" s="203">
        <v>0</v>
      </c>
      <c r="Z1354" s="203">
        <v>0</v>
      </c>
      <c r="AA1354" s="203">
        <v>0</v>
      </c>
      <c r="AB1354" s="203">
        <v>0</v>
      </c>
      <c r="AC1354" s="203">
        <v>0</v>
      </c>
      <c r="AD1354" s="203">
        <v>0</v>
      </c>
      <c r="AE1354" s="203">
        <v>0</v>
      </c>
      <c r="AF1354" s="202">
        <v>0</v>
      </c>
      <c r="AG1354" s="203">
        <v>0</v>
      </c>
      <c r="AH1354" s="202">
        <v>0</v>
      </c>
      <c r="AI1354" s="203">
        <v>455</v>
      </c>
      <c r="AJ1354" s="202">
        <f>7802.61*AI1354/I1354</f>
        <v>6694.6776353007735</v>
      </c>
      <c r="AK1354" s="203">
        <v>0</v>
      </c>
      <c r="AL1354" s="203">
        <v>0</v>
      </c>
      <c r="AM1354" s="203">
        <v>0</v>
      </c>
      <c r="AN1354" s="203"/>
      <c r="AO1354" s="203">
        <v>0</v>
      </c>
      <c r="AP1354" s="176"/>
      <c r="DQ1354" s="186"/>
      <c r="DR1354" s="186"/>
      <c r="DS1354" s="186"/>
      <c r="EP1354" s="187"/>
      <c r="FS1354" s="188"/>
      <c r="GI1354" s="189"/>
    </row>
    <row r="1355" spans="1:191" s="176" customFormat="1" ht="36" customHeight="1" x14ac:dyDescent="0.25">
      <c r="B1355" s="172" t="s">
        <v>851</v>
      </c>
      <c r="C1355" s="172"/>
      <c r="D1355" s="173" t="s">
        <v>882</v>
      </c>
      <c r="E1355" s="173" t="s">
        <v>882</v>
      </c>
      <c r="F1355" s="173" t="s">
        <v>882</v>
      </c>
      <c r="G1355" s="173" t="s">
        <v>882</v>
      </c>
      <c r="H1355" s="173" t="s">
        <v>882</v>
      </c>
      <c r="I1355" s="177">
        <f>I1356</f>
        <v>814.6</v>
      </c>
      <c r="J1355" s="177">
        <f>J1356</f>
        <v>814.6</v>
      </c>
      <c r="K1355" s="177">
        <f>K1356</f>
        <v>336.9</v>
      </c>
      <c r="L1355" s="357">
        <f>L1356</f>
        <v>26</v>
      </c>
      <c r="M1355" s="173" t="s">
        <v>882</v>
      </c>
      <c r="N1355" s="173" t="s">
        <v>882</v>
      </c>
      <c r="O1355" s="175" t="s">
        <v>882</v>
      </c>
      <c r="P1355" s="170">
        <v>3434659.7399999998</v>
      </c>
      <c r="Q1355" s="170">
        <f>Q1356</f>
        <v>0</v>
      </c>
      <c r="R1355" s="170">
        <f>R1356</f>
        <v>0</v>
      </c>
      <c r="S1355" s="170">
        <f>S1356</f>
        <v>3434659.7399999998</v>
      </c>
      <c r="T1355" s="170">
        <f t="shared" si="222"/>
        <v>4216.3758163515831</v>
      </c>
      <c r="U1355" s="170">
        <f>U1356</f>
        <v>5689.0518045666577</v>
      </c>
      <c r="V1355" s="202">
        <f t="shared" si="221"/>
        <v>1472.6759882150745</v>
      </c>
      <c r="W1355" s="202"/>
      <c r="X1355" s="202"/>
      <c r="Y1355" s="203"/>
      <c r="Z1355" s="203"/>
      <c r="AA1355" s="203"/>
      <c r="AB1355" s="203"/>
      <c r="AC1355" s="203"/>
      <c r="AD1355" s="203"/>
      <c r="AE1355" s="203"/>
      <c r="AF1355" s="203"/>
      <c r="AG1355" s="203"/>
      <c r="AH1355" s="203"/>
      <c r="AI1355" s="203"/>
      <c r="AJ1355" s="203"/>
      <c r="AK1355" s="203"/>
      <c r="AL1355" s="203"/>
      <c r="AM1355" s="203"/>
      <c r="AN1355" s="203"/>
      <c r="AO1355" s="203"/>
    </row>
    <row r="1356" spans="1:191" s="144" customFormat="1" ht="36" customHeight="1" x14ac:dyDescent="0.25">
      <c r="A1356" s="176">
        <v>1</v>
      </c>
      <c r="B1356" s="171">
        <f>SUBTOTAL(103,$A$1087:A1356)</f>
        <v>217</v>
      </c>
      <c r="C1356" s="184" t="s">
        <v>1358</v>
      </c>
      <c r="D1356" s="173">
        <v>1950</v>
      </c>
      <c r="E1356" s="173"/>
      <c r="F1356" s="185" t="s">
        <v>267</v>
      </c>
      <c r="G1356" s="173">
        <v>2</v>
      </c>
      <c r="H1356" s="173" t="s">
        <v>303</v>
      </c>
      <c r="I1356" s="177">
        <v>814.6</v>
      </c>
      <c r="J1356" s="177">
        <v>814.6</v>
      </c>
      <c r="K1356" s="177">
        <v>336.9</v>
      </c>
      <c r="L1356" s="208">
        <v>26</v>
      </c>
      <c r="M1356" s="173" t="s">
        <v>265</v>
      </c>
      <c r="N1356" s="173" t="s">
        <v>269</v>
      </c>
      <c r="O1356" s="173" t="s">
        <v>1287</v>
      </c>
      <c r="P1356" s="177">
        <v>3434659.7399999998</v>
      </c>
      <c r="Q1356" s="177">
        <v>0</v>
      </c>
      <c r="R1356" s="177">
        <v>0</v>
      </c>
      <c r="S1356" s="177">
        <f>P1356-Q1356-R1356</f>
        <v>3434659.7399999998</v>
      </c>
      <c r="T1356" s="170">
        <f t="shared" si="222"/>
        <v>4216.3758163515831</v>
      </c>
      <c r="U1356" s="170">
        <v>5689.0518045666577</v>
      </c>
      <c r="V1356" s="202">
        <f>U1356-T1356</f>
        <v>1472.6759882150745</v>
      </c>
      <c r="W1356" s="202">
        <f>T1356</f>
        <v>4216.3758163515831</v>
      </c>
      <c r="X1356" s="202">
        <v>0</v>
      </c>
      <c r="Y1356" s="203">
        <v>0</v>
      </c>
      <c r="Z1356" s="203">
        <v>0</v>
      </c>
      <c r="AA1356" s="203">
        <v>0</v>
      </c>
      <c r="AB1356" s="203">
        <v>0</v>
      </c>
      <c r="AC1356" s="203">
        <v>0</v>
      </c>
      <c r="AD1356" s="203">
        <v>0</v>
      </c>
      <c r="AE1356" s="203">
        <v>720</v>
      </c>
      <c r="AF1356" s="202">
        <f>6436.53*AE1356/I1356</f>
        <v>5689.0518045666577</v>
      </c>
      <c r="AG1356" s="203">
        <v>0</v>
      </c>
      <c r="AH1356" s="202">
        <v>0</v>
      </c>
      <c r="AI1356" s="203">
        <v>0</v>
      </c>
      <c r="AJ1356" s="202">
        <v>0</v>
      </c>
      <c r="AK1356" s="203">
        <v>0</v>
      </c>
      <c r="AL1356" s="203">
        <v>0</v>
      </c>
      <c r="AM1356" s="203">
        <v>0</v>
      </c>
      <c r="AN1356" s="203"/>
      <c r="AO1356" s="203">
        <v>0</v>
      </c>
      <c r="AP1356" s="176"/>
      <c r="DQ1356" s="186"/>
      <c r="DR1356" s="186"/>
      <c r="DS1356" s="186"/>
      <c r="EP1356" s="187"/>
      <c r="FS1356" s="188"/>
      <c r="GI1356" s="189"/>
    </row>
    <row r="1357" spans="1:191" s="176" customFormat="1" ht="36" customHeight="1" x14ac:dyDescent="0.25">
      <c r="B1357" s="172" t="s">
        <v>853</v>
      </c>
      <c r="C1357" s="172"/>
      <c r="D1357" s="173" t="s">
        <v>882</v>
      </c>
      <c r="E1357" s="173" t="s">
        <v>882</v>
      </c>
      <c r="F1357" s="173" t="s">
        <v>882</v>
      </c>
      <c r="G1357" s="173" t="s">
        <v>882</v>
      </c>
      <c r="H1357" s="173" t="s">
        <v>882</v>
      </c>
      <c r="I1357" s="177">
        <f>I1358</f>
        <v>1047.5</v>
      </c>
      <c r="J1357" s="177">
        <f>J1358</f>
        <v>853.4</v>
      </c>
      <c r="K1357" s="177">
        <f>K1358</f>
        <v>853.4</v>
      </c>
      <c r="L1357" s="357">
        <f>L1358</f>
        <v>55</v>
      </c>
      <c r="M1357" s="173" t="s">
        <v>882</v>
      </c>
      <c r="N1357" s="173" t="s">
        <v>882</v>
      </c>
      <c r="O1357" s="175" t="s">
        <v>882</v>
      </c>
      <c r="P1357" s="170">
        <v>3600600</v>
      </c>
      <c r="Q1357" s="170">
        <f>Q1358</f>
        <v>0</v>
      </c>
      <c r="R1357" s="170">
        <f>R1358</f>
        <v>0</v>
      </c>
      <c r="S1357" s="170">
        <f>S1358</f>
        <v>3600600</v>
      </c>
      <c r="T1357" s="170">
        <f t="shared" si="222"/>
        <v>3437.3269689737472</v>
      </c>
      <c r="U1357" s="170">
        <f>U1358</f>
        <v>4448.732906921241</v>
      </c>
      <c r="V1357" s="202">
        <f t="shared" si="221"/>
        <v>1011.4059379474938</v>
      </c>
      <c r="W1357" s="202"/>
      <c r="X1357" s="202"/>
      <c r="Y1357" s="203"/>
      <c r="Z1357" s="203"/>
      <c r="AA1357" s="203"/>
      <c r="AB1357" s="203"/>
      <c r="AC1357" s="203"/>
      <c r="AD1357" s="203"/>
      <c r="AE1357" s="203"/>
      <c r="AF1357" s="203"/>
      <c r="AG1357" s="203"/>
      <c r="AH1357" s="203"/>
      <c r="AI1357" s="203"/>
      <c r="AJ1357" s="203"/>
      <c r="AK1357" s="203"/>
      <c r="AL1357" s="203"/>
      <c r="AM1357" s="203"/>
      <c r="AN1357" s="203"/>
      <c r="AO1357" s="203"/>
    </row>
    <row r="1358" spans="1:191" s="144" customFormat="1" ht="36" customHeight="1" x14ac:dyDescent="0.25">
      <c r="A1358" s="176">
        <v>1</v>
      </c>
      <c r="B1358" s="171">
        <f>SUBTOTAL(103,$A$1087:A1358)</f>
        <v>218</v>
      </c>
      <c r="C1358" s="184" t="s">
        <v>2272</v>
      </c>
      <c r="D1358" s="173">
        <v>1982</v>
      </c>
      <c r="E1358" s="173"/>
      <c r="F1358" s="185" t="s">
        <v>267</v>
      </c>
      <c r="G1358" s="173">
        <v>2</v>
      </c>
      <c r="H1358" s="173">
        <v>3</v>
      </c>
      <c r="I1358" s="177">
        <v>1047.5</v>
      </c>
      <c r="J1358" s="177">
        <v>853.4</v>
      </c>
      <c r="K1358" s="177">
        <v>853.4</v>
      </c>
      <c r="L1358" s="208">
        <v>55</v>
      </c>
      <c r="M1358" s="173" t="s">
        <v>265</v>
      </c>
      <c r="N1358" s="173" t="s">
        <v>266</v>
      </c>
      <c r="O1358" s="173" t="s">
        <v>268</v>
      </c>
      <c r="P1358" s="177">
        <v>3600600</v>
      </c>
      <c r="Q1358" s="177">
        <v>0</v>
      </c>
      <c r="R1358" s="177">
        <v>0</v>
      </c>
      <c r="S1358" s="177">
        <f>P1358-Q1358-R1358</f>
        <v>3600600</v>
      </c>
      <c r="T1358" s="170">
        <f t="shared" si="222"/>
        <v>3437.3269689737472</v>
      </c>
      <c r="U1358" s="170">
        <v>4448.732906921241</v>
      </c>
      <c r="V1358" s="202">
        <f>U1358-T1358</f>
        <v>1011.4059379474938</v>
      </c>
      <c r="W1358" s="202">
        <f>X1358+Y1358+Z1358+AA1358+AB1358+AD1358+AF1358+AH1358+AJ1358+AL1358+AN1358+AO1358</f>
        <v>4458.2848210023867</v>
      </c>
      <c r="X1358" s="202">
        <v>0</v>
      </c>
      <c r="Y1358" s="203">
        <v>0</v>
      </c>
      <c r="Z1358" s="203">
        <v>0</v>
      </c>
      <c r="AA1358" s="203">
        <v>0</v>
      </c>
      <c r="AB1358" s="203">
        <v>0</v>
      </c>
      <c r="AC1358" s="203">
        <v>0</v>
      </c>
      <c r="AD1358" s="203">
        <v>0</v>
      </c>
      <c r="AE1358" s="203">
        <v>351</v>
      </c>
      <c r="AF1358" s="202">
        <f>6238.91*AE1358/I1358</f>
        <v>2090.556</v>
      </c>
      <c r="AG1358" s="203">
        <v>0</v>
      </c>
      <c r="AH1358" s="202">
        <v>0</v>
      </c>
      <c r="AI1358" s="203">
        <v>333.4</v>
      </c>
      <c r="AJ1358" s="202">
        <f>7439.1*AI1358/I1358</f>
        <v>2367.7288210023867</v>
      </c>
      <c r="AK1358" s="203">
        <v>0</v>
      </c>
      <c r="AL1358" s="203">
        <v>0</v>
      </c>
      <c r="AM1358" s="203">
        <v>0</v>
      </c>
      <c r="AN1358" s="203"/>
      <c r="AO1358" s="203">
        <v>0</v>
      </c>
      <c r="AP1358" s="176"/>
      <c r="DQ1358" s="186"/>
      <c r="DR1358" s="186"/>
      <c r="DS1358" s="186"/>
      <c r="EP1358" s="187"/>
      <c r="FS1358" s="188"/>
      <c r="GI1358" s="189"/>
    </row>
    <row r="1359" spans="1:191" s="176" customFormat="1" ht="36" customHeight="1" x14ac:dyDescent="0.25">
      <c r="B1359" s="172" t="s">
        <v>872</v>
      </c>
      <c r="C1359" s="172"/>
      <c r="D1359" s="173" t="s">
        <v>882</v>
      </c>
      <c r="E1359" s="173" t="s">
        <v>882</v>
      </c>
      <c r="F1359" s="173" t="s">
        <v>882</v>
      </c>
      <c r="G1359" s="173" t="s">
        <v>882</v>
      </c>
      <c r="H1359" s="173" t="s">
        <v>882</v>
      </c>
      <c r="I1359" s="177">
        <f>I1360</f>
        <v>626</v>
      </c>
      <c r="J1359" s="177">
        <f>J1360</f>
        <v>626</v>
      </c>
      <c r="K1359" s="177">
        <f>K1360</f>
        <v>423.7</v>
      </c>
      <c r="L1359" s="357">
        <f>L1360</f>
        <v>31</v>
      </c>
      <c r="M1359" s="173" t="s">
        <v>882</v>
      </c>
      <c r="N1359" s="173" t="s">
        <v>882</v>
      </c>
      <c r="O1359" s="175" t="s">
        <v>882</v>
      </c>
      <c r="P1359" s="170">
        <v>2233993.96</v>
      </c>
      <c r="Q1359" s="170">
        <f>Q1360</f>
        <v>0</v>
      </c>
      <c r="R1359" s="170">
        <f>R1360</f>
        <v>0</v>
      </c>
      <c r="S1359" s="170">
        <f>S1360</f>
        <v>2233993.96</v>
      </c>
      <c r="T1359" s="170">
        <f t="shared" si="222"/>
        <v>3568.6804472843451</v>
      </c>
      <c r="U1359" s="170">
        <f>U1360</f>
        <v>3866.0307987220444</v>
      </c>
      <c r="V1359" s="202">
        <f t="shared" si="221"/>
        <v>297.35035143769937</v>
      </c>
      <c r="W1359" s="202"/>
      <c r="X1359" s="202"/>
      <c r="Y1359" s="203"/>
      <c r="Z1359" s="203"/>
      <c r="AA1359" s="203"/>
      <c r="AB1359" s="203"/>
      <c r="AC1359" s="203"/>
      <c r="AD1359" s="203"/>
      <c r="AE1359" s="203"/>
      <c r="AF1359" s="203"/>
      <c r="AG1359" s="203"/>
      <c r="AH1359" s="203"/>
      <c r="AI1359" s="203"/>
      <c r="AJ1359" s="203"/>
      <c r="AK1359" s="203"/>
      <c r="AL1359" s="203"/>
      <c r="AM1359" s="203"/>
      <c r="AN1359" s="203"/>
      <c r="AO1359" s="203"/>
    </row>
    <row r="1360" spans="1:191" s="144" customFormat="1" ht="36" customHeight="1" x14ac:dyDescent="0.25">
      <c r="A1360" s="176">
        <v>1</v>
      </c>
      <c r="B1360" s="171">
        <f>SUBTOTAL(103,$A$1087:A1360)</f>
        <v>219</v>
      </c>
      <c r="C1360" s="184" t="s">
        <v>196</v>
      </c>
      <c r="D1360" s="173" t="s">
        <v>316</v>
      </c>
      <c r="E1360" s="173"/>
      <c r="F1360" s="185" t="s">
        <v>267</v>
      </c>
      <c r="G1360" s="173" t="s">
        <v>303</v>
      </c>
      <c r="H1360" s="173" t="s">
        <v>303</v>
      </c>
      <c r="I1360" s="177">
        <v>626</v>
      </c>
      <c r="J1360" s="177">
        <v>626</v>
      </c>
      <c r="K1360" s="177">
        <v>423.7</v>
      </c>
      <c r="L1360" s="208">
        <v>31</v>
      </c>
      <c r="M1360" s="173" t="s">
        <v>265</v>
      </c>
      <c r="N1360" s="173" t="s">
        <v>269</v>
      </c>
      <c r="O1360" s="173" t="s">
        <v>979</v>
      </c>
      <c r="P1360" s="177">
        <v>2233993.96</v>
      </c>
      <c r="Q1360" s="177">
        <v>0</v>
      </c>
      <c r="R1360" s="177">
        <v>0</v>
      </c>
      <c r="S1360" s="177">
        <f>P1360-Q1360-R1360</f>
        <v>2233993.96</v>
      </c>
      <c r="T1360" s="170">
        <f t="shared" si="222"/>
        <v>3568.6804472843451</v>
      </c>
      <c r="U1360" s="170">
        <v>3866.0307987220444</v>
      </c>
      <c r="V1360" s="202">
        <f>U1360-T1360</f>
        <v>297.35035143769937</v>
      </c>
      <c r="W1360" s="202">
        <f>X1360+Y1360+Z1360+AA1360+AB1360+AD1360+AF1360+AH1360+AJ1360+AL1360+AN1360+AO1360</f>
        <v>3747.3325239616615</v>
      </c>
      <c r="X1360" s="202">
        <v>0</v>
      </c>
      <c r="Y1360" s="203">
        <v>0</v>
      </c>
      <c r="Z1360" s="203">
        <v>0</v>
      </c>
      <c r="AA1360" s="203">
        <v>0</v>
      </c>
      <c r="AB1360" s="203">
        <v>0</v>
      </c>
      <c r="AC1360" s="203">
        <v>0</v>
      </c>
      <c r="AD1360" s="203">
        <v>0</v>
      </c>
      <c r="AE1360" s="203">
        <v>376</v>
      </c>
      <c r="AF1360" s="202">
        <f>6238.91*AE1360/I1360</f>
        <v>3747.3325239616615</v>
      </c>
      <c r="AG1360" s="203">
        <v>0</v>
      </c>
      <c r="AH1360" s="202">
        <v>0</v>
      </c>
      <c r="AI1360" s="203">
        <v>0</v>
      </c>
      <c r="AJ1360" s="202">
        <v>0</v>
      </c>
      <c r="AK1360" s="203">
        <v>0</v>
      </c>
      <c r="AL1360" s="203">
        <v>0</v>
      </c>
      <c r="AM1360" s="203">
        <v>0</v>
      </c>
      <c r="AN1360" s="203"/>
      <c r="AO1360" s="203">
        <v>0</v>
      </c>
      <c r="AP1360" s="176"/>
      <c r="DQ1360" s="186"/>
      <c r="DR1360" s="186"/>
      <c r="DS1360" s="186"/>
      <c r="EP1360" s="187"/>
      <c r="FS1360" s="188"/>
      <c r="GI1360" s="189"/>
    </row>
    <row r="1361" spans="1:191" s="176" customFormat="1" ht="36" customHeight="1" x14ac:dyDescent="0.25">
      <c r="B1361" s="172" t="s">
        <v>854</v>
      </c>
      <c r="C1361" s="359"/>
      <c r="D1361" s="173" t="s">
        <v>882</v>
      </c>
      <c r="E1361" s="173" t="s">
        <v>882</v>
      </c>
      <c r="F1361" s="173" t="s">
        <v>882</v>
      </c>
      <c r="G1361" s="173" t="s">
        <v>882</v>
      </c>
      <c r="H1361" s="173" t="s">
        <v>882</v>
      </c>
      <c r="I1361" s="177">
        <f>SUM(I1362:I1364)</f>
        <v>4977.3999999999996</v>
      </c>
      <c r="J1361" s="177">
        <f>SUM(J1362:J1364)</f>
        <v>4613.7</v>
      </c>
      <c r="K1361" s="177">
        <f>SUM(K1362:K1364)</f>
        <v>4612.5</v>
      </c>
      <c r="L1361" s="357">
        <f>SUM(L1362:L1364)</f>
        <v>180</v>
      </c>
      <c r="M1361" s="173" t="s">
        <v>882</v>
      </c>
      <c r="N1361" s="173" t="s">
        <v>882</v>
      </c>
      <c r="O1361" s="175" t="s">
        <v>882</v>
      </c>
      <c r="P1361" s="170">
        <v>14392200</v>
      </c>
      <c r="Q1361" s="170">
        <f>Q1362+Q1363+Q1364</f>
        <v>0</v>
      </c>
      <c r="R1361" s="170">
        <f>R1362+R1363+R1364</f>
        <v>0</v>
      </c>
      <c r="S1361" s="170">
        <f>S1362+S1363+S1364</f>
        <v>14392200</v>
      </c>
      <c r="T1361" s="170">
        <f t="shared" si="222"/>
        <v>2891.509623498212</v>
      </c>
      <c r="U1361" s="170">
        <f>MAX(U1362:U1364)</f>
        <v>3850.6637236962483</v>
      </c>
      <c r="V1361" s="202">
        <f t="shared" si="221"/>
        <v>959.1541001980363</v>
      </c>
      <c r="W1361" s="202"/>
      <c r="X1361" s="202"/>
      <c r="Y1361" s="203"/>
      <c r="Z1361" s="203"/>
      <c r="AA1361" s="203"/>
      <c r="AB1361" s="203"/>
      <c r="AC1361" s="203"/>
      <c r="AD1361" s="203"/>
      <c r="AE1361" s="203"/>
      <c r="AF1361" s="203"/>
      <c r="AG1361" s="203"/>
      <c r="AH1361" s="203"/>
      <c r="AI1361" s="203"/>
      <c r="AJ1361" s="203"/>
      <c r="AK1361" s="203"/>
      <c r="AL1361" s="203"/>
      <c r="AM1361" s="203"/>
      <c r="AN1361" s="203"/>
      <c r="AO1361" s="203"/>
    </row>
    <row r="1362" spans="1:191" s="144" customFormat="1" ht="36" customHeight="1" x14ac:dyDescent="0.25">
      <c r="A1362" s="176">
        <v>1</v>
      </c>
      <c r="B1362" s="171">
        <f>SUBTOTAL(103,$A$1087:A1362)</f>
        <v>220</v>
      </c>
      <c r="C1362" s="184" t="s">
        <v>213</v>
      </c>
      <c r="D1362" s="173">
        <v>1977</v>
      </c>
      <c r="E1362" s="173"/>
      <c r="F1362" s="185" t="s">
        <v>267</v>
      </c>
      <c r="G1362" s="173">
        <v>3</v>
      </c>
      <c r="H1362" s="173" t="s">
        <v>312</v>
      </c>
      <c r="I1362" s="177">
        <v>1967.4</v>
      </c>
      <c r="J1362" s="177">
        <v>1817.2</v>
      </c>
      <c r="K1362" s="177">
        <v>1817.2</v>
      </c>
      <c r="L1362" s="208">
        <v>61</v>
      </c>
      <c r="M1362" s="173" t="s">
        <v>265</v>
      </c>
      <c r="N1362" s="173" t="s">
        <v>269</v>
      </c>
      <c r="O1362" s="173" t="s">
        <v>332</v>
      </c>
      <c r="P1362" s="177">
        <v>6002700</v>
      </c>
      <c r="Q1362" s="177">
        <v>0</v>
      </c>
      <c r="R1362" s="177">
        <v>0</v>
      </c>
      <c r="S1362" s="177">
        <f>P1362-Q1362-R1362</f>
        <v>6002700</v>
      </c>
      <c r="T1362" s="170">
        <f t="shared" si="222"/>
        <v>3051.0826471485207</v>
      </c>
      <c r="U1362" s="170">
        <v>3850.6637236962483</v>
      </c>
      <c r="V1362" s="202">
        <f t="shared" si="221"/>
        <v>799.58107654772766</v>
      </c>
      <c r="W1362" s="202">
        <f>X1362+Y1362+Z1362+AA1362+AB1362+AD1362+AF1362+AH1362+AJ1362+AL1362+AN1362+AO1362</f>
        <v>3732.4372623767404</v>
      </c>
      <c r="X1362" s="202">
        <v>0</v>
      </c>
      <c r="Y1362" s="203">
        <v>0</v>
      </c>
      <c r="Z1362" s="203">
        <v>0</v>
      </c>
      <c r="AA1362" s="203">
        <v>0</v>
      </c>
      <c r="AB1362" s="203">
        <v>0</v>
      </c>
      <c r="AC1362" s="203">
        <v>0</v>
      </c>
      <c r="AD1362" s="203">
        <v>0</v>
      </c>
      <c r="AE1362" s="203">
        <v>1177</v>
      </c>
      <c r="AF1362" s="202">
        <f>6238.91*AE1362/I1362</f>
        <v>3732.4372623767404</v>
      </c>
      <c r="AG1362" s="203">
        <v>0</v>
      </c>
      <c r="AH1362" s="202">
        <v>0</v>
      </c>
      <c r="AI1362" s="203">
        <v>0</v>
      </c>
      <c r="AJ1362" s="202">
        <v>0</v>
      </c>
      <c r="AK1362" s="203">
        <v>0</v>
      </c>
      <c r="AL1362" s="203">
        <v>0</v>
      </c>
      <c r="AM1362" s="203">
        <v>0</v>
      </c>
      <c r="AN1362" s="203"/>
      <c r="AO1362" s="203">
        <v>0</v>
      </c>
      <c r="AP1362" s="176"/>
      <c r="DQ1362" s="186"/>
      <c r="DR1362" s="186"/>
      <c r="DS1362" s="186"/>
      <c r="EP1362" s="187"/>
      <c r="FS1362" s="188"/>
      <c r="GI1362" s="189"/>
    </row>
    <row r="1363" spans="1:191" s="144" customFormat="1" ht="36" customHeight="1" x14ac:dyDescent="0.25">
      <c r="A1363" s="176">
        <v>1</v>
      </c>
      <c r="B1363" s="171">
        <f>SUBTOTAL(103,$A$1087:A1363)</f>
        <v>221</v>
      </c>
      <c r="C1363" s="184" t="s">
        <v>214</v>
      </c>
      <c r="D1363" s="173">
        <v>1989</v>
      </c>
      <c r="E1363" s="173"/>
      <c r="F1363" s="185" t="s">
        <v>267</v>
      </c>
      <c r="G1363" s="173">
        <v>3</v>
      </c>
      <c r="H1363" s="173" t="s">
        <v>303</v>
      </c>
      <c r="I1363" s="177">
        <v>1426.9</v>
      </c>
      <c r="J1363" s="177">
        <v>1319.7</v>
      </c>
      <c r="K1363" s="177">
        <v>1318.5</v>
      </c>
      <c r="L1363" s="208">
        <v>59</v>
      </c>
      <c r="M1363" s="173" t="s">
        <v>265</v>
      </c>
      <c r="N1363" s="173" t="s">
        <v>269</v>
      </c>
      <c r="O1363" s="173" t="s">
        <v>332</v>
      </c>
      <c r="P1363" s="177">
        <v>4059600</v>
      </c>
      <c r="Q1363" s="177">
        <v>0</v>
      </c>
      <c r="R1363" s="177">
        <v>0</v>
      </c>
      <c r="S1363" s="177">
        <f>P1363-Q1363-R1363</f>
        <v>4059600</v>
      </c>
      <c r="T1363" s="170">
        <f t="shared" si="222"/>
        <v>2845.0487069871747</v>
      </c>
      <c r="U1363" s="170">
        <v>3590.6355596047374</v>
      </c>
      <c r="V1363" s="202">
        <f t="shared" si="221"/>
        <v>745.58685261756273</v>
      </c>
      <c r="W1363" s="202">
        <f>X1363+Y1363+Z1363+AA1363+AB1363+AD1363+AF1363+AH1363+AJ1363+AL1363+AN1363+AO1363</f>
        <v>3480.3927114724229</v>
      </c>
      <c r="X1363" s="202">
        <v>0</v>
      </c>
      <c r="Y1363" s="203">
        <v>0</v>
      </c>
      <c r="Z1363" s="203">
        <v>0</v>
      </c>
      <c r="AA1363" s="203">
        <v>0</v>
      </c>
      <c r="AB1363" s="203">
        <v>0</v>
      </c>
      <c r="AC1363" s="203">
        <v>0</v>
      </c>
      <c r="AD1363" s="203">
        <v>0</v>
      </c>
      <c r="AE1363" s="203">
        <v>796</v>
      </c>
      <c r="AF1363" s="202">
        <f>6238.91*AE1363/I1363</f>
        <v>3480.3927114724229</v>
      </c>
      <c r="AG1363" s="203">
        <v>0</v>
      </c>
      <c r="AH1363" s="202">
        <v>0</v>
      </c>
      <c r="AI1363" s="203">
        <v>0</v>
      </c>
      <c r="AJ1363" s="202">
        <v>0</v>
      </c>
      <c r="AK1363" s="203">
        <v>0</v>
      </c>
      <c r="AL1363" s="203">
        <v>0</v>
      </c>
      <c r="AM1363" s="203">
        <v>0</v>
      </c>
      <c r="AN1363" s="203"/>
      <c r="AO1363" s="203">
        <v>0</v>
      </c>
      <c r="AP1363" s="176"/>
      <c r="DQ1363" s="186"/>
      <c r="DR1363" s="186"/>
      <c r="DS1363" s="186"/>
      <c r="EP1363" s="187"/>
      <c r="FS1363" s="188"/>
      <c r="GI1363" s="189"/>
    </row>
    <row r="1364" spans="1:191" s="144" customFormat="1" ht="36" customHeight="1" x14ac:dyDescent="0.25">
      <c r="A1364" s="176">
        <v>1</v>
      </c>
      <c r="B1364" s="171">
        <f>SUBTOTAL(103,$A$1087:A1364)</f>
        <v>222</v>
      </c>
      <c r="C1364" s="184" t="s">
        <v>215</v>
      </c>
      <c r="D1364" s="173">
        <v>1972</v>
      </c>
      <c r="E1364" s="173"/>
      <c r="F1364" s="185" t="s">
        <v>267</v>
      </c>
      <c r="G1364" s="173">
        <v>3</v>
      </c>
      <c r="H1364" s="173" t="s">
        <v>312</v>
      </c>
      <c r="I1364" s="177">
        <v>1583.1</v>
      </c>
      <c r="J1364" s="177">
        <v>1476.8</v>
      </c>
      <c r="K1364" s="177">
        <v>1476.8</v>
      </c>
      <c r="L1364" s="208">
        <v>60</v>
      </c>
      <c r="M1364" s="173" t="s">
        <v>265</v>
      </c>
      <c r="N1364" s="173" t="s">
        <v>269</v>
      </c>
      <c r="O1364" s="173" t="s">
        <v>332</v>
      </c>
      <c r="P1364" s="177">
        <v>4329900</v>
      </c>
      <c r="Q1364" s="177">
        <v>0</v>
      </c>
      <c r="R1364" s="177">
        <v>0</v>
      </c>
      <c r="S1364" s="177">
        <f>P1364-Q1364-R1364</f>
        <v>4329900</v>
      </c>
      <c r="T1364" s="170">
        <f t="shared" si="222"/>
        <v>2735.0767481523594</v>
      </c>
      <c r="U1364" s="170">
        <v>3451.8438317225696</v>
      </c>
      <c r="V1364" s="202">
        <f t="shared" si="221"/>
        <v>716.76708357021016</v>
      </c>
      <c r="W1364" s="202">
        <f>X1364+Y1364+Z1364+AA1364+AB1364+AD1364+AF1364+AH1364+AJ1364+AL1364+AN1364+AO1364</f>
        <v>3345.862289179458</v>
      </c>
      <c r="X1364" s="202">
        <v>0</v>
      </c>
      <c r="Y1364" s="203">
        <v>0</v>
      </c>
      <c r="Z1364" s="203">
        <v>0</v>
      </c>
      <c r="AA1364" s="203">
        <v>0</v>
      </c>
      <c r="AB1364" s="203">
        <v>0</v>
      </c>
      <c r="AC1364" s="203">
        <v>0</v>
      </c>
      <c r="AD1364" s="203">
        <v>0</v>
      </c>
      <c r="AE1364" s="203">
        <v>849</v>
      </c>
      <c r="AF1364" s="202">
        <f>6238.91*AE1364/I1364</f>
        <v>3345.862289179458</v>
      </c>
      <c r="AG1364" s="203">
        <v>0</v>
      </c>
      <c r="AH1364" s="202">
        <v>0</v>
      </c>
      <c r="AI1364" s="203">
        <v>0</v>
      </c>
      <c r="AJ1364" s="202">
        <v>0</v>
      </c>
      <c r="AK1364" s="203">
        <v>0</v>
      </c>
      <c r="AL1364" s="203">
        <v>0</v>
      </c>
      <c r="AM1364" s="203">
        <v>0</v>
      </c>
      <c r="AN1364" s="203"/>
      <c r="AO1364" s="203">
        <v>0</v>
      </c>
      <c r="AP1364" s="176"/>
      <c r="DQ1364" s="186"/>
      <c r="DR1364" s="186"/>
      <c r="DS1364" s="186"/>
      <c r="EP1364" s="187"/>
      <c r="FS1364" s="188"/>
      <c r="GI1364" s="189"/>
    </row>
    <row r="1365" spans="1:191" s="176" customFormat="1" ht="36" customHeight="1" x14ac:dyDescent="0.25">
      <c r="B1365" s="172" t="s">
        <v>855</v>
      </c>
      <c r="C1365" s="172"/>
      <c r="D1365" s="173" t="s">
        <v>882</v>
      </c>
      <c r="E1365" s="173" t="s">
        <v>882</v>
      </c>
      <c r="F1365" s="173" t="s">
        <v>882</v>
      </c>
      <c r="G1365" s="173" t="s">
        <v>882</v>
      </c>
      <c r="H1365" s="173" t="s">
        <v>882</v>
      </c>
      <c r="I1365" s="177">
        <f>I1366</f>
        <v>775.2</v>
      </c>
      <c r="J1365" s="177">
        <f>J1366</f>
        <v>715.9</v>
      </c>
      <c r="K1365" s="177">
        <f>K1366</f>
        <v>715.9</v>
      </c>
      <c r="L1365" s="357">
        <f>L1366</f>
        <v>35</v>
      </c>
      <c r="M1365" s="173" t="s">
        <v>882</v>
      </c>
      <c r="N1365" s="173" t="s">
        <v>882</v>
      </c>
      <c r="O1365" s="175" t="s">
        <v>882</v>
      </c>
      <c r="P1365" s="170">
        <v>3396600</v>
      </c>
      <c r="Q1365" s="170">
        <f>Q1366</f>
        <v>0</v>
      </c>
      <c r="R1365" s="170">
        <f>R1366</f>
        <v>0</v>
      </c>
      <c r="S1365" s="170">
        <f>S1366</f>
        <v>3396600</v>
      </c>
      <c r="T1365" s="170">
        <f t="shared" si="222"/>
        <v>4381.5789473684208</v>
      </c>
      <c r="U1365" s="170">
        <f>U1366</f>
        <v>5529.8361455108352</v>
      </c>
      <c r="V1365" s="202">
        <f t="shared" si="221"/>
        <v>1148.2571981424144</v>
      </c>
      <c r="W1365" s="202"/>
      <c r="X1365" s="202"/>
      <c r="Y1365" s="203"/>
      <c r="Z1365" s="203"/>
      <c r="AA1365" s="203"/>
      <c r="AB1365" s="203"/>
      <c r="AC1365" s="203"/>
      <c r="AD1365" s="203"/>
      <c r="AE1365" s="203"/>
      <c r="AF1365" s="203"/>
      <c r="AG1365" s="203"/>
      <c r="AH1365" s="203"/>
      <c r="AI1365" s="203"/>
      <c r="AJ1365" s="203"/>
      <c r="AK1365" s="203"/>
      <c r="AL1365" s="203"/>
      <c r="AM1365" s="203"/>
      <c r="AN1365" s="203"/>
      <c r="AO1365" s="203"/>
    </row>
    <row r="1366" spans="1:191" s="144" customFormat="1" ht="36" customHeight="1" x14ac:dyDescent="0.25">
      <c r="A1366" s="176">
        <v>1</v>
      </c>
      <c r="B1366" s="171">
        <f>SUBTOTAL(103,$A$1087:A1366)</f>
        <v>223</v>
      </c>
      <c r="C1366" s="184" t="s">
        <v>221</v>
      </c>
      <c r="D1366" s="173">
        <v>1974</v>
      </c>
      <c r="E1366" s="173"/>
      <c r="F1366" s="185" t="s">
        <v>267</v>
      </c>
      <c r="G1366" s="173">
        <v>2</v>
      </c>
      <c r="H1366" s="173" t="s">
        <v>303</v>
      </c>
      <c r="I1366" s="177">
        <v>775.2</v>
      </c>
      <c r="J1366" s="177">
        <v>715.9</v>
      </c>
      <c r="K1366" s="177">
        <v>715.9</v>
      </c>
      <c r="L1366" s="208">
        <v>35</v>
      </c>
      <c r="M1366" s="173" t="s">
        <v>265</v>
      </c>
      <c r="N1366" s="173" t="s">
        <v>266</v>
      </c>
      <c r="O1366" s="173" t="s">
        <v>268</v>
      </c>
      <c r="P1366" s="177">
        <v>3396600</v>
      </c>
      <c r="Q1366" s="177">
        <v>0</v>
      </c>
      <c r="R1366" s="177">
        <v>0</v>
      </c>
      <c r="S1366" s="177">
        <f>P1366-Q1366-R1366</f>
        <v>3396600</v>
      </c>
      <c r="T1366" s="170">
        <f t="shared" si="222"/>
        <v>4381.5789473684208</v>
      </c>
      <c r="U1366" s="170">
        <v>5529.8361455108352</v>
      </c>
      <c r="V1366" s="202">
        <f>U1366-T1366</f>
        <v>1148.2571981424144</v>
      </c>
      <c r="W1366" s="202">
        <f>X1366+Y1366+Z1366+AA1366+AB1366+AD1366+AF1366+AH1366+AJ1366+AL1366+AN1366+AO1366</f>
        <v>5360.0542569659438</v>
      </c>
      <c r="X1366" s="202">
        <v>0</v>
      </c>
      <c r="Y1366" s="203">
        <v>0</v>
      </c>
      <c r="Z1366" s="203">
        <v>0</v>
      </c>
      <c r="AA1366" s="203">
        <v>0</v>
      </c>
      <c r="AB1366" s="203">
        <v>0</v>
      </c>
      <c r="AC1366" s="203">
        <v>0</v>
      </c>
      <c r="AD1366" s="203">
        <v>0</v>
      </c>
      <c r="AE1366" s="203">
        <v>666</v>
      </c>
      <c r="AF1366" s="202">
        <f>6238.91*AE1366/I1366</f>
        <v>5360.0542569659438</v>
      </c>
      <c r="AG1366" s="203">
        <v>0</v>
      </c>
      <c r="AH1366" s="202">
        <v>0</v>
      </c>
      <c r="AI1366" s="203">
        <v>0</v>
      </c>
      <c r="AJ1366" s="202">
        <v>0</v>
      </c>
      <c r="AK1366" s="203">
        <v>0</v>
      </c>
      <c r="AL1366" s="203">
        <v>0</v>
      </c>
      <c r="AM1366" s="203">
        <v>0</v>
      </c>
      <c r="AN1366" s="203"/>
      <c r="AO1366" s="203">
        <v>0</v>
      </c>
      <c r="AP1366" s="176"/>
      <c r="DQ1366" s="186"/>
      <c r="DR1366" s="186"/>
      <c r="DS1366" s="186"/>
      <c r="EP1366" s="187"/>
      <c r="FS1366" s="188"/>
      <c r="GI1366" s="189"/>
    </row>
    <row r="1367" spans="1:191" s="144" customFormat="1" ht="84" customHeight="1" x14ac:dyDescent="0.25">
      <c r="B1367" s="366" t="s">
        <v>1657</v>
      </c>
      <c r="C1367" s="367"/>
      <c r="D1367" s="367"/>
      <c r="E1367" s="367"/>
      <c r="F1367" s="367"/>
      <c r="G1367" s="367"/>
      <c r="H1367" s="367"/>
      <c r="I1367" s="367"/>
      <c r="J1367" s="367"/>
      <c r="K1367" s="367"/>
      <c r="L1367" s="367"/>
      <c r="M1367" s="367"/>
      <c r="N1367" s="367"/>
      <c r="O1367" s="367"/>
      <c r="P1367" s="367"/>
      <c r="Q1367" s="367"/>
      <c r="R1367" s="367"/>
      <c r="S1367" s="367"/>
      <c r="T1367" s="367"/>
      <c r="U1367" s="368"/>
      <c r="X1367" s="203"/>
      <c r="Y1367" s="203"/>
      <c r="Z1367" s="203"/>
      <c r="AA1367" s="203"/>
      <c r="AB1367" s="203"/>
      <c r="AC1367" s="203"/>
      <c r="AD1367" s="203"/>
      <c r="AE1367" s="203"/>
      <c r="AF1367" s="203"/>
      <c r="AG1367" s="203"/>
      <c r="AH1367" s="203"/>
      <c r="AI1367" s="203"/>
      <c r="AJ1367" s="203"/>
      <c r="AK1367" s="203"/>
      <c r="AL1367" s="203"/>
      <c r="AM1367" s="203"/>
      <c r="AN1367" s="203"/>
      <c r="AO1367" s="203"/>
      <c r="EG1367" s="187"/>
    </row>
    <row r="1368" spans="1:191" s="144" customFormat="1" ht="33.75" customHeight="1" x14ac:dyDescent="0.25">
      <c r="B1368" s="369" t="s">
        <v>2428</v>
      </c>
      <c r="C1368" s="370"/>
      <c r="D1368" s="173" t="s">
        <v>882</v>
      </c>
      <c r="E1368" s="173" t="s">
        <v>882</v>
      </c>
      <c r="F1368" s="175" t="s">
        <v>882</v>
      </c>
      <c r="G1368" s="173" t="s">
        <v>882</v>
      </c>
      <c r="H1368" s="173" t="s">
        <v>882</v>
      </c>
      <c r="I1368" s="177">
        <f>I1369+I1376</f>
        <v>5923.7</v>
      </c>
      <c r="J1368" s="177">
        <f>J1369+J1376</f>
        <v>5477.6</v>
      </c>
      <c r="K1368" s="177">
        <f>K1369+K1376</f>
        <v>5358.4</v>
      </c>
      <c r="L1368" s="363">
        <f>L1369+L1376</f>
        <v>240</v>
      </c>
      <c r="M1368" s="173" t="s">
        <v>882</v>
      </c>
      <c r="N1368" s="173" t="s">
        <v>882</v>
      </c>
      <c r="O1368" s="371" t="s">
        <v>882</v>
      </c>
      <c r="P1368" s="177">
        <v>16375999.73</v>
      </c>
      <c r="Q1368" s="177">
        <f>Q1369+Q1376</f>
        <v>11086944.719999999</v>
      </c>
      <c r="R1368" s="177">
        <f>R1369+R1376</f>
        <v>2836885.83</v>
      </c>
      <c r="S1368" s="177">
        <f>S1369+S1376</f>
        <v>2452169.1799999997</v>
      </c>
      <c r="T1368" s="170">
        <f>P1368/I1368</f>
        <v>2764.488365379746</v>
      </c>
      <c r="U1368" s="170">
        <f>MAX(U1369:U1375)</f>
        <v>6233.4580962092123</v>
      </c>
      <c r="X1368" s="372"/>
      <c r="Y1368" s="372"/>
      <c r="Z1368" s="372"/>
      <c r="AA1368" s="372"/>
      <c r="AB1368" s="372"/>
      <c r="AC1368" s="373"/>
      <c r="AD1368" s="372"/>
      <c r="AE1368" s="372"/>
      <c r="AF1368" s="372"/>
      <c r="AG1368" s="372"/>
      <c r="AH1368" s="372"/>
      <c r="AI1368" s="203"/>
      <c r="AJ1368" s="203"/>
      <c r="AK1368" s="203"/>
      <c r="AL1368" s="203"/>
      <c r="AM1368" s="203"/>
      <c r="AN1368" s="203"/>
      <c r="AO1368" s="203"/>
      <c r="BY1368" s="176"/>
      <c r="EG1368" s="187"/>
    </row>
    <row r="1369" spans="1:191" s="144" customFormat="1" ht="33.75" customHeight="1" x14ac:dyDescent="0.25">
      <c r="B1369" s="369" t="s">
        <v>1651</v>
      </c>
      <c r="C1369" s="370"/>
      <c r="D1369" s="173" t="s">
        <v>882</v>
      </c>
      <c r="E1369" s="173" t="s">
        <v>882</v>
      </c>
      <c r="F1369" s="175" t="s">
        <v>882</v>
      </c>
      <c r="G1369" s="173" t="s">
        <v>882</v>
      </c>
      <c r="H1369" s="173" t="s">
        <v>882</v>
      </c>
      <c r="I1369" s="177">
        <f>I1370+I1374+I1372</f>
        <v>3182.5</v>
      </c>
      <c r="J1369" s="177">
        <f>J1370+J1374+J1372</f>
        <v>2963.5</v>
      </c>
      <c r="K1369" s="177">
        <f>K1370+K1374+K1372</f>
        <v>2844.3</v>
      </c>
      <c r="L1369" s="363">
        <f>L1370+L1374+L1372</f>
        <v>134</v>
      </c>
      <c r="M1369" s="173" t="s">
        <v>882</v>
      </c>
      <c r="N1369" s="173" t="s">
        <v>882</v>
      </c>
      <c r="O1369" s="371" t="s">
        <v>882</v>
      </c>
      <c r="P1369" s="177">
        <v>7034201.7300000004</v>
      </c>
      <c r="Q1369" s="177">
        <f>Q1370+Q1374+Q1372</f>
        <v>4599545.3899999997</v>
      </c>
      <c r="R1369" s="177">
        <f>R1370+R1374+R1372</f>
        <v>1178018</v>
      </c>
      <c r="S1369" s="177">
        <f>S1370+S1374+S1372</f>
        <v>1256638.3399999999</v>
      </c>
      <c r="T1369" s="170">
        <f t="shared" ref="T1369:T1375" si="223">P1369/I1369</f>
        <v>2210.2754846818539</v>
      </c>
      <c r="U1369" s="170">
        <f>MAX(U1370:U1375)</f>
        <v>6233.4580962092123</v>
      </c>
      <c r="X1369" s="372"/>
      <c r="Y1369" s="372"/>
      <c r="Z1369" s="372"/>
      <c r="AA1369" s="372"/>
      <c r="AB1369" s="372"/>
      <c r="AC1369" s="373"/>
      <c r="AD1369" s="372"/>
      <c r="AE1369" s="372"/>
      <c r="AF1369" s="372"/>
      <c r="AG1369" s="372"/>
      <c r="AH1369" s="372"/>
      <c r="AI1369" s="203"/>
      <c r="AJ1369" s="203"/>
      <c r="AK1369" s="203"/>
      <c r="AL1369" s="203"/>
      <c r="AM1369" s="203"/>
      <c r="AN1369" s="203"/>
      <c r="AO1369" s="203"/>
      <c r="BY1369" s="176"/>
      <c r="EG1369" s="187"/>
    </row>
    <row r="1370" spans="1:191" s="144" customFormat="1" ht="33.75" customHeight="1" x14ac:dyDescent="0.25">
      <c r="B1370" s="172" t="s">
        <v>854</v>
      </c>
      <c r="C1370" s="184"/>
      <c r="D1370" s="173" t="s">
        <v>882</v>
      </c>
      <c r="E1370" s="173" t="s">
        <v>882</v>
      </c>
      <c r="F1370" s="175" t="s">
        <v>882</v>
      </c>
      <c r="G1370" s="173" t="s">
        <v>882</v>
      </c>
      <c r="H1370" s="173" t="s">
        <v>882</v>
      </c>
      <c r="I1370" s="177">
        <f>SUM(I1371:I1371)</f>
        <v>522.9</v>
      </c>
      <c r="J1370" s="177">
        <f>SUM(J1371:J1371)</f>
        <v>463.3</v>
      </c>
      <c r="K1370" s="177">
        <f>SUM(K1371:K1371)</f>
        <v>463.3</v>
      </c>
      <c r="L1370" s="363">
        <f>SUM(L1371:L1371)</f>
        <v>31</v>
      </c>
      <c r="M1370" s="173" t="s">
        <v>882</v>
      </c>
      <c r="N1370" s="173" t="s">
        <v>882</v>
      </c>
      <c r="O1370" s="371" t="s">
        <v>882</v>
      </c>
      <c r="P1370" s="177">
        <v>1836114.4000000001</v>
      </c>
      <c r="Q1370" s="177">
        <f>SUM(Q1371:Q1371)</f>
        <v>1280871.46</v>
      </c>
      <c r="R1370" s="177">
        <f>SUM(R1371:R1371)</f>
        <v>337986.60000000003</v>
      </c>
      <c r="S1370" s="177">
        <f>SUM(S1371:S1371)</f>
        <v>217256.34</v>
      </c>
      <c r="T1370" s="170">
        <f t="shared" si="223"/>
        <v>3511.4063874545805</v>
      </c>
      <c r="U1370" s="170">
        <f>U1371</f>
        <v>5588.419621342513</v>
      </c>
      <c r="X1370" s="372"/>
      <c r="Y1370" s="372"/>
      <c r="Z1370" s="372"/>
      <c r="AA1370" s="372"/>
      <c r="AB1370" s="372"/>
      <c r="AC1370" s="373"/>
      <c r="AD1370" s="372"/>
      <c r="AE1370" s="372"/>
      <c r="AF1370" s="372"/>
      <c r="AG1370" s="372"/>
      <c r="AH1370" s="372"/>
      <c r="AI1370" s="203"/>
      <c r="AJ1370" s="203"/>
      <c r="AK1370" s="203"/>
      <c r="AL1370" s="203"/>
      <c r="AM1370" s="203"/>
      <c r="AN1370" s="203"/>
      <c r="AO1370" s="203"/>
      <c r="BY1370" s="176"/>
      <c r="DH1370" s="186"/>
      <c r="DI1370" s="186"/>
      <c r="DJ1370" s="186"/>
      <c r="EG1370" s="187"/>
      <c r="FJ1370" s="188"/>
      <c r="FZ1370" s="189"/>
    </row>
    <row r="1371" spans="1:191" s="144" customFormat="1" ht="33.75" customHeight="1" x14ac:dyDescent="0.25">
      <c r="B1371" s="171">
        <v>1</v>
      </c>
      <c r="C1371" s="184" t="s">
        <v>1650</v>
      </c>
      <c r="D1371" s="173">
        <v>1964</v>
      </c>
      <c r="E1371" s="173"/>
      <c r="F1371" s="175" t="s">
        <v>267</v>
      </c>
      <c r="G1371" s="173">
        <v>2</v>
      </c>
      <c r="H1371" s="173">
        <v>2</v>
      </c>
      <c r="I1371" s="177">
        <v>522.9</v>
      </c>
      <c r="J1371" s="177">
        <v>463.3</v>
      </c>
      <c r="K1371" s="177">
        <v>463.3</v>
      </c>
      <c r="L1371" s="363">
        <v>31</v>
      </c>
      <c r="M1371" s="173" t="s">
        <v>265</v>
      </c>
      <c r="N1371" s="173" t="s">
        <v>269</v>
      </c>
      <c r="O1371" s="173" t="s">
        <v>332</v>
      </c>
      <c r="P1371" s="177">
        <v>1836114.4000000001</v>
      </c>
      <c r="Q1371" s="177">
        <v>1280871.46</v>
      </c>
      <c r="R1371" s="177">
        <v>337986.60000000003</v>
      </c>
      <c r="S1371" s="177">
        <v>217256.34</v>
      </c>
      <c r="T1371" s="170">
        <f t="shared" si="223"/>
        <v>3511.4063874545805</v>
      </c>
      <c r="U1371" s="170">
        <v>5588.419621342513</v>
      </c>
      <c r="V1371" s="202">
        <f>W1371-T1371</f>
        <v>1905.4326639892911</v>
      </c>
      <c r="W1371" s="202">
        <f>X1371+Y1371+Z1371+AA1371+AB1371+AD1371+AF1371+AH1371+AJ1371+AL1371+AN1371+AO1371</f>
        <v>5416.8390514438715</v>
      </c>
      <c r="X1371" s="374">
        <v>0</v>
      </c>
      <c r="Y1371" s="177">
        <v>0</v>
      </c>
      <c r="Z1371" s="177">
        <v>0</v>
      </c>
      <c r="AA1371" s="177">
        <v>0</v>
      </c>
      <c r="AB1371" s="177">
        <v>0</v>
      </c>
      <c r="AC1371" s="373">
        <v>0</v>
      </c>
      <c r="AD1371" s="177">
        <v>0</v>
      </c>
      <c r="AE1371" s="177">
        <v>454</v>
      </c>
      <c r="AF1371" s="202">
        <f>6238.91*AE1371/I1371</f>
        <v>5416.8390514438715</v>
      </c>
      <c r="AG1371" s="177">
        <v>0</v>
      </c>
      <c r="AH1371" s="177">
        <v>0</v>
      </c>
      <c r="AI1371" s="203"/>
      <c r="AJ1371" s="202">
        <f>7439.1*AI1371/I1371</f>
        <v>0</v>
      </c>
      <c r="AK1371" s="203"/>
      <c r="AL1371" s="202">
        <f>76773.02*AK1371/I1371</f>
        <v>0</v>
      </c>
      <c r="AM1371" s="203"/>
      <c r="AN1371" s="203"/>
      <c r="AO1371" s="203"/>
      <c r="DH1371" s="186"/>
      <c r="DI1371" s="186"/>
      <c r="DJ1371" s="186"/>
      <c r="EG1371" s="187"/>
      <c r="FJ1371" s="188"/>
      <c r="FZ1371" s="189"/>
    </row>
    <row r="1372" spans="1:191" s="144" customFormat="1" ht="33.75" customHeight="1" x14ac:dyDescent="0.25">
      <c r="B1372" s="172" t="s">
        <v>807</v>
      </c>
      <c r="C1372" s="184"/>
      <c r="D1372" s="173" t="s">
        <v>882</v>
      </c>
      <c r="E1372" s="173" t="s">
        <v>882</v>
      </c>
      <c r="F1372" s="175" t="s">
        <v>882</v>
      </c>
      <c r="G1372" s="173" t="s">
        <v>882</v>
      </c>
      <c r="H1372" s="173" t="s">
        <v>882</v>
      </c>
      <c r="I1372" s="177">
        <f>SUM(I1373:I1373)</f>
        <v>1826</v>
      </c>
      <c r="J1372" s="177">
        <f>SUM(J1373:J1373)</f>
        <v>1718</v>
      </c>
      <c r="K1372" s="177">
        <f>SUM(K1373:K1373)</f>
        <v>1598.8</v>
      </c>
      <c r="L1372" s="363">
        <f>SUM(L1373:L1373)</f>
        <v>73</v>
      </c>
      <c r="M1372" s="173" t="s">
        <v>882</v>
      </c>
      <c r="N1372" s="173" t="s">
        <v>882</v>
      </c>
      <c r="O1372" s="371" t="s">
        <v>882</v>
      </c>
      <c r="P1372" s="177">
        <v>2643881</v>
      </c>
      <c r="Q1372" s="177">
        <f>SUM(Q1373:Q1373)</f>
        <v>1592309.05</v>
      </c>
      <c r="R1372" s="177">
        <f>SUM(R1373:R1373)</f>
        <v>407533.88</v>
      </c>
      <c r="S1372" s="177">
        <f>SUM(S1373:S1373)</f>
        <v>644038.06999999995</v>
      </c>
      <c r="T1372" s="170">
        <f t="shared" si="223"/>
        <v>1447.9085432639649</v>
      </c>
      <c r="U1372" s="170">
        <f>U1373</f>
        <v>2537.952683461117</v>
      </c>
      <c r="X1372" s="372"/>
      <c r="Y1372" s="372"/>
      <c r="Z1372" s="372"/>
      <c r="AA1372" s="372"/>
      <c r="AB1372" s="372"/>
      <c r="AC1372" s="373"/>
      <c r="AD1372" s="372"/>
      <c r="AE1372" s="372"/>
      <c r="AF1372" s="372"/>
      <c r="AG1372" s="372"/>
      <c r="AH1372" s="372"/>
      <c r="AI1372" s="203"/>
      <c r="AJ1372" s="203"/>
      <c r="AK1372" s="203"/>
      <c r="AL1372" s="203"/>
      <c r="AM1372" s="203"/>
      <c r="AN1372" s="203"/>
      <c r="AO1372" s="203"/>
      <c r="BY1372" s="176"/>
      <c r="DH1372" s="186"/>
      <c r="DI1372" s="186"/>
      <c r="DJ1372" s="186"/>
      <c r="EG1372" s="187"/>
      <c r="FJ1372" s="188"/>
      <c r="FZ1372" s="189"/>
    </row>
    <row r="1373" spans="1:191" s="144" customFormat="1" ht="33.75" customHeight="1" x14ac:dyDescent="0.25">
      <c r="B1373" s="171">
        <v>2</v>
      </c>
      <c r="C1373" s="184" t="s">
        <v>1674</v>
      </c>
      <c r="D1373" s="173">
        <v>1975</v>
      </c>
      <c r="E1373" s="173"/>
      <c r="F1373" s="175" t="s">
        <v>267</v>
      </c>
      <c r="G1373" s="173">
        <v>4</v>
      </c>
      <c r="H1373" s="173">
        <v>2</v>
      </c>
      <c r="I1373" s="177">
        <v>1826</v>
      </c>
      <c r="J1373" s="177">
        <v>1718</v>
      </c>
      <c r="K1373" s="177">
        <v>1598.8</v>
      </c>
      <c r="L1373" s="363">
        <v>73</v>
      </c>
      <c r="M1373" s="173" t="s">
        <v>265</v>
      </c>
      <c r="N1373" s="173" t="s">
        <v>341</v>
      </c>
      <c r="O1373" s="173" t="s">
        <v>1675</v>
      </c>
      <c r="P1373" s="177">
        <v>2643881</v>
      </c>
      <c r="Q1373" s="177">
        <v>1592309.05</v>
      </c>
      <c r="R1373" s="177">
        <v>407533.88</v>
      </c>
      <c r="S1373" s="177">
        <v>644038.06999999995</v>
      </c>
      <c r="T1373" s="170">
        <f t="shared" si="223"/>
        <v>1447.9085432639649</v>
      </c>
      <c r="U1373" s="170">
        <v>2537.952683461117</v>
      </c>
      <c r="V1373" s="202">
        <f>W1373-T1373</f>
        <v>1012.121686746988</v>
      </c>
      <c r="W1373" s="202">
        <f>X1373+Y1373+Z1373+AA1373+AB1373+AD1373+AF1373+AH1373+AJ1373+AL1373+AN1373+AO1373</f>
        <v>2460.0302300109529</v>
      </c>
      <c r="X1373" s="374">
        <v>0</v>
      </c>
      <c r="Y1373" s="177">
        <v>0</v>
      </c>
      <c r="Z1373" s="177">
        <v>0</v>
      </c>
      <c r="AA1373" s="177">
        <v>0</v>
      </c>
      <c r="AB1373" s="177">
        <v>0</v>
      </c>
      <c r="AC1373" s="373">
        <v>0</v>
      </c>
      <c r="AD1373" s="177">
        <v>0</v>
      </c>
      <c r="AE1373" s="177">
        <v>720</v>
      </c>
      <c r="AF1373" s="202">
        <f>6238.91*AE1373/I1373</f>
        <v>2460.0302300109529</v>
      </c>
      <c r="AG1373" s="177">
        <v>0</v>
      </c>
      <c r="AH1373" s="177">
        <v>0</v>
      </c>
      <c r="AI1373" s="203"/>
      <c r="AJ1373" s="202">
        <f>7439.1*AI1373/I1373</f>
        <v>0</v>
      </c>
      <c r="AK1373" s="203"/>
      <c r="AL1373" s="202">
        <f>76773.02*AK1373/I1373</f>
        <v>0</v>
      </c>
      <c r="AM1373" s="203"/>
      <c r="AN1373" s="203"/>
      <c r="AO1373" s="203"/>
      <c r="DH1373" s="186"/>
      <c r="DI1373" s="186"/>
      <c r="DJ1373" s="186"/>
      <c r="EG1373" s="187"/>
      <c r="FJ1373" s="188"/>
      <c r="FZ1373" s="189"/>
    </row>
    <row r="1374" spans="1:191" s="144" customFormat="1" ht="33.75" customHeight="1" x14ac:dyDescent="0.25">
      <c r="B1374" s="172" t="s">
        <v>878</v>
      </c>
      <c r="C1374" s="184"/>
      <c r="D1374" s="173" t="s">
        <v>882</v>
      </c>
      <c r="E1374" s="173" t="s">
        <v>882</v>
      </c>
      <c r="F1374" s="175" t="s">
        <v>882</v>
      </c>
      <c r="G1374" s="173" t="s">
        <v>882</v>
      </c>
      <c r="H1374" s="173" t="s">
        <v>882</v>
      </c>
      <c r="I1374" s="177">
        <f>SUM(I1375:I1375)</f>
        <v>833.6</v>
      </c>
      <c r="J1374" s="177">
        <f>SUM(J1375:J1375)</f>
        <v>782.2</v>
      </c>
      <c r="K1374" s="177">
        <f>SUM(K1375:K1375)</f>
        <v>782.2</v>
      </c>
      <c r="L1374" s="363">
        <f>SUM(L1375:L1375)</f>
        <v>30</v>
      </c>
      <c r="M1374" s="173" t="s">
        <v>882</v>
      </c>
      <c r="N1374" s="173" t="s">
        <v>882</v>
      </c>
      <c r="O1374" s="371" t="s">
        <v>882</v>
      </c>
      <c r="P1374" s="177">
        <v>2554206.3299999996</v>
      </c>
      <c r="Q1374" s="177">
        <f>SUM(Q1375:Q1375)</f>
        <v>1726364.88</v>
      </c>
      <c r="R1374" s="177">
        <f>SUM(R1375:R1375)</f>
        <v>432497.52</v>
      </c>
      <c r="S1374" s="177">
        <f>SUM(S1375:S1375)</f>
        <v>395343.93</v>
      </c>
      <c r="T1374" s="170">
        <f t="shared" si="223"/>
        <v>3064.0670945297497</v>
      </c>
      <c r="U1374" s="170">
        <f>U1375</f>
        <v>6233.4580962092123</v>
      </c>
      <c r="X1374" s="372"/>
      <c r="Y1374" s="372"/>
      <c r="Z1374" s="372"/>
      <c r="AA1374" s="372"/>
      <c r="AB1374" s="372"/>
      <c r="AC1374" s="373"/>
      <c r="AD1374" s="372"/>
      <c r="AE1374" s="372"/>
      <c r="AF1374" s="372"/>
      <c r="AG1374" s="372"/>
      <c r="AH1374" s="372"/>
      <c r="AI1374" s="203"/>
      <c r="AJ1374" s="203"/>
      <c r="AK1374" s="203"/>
      <c r="AL1374" s="203"/>
      <c r="AM1374" s="203"/>
      <c r="AN1374" s="203"/>
      <c r="AO1374" s="203"/>
      <c r="BY1374" s="176"/>
      <c r="DH1374" s="186"/>
      <c r="DI1374" s="186"/>
      <c r="DJ1374" s="186"/>
      <c r="EG1374" s="187"/>
      <c r="FJ1374" s="188"/>
      <c r="FZ1374" s="189"/>
    </row>
    <row r="1375" spans="1:191" s="144" customFormat="1" ht="33.75" customHeight="1" x14ac:dyDescent="0.25">
      <c r="B1375" s="171">
        <v>3</v>
      </c>
      <c r="C1375" s="184" t="s">
        <v>3</v>
      </c>
      <c r="D1375" s="173">
        <v>1988</v>
      </c>
      <c r="E1375" s="173"/>
      <c r="F1375" s="175" t="s">
        <v>267</v>
      </c>
      <c r="G1375" s="173">
        <v>2</v>
      </c>
      <c r="H1375" s="173">
        <v>3</v>
      </c>
      <c r="I1375" s="177">
        <v>833.6</v>
      </c>
      <c r="J1375" s="177">
        <v>782.2</v>
      </c>
      <c r="K1375" s="177">
        <v>782.2</v>
      </c>
      <c r="L1375" s="363">
        <v>30</v>
      </c>
      <c r="M1375" s="173" t="s">
        <v>265</v>
      </c>
      <c r="N1375" s="173" t="s">
        <v>266</v>
      </c>
      <c r="O1375" s="173" t="s">
        <v>268</v>
      </c>
      <c r="P1375" s="177">
        <v>2554206.3299999996</v>
      </c>
      <c r="Q1375" s="177">
        <v>1726364.88</v>
      </c>
      <c r="R1375" s="177">
        <v>432497.52</v>
      </c>
      <c r="S1375" s="177">
        <v>395343.93</v>
      </c>
      <c r="T1375" s="170">
        <f t="shared" si="223"/>
        <v>3064.0670945297497</v>
      </c>
      <c r="U1375" s="170">
        <v>6233.4580962092123</v>
      </c>
      <c r="V1375" s="202">
        <f>W1375-T1375</f>
        <v>3104.4905134357014</v>
      </c>
      <c r="W1375" s="202">
        <f>X1375+Y1375+Z1375+AA1375+AB1375+AD1375+AF1375+AH1375+AJ1375+AL1375+AN1375+AO1375</f>
        <v>6168.5576079654511</v>
      </c>
      <c r="X1375" s="374">
        <v>0</v>
      </c>
      <c r="Y1375" s="177">
        <v>0</v>
      </c>
      <c r="Z1375" s="177">
        <v>0</v>
      </c>
      <c r="AA1375" s="177">
        <v>0</v>
      </c>
      <c r="AB1375" s="177">
        <v>0</v>
      </c>
      <c r="AC1375" s="373">
        <v>0</v>
      </c>
      <c r="AD1375" s="177">
        <v>0</v>
      </c>
      <c r="AE1375" s="177">
        <v>824.2</v>
      </c>
      <c r="AF1375" s="202">
        <f>6238.91*AE1375/I1375</f>
        <v>6168.5576079654511</v>
      </c>
      <c r="AG1375" s="177">
        <v>0</v>
      </c>
      <c r="AH1375" s="177">
        <v>0</v>
      </c>
      <c r="AI1375" s="203"/>
      <c r="AJ1375" s="202">
        <f>7439.1*AI1375/I1375</f>
        <v>0</v>
      </c>
      <c r="AK1375" s="203"/>
      <c r="AL1375" s="202">
        <f>76773.02*AK1375/I1375</f>
        <v>0</v>
      </c>
      <c r="AM1375" s="203"/>
      <c r="AN1375" s="203"/>
      <c r="AO1375" s="203"/>
      <c r="DH1375" s="186"/>
      <c r="DI1375" s="186"/>
      <c r="DJ1375" s="186"/>
      <c r="EG1375" s="187"/>
      <c r="FJ1375" s="188"/>
      <c r="FZ1375" s="189"/>
    </row>
    <row r="1376" spans="1:191" s="144" customFormat="1" ht="33.75" customHeight="1" x14ac:dyDescent="0.25">
      <c r="B1376" s="369" t="s">
        <v>1925</v>
      </c>
      <c r="C1376" s="370"/>
      <c r="D1376" s="173" t="s">
        <v>882</v>
      </c>
      <c r="E1376" s="173" t="s">
        <v>882</v>
      </c>
      <c r="F1376" s="175" t="s">
        <v>882</v>
      </c>
      <c r="G1376" s="173" t="s">
        <v>882</v>
      </c>
      <c r="H1376" s="173" t="s">
        <v>882</v>
      </c>
      <c r="I1376" s="177">
        <f>I1377+I1379+I1381</f>
        <v>2741.2</v>
      </c>
      <c r="J1376" s="177">
        <f>J1377+J1379+J1381</f>
        <v>2514.1</v>
      </c>
      <c r="K1376" s="177">
        <f>K1377+K1379+K1381</f>
        <v>2514.1</v>
      </c>
      <c r="L1376" s="363">
        <f>L1377+L1379+L1381</f>
        <v>106</v>
      </c>
      <c r="M1376" s="173" t="s">
        <v>882</v>
      </c>
      <c r="N1376" s="173" t="s">
        <v>882</v>
      </c>
      <c r="O1376" s="371" t="s">
        <v>882</v>
      </c>
      <c r="P1376" s="177">
        <v>9341798</v>
      </c>
      <c r="Q1376" s="177">
        <f>Q1377+Q1379+Q1381</f>
        <v>6487399.3300000001</v>
      </c>
      <c r="R1376" s="177">
        <f>R1377+R1379+R1381</f>
        <v>1658867.83</v>
      </c>
      <c r="S1376" s="177">
        <f>S1377+S1379+S1381</f>
        <v>1195530.8399999999</v>
      </c>
      <c r="T1376" s="170">
        <f t="shared" ref="T1376:T1382" si="224">P1376/I1376</f>
        <v>3407.9228075295491</v>
      </c>
      <c r="U1376" s="170">
        <f>MAX(U1377:U1380)</f>
        <v>5469.6531806629246</v>
      </c>
      <c r="X1376" s="372"/>
      <c r="Y1376" s="372"/>
      <c r="Z1376" s="372"/>
      <c r="AA1376" s="372"/>
      <c r="AB1376" s="372"/>
      <c r="AC1376" s="373"/>
      <c r="AD1376" s="372"/>
      <c r="AE1376" s="372"/>
      <c r="AF1376" s="372"/>
      <c r="AG1376" s="372"/>
      <c r="AH1376" s="372"/>
      <c r="AI1376" s="203"/>
      <c r="AJ1376" s="203"/>
      <c r="AK1376" s="203"/>
      <c r="AL1376" s="203"/>
      <c r="AM1376" s="203"/>
      <c r="AN1376" s="203"/>
      <c r="AO1376" s="203"/>
      <c r="BY1376" s="176"/>
      <c r="EG1376" s="187"/>
    </row>
    <row r="1377" spans="2:182" s="144" customFormat="1" ht="33.75" customHeight="1" x14ac:dyDescent="0.25">
      <c r="B1377" s="172" t="s">
        <v>1397</v>
      </c>
      <c r="C1377" s="184"/>
      <c r="D1377" s="173" t="s">
        <v>882</v>
      </c>
      <c r="E1377" s="173" t="s">
        <v>882</v>
      </c>
      <c r="F1377" s="175" t="s">
        <v>882</v>
      </c>
      <c r="G1377" s="173" t="s">
        <v>882</v>
      </c>
      <c r="H1377" s="173" t="s">
        <v>882</v>
      </c>
      <c r="I1377" s="177">
        <f>SUM(I1378:I1378)</f>
        <v>833.7</v>
      </c>
      <c r="J1377" s="177">
        <f>SUM(J1378:J1378)</f>
        <v>771.9</v>
      </c>
      <c r="K1377" s="177">
        <f>SUM(K1378:K1378)</f>
        <v>771.9</v>
      </c>
      <c r="L1377" s="363">
        <f>SUM(L1378:L1378)</f>
        <v>33</v>
      </c>
      <c r="M1377" s="173" t="s">
        <v>882</v>
      </c>
      <c r="N1377" s="173" t="s">
        <v>882</v>
      </c>
      <c r="O1377" s="371" t="s">
        <v>882</v>
      </c>
      <c r="P1377" s="177">
        <v>2859178</v>
      </c>
      <c r="Q1377" s="177">
        <f>SUM(Q1378:Q1378)</f>
        <v>2027471.29</v>
      </c>
      <c r="R1377" s="177">
        <f>SUM(R1378:R1378)</f>
        <v>506867.83</v>
      </c>
      <c r="S1377" s="177">
        <f>SUM(S1378:S1378)</f>
        <v>324838.88</v>
      </c>
      <c r="T1377" s="170">
        <f t="shared" si="224"/>
        <v>3429.504617968094</v>
      </c>
      <c r="U1377" s="170">
        <f>U1378</f>
        <v>4702.9054210147533</v>
      </c>
      <c r="X1377" s="372"/>
      <c r="Y1377" s="372"/>
      <c r="Z1377" s="372"/>
      <c r="AA1377" s="372"/>
      <c r="AB1377" s="372"/>
      <c r="AC1377" s="373"/>
      <c r="AD1377" s="372"/>
      <c r="AE1377" s="372"/>
      <c r="AF1377" s="372"/>
      <c r="AG1377" s="372"/>
      <c r="AH1377" s="372"/>
      <c r="AI1377" s="203"/>
      <c r="AJ1377" s="203"/>
      <c r="AK1377" s="203"/>
      <c r="AL1377" s="203"/>
      <c r="AM1377" s="203"/>
      <c r="AN1377" s="203"/>
      <c r="AO1377" s="203"/>
      <c r="BY1377" s="176"/>
      <c r="DH1377" s="186"/>
      <c r="DI1377" s="186"/>
      <c r="DJ1377" s="186"/>
      <c r="EG1377" s="187"/>
      <c r="FJ1377" s="188"/>
      <c r="FZ1377" s="189"/>
    </row>
    <row r="1378" spans="2:182" s="144" customFormat="1" ht="33.75" customHeight="1" x14ac:dyDescent="0.25">
      <c r="B1378" s="171">
        <v>1</v>
      </c>
      <c r="C1378" s="184" t="s">
        <v>2425</v>
      </c>
      <c r="D1378" s="173">
        <v>1969</v>
      </c>
      <c r="E1378" s="173"/>
      <c r="F1378" s="175" t="s">
        <v>267</v>
      </c>
      <c r="G1378" s="173">
        <v>2</v>
      </c>
      <c r="H1378" s="173">
        <v>2</v>
      </c>
      <c r="I1378" s="177">
        <v>833.7</v>
      </c>
      <c r="J1378" s="177">
        <v>771.9</v>
      </c>
      <c r="K1378" s="177">
        <v>771.9</v>
      </c>
      <c r="L1378" s="363">
        <v>33</v>
      </c>
      <c r="M1378" s="173" t="s">
        <v>265</v>
      </c>
      <c r="N1378" s="173" t="s">
        <v>269</v>
      </c>
      <c r="O1378" s="173" t="s">
        <v>1886</v>
      </c>
      <c r="P1378" s="177">
        <v>2859178</v>
      </c>
      <c r="Q1378" s="177">
        <v>2027471.29</v>
      </c>
      <c r="R1378" s="177">
        <v>506867.83</v>
      </c>
      <c r="S1378" s="177">
        <v>324838.88</v>
      </c>
      <c r="T1378" s="170">
        <f t="shared" si="224"/>
        <v>3429.504617968094</v>
      </c>
      <c r="U1378" s="170">
        <v>4702.9054210147533</v>
      </c>
      <c r="V1378" s="202">
        <f>W1378-T1378</f>
        <v>-32.041333813122037</v>
      </c>
      <c r="W1378" s="202">
        <f>X1378+Y1378+Z1378+AA1378+AB1378+AD1378+AF1378+AH1378+AJ1378+AL1378+AN1378+AO1378</f>
        <v>3397.4632841549719</v>
      </c>
      <c r="X1378" s="374">
        <v>0</v>
      </c>
      <c r="Y1378" s="177">
        <v>0</v>
      </c>
      <c r="Z1378" s="177">
        <v>0</v>
      </c>
      <c r="AA1378" s="177">
        <v>0</v>
      </c>
      <c r="AB1378" s="177">
        <v>0</v>
      </c>
      <c r="AC1378" s="373">
        <v>0</v>
      </c>
      <c r="AD1378" s="177">
        <v>0</v>
      </c>
      <c r="AE1378" s="177">
        <v>454</v>
      </c>
      <c r="AF1378" s="202">
        <f>6238.91*AE1378/I1378</f>
        <v>3397.4632841549719</v>
      </c>
      <c r="AG1378" s="177">
        <v>0</v>
      </c>
      <c r="AH1378" s="177">
        <v>0</v>
      </c>
      <c r="AI1378" s="203"/>
      <c r="AJ1378" s="202">
        <f>7439.1*AI1378/I1378</f>
        <v>0</v>
      </c>
      <c r="AK1378" s="203"/>
      <c r="AL1378" s="202">
        <f>76773.02*AK1378/I1378</f>
        <v>0</v>
      </c>
      <c r="AM1378" s="203"/>
      <c r="AN1378" s="203"/>
      <c r="AO1378" s="203"/>
      <c r="DH1378" s="186"/>
      <c r="DI1378" s="186"/>
      <c r="DJ1378" s="186"/>
      <c r="EG1378" s="187"/>
      <c r="FJ1378" s="188"/>
      <c r="FZ1378" s="189"/>
    </row>
    <row r="1379" spans="2:182" s="144" customFormat="1" ht="33.75" customHeight="1" x14ac:dyDescent="0.25">
      <c r="B1379" s="172" t="s">
        <v>839</v>
      </c>
      <c r="C1379" s="184"/>
      <c r="D1379" s="173" t="s">
        <v>882</v>
      </c>
      <c r="E1379" s="173" t="s">
        <v>882</v>
      </c>
      <c r="F1379" s="175" t="s">
        <v>882</v>
      </c>
      <c r="G1379" s="173" t="s">
        <v>882</v>
      </c>
      <c r="H1379" s="173" t="s">
        <v>882</v>
      </c>
      <c r="I1379" s="177">
        <f>SUM(I1380:I1380)</f>
        <v>944.3</v>
      </c>
      <c r="J1379" s="177">
        <f>SUM(J1380:J1380)</f>
        <v>862.6</v>
      </c>
      <c r="K1379" s="177">
        <f>SUM(K1380:K1380)</f>
        <v>862.6</v>
      </c>
      <c r="L1379" s="363">
        <f>SUM(L1380:L1380)</f>
        <v>39</v>
      </c>
      <c r="M1379" s="173" t="s">
        <v>882</v>
      </c>
      <c r="N1379" s="173" t="s">
        <v>882</v>
      </c>
      <c r="O1379" s="371" t="s">
        <v>882</v>
      </c>
      <c r="P1379" s="177">
        <v>3670630</v>
      </c>
      <c r="Q1379" s="177">
        <f>SUM(Q1380:Q1380)</f>
        <v>2576436.89</v>
      </c>
      <c r="R1379" s="177">
        <f>SUM(R1380:R1380)</f>
        <v>652000</v>
      </c>
      <c r="S1379" s="177">
        <f>SUM(S1380:S1380)</f>
        <v>442193.11</v>
      </c>
      <c r="T1379" s="170">
        <f t="shared" si="224"/>
        <v>3887.1439161283492</v>
      </c>
      <c r="U1379" s="170">
        <f>U1380</f>
        <v>5469.6531806629246</v>
      </c>
      <c r="X1379" s="372"/>
      <c r="Y1379" s="372"/>
      <c r="Z1379" s="372"/>
      <c r="AA1379" s="372"/>
      <c r="AB1379" s="372"/>
      <c r="AC1379" s="373"/>
      <c r="AD1379" s="372"/>
      <c r="AE1379" s="372"/>
      <c r="AF1379" s="372"/>
      <c r="AG1379" s="372"/>
      <c r="AH1379" s="372"/>
      <c r="AI1379" s="203"/>
      <c r="AJ1379" s="203"/>
      <c r="AK1379" s="203"/>
      <c r="AL1379" s="203"/>
      <c r="AM1379" s="203"/>
      <c r="AN1379" s="203"/>
      <c r="AO1379" s="203"/>
      <c r="BY1379" s="176"/>
      <c r="DH1379" s="186"/>
      <c r="DI1379" s="186"/>
      <c r="DJ1379" s="186"/>
      <c r="EG1379" s="187"/>
      <c r="FJ1379" s="188"/>
      <c r="FZ1379" s="189"/>
    </row>
    <row r="1380" spans="2:182" s="144" customFormat="1" ht="33.75" customHeight="1" x14ac:dyDescent="0.25">
      <c r="B1380" s="171">
        <v>2</v>
      </c>
      <c r="C1380" s="184" t="s">
        <v>2430</v>
      </c>
      <c r="D1380" s="173">
        <v>1983</v>
      </c>
      <c r="E1380" s="173"/>
      <c r="F1380" s="175" t="s">
        <v>267</v>
      </c>
      <c r="G1380" s="173">
        <v>2</v>
      </c>
      <c r="H1380" s="173">
        <v>3</v>
      </c>
      <c r="I1380" s="177">
        <v>944.3</v>
      </c>
      <c r="J1380" s="177">
        <v>862.6</v>
      </c>
      <c r="K1380" s="177">
        <v>862.6</v>
      </c>
      <c r="L1380" s="363">
        <v>39</v>
      </c>
      <c r="M1380" s="173" t="s">
        <v>265</v>
      </c>
      <c r="N1380" s="173" t="s">
        <v>266</v>
      </c>
      <c r="O1380" s="173" t="s">
        <v>268</v>
      </c>
      <c r="P1380" s="177">
        <v>3670630</v>
      </c>
      <c r="Q1380" s="177">
        <v>2576436.89</v>
      </c>
      <c r="R1380" s="177">
        <v>652000</v>
      </c>
      <c r="S1380" s="177">
        <v>442193.11</v>
      </c>
      <c r="T1380" s="170">
        <f t="shared" si="224"/>
        <v>3887.1439161283492</v>
      </c>
      <c r="U1380" s="170">
        <v>5469.6531806629246</v>
      </c>
      <c r="V1380" s="202">
        <f>W1380-T1380</f>
        <v>-887.60442655935594</v>
      </c>
      <c r="W1380" s="202">
        <f>X1380+Y1380+Z1380+AA1380+AB1380+AD1380+AF1380+AH1380+AJ1380+AL1380+AN1380+AO1380</f>
        <v>2999.5394895689933</v>
      </c>
      <c r="X1380" s="374">
        <v>0</v>
      </c>
      <c r="Y1380" s="177">
        <v>0</v>
      </c>
      <c r="Z1380" s="177">
        <v>0</v>
      </c>
      <c r="AA1380" s="177">
        <v>0</v>
      </c>
      <c r="AB1380" s="177">
        <v>0</v>
      </c>
      <c r="AC1380" s="373">
        <v>0</v>
      </c>
      <c r="AD1380" s="177">
        <v>0</v>
      </c>
      <c r="AE1380" s="177">
        <v>454</v>
      </c>
      <c r="AF1380" s="202">
        <f>6238.91*AE1380/I1380</f>
        <v>2999.5394895689933</v>
      </c>
      <c r="AG1380" s="177">
        <v>0</v>
      </c>
      <c r="AH1380" s="177">
        <v>0</v>
      </c>
      <c r="AI1380" s="203"/>
      <c r="AJ1380" s="202">
        <f>7439.1*AI1380/I1380</f>
        <v>0</v>
      </c>
      <c r="AK1380" s="203"/>
      <c r="AL1380" s="202">
        <f>76773.02*AK1380/I1380</f>
        <v>0</v>
      </c>
      <c r="AM1380" s="203"/>
      <c r="AN1380" s="203"/>
      <c r="AO1380" s="203"/>
      <c r="DH1380" s="186"/>
      <c r="DI1380" s="186"/>
      <c r="DJ1380" s="186"/>
      <c r="EG1380" s="187"/>
      <c r="FJ1380" s="188"/>
      <c r="FZ1380" s="189"/>
    </row>
    <row r="1381" spans="2:182" s="144" customFormat="1" ht="33.75" customHeight="1" x14ac:dyDescent="0.25">
      <c r="B1381" s="172" t="s">
        <v>820</v>
      </c>
      <c r="C1381" s="184"/>
      <c r="D1381" s="173" t="s">
        <v>882</v>
      </c>
      <c r="E1381" s="173" t="s">
        <v>882</v>
      </c>
      <c r="F1381" s="175" t="s">
        <v>882</v>
      </c>
      <c r="G1381" s="173" t="s">
        <v>882</v>
      </c>
      <c r="H1381" s="173" t="s">
        <v>882</v>
      </c>
      <c r="I1381" s="177">
        <f>SUM(I1382:I1382)</f>
        <v>963.2</v>
      </c>
      <c r="J1381" s="177">
        <f>SUM(J1382:J1382)</f>
        <v>879.6</v>
      </c>
      <c r="K1381" s="177">
        <f>SUM(K1382:K1382)</f>
        <v>879.6</v>
      </c>
      <c r="L1381" s="363">
        <f>SUM(L1382:L1382)</f>
        <v>34</v>
      </c>
      <c r="M1381" s="173" t="s">
        <v>882</v>
      </c>
      <c r="N1381" s="173" t="s">
        <v>882</v>
      </c>
      <c r="O1381" s="371" t="s">
        <v>882</v>
      </c>
      <c r="P1381" s="177">
        <v>2811990</v>
      </c>
      <c r="Q1381" s="177">
        <f>SUM(Q1382:Q1382)</f>
        <v>1883491.15</v>
      </c>
      <c r="R1381" s="177">
        <f>SUM(R1382:R1382)</f>
        <v>500000</v>
      </c>
      <c r="S1381" s="177">
        <f>SUM(S1382:S1382)</f>
        <v>428498.85</v>
      </c>
      <c r="T1381" s="170">
        <f t="shared" si="224"/>
        <v>2919.424833887043</v>
      </c>
      <c r="U1381" s="170">
        <f>U1382</f>
        <v>5436.3686159676072</v>
      </c>
      <c r="X1381" s="372"/>
      <c r="Y1381" s="372"/>
      <c r="Z1381" s="372"/>
      <c r="AA1381" s="372"/>
      <c r="AB1381" s="372"/>
      <c r="AC1381" s="373"/>
      <c r="AD1381" s="372"/>
      <c r="AE1381" s="372"/>
      <c r="AF1381" s="372"/>
      <c r="AG1381" s="372"/>
      <c r="AH1381" s="372"/>
      <c r="AI1381" s="203"/>
      <c r="AJ1381" s="203"/>
      <c r="AK1381" s="203"/>
      <c r="AL1381" s="203"/>
      <c r="AM1381" s="203"/>
      <c r="AN1381" s="203"/>
      <c r="AO1381" s="203"/>
      <c r="BY1381" s="176"/>
      <c r="DH1381" s="186"/>
      <c r="DI1381" s="186"/>
      <c r="DJ1381" s="186"/>
      <c r="EG1381" s="187"/>
      <c r="FJ1381" s="188"/>
      <c r="FZ1381" s="189"/>
    </row>
    <row r="1382" spans="2:182" s="144" customFormat="1" ht="33.75" customHeight="1" x14ac:dyDescent="0.25">
      <c r="B1382" s="171">
        <v>3</v>
      </c>
      <c r="C1382" s="184" t="s">
        <v>2431</v>
      </c>
      <c r="D1382" s="173">
        <v>1981</v>
      </c>
      <c r="E1382" s="173"/>
      <c r="F1382" s="175" t="s">
        <v>267</v>
      </c>
      <c r="G1382" s="173">
        <v>2</v>
      </c>
      <c r="H1382" s="173">
        <v>3</v>
      </c>
      <c r="I1382" s="177">
        <v>963.2</v>
      </c>
      <c r="J1382" s="177">
        <v>879.6</v>
      </c>
      <c r="K1382" s="177">
        <v>879.6</v>
      </c>
      <c r="L1382" s="363">
        <v>34</v>
      </c>
      <c r="M1382" s="173" t="s">
        <v>265</v>
      </c>
      <c r="N1382" s="173" t="s">
        <v>269</v>
      </c>
      <c r="O1382" s="173" t="s">
        <v>2432</v>
      </c>
      <c r="P1382" s="177">
        <v>2811990</v>
      </c>
      <c r="Q1382" s="177">
        <v>1883491.15</v>
      </c>
      <c r="R1382" s="177">
        <v>500000</v>
      </c>
      <c r="S1382" s="177">
        <v>428498.85</v>
      </c>
      <c r="T1382" s="170">
        <f t="shared" si="224"/>
        <v>2919.424833887043</v>
      </c>
      <c r="U1382" s="170">
        <v>5436.3686159676072</v>
      </c>
      <c r="V1382" s="202">
        <f>W1382-T1382</f>
        <v>21.257412790697799</v>
      </c>
      <c r="W1382" s="202">
        <f>X1382+Y1382+Z1382+AA1382+AB1382+AD1382+AF1382+AH1382+AJ1382+AL1382+AN1382+AO1382</f>
        <v>2940.6822466777407</v>
      </c>
      <c r="X1382" s="374">
        <v>0</v>
      </c>
      <c r="Y1382" s="177">
        <v>0</v>
      </c>
      <c r="Z1382" s="177">
        <v>0</v>
      </c>
      <c r="AA1382" s="177">
        <v>0</v>
      </c>
      <c r="AB1382" s="177">
        <v>0</v>
      </c>
      <c r="AC1382" s="373">
        <v>0</v>
      </c>
      <c r="AD1382" s="177">
        <v>0</v>
      </c>
      <c r="AE1382" s="177">
        <v>454</v>
      </c>
      <c r="AF1382" s="202">
        <f>6238.91*AE1382/I1382</f>
        <v>2940.6822466777407</v>
      </c>
      <c r="AG1382" s="177">
        <v>0</v>
      </c>
      <c r="AH1382" s="177">
        <v>0</v>
      </c>
      <c r="AI1382" s="203"/>
      <c r="AJ1382" s="202">
        <f>7439.1*AI1382/I1382</f>
        <v>0</v>
      </c>
      <c r="AK1382" s="203"/>
      <c r="AL1382" s="202">
        <f>76773.02*AK1382/I1382</f>
        <v>0</v>
      </c>
      <c r="AM1382" s="203"/>
      <c r="AN1382" s="203"/>
      <c r="AO1382" s="203"/>
      <c r="DH1382" s="186"/>
      <c r="DI1382" s="186"/>
      <c r="DJ1382" s="186"/>
      <c r="EG1382" s="187"/>
      <c r="FJ1382" s="188"/>
      <c r="FZ1382" s="189"/>
    </row>
    <row r="1383" spans="2:182" s="144" customFormat="1" ht="84" customHeight="1" x14ac:dyDescent="0.25">
      <c r="B1383" s="366" t="s">
        <v>1892</v>
      </c>
      <c r="C1383" s="367"/>
      <c r="D1383" s="367"/>
      <c r="E1383" s="367"/>
      <c r="F1383" s="367"/>
      <c r="G1383" s="367"/>
      <c r="H1383" s="367"/>
      <c r="I1383" s="367"/>
      <c r="J1383" s="367"/>
      <c r="K1383" s="367"/>
      <c r="L1383" s="367"/>
      <c r="M1383" s="367"/>
      <c r="N1383" s="367"/>
      <c r="O1383" s="367"/>
      <c r="P1383" s="367"/>
      <c r="Q1383" s="367"/>
      <c r="R1383" s="367"/>
      <c r="S1383" s="367"/>
      <c r="T1383" s="367"/>
      <c r="U1383" s="368"/>
      <c r="X1383" s="203"/>
      <c r="Y1383" s="203"/>
      <c r="Z1383" s="203"/>
      <c r="AA1383" s="203"/>
      <c r="AB1383" s="203"/>
      <c r="AC1383" s="203"/>
      <c r="AD1383" s="203"/>
      <c r="AE1383" s="203"/>
      <c r="AF1383" s="203"/>
      <c r="AG1383" s="203"/>
      <c r="AH1383" s="203"/>
      <c r="AI1383" s="203"/>
      <c r="AJ1383" s="203"/>
      <c r="AK1383" s="203"/>
      <c r="AL1383" s="203"/>
      <c r="AM1383" s="203"/>
      <c r="AN1383" s="203"/>
      <c r="AO1383" s="203"/>
      <c r="EG1383" s="187"/>
    </row>
    <row r="1384" spans="2:182" s="144" customFormat="1" ht="33.75" customHeight="1" x14ac:dyDescent="0.25">
      <c r="B1384" s="369" t="s">
        <v>2428</v>
      </c>
      <c r="C1384" s="370"/>
      <c r="D1384" s="173" t="s">
        <v>882</v>
      </c>
      <c r="E1384" s="173" t="s">
        <v>882</v>
      </c>
      <c r="F1384" s="175" t="s">
        <v>882</v>
      </c>
      <c r="G1384" s="173" t="s">
        <v>882</v>
      </c>
      <c r="H1384" s="173" t="s">
        <v>882</v>
      </c>
      <c r="I1384" s="177">
        <f>I1385+I1394</f>
        <v>17769.8</v>
      </c>
      <c r="J1384" s="177">
        <f t="shared" ref="J1384:L1384" si="225">J1385+J1394</f>
        <v>14853.619999999999</v>
      </c>
      <c r="K1384" s="177">
        <f t="shared" si="225"/>
        <v>14853.619999999999</v>
      </c>
      <c r="L1384" s="363">
        <f t="shared" si="225"/>
        <v>804</v>
      </c>
      <c r="M1384" s="173" t="s">
        <v>882</v>
      </c>
      <c r="N1384" s="173" t="s">
        <v>882</v>
      </c>
      <c r="O1384" s="371" t="s">
        <v>882</v>
      </c>
      <c r="P1384" s="177">
        <v>37797766.310000002</v>
      </c>
      <c r="Q1384" s="177">
        <f t="shared" ref="Q1384" si="226">Q1385+Q1394</f>
        <v>0</v>
      </c>
      <c r="R1384" s="177">
        <f t="shared" ref="R1384" si="227">R1385+R1394</f>
        <v>0</v>
      </c>
      <c r="S1384" s="177">
        <f t="shared" ref="S1384" si="228">S1385+S1394</f>
        <v>37797766.310000002</v>
      </c>
      <c r="T1384" s="170">
        <f>P1384/I1384</f>
        <v>2127.0788815856117</v>
      </c>
      <c r="U1384" s="170">
        <f>MAX(U1385:U1402)</f>
        <v>5454.4917282127026</v>
      </c>
      <c r="X1384" s="372"/>
      <c r="Y1384" s="372"/>
      <c r="Z1384" s="372"/>
      <c r="AA1384" s="372"/>
      <c r="AB1384" s="372"/>
      <c r="AC1384" s="373"/>
      <c r="AD1384" s="372"/>
      <c r="AE1384" s="372"/>
      <c r="AF1384" s="372"/>
      <c r="AG1384" s="372"/>
      <c r="AH1384" s="372"/>
      <c r="AI1384" s="203"/>
      <c r="AJ1384" s="203"/>
      <c r="AK1384" s="203"/>
      <c r="AL1384" s="203"/>
      <c r="AM1384" s="203"/>
      <c r="AN1384" s="203"/>
      <c r="AO1384" s="203"/>
      <c r="BY1384" s="176"/>
      <c r="EG1384" s="187"/>
    </row>
    <row r="1385" spans="2:182" s="144" customFormat="1" ht="36" customHeight="1" x14ac:dyDescent="0.25">
      <c r="B1385" s="369" t="s">
        <v>1651</v>
      </c>
      <c r="C1385" s="370"/>
      <c r="D1385" s="173" t="s">
        <v>882</v>
      </c>
      <c r="E1385" s="173" t="s">
        <v>882</v>
      </c>
      <c r="F1385" s="175" t="s">
        <v>882</v>
      </c>
      <c r="G1385" s="173" t="s">
        <v>882</v>
      </c>
      <c r="H1385" s="173" t="s">
        <v>882</v>
      </c>
      <c r="I1385" s="177">
        <f>I1386+I1392+I1390</f>
        <v>9484.2999999999993</v>
      </c>
      <c r="J1385" s="177">
        <f>J1386+J1392+J1390</f>
        <v>7647.42</v>
      </c>
      <c r="K1385" s="177">
        <f>K1386+K1392+K1390</f>
        <v>7647.42</v>
      </c>
      <c r="L1385" s="363">
        <f>L1386+L1392+L1390</f>
        <v>424</v>
      </c>
      <c r="M1385" s="173" t="s">
        <v>882</v>
      </c>
      <c r="N1385" s="173" t="s">
        <v>882</v>
      </c>
      <c r="O1385" s="371" t="s">
        <v>882</v>
      </c>
      <c r="P1385" s="177">
        <v>17288357.709999997</v>
      </c>
      <c r="Q1385" s="177">
        <f>Q1386+Q1392+Q1390</f>
        <v>0</v>
      </c>
      <c r="R1385" s="177">
        <f>R1386+R1392+R1390</f>
        <v>0</v>
      </c>
      <c r="S1385" s="177">
        <f>S1386+S1392+S1390</f>
        <v>17288357.709999997</v>
      </c>
      <c r="T1385" s="170">
        <f t="shared" ref="T1385:T1393" si="229">P1385/I1385</f>
        <v>1822.8396096707188</v>
      </c>
      <c r="U1385" s="170">
        <f>MAX(U1386:U1393)</f>
        <v>3024.6214196184023</v>
      </c>
      <c r="X1385" s="203"/>
      <c r="Y1385" s="203"/>
      <c r="Z1385" s="203"/>
      <c r="AA1385" s="203"/>
      <c r="AB1385" s="203"/>
      <c r="AC1385" s="203"/>
      <c r="AD1385" s="203"/>
      <c r="AE1385" s="203"/>
      <c r="AF1385" s="203"/>
      <c r="AG1385" s="203"/>
      <c r="AH1385" s="203"/>
      <c r="AI1385" s="203"/>
      <c r="AJ1385" s="203"/>
      <c r="AK1385" s="203"/>
      <c r="AL1385" s="203"/>
      <c r="AM1385" s="203"/>
      <c r="AN1385" s="203"/>
      <c r="AO1385" s="203"/>
      <c r="BY1385" s="176"/>
      <c r="EG1385" s="187"/>
    </row>
    <row r="1386" spans="2:182" s="144" customFormat="1" ht="36" customHeight="1" x14ac:dyDescent="0.25">
      <c r="B1386" s="172" t="s">
        <v>830</v>
      </c>
      <c r="C1386" s="184"/>
      <c r="D1386" s="173" t="s">
        <v>882</v>
      </c>
      <c r="E1386" s="173" t="s">
        <v>882</v>
      </c>
      <c r="F1386" s="175" t="s">
        <v>882</v>
      </c>
      <c r="G1386" s="173" t="s">
        <v>882</v>
      </c>
      <c r="H1386" s="173" t="s">
        <v>882</v>
      </c>
      <c r="I1386" s="177">
        <f>SUM(I1387:I1389)</f>
        <v>7491.9</v>
      </c>
      <c r="J1386" s="177">
        <f>SUM(J1387:J1389)</f>
        <v>6281</v>
      </c>
      <c r="K1386" s="177">
        <f>SUM(K1387:K1389)</f>
        <v>6281</v>
      </c>
      <c r="L1386" s="363">
        <f>SUM(L1387:L1389)</f>
        <v>356</v>
      </c>
      <c r="M1386" s="173" t="s">
        <v>882</v>
      </c>
      <c r="N1386" s="173" t="s">
        <v>882</v>
      </c>
      <c r="O1386" s="371" t="s">
        <v>882</v>
      </c>
      <c r="P1386" s="177">
        <v>13535253.609999999</v>
      </c>
      <c r="Q1386" s="177">
        <f>SUM(Q1387:Q1389)</f>
        <v>0</v>
      </c>
      <c r="R1386" s="177">
        <f>SUM(R1387:R1389)</f>
        <v>0</v>
      </c>
      <c r="S1386" s="177">
        <f>SUM(S1387:S1389)</f>
        <v>13535253.609999999</v>
      </c>
      <c r="T1386" s="170">
        <f t="shared" si="229"/>
        <v>1806.6516651316756</v>
      </c>
      <c r="U1386" s="170">
        <f>MAX(U1387:U1389)</f>
        <v>3024.6214196184023</v>
      </c>
      <c r="X1386" s="203"/>
      <c r="Y1386" s="203"/>
      <c r="Z1386" s="203"/>
      <c r="AA1386" s="203"/>
      <c r="AB1386" s="203"/>
      <c r="AC1386" s="203"/>
      <c r="AD1386" s="203"/>
      <c r="AE1386" s="203"/>
      <c r="AF1386" s="203"/>
      <c r="AG1386" s="203"/>
      <c r="AH1386" s="203"/>
      <c r="AI1386" s="203"/>
      <c r="AJ1386" s="203"/>
      <c r="AK1386" s="203"/>
      <c r="AL1386" s="203"/>
      <c r="AM1386" s="203"/>
      <c r="AN1386" s="203"/>
      <c r="AO1386" s="203"/>
      <c r="BY1386" s="176"/>
      <c r="DH1386" s="186"/>
      <c r="DI1386" s="186"/>
      <c r="DJ1386" s="186"/>
      <c r="EG1386" s="187"/>
      <c r="FJ1386" s="188"/>
      <c r="FZ1386" s="189"/>
    </row>
    <row r="1387" spans="2:182" s="144" customFormat="1" ht="36" customHeight="1" x14ac:dyDescent="0.25">
      <c r="B1387" s="171">
        <v>1</v>
      </c>
      <c r="C1387" s="184" t="s">
        <v>1859</v>
      </c>
      <c r="D1387" s="173">
        <v>2007</v>
      </c>
      <c r="E1387" s="173"/>
      <c r="F1387" s="175" t="s">
        <v>318</v>
      </c>
      <c r="G1387" s="173">
        <v>5</v>
      </c>
      <c r="H1387" s="173">
        <v>4</v>
      </c>
      <c r="I1387" s="177">
        <v>3049.5</v>
      </c>
      <c r="J1387" s="177">
        <v>3049.5</v>
      </c>
      <c r="K1387" s="177">
        <v>3049.5</v>
      </c>
      <c r="L1387" s="363">
        <v>195</v>
      </c>
      <c r="M1387" s="173" t="s">
        <v>265</v>
      </c>
      <c r="N1387" s="173" t="s">
        <v>341</v>
      </c>
      <c r="O1387" s="173" t="s">
        <v>1860</v>
      </c>
      <c r="P1387" s="177">
        <v>4228150.99</v>
      </c>
      <c r="Q1387" s="177">
        <v>0</v>
      </c>
      <c r="R1387" s="177">
        <v>0</v>
      </c>
      <c r="S1387" s="177">
        <f>P1387-Q1387-R1387</f>
        <v>4228150.99</v>
      </c>
      <c r="T1387" s="170">
        <f t="shared" si="229"/>
        <v>1386.5063092310215</v>
      </c>
      <c r="U1387" s="170">
        <f t="shared" ref="U1387:U1389" si="230">T1387</f>
        <v>1386.5063092310215</v>
      </c>
      <c r="V1387" s="202">
        <f>W1387-T1387</f>
        <v>910.34140013116894</v>
      </c>
      <c r="W1387" s="202">
        <f>X1387+Y1387+Z1387+AA1387+AB1387+AD1387+AF1387+AH1387+AJ1387+AL1387+AN1387+AO1387</f>
        <v>2296.8477093621905</v>
      </c>
      <c r="X1387" s="203">
        <v>0</v>
      </c>
      <c r="Y1387" s="203">
        <v>0</v>
      </c>
      <c r="Z1387" s="203">
        <v>0</v>
      </c>
      <c r="AA1387" s="203">
        <v>0</v>
      </c>
      <c r="AB1387" s="203">
        <v>0</v>
      </c>
      <c r="AC1387" s="203">
        <v>0</v>
      </c>
      <c r="AD1387" s="203">
        <v>0</v>
      </c>
      <c r="AE1387" s="203">
        <v>1122.67</v>
      </c>
      <c r="AF1387" s="202">
        <f>6238.91*AE1387/I1387</f>
        <v>2296.8477093621905</v>
      </c>
      <c r="AG1387" s="203">
        <v>0</v>
      </c>
      <c r="AH1387" s="202">
        <v>0</v>
      </c>
      <c r="AI1387" s="203"/>
      <c r="AJ1387" s="202"/>
      <c r="AK1387" s="203"/>
      <c r="AL1387" s="202">
        <f>76773.02*AK1387/I1387</f>
        <v>0</v>
      </c>
      <c r="AM1387" s="203"/>
      <c r="AN1387" s="203"/>
      <c r="AO1387" s="203"/>
      <c r="DH1387" s="186"/>
      <c r="DI1387" s="186"/>
      <c r="DJ1387" s="186"/>
      <c r="EG1387" s="187"/>
      <c r="FJ1387" s="188"/>
      <c r="FZ1387" s="189"/>
    </row>
    <row r="1388" spans="2:182" s="144" customFormat="1" ht="36" customHeight="1" x14ac:dyDescent="0.25">
      <c r="B1388" s="171">
        <v>2</v>
      </c>
      <c r="C1388" s="184" t="s">
        <v>1862</v>
      </c>
      <c r="D1388" s="173">
        <v>2008</v>
      </c>
      <c r="E1388" s="173"/>
      <c r="F1388" s="175" t="s">
        <v>318</v>
      </c>
      <c r="G1388" s="173">
        <v>5</v>
      </c>
      <c r="H1388" s="173">
        <v>3</v>
      </c>
      <c r="I1388" s="177">
        <v>2288.3000000000002</v>
      </c>
      <c r="J1388" s="177">
        <v>2288.3000000000002</v>
      </c>
      <c r="K1388" s="177">
        <v>2288.3000000000002</v>
      </c>
      <c r="L1388" s="363">
        <v>143</v>
      </c>
      <c r="M1388" s="173" t="s">
        <v>265</v>
      </c>
      <c r="N1388" s="173" t="s">
        <v>269</v>
      </c>
      <c r="O1388" s="173" t="s">
        <v>1864</v>
      </c>
      <c r="P1388" s="177">
        <v>2791765.62</v>
      </c>
      <c r="Q1388" s="177">
        <v>0</v>
      </c>
      <c r="R1388" s="177">
        <v>0</v>
      </c>
      <c r="S1388" s="177">
        <f>P1388-Q1388-R1388</f>
        <v>2791765.62</v>
      </c>
      <c r="T1388" s="170">
        <f t="shared" si="229"/>
        <v>1220.0173141633527</v>
      </c>
      <c r="U1388" s="170">
        <f t="shared" si="230"/>
        <v>1220.0173141633527</v>
      </c>
      <c r="V1388" s="202">
        <f>W1388-T1388</f>
        <v>824.81181663243433</v>
      </c>
      <c r="W1388" s="202">
        <f>X1388+Y1388+Z1388+AA1388+AB1388+AD1388+AF1388+AH1388+AJ1388+AL1388+AN1388+AO1388</f>
        <v>2044.829130795787</v>
      </c>
      <c r="X1388" s="203">
        <v>0</v>
      </c>
      <c r="Y1388" s="203">
        <v>0</v>
      </c>
      <c r="Z1388" s="203">
        <v>0</v>
      </c>
      <c r="AA1388" s="203">
        <v>0</v>
      </c>
      <c r="AB1388" s="203">
        <v>0</v>
      </c>
      <c r="AC1388" s="203">
        <v>0</v>
      </c>
      <c r="AD1388" s="203">
        <v>0</v>
      </c>
      <c r="AE1388" s="203">
        <v>750</v>
      </c>
      <c r="AF1388" s="202">
        <f>6238.91*AE1388/I1388</f>
        <v>2044.829130795787</v>
      </c>
      <c r="AG1388" s="203">
        <v>0</v>
      </c>
      <c r="AH1388" s="202">
        <v>0</v>
      </c>
      <c r="AI1388" s="203"/>
      <c r="AJ1388" s="202"/>
      <c r="AK1388" s="203"/>
      <c r="AL1388" s="202">
        <f>76773.02*AK1388/I1388</f>
        <v>0</v>
      </c>
      <c r="AM1388" s="203"/>
      <c r="AN1388" s="203"/>
      <c r="AO1388" s="203"/>
      <c r="DH1388" s="186"/>
      <c r="DI1388" s="186"/>
      <c r="DJ1388" s="186"/>
      <c r="EG1388" s="187"/>
      <c r="FJ1388" s="188"/>
      <c r="FZ1388" s="189"/>
    </row>
    <row r="1389" spans="2:182" s="144" customFormat="1" ht="36" customHeight="1" x14ac:dyDescent="0.25">
      <c r="B1389" s="171">
        <v>3</v>
      </c>
      <c r="C1389" s="184" t="s">
        <v>1863</v>
      </c>
      <c r="D1389" s="173">
        <v>1914</v>
      </c>
      <c r="E1389" s="173"/>
      <c r="F1389" s="175" t="s">
        <v>267</v>
      </c>
      <c r="G1389" s="173">
        <v>4</v>
      </c>
      <c r="H1389" s="173">
        <v>2</v>
      </c>
      <c r="I1389" s="177">
        <v>2154.1</v>
      </c>
      <c r="J1389" s="177">
        <v>943.2</v>
      </c>
      <c r="K1389" s="177">
        <v>943.2</v>
      </c>
      <c r="L1389" s="363">
        <v>18</v>
      </c>
      <c r="M1389" s="173" t="s">
        <v>265</v>
      </c>
      <c r="N1389" s="173" t="s">
        <v>269</v>
      </c>
      <c r="O1389" s="173" t="s">
        <v>1865</v>
      </c>
      <c r="P1389" s="177">
        <v>6515337</v>
      </c>
      <c r="Q1389" s="177">
        <v>0</v>
      </c>
      <c r="R1389" s="177">
        <v>0</v>
      </c>
      <c r="S1389" s="177">
        <f>P1389-Q1389-R1389</f>
        <v>6515337</v>
      </c>
      <c r="T1389" s="170">
        <f t="shared" si="229"/>
        <v>3024.6214196184023</v>
      </c>
      <c r="U1389" s="170">
        <f t="shared" si="230"/>
        <v>3024.6214196184023</v>
      </c>
      <c r="V1389" s="202">
        <f>W1389-T1389</f>
        <v>5518.8824332667918</v>
      </c>
      <c r="W1389" s="202">
        <f>X1389+Y1389+Z1389+AA1389+AB1389+AD1389+AF1389+AH1389+AJ1389+AL1389+AN1389+AO1389</f>
        <v>8543.5038528851946</v>
      </c>
      <c r="X1389" s="203">
        <v>0</v>
      </c>
      <c r="Y1389" s="203">
        <v>0</v>
      </c>
      <c r="Z1389" s="203">
        <v>3259.66</v>
      </c>
      <c r="AA1389" s="203">
        <v>0</v>
      </c>
      <c r="AB1389" s="203">
        <v>795.31</v>
      </c>
      <c r="AC1389" s="203">
        <v>0</v>
      </c>
      <c r="AD1389" s="203">
        <v>0</v>
      </c>
      <c r="AE1389" s="203">
        <v>1549.75</v>
      </c>
      <c r="AF1389" s="202">
        <f>6238.91*AE1389/I1389</f>
        <v>4488.5338528851953</v>
      </c>
      <c r="AG1389" s="203">
        <v>0</v>
      </c>
      <c r="AH1389" s="202">
        <v>0</v>
      </c>
      <c r="AI1389" s="203"/>
      <c r="AJ1389" s="202">
        <f>7439.1*AI1389/I1389</f>
        <v>0</v>
      </c>
      <c r="AK1389" s="203"/>
      <c r="AL1389" s="202">
        <f>76773.02*AK1389/I1389</f>
        <v>0</v>
      </c>
      <c r="AM1389" s="203"/>
      <c r="AN1389" s="203"/>
      <c r="AO1389" s="203"/>
      <c r="DH1389" s="186"/>
      <c r="DI1389" s="186"/>
      <c r="DJ1389" s="186"/>
      <c r="EG1389" s="187"/>
      <c r="FJ1389" s="188"/>
      <c r="FZ1389" s="189"/>
    </row>
    <row r="1390" spans="2:182" s="144" customFormat="1" ht="36" customHeight="1" x14ac:dyDescent="0.25">
      <c r="B1390" s="172" t="s">
        <v>829</v>
      </c>
      <c r="C1390" s="184"/>
      <c r="D1390" s="173" t="s">
        <v>882</v>
      </c>
      <c r="E1390" s="173" t="s">
        <v>882</v>
      </c>
      <c r="F1390" s="175" t="s">
        <v>882</v>
      </c>
      <c r="G1390" s="173" t="s">
        <v>882</v>
      </c>
      <c r="H1390" s="173" t="s">
        <v>882</v>
      </c>
      <c r="I1390" s="177">
        <f>SUM(I1391:I1391)</f>
        <v>1298.5999999999999</v>
      </c>
      <c r="J1390" s="177">
        <f>SUM(J1391:J1391)</f>
        <v>989.4</v>
      </c>
      <c r="K1390" s="177">
        <f>SUM(K1391:K1391)</f>
        <v>989.4</v>
      </c>
      <c r="L1390" s="363">
        <f>SUM(L1391:L1391)</f>
        <v>47</v>
      </c>
      <c r="M1390" s="173" t="s">
        <v>882</v>
      </c>
      <c r="N1390" s="173" t="s">
        <v>882</v>
      </c>
      <c r="O1390" s="371" t="s">
        <v>882</v>
      </c>
      <c r="P1390" s="177">
        <v>1806013.41</v>
      </c>
      <c r="Q1390" s="177">
        <f>SUM(Q1391:Q1391)</f>
        <v>0</v>
      </c>
      <c r="R1390" s="177">
        <f>SUM(R1391:R1391)</f>
        <v>0</v>
      </c>
      <c r="S1390" s="177">
        <f>SUM(S1391:S1391)</f>
        <v>1806013.41</v>
      </c>
      <c r="T1390" s="170">
        <f t="shared" si="229"/>
        <v>1390.7388033266595</v>
      </c>
      <c r="U1390" s="170">
        <f>U1391</f>
        <v>1390.7388033266595</v>
      </c>
      <c r="X1390" s="203"/>
      <c r="Y1390" s="203"/>
      <c r="Z1390" s="203"/>
      <c r="AA1390" s="203"/>
      <c r="AB1390" s="203"/>
      <c r="AC1390" s="203"/>
      <c r="AD1390" s="203"/>
      <c r="AE1390" s="203"/>
      <c r="AF1390" s="203"/>
      <c r="AG1390" s="203"/>
      <c r="AH1390" s="203"/>
      <c r="AI1390" s="203"/>
      <c r="AJ1390" s="203"/>
      <c r="AK1390" s="203"/>
      <c r="AL1390" s="203"/>
      <c r="AM1390" s="203"/>
      <c r="AN1390" s="203"/>
      <c r="AO1390" s="203"/>
      <c r="BY1390" s="176"/>
      <c r="DH1390" s="186"/>
      <c r="DI1390" s="186"/>
      <c r="DJ1390" s="186"/>
      <c r="EG1390" s="187"/>
      <c r="FJ1390" s="188"/>
      <c r="FZ1390" s="189"/>
    </row>
    <row r="1391" spans="2:182" s="144" customFormat="1" ht="36" customHeight="1" x14ac:dyDescent="0.25">
      <c r="B1391" s="171">
        <v>4</v>
      </c>
      <c r="C1391" s="184" t="s">
        <v>1861</v>
      </c>
      <c r="D1391" s="173">
        <v>1984</v>
      </c>
      <c r="E1391" s="173"/>
      <c r="F1391" s="175" t="s">
        <v>267</v>
      </c>
      <c r="G1391" s="173">
        <v>2</v>
      </c>
      <c r="H1391" s="173">
        <v>3</v>
      </c>
      <c r="I1391" s="177">
        <v>1298.5999999999999</v>
      </c>
      <c r="J1391" s="177">
        <v>989.4</v>
      </c>
      <c r="K1391" s="177">
        <v>989.4</v>
      </c>
      <c r="L1391" s="363">
        <v>47</v>
      </c>
      <c r="M1391" s="173" t="s">
        <v>265</v>
      </c>
      <c r="N1391" s="173" t="s">
        <v>269</v>
      </c>
      <c r="O1391" s="173" t="s">
        <v>797</v>
      </c>
      <c r="P1391" s="177">
        <v>1806013.41</v>
      </c>
      <c r="Q1391" s="177">
        <v>0</v>
      </c>
      <c r="R1391" s="177">
        <v>0</v>
      </c>
      <c r="S1391" s="177">
        <f>P1391-Q1391-R1391</f>
        <v>1806013.41</v>
      </c>
      <c r="T1391" s="170">
        <f t="shared" si="229"/>
        <v>1390.7388033266595</v>
      </c>
      <c r="U1391" s="170">
        <f>T1391</f>
        <v>1390.7388033266595</v>
      </c>
      <c r="V1391" s="202">
        <f>W1391-T1391</f>
        <v>1929.5374179886037</v>
      </c>
      <c r="W1391" s="202">
        <f>X1391+Y1391+Z1391+AA1391+AB1391+AD1391+AF1391+AH1391+AJ1391+AL1391+AN1391+AO1391</f>
        <v>3320.2762213152632</v>
      </c>
      <c r="X1391" s="203">
        <v>0</v>
      </c>
      <c r="Y1391" s="203">
        <v>0</v>
      </c>
      <c r="Z1391" s="203">
        <v>0</v>
      </c>
      <c r="AA1391" s="203">
        <v>0</v>
      </c>
      <c r="AB1391" s="203">
        <v>0</v>
      </c>
      <c r="AC1391" s="203">
        <v>0</v>
      </c>
      <c r="AD1391" s="203">
        <v>0</v>
      </c>
      <c r="AE1391" s="203">
        <v>691.1</v>
      </c>
      <c r="AF1391" s="202">
        <f>6238.91*AE1391/I1391</f>
        <v>3320.2762213152632</v>
      </c>
      <c r="AG1391" s="203">
        <v>0</v>
      </c>
      <c r="AH1391" s="202">
        <v>0</v>
      </c>
      <c r="AI1391" s="203"/>
      <c r="AJ1391" s="202">
        <f>7439.1*AI1391/I1391</f>
        <v>0</v>
      </c>
      <c r="AK1391" s="203"/>
      <c r="AL1391" s="202">
        <f>76773.02*AK1391/I1391</f>
        <v>0</v>
      </c>
      <c r="AM1391" s="203"/>
      <c r="AN1391" s="203"/>
      <c r="AO1391" s="203"/>
      <c r="DH1391" s="186"/>
      <c r="DI1391" s="186"/>
      <c r="DJ1391" s="186"/>
      <c r="EG1391" s="187"/>
      <c r="FJ1391" s="188"/>
      <c r="FZ1391" s="189"/>
    </row>
    <row r="1392" spans="2:182" s="144" customFormat="1" ht="36" customHeight="1" x14ac:dyDescent="0.25">
      <c r="B1392" s="172" t="s">
        <v>883</v>
      </c>
      <c r="C1392" s="184"/>
      <c r="D1392" s="173" t="s">
        <v>882</v>
      </c>
      <c r="E1392" s="173" t="s">
        <v>882</v>
      </c>
      <c r="F1392" s="175" t="s">
        <v>882</v>
      </c>
      <c r="G1392" s="173" t="s">
        <v>882</v>
      </c>
      <c r="H1392" s="173" t="s">
        <v>882</v>
      </c>
      <c r="I1392" s="177">
        <f>SUM(I1393:I1393)</f>
        <v>693.8</v>
      </c>
      <c r="J1392" s="177">
        <f>SUM(J1393:J1393)</f>
        <v>377.02</v>
      </c>
      <c r="K1392" s="177">
        <f>SUM(K1393:K1393)</f>
        <v>377.02</v>
      </c>
      <c r="L1392" s="363">
        <f>SUM(L1393:L1393)</f>
        <v>21</v>
      </c>
      <c r="M1392" s="173" t="s">
        <v>882</v>
      </c>
      <c r="N1392" s="173" t="s">
        <v>882</v>
      </c>
      <c r="O1392" s="371" t="s">
        <v>882</v>
      </c>
      <c r="P1392" s="177">
        <v>1947090.69</v>
      </c>
      <c r="Q1392" s="177">
        <f>SUM(Q1393:Q1393)</f>
        <v>0</v>
      </c>
      <c r="R1392" s="177">
        <f>SUM(R1393:R1393)</f>
        <v>0</v>
      </c>
      <c r="S1392" s="177">
        <f>SUM(S1393:S1393)</f>
        <v>1947090.69</v>
      </c>
      <c r="T1392" s="170">
        <f t="shared" si="229"/>
        <v>2806.4149466705103</v>
      </c>
      <c r="U1392" s="170">
        <f>U1393</f>
        <v>2806.4149466705103</v>
      </c>
      <c r="X1392" s="203"/>
      <c r="Y1392" s="203"/>
      <c r="Z1392" s="203"/>
      <c r="AA1392" s="203"/>
      <c r="AB1392" s="203"/>
      <c r="AC1392" s="203"/>
      <c r="AD1392" s="203"/>
      <c r="AE1392" s="203"/>
      <c r="AF1392" s="203"/>
      <c r="AG1392" s="203"/>
      <c r="AH1392" s="203"/>
      <c r="AI1392" s="203"/>
      <c r="AJ1392" s="203"/>
      <c r="AK1392" s="203"/>
      <c r="AL1392" s="203"/>
      <c r="AM1392" s="203"/>
      <c r="AN1392" s="203"/>
      <c r="AO1392" s="203"/>
      <c r="BY1392" s="176"/>
      <c r="DH1392" s="186"/>
      <c r="DI1392" s="186"/>
      <c r="DJ1392" s="186"/>
      <c r="EG1392" s="187"/>
      <c r="FJ1392" s="188"/>
      <c r="FZ1392" s="189"/>
    </row>
    <row r="1393" spans="2:182" s="144" customFormat="1" ht="36" customHeight="1" x14ac:dyDescent="0.25">
      <c r="B1393" s="171">
        <v>5</v>
      </c>
      <c r="C1393" s="184" t="s">
        <v>1910</v>
      </c>
      <c r="D1393" s="173">
        <v>1987</v>
      </c>
      <c r="E1393" s="173"/>
      <c r="F1393" s="175" t="s">
        <v>267</v>
      </c>
      <c r="G1393" s="173">
        <v>2</v>
      </c>
      <c r="H1393" s="173">
        <v>1</v>
      </c>
      <c r="I1393" s="177">
        <v>693.8</v>
      </c>
      <c r="J1393" s="177">
        <v>377.02</v>
      </c>
      <c r="K1393" s="177">
        <v>377.02</v>
      </c>
      <c r="L1393" s="363">
        <v>21</v>
      </c>
      <c r="M1393" s="173" t="s">
        <v>265</v>
      </c>
      <c r="N1393" s="173" t="s">
        <v>266</v>
      </c>
      <c r="O1393" s="173" t="s">
        <v>268</v>
      </c>
      <c r="P1393" s="177">
        <v>1947090.69</v>
      </c>
      <c r="Q1393" s="177">
        <v>0</v>
      </c>
      <c r="R1393" s="177">
        <v>0</v>
      </c>
      <c r="S1393" s="177">
        <f>P1393-Q1393-R1393</f>
        <v>1947090.69</v>
      </c>
      <c r="T1393" s="170">
        <f t="shared" si="229"/>
        <v>2806.4149466705103</v>
      </c>
      <c r="U1393" s="170">
        <f>T1393</f>
        <v>2806.4149466705103</v>
      </c>
      <c r="V1393" s="202">
        <f>W1393-T1393</f>
        <v>3408.2156399538781</v>
      </c>
      <c r="W1393" s="202">
        <f>X1393+Y1393+Z1393+AA1393+AB1393+AD1393+AF1393+AH1393+AJ1393+AL1393+AN1393+AO1393</f>
        <v>6214.6305866243883</v>
      </c>
      <c r="X1393" s="203">
        <v>0</v>
      </c>
      <c r="Y1393" s="203">
        <v>0</v>
      </c>
      <c r="Z1393" s="203">
        <v>0</v>
      </c>
      <c r="AA1393" s="203">
        <v>0</v>
      </c>
      <c r="AB1393" s="203">
        <v>0</v>
      </c>
      <c r="AC1393" s="203">
        <v>0</v>
      </c>
      <c r="AD1393" s="203">
        <v>0</v>
      </c>
      <c r="AE1393" s="203">
        <v>691.1</v>
      </c>
      <c r="AF1393" s="202">
        <f>6238.91*AE1393/I1393</f>
        <v>6214.6305866243883</v>
      </c>
      <c r="AG1393" s="203">
        <v>0</v>
      </c>
      <c r="AH1393" s="202">
        <v>0</v>
      </c>
      <c r="AI1393" s="203"/>
      <c r="AJ1393" s="202">
        <f>7439.1*AI1393/I1393</f>
        <v>0</v>
      </c>
      <c r="AK1393" s="203"/>
      <c r="AL1393" s="202">
        <f>76773.02*AK1393/I1393</f>
        <v>0</v>
      </c>
      <c r="AM1393" s="203"/>
      <c r="AN1393" s="203"/>
      <c r="AO1393" s="203"/>
      <c r="DH1393" s="186"/>
      <c r="DI1393" s="186"/>
      <c r="DJ1393" s="186"/>
      <c r="EG1393" s="187"/>
      <c r="FJ1393" s="188"/>
      <c r="FZ1393" s="189"/>
    </row>
    <row r="1394" spans="2:182" s="144" customFormat="1" ht="36" customHeight="1" x14ac:dyDescent="0.25">
      <c r="B1394" s="369" t="s">
        <v>1925</v>
      </c>
      <c r="C1394" s="370"/>
      <c r="D1394" s="173" t="s">
        <v>882</v>
      </c>
      <c r="E1394" s="173" t="s">
        <v>882</v>
      </c>
      <c r="F1394" s="175" t="s">
        <v>882</v>
      </c>
      <c r="G1394" s="173" t="s">
        <v>882</v>
      </c>
      <c r="H1394" s="173" t="s">
        <v>882</v>
      </c>
      <c r="I1394" s="177">
        <f>I1395+I1399+I1401</f>
        <v>8285.5</v>
      </c>
      <c r="J1394" s="177">
        <f t="shared" ref="J1394:L1394" si="231">J1395+J1399+J1401</f>
        <v>7206.1999999999989</v>
      </c>
      <c r="K1394" s="177">
        <f t="shared" si="231"/>
        <v>7206.1999999999989</v>
      </c>
      <c r="L1394" s="363">
        <f t="shared" si="231"/>
        <v>380</v>
      </c>
      <c r="M1394" s="173" t="s">
        <v>882</v>
      </c>
      <c r="N1394" s="173" t="s">
        <v>882</v>
      </c>
      <c r="O1394" s="371" t="s">
        <v>882</v>
      </c>
      <c r="P1394" s="177">
        <f t="shared" ref="P1394:S1394" si="232">P1395+P1399+P1401</f>
        <v>20509408.600000001</v>
      </c>
      <c r="Q1394" s="177">
        <f t="shared" si="232"/>
        <v>0</v>
      </c>
      <c r="R1394" s="177">
        <f t="shared" si="232"/>
        <v>0</v>
      </c>
      <c r="S1394" s="177">
        <f t="shared" si="232"/>
        <v>20509408.600000001</v>
      </c>
      <c r="T1394" s="170">
        <f t="shared" ref="T1394:T1402" si="233">P1394/I1394</f>
        <v>2475.3374690724763</v>
      </c>
      <c r="U1394" s="170">
        <f>MAX(U1395:U1402)</f>
        <v>5454.4917282127026</v>
      </c>
      <c r="X1394" s="203"/>
      <c r="Y1394" s="203"/>
      <c r="Z1394" s="203"/>
      <c r="AA1394" s="203"/>
      <c r="AB1394" s="203"/>
      <c r="AC1394" s="203"/>
      <c r="AD1394" s="203"/>
      <c r="AE1394" s="203"/>
      <c r="AF1394" s="203"/>
      <c r="AG1394" s="203"/>
      <c r="AH1394" s="203"/>
      <c r="AI1394" s="203"/>
      <c r="AJ1394" s="203"/>
      <c r="AK1394" s="203"/>
      <c r="AL1394" s="203"/>
      <c r="AM1394" s="203"/>
      <c r="AN1394" s="203"/>
      <c r="AO1394" s="203"/>
      <c r="BY1394" s="176"/>
      <c r="EG1394" s="187"/>
    </row>
    <row r="1395" spans="2:182" s="144" customFormat="1" ht="36" customHeight="1" x14ac:dyDescent="0.25">
      <c r="B1395" s="172" t="s">
        <v>816</v>
      </c>
      <c r="C1395" s="184"/>
      <c r="D1395" s="173" t="s">
        <v>882</v>
      </c>
      <c r="E1395" s="173" t="s">
        <v>882</v>
      </c>
      <c r="F1395" s="175" t="s">
        <v>882</v>
      </c>
      <c r="G1395" s="173" t="s">
        <v>882</v>
      </c>
      <c r="H1395" s="173" t="s">
        <v>882</v>
      </c>
      <c r="I1395" s="177">
        <f>SUM(I1396:I1398)</f>
        <v>7352.4</v>
      </c>
      <c r="J1395" s="177">
        <f>SUM(J1396:J1398)</f>
        <v>6337.7999999999993</v>
      </c>
      <c r="K1395" s="177">
        <f>SUM(K1396:K1398)</f>
        <v>6337.7999999999993</v>
      </c>
      <c r="L1395" s="363">
        <f>SUM(L1396:L1398)</f>
        <v>330</v>
      </c>
      <c r="M1395" s="173" t="s">
        <v>882</v>
      </c>
      <c r="N1395" s="173" t="s">
        <v>882</v>
      </c>
      <c r="O1395" s="371" t="s">
        <v>882</v>
      </c>
      <c r="P1395" s="177">
        <v>15848198.850000001</v>
      </c>
      <c r="Q1395" s="177">
        <f>SUM(Q1396:Q1398)</f>
        <v>0</v>
      </c>
      <c r="R1395" s="177">
        <f>SUM(R1396:R1398)</f>
        <v>0</v>
      </c>
      <c r="S1395" s="177">
        <f>SUM(S1396:S1398)</f>
        <v>15848198.850000001</v>
      </c>
      <c r="T1395" s="170">
        <f t="shared" si="233"/>
        <v>2155.5136894075408</v>
      </c>
      <c r="U1395" s="170">
        <f>MAX(U1396:U1398)</f>
        <v>4919.8588235294119</v>
      </c>
      <c r="X1395" s="203"/>
      <c r="Y1395" s="203"/>
      <c r="Z1395" s="203"/>
      <c r="AA1395" s="203"/>
      <c r="AB1395" s="203"/>
      <c r="AC1395" s="203"/>
      <c r="AD1395" s="203"/>
      <c r="AE1395" s="203"/>
      <c r="AF1395" s="203"/>
      <c r="AG1395" s="203"/>
      <c r="AH1395" s="203"/>
      <c r="AI1395" s="203"/>
      <c r="AJ1395" s="203"/>
      <c r="AK1395" s="203"/>
      <c r="AL1395" s="203"/>
      <c r="AM1395" s="203"/>
      <c r="AN1395" s="203"/>
      <c r="AO1395" s="203"/>
      <c r="BY1395" s="176"/>
      <c r="DH1395" s="186"/>
      <c r="DI1395" s="186"/>
      <c r="DJ1395" s="186"/>
      <c r="EG1395" s="187"/>
      <c r="FJ1395" s="188"/>
      <c r="FZ1395" s="189"/>
    </row>
    <row r="1396" spans="2:182" s="144" customFormat="1" ht="36" customHeight="1" x14ac:dyDescent="0.25">
      <c r="B1396" s="171">
        <v>1</v>
      </c>
      <c r="C1396" s="184" t="s">
        <v>2711</v>
      </c>
      <c r="D1396" s="173">
        <v>1960</v>
      </c>
      <c r="E1396" s="173"/>
      <c r="F1396" s="175" t="s">
        <v>267</v>
      </c>
      <c r="G1396" s="173">
        <v>2</v>
      </c>
      <c r="H1396" s="173">
        <v>2</v>
      </c>
      <c r="I1396" s="177">
        <v>606.9</v>
      </c>
      <c r="J1396" s="177">
        <v>560.1</v>
      </c>
      <c r="K1396" s="177">
        <f>J1396</f>
        <v>560.1</v>
      </c>
      <c r="L1396" s="363">
        <v>23</v>
      </c>
      <c r="M1396" s="173" t="s">
        <v>265</v>
      </c>
      <c r="N1396" s="173" t="s">
        <v>269</v>
      </c>
      <c r="O1396" s="173" t="s">
        <v>2717</v>
      </c>
      <c r="P1396" s="177">
        <v>2985862.32</v>
      </c>
      <c r="Q1396" s="177">
        <v>0</v>
      </c>
      <c r="R1396" s="177">
        <v>0</v>
      </c>
      <c r="S1396" s="177">
        <f>P1396-Q1396-R1396</f>
        <v>2985862.32</v>
      </c>
      <c r="T1396" s="170">
        <f t="shared" si="233"/>
        <v>4919.8588235294119</v>
      </c>
      <c r="U1396" s="170">
        <f t="shared" ref="U1396:U1398" si="234">T1396</f>
        <v>4919.8588235294119</v>
      </c>
      <c r="V1396" s="202">
        <f>W1396-T1396</f>
        <v>6621.1480799143192</v>
      </c>
      <c r="W1396" s="202">
        <f>X1396+Y1396+Z1396+AA1396+AB1396+AD1396+AF1396+AH1396+AJ1396+AL1396+AN1396+AO1396</f>
        <v>11541.006903443731</v>
      </c>
      <c r="X1396" s="203">
        <v>0</v>
      </c>
      <c r="Y1396" s="203">
        <v>0</v>
      </c>
      <c r="Z1396" s="203">
        <v>0</v>
      </c>
      <c r="AA1396" s="203">
        <v>0</v>
      </c>
      <c r="AB1396" s="203">
        <v>0</v>
      </c>
      <c r="AC1396" s="203">
        <v>0</v>
      </c>
      <c r="AD1396" s="203">
        <v>0</v>
      </c>
      <c r="AE1396" s="203">
        <v>1122.67</v>
      </c>
      <c r="AF1396" s="202">
        <f>6238.91*AE1396/I1396</f>
        <v>11541.006903443731</v>
      </c>
      <c r="AG1396" s="203">
        <v>0</v>
      </c>
      <c r="AH1396" s="202">
        <v>0</v>
      </c>
      <c r="AI1396" s="203"/>
      <c r="AJ1396" s="202"/>
      <c r="AK1396" s="203"/>
      <c r="AL1396" s="202">
        <f>76773.02*AK1396/I1396</f>
        <v>0</v>
      </c>
      <c r="AM1396" s="203"/>
      <c r="AN1396" s="203"/>
      <c r="AO1396" s="203"/>
      <c r="DH1396" s="186"/>
      <c r="DI1396" s="186"/>
      <c r="DJ1396" s="186"/>
      <c r="EG1396" s="187"/>
      <c r="FJ1396" s="188"/>
      <c r="FZ1396" s="189"/>
    </row>
    <row r="1397" spans="2:182" s="144" customFormat="1" ht="36" customHeight="1" x14ac:dyDescent="0.25">
      <c r="B1397" s="171">
        <v>2</v>
      </c>
      <c r="C1397" s="184" t="s">
        <v>2712</v>
      </c>
      <c r="D1397" s="173">
        <v>1990</v>
      </c>
      <c r="E1397" s="173"/>
      <c r="F1397" s="175" t="s">
        <v>267</v>
      </c>
      <c r="G1397" s="173">
        <v>5</v>
      </c>
      <c r="H1397" s="173">
        <v>2</v>
      </c>
      <c r="I1397" s="177">
        <v>4882.8999999999996</v>
      </c>
      <c r="J1397" s="177">
        <v>4089.6</v>
      </c>
      <c r="K1397" s="177">
        <f>J1397</f>
        <v>4089.6</v>
      </c>
      <c r="L1397" s="363">
        <v>221</v>
      </c>
      <c r="M1397" s="173" t="s">
        <v>265</v>
      </c>
      <c r="N1397" s="173" t="s">
        <v>269</v>
      </c>
      <c r="O1397" s="173" t="s">
        <v>333</v>
      </c>
      <c r="P1397" s="177">
        <v>8489734.8000000007</v>
      </c>
      <c r="Q1397" s="177">
        <v>0</v>
      </c>
      <c r="R1397" s="177">
        <v>0</v>
      </c>
      <c r="S1397" s="177">
        <f>P1397-Q1397-R1397</f>
        <v>8489734.8000000007</v>
      </c>
      <c r="T1397" s="170">
        <f t="shared" si="233"/>
        <v>1738.6665301357802</v>
      </c>
      <c r="U1397" s="170">
        <f t="shared" si="234"/>
        <v>1738.6665301357802</v>
      </c>
      <c r="V1397" s="202">
        <f>W1397-T1397</f>
        <v>-780.38712650269326</v>
      </c>
      <c r="W1397" s="202">
        <f>X1397+Y1397+Z1397+AA1397+AB1397+AD1397+AF1397+AH1397+AJ1397+AL1397+AN1397+AO1397</f>
        <v>958.27940363308699</v>
      </c>
      <c r="X1397" s="203">
        <v>0</v>
      </c>
      <c r="Y1397" s="203">
        <v>0</v>
      </c>
      <c r="Z1397" s="203">
        <v>0</v>
      </c>
      <c r="AA1397" s="203">
        <v>0</v>
      </c>
      <c r="AB1397" s="203">
        <v>0</v>
      </c>
      <c r="AC1397" s="203">
        <v>0</v>
      </c>
      <c r="AD1397" s="203">
        <v>0</v>
      </c>
      <c r="AE1397" s="203">
        <v>750</v>
      </c>
      <c r="AF1397" s="202">
        <f>6238.91*AE1397/I1397</f>
        <v>958.27940363308699</v>
      </c>
      <c r="AG1397" s="203">
        <v>0</v>
      </c>
      <c r="AH1397" s="202">
        <v>0</v>
      </c>
      <c r="AI1397" s="203"/>
      <c r="AJ1397" s="202"/>
      <c r="AK1397" s="203"/>
      <c r="AL1397" s="202">
        <f>76773.02*AK1397/I1397</f>
        <v>0</v>
      </c>
      <c r="AM1397" s="203"/>
      <c r="AN1397" s="203"/>
      <c r="AO1397" s="203"/>
      <c r="DH1397" s="186"/>
      <c r="DI1397" s="186"/>
      <c r="DJ1397" s="186"/>
      <c r="EG1397" s="187"/>
      <c r="FJ1397" s="188"/>
      <c r="FZ1397" s="189"/>
    </row>
    <row r="1398" spans="2:182" s="144" customFormat="1" ht="36" customHeight="1" x14ac:dyDescent="0.25">
      <c r="B1398" s="171">
        <v>3</v>
      </c>
      <c r="C1398" s="184" t="s">
        <v>2714</v>
      </c>
      <c r="D1398" s="173">
        <v>1992</v>
      </c>
      <c r="E1398" s="173"/>
      <c r="F1398" s="175" t="s">
        <v>267</v>
      </c>
      <c r="G1398" s="173">
        <v>5</v>
      </c>
      <c r="H1398" s="173">
        <v>2</v>
      </c>
      <c r="I1398" s="177">
        <v>1862.6</v>
      </c>
      <c r="J1398" s="177">
        <v>1688.1</v>
      </c>
      <c r="K1398" s="177">
        <f>J1398</f>
        <v>1688.1</v>
      </c>
      <c r="L1398" s="363">
        <v>86</v>
      </c>
      <c r="M1398" s="173" t="s">
        <v>265</v>
      </c>
      <c r="N1398" s="173" t="s">
        <v>266</v>
      </c>
      <c r="O1398" s="173" t="s">
        <v>268</v>
      </c>
      <c r="P1398" s="177">
        <v>4372601.7300000004</v>
      </c>
      <c r="Q1398" s="177">
        <v>0</v>
      </c>
      <c r="R1398" s="177">
        <v>0</v>
      </c>
      <c r="S1398" s="177">
        <f>P1398-Q1398-R1398</f>
        <v>4372601.7300000004</v>
      </c>
      <c r="T1398" s="170">
        <f t="shared" si="233"/>
        <v>2347.5795823043063</v>
      </c>
      <c r="U1398" s="170">
        <f t="shared" si="234"/>
        <v>2347.5795823043063</v>
      </c>
      <c r="V1398" s="202">
        <f>W1398-T1398</f>
        <v>6898.3872890046168</v>
      </c>
      <c r="W1398" s="202">
        <f>X1398+Y1398+Z1398+AA1398+AB1398+AD1398+AF1398+AH1398+AJ1398+AL1398+AN1398+AO1398</f>
        <v>9245.9668713089231</v>
      </c>
      <c r="X1398" s="203">
        <v>0</v>
      </c>
      <c r="Y1398" s="203">
        <v>0</v>
      </c>
      <c r="Z1398" s="203">
        <v>3259.66</v>
      </c>
      <c r="AA1398" s="203">
        <v>0</v>
      </c>
      <c r="AB1398" s="203">
        <v>795.31</v>
      </c>
      <c r="AC1398" s="203">
        <v>0</v>
      </c>
      <c r="AD1398" s="203">
        <v>0</v>
      </c>
      <c r="AE1398" s="203">
        <v>1549.75</v>
      </c>
      <c r="AF1398" s="202">
        <f>6238.91*AE1398/I1398</f>
        <v>5190.9968713089229</v>
      </c>
      <c r="AG1398" s="203">
        <v>0</v>
      </c>
      <c r="AH1398" s="202">
        <v>0</v>
      </c>
      <c r="AI1398" s="203"/>
      <c r="AJ1398" s="202">
        <f>7439.1*AI1398/I1398</f>
        <v>0</v>
      </c>
      <c r="AK1398" s="203"/>
      <c r="AL1398" s="202">
        <f>76773.02*AK1398/I1398</f>
        <v>0</v>
      </c>
      <c r="AM1398" s="203"/>
      <c r="AN1398" s="203"/>
      <c r="AO1398" s="203"/>
      <c r="DH1398" s="186"/>
      <c r="DI1398" s="186"/>
      <c r="DJ1398" s="186"/>
      <c r="EG1398" s="187"/>
      <c r="FJ1398" s="188"/>
      <c r="FZ1398" s="189"/>
    </row>
    <row r="1399" spans="2:182" s="144" customFormat="1" ht="36" customHeight="1" x14ac:dyDescent="0.25">
      <c r="B1399" s="172" t="s">
        <v>817</v>
      </c>
      <c r="C1399" s="184"/>
      <c r="D1399" s="173" t="s">
        <v>882</v>
      </c>
      <c r="E1399" s="173" t="s">
        <v>882</v>
      </c>
      <c r="F1399" s="175" t="s">
        <v>882</v>
      </c>
      <c r="G1399" s="173" t="s">
        <v>882</v>
      </c>
      <c r="H1399" s="173" t="s">
        <v>882</v>
      </c>
      <c r="I1399" s="177">
        <f>I1400</f>
        <v>594.6</v>
      </c>
      <c r="J1399" s="177">
        <f t="shared" ref="J1399" si="235">J1400</f>
        <v>562</v>
      </c>
      <c r="K1399" s="177">
        <f t="shared" ref="K1399" si="236">K1400</f>
        <v>562</v>
      </c>
      <c r="L1399" s="363">
        <f t="shared" ref="L1399" si="237">L1400</f>
        <v>23</v>
      </c>
      <c r="M1399" s="173" t="s">
        <v>882</v>
      </c>
      <c r="N1399" s="173" t="s">
        <v>882</v>
      </c>
      <c r="O1399" s="371" t="s">
        <v>882</v>
      </c>
      <c r="P1399" s="177">
        <v>2814864.3</v>
      </c>
      <c r="Q1399" s="177">
        <f>SUM(Q1401:Q1401)</f>
        <v>0</v>
      </c>
      <c r="R1399" s="177">
        <f>SUM(R1401:R1401)</f>
        <v>0</v>
      </c>
      <c r="S1399" s="177">
        <f>S1400</f>
        <v>2814864.3</v>
      </c>
      <c r="T1399" s="170">
        <f t="shared" ref="T1399:T1400" si="238">P1399/I1399</f>
        <v>4734.0469223007058</v>
      </c>
      <c r="U1399" s="170">
        <f>U1400</f>
        <v>4734.0469223007058</v>
      </c>
      <c r="X1399" s="203"/>
      <c r="Y1399" s="203"/>
      <c r="Z1399" s="203"/>
      <c r="AA1399" s="203"/>
      <c r="AB1399" s="203"/>
      <c r="AC1399" s="203"/>
      <c r="AD1399" s="203"/>
      <c r="AE1399" s="203"/>
      <c r="AF1399" s="203"/>
      <c r="AG1399" s="203"/>
      <c r="AH1399" s="203"/>
      <c r="AI1399" s="203"/>
      <c r="AJ1399" s="203"/>
      <c r="AK1399" s="203"/>
      <c r="AL1399" s="203"/>
      <c r="AM1399" s="203"/>
      <c r="AN1399" s="203"/>
      <c r="AO1399" s="203"/>
      <c r="BY1399" s="176"/>
      <c r="DH1399" s="186"/>
      <c r="DI1399" s="186"/>
      <c r="DJ1399" s="186"/>
      <c r="EG1399" s="187"/>
      <c r="FJ1399" s="188"/>
      <c r="FZ1399" s="189"/>
    </row>
    <row r="1400" spans="2:182" s="144" customFormat="1" ht="36" customHeight="1" x14ac:dyDescent="0.25">
      <c r="B1400" s="171">
        <v>4</v>
      </c>
      <c r="C1400" s="184" t="s">
        <v>2713</v>
      </c>
      <c r="D1400" s="173">
        <v>1985</v>
      </c>
      <c r="E1400" s="173"/>
      <c r="F1400" s="175" t="s">
        <v>318</v>
      </c>
      <c r="G1400" s="173">
        <v>2</v>
      </c>
      <c r="H1400" s="173">
        <v>1</v>
      </c>
      <c r="I1400" s="177">
        <v>594.6</v>
      </c>
      <c r="J1400" s="177">
        <v>562</v>
      </c>
      <c r="K1400" s="177">
        <f>J1400</f>
        <v>562</v>
      </c>
      <c r="L1400" s="363">
        <v>23</v>
      </c>
      <c r="M1400" s="173" t="s">
        <v>265</v>
      </c>
      <c r="N1400" s="173" t="s">
        <v>266</v>
      </c>
      <c r="O1400" s="173" t="s">
        <v>268</v>
      </c>
      <c r="P1400" s="177">
        <v>2814864.3</v>
      </c>
      <c r="Q1400" s="177">
        <v>0</v>
      </c>
      <c r="R1400" s="177">
        <v>0</v>
      </c>
      <c r="S1400" s="177">
        <f>P1400-Q1400-R1400</f>
        <v>2814864.3</v>
      </c>
      <c r="T1400" s="170">
        <f t="shared" si="238"/>
        <v>4734.0469223007058</v>
      </c>
      <c r="U1400" s="170">
        <f>T1400</f>
        <v>4734.0469223007058</v>
      </c>
      <c r="V1400" s="202">
        <f>W1400-T1400</f>
        <v>15581.856095694584</v>
      </c>
      <c r="W1400" s="202">
        <f>X1400+Y1400+Z1400+AA1400+AB1400+AD1400+AF1400+AH1400+AJ1400+AL1400+AN1400+AO1400</f>
        <v>20315.90301799529</v>
      </c>
      <c r="X1400" s="203">
        <v>0</v>
      </c>
      <c r="Y1400" s="203">
        <v>0</v>
      </c>
      <c r="Z1400" s="203">
        <v>3259.66</v>
      </c>
      <c r="AA1400" s="203">
        <v>0</v>
      </c>
      <c r="AB1400" s="203">
        <v>795.31</v>
      </c>
      <c r="AC1400" s="203">
        <v>0</v>
      </c>
      <c r="AD1400" s="203">
        <v>0</v>
      </c>
      <c r="AE1400" s="203">
        <v>1549.75</v>
      </c>
      <c r="AF1400" s="202">
        <f>6238.91*AE1400/I1400</f>
        <v>16260.933017995289</v>
      </c>
      <c r="AG1400" s="203">
        <v>0</v>
      </c>
      <c r="AH1400" s="202">
        <v>0</v>
      </c>
      <c r="AI1400" s="203"/>
      <c r="AJ1400" s="202">
        <f>7439.1*AI1400/I1400</f>
        <v>0</v>
      </c>
      <c r="AK1400" s="203"/>
      <c r="AL1400" s="202">
        <f>76773.02*AK1400/I1400</f>
        <v>0</v>
      </c>
      <c r="AM1400" s="203"/>
      <c r="AN1400" s="203"/>
      <c r="AO1400" s="203"/>
      <c r="DH1400" s="186"/>
      <c r="DI1400" s="186"/>
      <c r="DJ1400" s="186"/>
      <c r="EG1400" s="187"/>
      <c r="FJ1400" s="188"/>
      <c r="FZ1400" s="189"/>
    </row>
    <row r="1401" spans="2:182" s="144" customFormat="1" ht="36" customHeight="1" x14ac:dyDescent="0.25">
      <c r="B1401" s="172" t="s">
        <v>1395</v>
      </c>
      <c r="C1401" s="184"/>
      <c r="D1401" s="173" t="s">
        <v>882</v>
      </c>
      <c r="E1401" s="173" t="s">
        <v>882</v>
      </c>
      <c r="F1401" s="175" t="s">
        <v>882</v>
      </c>
      <c r="G1401" s="173" t="s">
        <v>882</v>
      </c>
      <c r="H1401" s="173" t="s">
        <v>882</v>
      </c>
      <c r="I1401" s="177">
        <f>I1402</f>
        <v>338.5</v>
      </c>
      <c r="J1401" s="177">
        <f t="shared" ref="J1401:L1401" si="239">J1402</f>
        <v>306.39999999999998</v>
      </c>
      <c r="K1401" s="177">
        <f t="shared" si="239"/>
        <v>306.39999999999998</v>
      </c>
      <c r="L1401" s="363">
        <f t="shared" si="239"/>
        <v>27</v>
      </c>
      <c r="M1401" s="173" t="s">
        <v>882</v>
      </c>
      <c r="N1401" s="173" t="s">
        <v>882</v>
      </c>
      <c r="O1401" s="371" t="s">
        <v>882</v>
      </c>
      <c r="P1401" s="177">
        <v>1846345.45</v>
      </c>
      <c r="Q1401" s="177">
        <f>SUM(Q1403:Q1403)</f>
        <v>0</v>
      </c>
      <c r="R1401" s="177">
        <f>SUM(R1403:R1403)</f>
        <v>0</v>
      </c>
      <c r="S1401" s="177">
        <f>S1402</f>
        <v>1846345.45</v>
      </c>
      <c r="T1401" s="170">
        <f t="shared" si="233"/>
        <v>5454.4917282127026</v>
      </c>
      <c r="U1401" s="170">
        <f>U1402</f>
        <v>5454.4917282127026</v>
      </c>
      <c r="X1401" s="203"/>
      <c r="Y1401" s="203"/>
      <c r="Z1401" s="203"/>
      <c r="AA1401" s="203"/>
      <c r="AB1401" s="203"/>
      <c r="AC1401" s="203"/>
      <c r="AD1401" s="203"/>
      <c r="AE1401" s="203"/>
      <c r="AF1401" s="203"/>
      <c r="AG1401" s="203"/>
      <c r="AH1401" s="203"/>
      <c r="AI1401" s="203"/>
      <c r="AJ1401" s="203"/>
      <c r="AK1401" s="203"/>
      <c r="AL1401" s="203"/>
      <c r="AM1401" s="203"/>
      <c r="AN1401" s="203"/>
      <c r="AO1401" s="203"/>
      <c r="BY1401" s="176"/>
      <c r="DH1401" s="186"/>
      <c r="DI1401" s="186"/>
      <c r="DJ1401" s="186"/>
      <c r="EG1401" s="187"/>
      <c r="FJ1401" s="188"/>
      <c r="FZ1401" s="189"/>
    </row>
    <row r="1402" spans="2:182" s="144" customFormat="1" ht="36" customHeight="1" x14ac:dyDescent="0.25">
      <c r="B1402" s="171">
        <v>5</v>
      </c>
      <c r="C1402" s="184" t="s">
        <v>2715</v>
      </c>
      <c r="D1402" s="173">
        <v>1967</v>
      </c>
      <c r="E1402" s="173"/>
      <c r="F1402" s="175" t="s">
        <v>267</v>
      </c>
      <c r="G1402" s="173">
        <v>2</v>
      </c>
      <c r="H1402" s="173">
        <v>1</v>
      </c>
      <c r="I1402" s="177">
        <v>338.5</v>
      </c>
      <c r="J1402" s="177">
        <v>306.39999999999998</v>
      </c>
      <c r="K1402" s="177">
        <f>J1402</f>
        <v>306.39999999999998</v>
      </c>
      <c r="L1402" s="363">
        <v>27</v>
      </c>
      <c r="M1402" s="173" t="s">
        <v>265</v>
      </c>
      <c r="N1402" s="173" t="s">
        <v>266</v>
      </c>
      <c r="O1402" s="173" t="s">
        <v>268</v>
      </c>
      <c r="P1402" s="177">
        <v>1846345.45</v>
      </c>
      <c r="Q1402" s="177">
        <v>0</v>
      </c>
      <c r="R1402" s="177">
        <v>0</v>
      </c>
      <c r="S1402" s="177">
        <f>P1402-Q1402-R1402</f>
        <v>1846345.45</v>
      </c>
      <c r="T1402" s="170">
        <f t="shared" si="233"/>
        <v>5454.4917282127026</v>
      </c>
      <c r="U1402" s="170">
        <f>T1402</f>
        <v>5454.4917282127026</v>
      </c>
      <c r="V1402" s="202">
        <f>W1402-T1402</f>
        <v>7283.2060590841957</v>
      </c>
      <c r="W1402" s="202">
        <f>X1402+Y1402+Z1402+AA1402+AB1402+AD1402+AF1402+AH1402+AJ1402+AL1402+AN1402+AO1402</f>
        <v>12737.697787296898</v>
      </c>
      <c r="X1402" s="203">
        <v>0</v>
      </c>
      <c r="Y1402" s="203">
        <v>0</v>
      </c>
      <c r="Z1402" s="203">
        <v>0</v>
      </c>
      <c r="AA1402" s="203">
        <v>0</v>
      </c>
      <c r="AB1402" s="203">
        <v>0</v>
      </c>
      <c r="AC1402" s="203">
        <v>0</v>
      </c>
      <c r="AD1402" s="203">
        <v>0</v>
      </c>
      <c r="AE1402" s="203">
        <v>691.1</v>
      </c>
      <c r="AF1402" s="202">
        <f>6238.91*AE1402/I1402</f>
        <v>12737.697787296898</v>
      </c>
      <c r="AG1402" s="203">
        <v>0</v>
      </c>
      <c r="AH1402" s="202">
        <v>0</v>
      </c>
      <c r="AI1402" s="203"/>
      <c r="AJ1402" s="202">
        <f>7439.1*AI1402/I1402</f>
        <v>0</v>
      </c>
      <c r="AK1402" s="203"/>
      <c r="AL1402" s="202">
        <f>76773.02*AK1402/I1402</f>
        <v>0</v>
      </c>
      <c r="AM1402" s="203"/>
      <c r="AN1402" s="203"/>
      <c r="AO1402" s="203"/>
      <c r="DH1402" s="186"/>
      <c r="DI1402" s="186"/>
      <c r="DJ1402" s="186"/>
      <c r="EG1402" s="187"/>
      <c r="FJ1402" s="188"/>
      <c r="FZ1402" s="189"/>
    </row>
    <row r="1403" spans="2:182" ht="61.5" x14ac:dyDescent="0.9">
      <c r="AP1403" s="55"/>
    </row>
    <row r="1404" spans="2:182" ht="61.5" x14ac:dyDescent="0.9">
      <c r="AP1404" s="55"/>
    </row>
    <row r="1405" spans="2:182" ht="61.5" x14ac:dyDescent="0.9">
      <c r="AP1405" s="55"/>
    </row>
    <row r="1406" spans="2:182" ht="61.5" x14ac:dyDescent="0.9">
      <c r="AP1406" s="55"/>
    </row>
    <row r="1407" spans="2:182" ht="61.5" x14ac:dyDescent="0.9">
      <c r="AP1407" s="55"/>
    </row>
    <row r="1408" spans="2:182" ht="61.5" x14ac:dyDescent="0.9">
      <c r="AP1408" s="55"/>
    </row>
    <row r="1409" spans="42:42" ht="61.5" x14ac:dyDescent="0.9">
      <c r="AP1409" s="55"/>
    </row>
    <row r="1410" spans="42:42" ht="61.5" x14ac:dyDescent="0.9">
      <c r="AP1410" s="55"/>
    </row>
    <row r="1411" spans="42:42" ht="61.5" x14ac:dyDescent="0.9">
      <c r="AP1411" s="55"/>
    </row>
    <row r="1412" spans="42:42" ht="61.5" x14ac:dyDescent="0.9">
      <c r="AP1412" s="55"/>
    </row>
    <row r="1413" spans="42:42" ht="61.5" x14ac:dyDescent="0.9">
      <c r="AP1413" s="55"/>
    </row>
    <row r="1414" spans="42:42" ht="61.5" x14ac:dyDescent="0.9">
      <c r="AP1414" s="55"/>
    </row>
    <row r="1415" spans="42:42" ht="61.5" x14ac:dyDescent="0.9">
      <c r="AP1415" s="55"/>
    </row>
    <row r="1416" spans="42:42" ht="61.5" x14ac:dyDescent="0.9">
      <c r="AP1416" s="55"/>
    </row>
    <row r="1417" spans="42:42" ht="61.5" x14ac:dyDescent="0.9">
      <c r="AP1417" s="55"/>
    </row>
    <row r="1418" spans="42:42" ht="61.5" x14ac:dyDescent="0.9">
      <c r="AP1418" s="55"/>
    </row>
    <row r="1419" spans="42:42" ht="61.5" x14ac:dyDescent="0.9">
      <c r="AP1419" s="55"/>
    </row>
    <row r="1420" spans="42:42" ht="61.5" x14ac:dyDescent="0.9">
      <c r="AP1420" s="55"/>
    </row>
    <row r="1421" spans="42:42" ht="61.5" x14ac:dyDescent="0.9">
      <c r="AP1421" s="55"/>
    </row>
    <row r="1422" spans="42:42" ht="61.5" x14ac:dyDescent="0.9">
      <c r="AP1422" s="55"/>
    </row>
    <row r="1423" spans="42:42" ht="61.5" x14ac:dyDescent="0.9">
      <c r="AP1423" s="55"/>
    </row>
    <row r="1424" spans="42:42" ht="61.5" x14ac:dyDescent="0.9">
      <c r="AP1424" s="55"/>
    </row>
    <row r="1425" spans="42:42" ht="61.5" x14ac:dyDescent="0.9">
      <c r="AP1425" s="55"/>
    </row>
    <row r="1426" spans="42:42" ht="61.5" x14ac:dyDescent="0.9">
      <c r="AP1426" s="55"/>
    </row>
    <row r="1427" spans="42:42" ht="61.5" x14ac:dyDescent="0.9">
      <c r="AP1427" s="55"/>
    </row>
    <row r="1428" spans="42:42" ht="61.5" x14ac:dyDescent="0.9">
      <c r="AP1428" s="55"/>
    </row>
    <row r="1429" spans="42:42" ht="61.5" x14ac:dyDescent="0.9">
      <c r="AP1429" s="55"/>
    </row>
    <row r="1430" spans="42:42" ht="61.5" x14ac:dyDescent="0.9">
      <c r="AP1430" s="55"/>
    </row>
    <row r="1431" spans="42:42" ht="61.5" x14ac:dyDescent="0.9">
      <c r="AP1431" s="55"/>
    </row>
    <row r="1432" spans="42:42" ht="61.5" x14ac:dyDescent="0.9">
      <c r="AP1432" s="55"/>
    </row>
    <row r="1433" spans="42:42" ht="61.5" x14ac:dyDescent="0.9">
      <c r="AP1433" s="55"/>
    </row>
    <row r="1434" spans="42:42" ht="61.5" x14ac:dyDescent="0.9">
      <c r="AP1434" s="55"/>
    </row>
    <row r="1435" spans="42:42" ht="61.5" x14ac:dyDescent="0.9">
      <c r="AP1435" s="55"/>
    </row>
    <row r="1436" spans="42:42" ht="61.5" x14ac:dyDescent="0.9">
      <c r="AP1436" s="55"/>
    </row>
    <row r="1437" spans="42:42" ht="61.5" x14ac:dyDescent="0.9">
      <c r="AP1437" s="55"/>
    </row>
    <row r="1438" spans="42:42" ht="61.5" x14ac:dyDescent="0.9">
      <c r="AP1438" s="55"/>
    </row>
    <row r="1439" spans="42:42" ht="61.5" x14ac:dyDescent="0.9">
      <c r="AP1439" s="55"/>
    </row>
    <row r="1440" spans="42:42" ht="61.5" x14ac:dyDescent="0.9">
      <c r="AP1440" s="55"/>
    </row>
    <row r="1441" spans="42:42" ht="61.5" x14ac:dyDescent="0.9">
      <c r="AP1441" s="55"/>
    </row>
    <row r="1442" spans="42:42" ht="61.5" x14ac:dyDescent="0.9">
      <c r="AP1442" s="55"/>
    </row>
    <row r="1443" spans="42:42" ht="61.5" x14ac:dyDescent="0.9">
      <c r="AP1443" s="55"/>
    </row>
    <row r="1444" spans="42:42" ht="61.5" x14ac:dyDescent="0.9">
      <c r="AP1444" s="55"/>
    </row>
    <row r="1445" spans="42:42" ht="61.5" x14ac:dyDescent="0.9">
      <c r="AP1445" s="55"/>
    </row>
    <row r="1446" spans="42:42" ht="61.5" x14ac:dyDescent="0.9">
      <c r="AP1446" s="55"/>
    </row>
    <row r="1447" spans="42:42" ht="61.5" x14ac:dyDescent="0.9">
      <c r="AP1447" s="55"/>
    </row>
    <row r="1448" spans="42:42" ht="61.5" x14ac:dyDescent="0.9">
      <c r="AP1448" s="55"/>
    </row>
    <row r="1449" spans="42:42" ht="61.5" x14ac:dyDescent="0.9">
      <c r="AP1449" s="55"/>
    </row>
    <row r="1450" spans="42:42" ht="61.5" x14ac:dyDescent="0.9">
      <c r="AP1450" s="55"/>
    </row>
    <row r="1451" spans="42:42" ht="61.5" x14ac:dyDescent="0.9">
      <c r="AP1451" s="55"/>
    </row>
    <row r="1452" spans="42:42" ht="61.5" x14ac:dyDescent="0.9">
      <c r="AP1452" s="55"/>
    </row>
    <row r="1453" spans="42:42" ht="61.5" x14ac:dyDescent="0.9">
      <c r="AP1453" s="55"/>
    </row>
    <row r="1454" spans="42:42" ht="61.5" x14ac:dyDescent="0.9">
      <c r="AP1454" s="55"/>
    </row>
    <row r="1455" spans="42:42" ht="61.5" x14ac:dyDescent="0.9">
      <c r="AP1455" s="55"/>
    </row>
    <row r="1456" spans="42:42" ht="61.5" x14ac:dyDescent="0.9">
      <c r="AP1456" s="55"/>
    </row>
    <row r="1457" spans="42:42" ht="61.5" x14ac:dyDescent="0.9">
      <c r="AP1457" s="55"/>
    </row>
    <row r="1458" spans="42:42" ht="61.5" x14ac:dyDescent="0.9">
      <c r="AP1458" s="55"/>
    </row>
    <row r="1459" spans="42:42" ht="61.5" x14ac:dyDescent="0.9">
      <c r="AP1459" s="55"/>
    </row>
    <row r="1460" spans="42:42" ht="61.5" x14ac:dyDescent="0.9">
      <c r="AP1460" s="55"/>
    </row>
    <row r="1461" spans="42:42" ht="61.5" x14ac:dyDescent="0.9">
      <c r="AP1461" s="55"/>
    </row>
    <row r="1462" spans="42:42" ht="61.5" x14ac:dyDescent="0.9">
      <c r="AP1462" s="55"/>
    </row>
    <row r="1463" spans="42:42" ht="61.5" x14ac:dyDescent="0.9">
      <c r="AP1463" s="55"/>
    </row>
    <row r="1464" spans="42:42" ht="61.5" x14ac:dyDescent="0.9">
      <c r="AP1464" s="55"/>
    </row>
    <row r="1465" spans="42:42" ht="61.5" x14ac:dyDescent="0.9">
      <c r="AP1465" s="55"/>
    </row>
    <row r="1466" spans="42:42" ht="61.5" x14ac:dyDescent="0.9">
      <c r="AP1466" s="55"/>
    </row>
    <row r="1467" spans="42:42" ht="61.5" x14ac:dyDescent="0.9">
      <c r="AP1467" s="55"/>
    </row>
    <row r="1468" spans="42:42" ht="61.5" x14ac:dyDescent="0.9">
      <c r="AP1468" s="55"/>
    </row>
    <row r="1469" spans="42:42" ht="61.5" x14ac:dyDescent="0.9">
      <c r="AP1469" s="55"/>
    </row>
    <row r="1470" spans="42:42" ht="61.5" x14ac:dyDescent="0.9">
      <c r="AP1470" s="55"/>
    </row>
    <row r="1471" spans="42:42" ht="61.5" x14ac:dyDescent="0.9">
      <c r="AP1471" s="55"/>
    </row>
    <row r="1472" spans="42:42" ht="61.5" x14ac:dyDescent="0.9">
      <c r="AP1472" s="55"/>
    </row>
    <row r="1473" spans="42:42" ht="61.5" x14ac:dyDescent="0.9">
      <c r="AP1473" s="55"/>
    </row>
    <row r="1474" spans="42:42" ht="61.5" x14ac:dyDescent="0.9">
      <c r="AP1474" s="55"/>
    </row>
    <row r="1475" spans="42:42" ht="61.5" x14ac:dyDescent="0.9">
      <c r="AP1475" s="55"/>
    </row>
    <row r="1476" spans="42:42" ht="61.5" x14ac:dyDescent="0.9">
      <c r="AP1476" s="55"/>
    </row>
    <row r="1477" spans="42:42" ht="61.5" x14ac:dyDescent="0.9">
      <c r="AP1477" s="55"/>
    </row>
    <row r="1478" spans="42:42" ht="61.5" x14ac:dyDescent="0.9">
      <c r="AP1478" s="55"/>
    </row>
    <row r="1479" spans="42:42" ht="61.5" x14ac:dyDescent="0.9">
      <c r="AP1479" s="55"/>
    </row>
    <row r="1480" spans="42:42" ht="61.5" x14ac:dyDescent="0.9">
      <c r="AP1480" s="55"/>
    </row>
    <row r="1481" spans="42:42" ht="61.5" x14ac:dyDescent="0.9">
      <c r="AP1481" s="55"/>
    </row>
    <row r="1482" spans="42:42" ht="61.5" x14ac:dyDescent="0.9">
      <c r="AP1482" s="55"/>
    </row>
    <row r="1483" spans="42:42" ht="61.5" x14ac:dyDescent="0.9">
      <c r="AP1483" s="55"/>
    </row>
    <row r="1484" spans="42:42" ht="61.5" x14ac:dyDescent="0.9">
      <c r="AP1484" s="55"/>
    </row>
    <row r="1485" spans="42:42" ht="61.5" x14ac:dyDescent="0.9">
      <c r="AP1485" s="55"/>
    </row>
    <row r="1486" spans="42:42" ht="61.5" x14ac:dyDescent="0.9">
      <c r="AP1486" s="55"/>
    </row>
    <row r="1487" spans="42:42" ht="61.5" x14ac:dyDescent="0.9">
      <c r="AP1487" s="55"/>
    </row>
    <row r="1488" spans="42:42" ht="61.5" x14ac:dyDescent="0.9">
      <c r="AP1488" s="55"/>
    </row>
    <row r="1489" spans="42:42" ht="61.5" x14ac:dyDescent="0.9">
      <c r="AP1489" s="55"/>
    </row>
    <row r="1490" spans="42:42" ht="61.5" x14ac:dyDescent="0.9">
      <c r="AP1490" s="55"/>
    </row>
    <row r="1491" spans="42:42" ht="61.5" x14ac:dyDescent="0.9">
      <c r="AP1491" s="55"/>
    </row>
    <row r="1492" spans="42:42" ht="61.5" x14ac:dyDescent="0.9">
      <c r="AP1492" s="55"/>
    </row>
    <row r="1493" spans="42:42" ht="61.5" x14ac:dyDescent="0.9">
      <c r="AP1493" s="55"/>
    </row>
    <row r="1494" spans="42:42" ht="61.5" x14ac:dyDescent="0.9">
      <c r="AP1494" s="55"/>
    </row>
    <row r="1495" spans="42:42" ht="61.5" x14ac:dyDescent="0.9">
      <c r="AP1495" s="55"/>
    </row>
    <row r="1496" spans="42:42" ht="61.5" x14ac:dyDescent="0.9">
      <c r="AP1496" s="55"/>
    </row>
    <row r="1497" spans="42:42" ht="61.5" x14ac:dyDescent="0.9">
      <c r="AP1497" s="55"/>
    </row>
    <row r="1498" spans="42:42" ht="61.5" x14ac:dyDescent="0.9">
      <c r="AP1498" s="55"/>
    </row>
    <row r="1499" spans="42:42" ht="61.5" x14ac:dyDescent="0.9">
      <c r="AP1499" s="55"/>
    </row>
    <row r="1500" spans="42:42" ht="61.5" x14ac:dyDescent="0.9">
      <c r="AP1500" s="55"/>
    </row>
    <row r="1501" spans="42:42" ht="61.5" x14ac:dyDescent="0.9">
      <c r="AP1501" s="55"/>
    </row>
    <row r="1502" spans="42:42" ht="61.5" x14ac:dyDescent="0.9">
      <c r="AP1502" s="55"/>
    </row>
    <row r="1503" spans="42:42" ht="61.5" x14ac:dyDescent="0.9">
      <c r="AP1503" s="55"/>
    </row>
    <row r="1504" spans="42:42" ht="61.5" x14ac:dyDescent="0.9">
      <c r="AP1504" s="55"/>
    </row>
    <row r="1505" spans="42:42" ht="61.5" x14ac:dyDescent="0.9">
      <c r="AP1505" s="55"/>
    </row>
    <row r="1506" spans="42:42" ht="61.5" x14ac:dyDescent="0.9">
      <c r="AP1506" s="55"/>
    </row>
    <row r="1507" spans="42:42" ht="61.5" x14ac:dyDescent="0.9">
      <c r="AP1507" s="55"/>
    </row>
    <row r="1508" spans="42:42" ht="61.5" x14ac:dyDescent="0.9">
      <c r="AP1508" s="55"/>
    </row>
    <row r="1509" spans="42:42" ht="61.5" x14ac:dyDescent="0.9">
      <c r="AP1509" s="55"/>
    </row>
    <row r="1510" spans="42:42" ht="61.5" x14ac:dyDescent="0.9">
      <c r="AP1510" s="55"/>
    </row>
    <row r="1511" spans="42:42" ht="61.5" x14ac:dyDescent="0.9">
      <c r="AP1511" s="55"/>
    </row>
    <row r="1512" spans="42:42" ht="61.5" x14ac:dyDescent="0.9">
      <c r="AP1512" s="55"/>
    </row>
    <row r="1513" spans="42:42" ht="61.5" x14ac:dyDescent="0.9">
      <c r="AP1513" s="55"/>
    </row>
    <row r="1514" spans="42:42" ht="61.5" x14ac:dyDescent="0.9">
      <c r="AP1514" s="55"/>
    </row>
    <row r="1515" spans="42:42" ht="61.5" x14ac:dyDescent="0.9">
      <c r="AP1515" s="55"/>
    </row>
    <row r="1516" spans="42:42" ht="61.5" x14ac:dyDescent="0.9">
      <c r="AP1516" s="55"/>
    </row>
    <row r="1517" spans="42:42" ht="61.5" x14ac:dyDescent="0.9">
      <c r="AP1517" s="55"/>
    </row>
    <row r="1518" spans="42:42" ht="61.5" x14ac:dyDescent="0.9">
      <c r="AP1518" s="55"/>
    </row>
    <row r="1519" spans="42:42" ht="61.5" x14ac:dyDescent="0.9">
      <c r="AP1519" s="55"/>
    </row>
    <row r="1520" spans="42:42" ht="61.5" x14ac:dyDescent="0.9">
      <c r="AP1520" s="55"/>
    </row>
    <row r="1521" spans="42:42" ht="61.5" x14ac:dyDescent="0.9">
      <c r="AP1521" s="55"/>
    </row>
    <row r="1522" spans="42:42" ht="61.5" x14ac:dyDescent="0.9">
      <c r="AP1522" s="55"/>
    </row>
    <row r="1523" spans="42:42" ht="61.5" x14ac:dyDescent="0.9">
      <c r="AP1523" s="55"/>
    </row>
    <row r="1524" spans="42:42" ht="61.5" x14ac:dyDescent="0.9">
      <c r="AP1524" s="55"/>
    </row>
    <row r="1525" spans="42:42" ht="61.5" x14ac:dyDescent="0.9">
      <c r="AP1525" s="55"/>
    </row>
    <row r="1526" spans="42:42" ht="61.5" x14ac:dyDescent="0.9">
      <c r="AP1526" s="55"/>
    </row>
    <row r="1527" spans="42:42" ht="61.5" x14ac:dyDescent="0.9">
      <c r="AP1527" s="55"/>
    </row>
    <row r="1528" spans="42:42" ht="61.5" x14ac:dyDescent="0.9">
      <c r="AP1528" s="55"/>
    </row>
    <row r="1529" spans="42:42" ht="61.5" x14ac:dyDescent="0.9">
      <c r="AP1529" s="55"/>
    </row>
    <row r="1530" spans="42:42" ht="61.5" x14ac:dyDescent="0.9">
      <c r="AP1530" s="55"/>
    </row>
    <row r="1531" spans="42:42" ht="61.5" x14ac:dyDescent="0.9">
      <c r="AP1531" s="55"/>
    </row>
    <row r="1532" spans="42:42" ht="61.5" x14ac:dyDescent="0.9">
      <c r="AP1532" s="55"/>
    </row>
    <row r="1533" spans="42:42" ht="61.5" x14ac:dyDescent="0.9">
      <c r="AP1533" s="55"/>
    </row>
    <row r="1534" spans="42:42" ht="61.5" x14ac:dyDescent="0.9">
      <c r="AP1534" s="55"/>
    </row>
    <row r="1535" spans="42:42" ht="61.5" x14ac:dyDescent="0.9">
      <c r="AP1535" s="55"/>
    </row>
  </sheetData>
  <autoFilter ref="A12:GI1402" xr:uid="{987FDBE7-84EC-4AEB-920D-77F9CE43E4F3}"/>
  <mergeCells count="34">
    <mergeCell ref="B1394:C1394"/>
    <mergeCell ref="B1384:C1384"/>
    <mergeCell ref="B1383:U1383"/>
    <mergeCell ref="B1385:C1385"/>
    <mergeCell ref="B1367:U1367"/>
    <mergeCell ref="B1369:C1369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1376:C1376"/>
    <mergeCell ref="B1368:C1368"/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E53"/>
  <sheetViews>
    <sheetView view="pageBreakPreview" topLeftCell="A31" zoomScale="60" zoomScaleNormal="60" workbookViewId="0">
      <selection activeCell="A31" sqref="A1:XFD1048576"/>
    </sheetView>
  </sheetViews>
  <sheetFormatPr defaultRowHeight="15" x14ac:dyDescent="0.25"/>
  <cols>
    <col min="1" max="1" width="28.7109375" style="4" customWidth="1"/>
    <col min="2" max="2" width="43.42578125" style="4" customWidth="1"/>
    <col min="3" max="3" width="52.7109375" style="4" customWidth="1"/>
    <col min="4" max="4" width="0" style="4" hidden="1" customWidth="1"/>
    <col min="5" max="5" width="14" style="4" hidden="1" customWidth="1"/>
    <col min="6" max="6" width="9.140625" style="4"/>
    <col min="7" max="7" width="12" style="4" customWidth="1"/>
    <col min="8" max="8" width="9.140625" style="4"/>
    <col min="9" max="9" width="21.7109375" style="4" customWidth="1"/>
    <col min="10" max="10" width="9.140625" style="4"/>
    <col min="11" max="11" width="20.5703125" style="4" customWidth="1"/>
    <col min="12" max="12" width="23.42578125" style="4" customWidth="1"/>
    <col min="13" max="16384" width="9.140625" style="4"/>
  </cols>
  <sheetData>
    <row r="1" spans="1:5" ht="18.75" x14ac:dyDescent="0.3">
      <c r="A1" s="375"/>
      <c r="B1" s="375"/>
      <c r="C1" s="376" t="s">
        <v>722</v>
      </c>
    </row>
    <row r="2" spans="1:5" ht="63.75" customHeight="1" x14ac:dyDescent="0.25">
      <c r="A2" s="377" t="s">
        <v>730</v>
      </c>
      <c r="B2" s="377"/>
      <c r="C2" s="377"/>
    </row>
    <row r="3" spans="1:5" ht="41.45" customHeight="1" x14ac:dyDescent="0.25">
      <c r="A3" s="378" t="s">
        <v>723</v>
      </c>
      <c r="B3" s="379"/>
      <c r="C3" s="380"/>
    </row>
    <row r="4" spans="1:5" ht="18.75" customHeight="1" x14ac:dyDescent="0.25">
      <c r="A4" s="378" t="s">
        <v>724</v>
      </c>
      <c r="B4" s="380"/>
      <c r="C4" s="381" t="s">
        <v>731</v>
      </c>
    </row>
    <row r="5" spans="1:5" ht="18.75" x14ac:dyDescent="0.3">
      <c r="A5" s="382" t="s">
        <v>725</v>
      </c>
      <c r="B5" s="383"/>
      <c r="C5" s="384">
        <f>Перечень!P14</f>
        <v>1064965830.9899999</v>
      </c>
    </row>
    <row r="6" spans="1:5" ht="37.5" customHeight="1" x14ac:dyDescent="0.3">
      <c r="A6" s="382" t="s">
        <v>726</v>
      </c>
      <c r="B6" s="383"/>
      <c r="C6" s="384">
        <v>0</v>
      </c>
    </row>
    <row r="7" spans="1:5" ht="18.75" x14ac:dyDescent="0.3">
      <c r="A7" s="382" t="s">
        <v>727</v>
      </c>
      <c r="B7" s="383"/>
      <c r="C7" s="384">
        <f>Перечень!Q14</f>
        <v>0</v>
      </c>
    </row>
    <row r="8" spans="1:5" ht="18.75" x14ac:dyDescent="0.3">
      <c r="A8" s="382" t="s">
        <v>728</v>
      </c>
      <c r="B8" s="383"/>
      <c r="C8" s="384">
        <f>Перечень!R14</f>
        <v>2908349.77</v>
      </c>
      <c r="D8" s="4">
        <v>4344514.92</v>
      </c>
      <c r="E8" s="14">
        <v>746895.1400000006</v>
      </c>
    </row>
    <row r="9" spans="1:5" ht="18.75" customHeight="1" x14ac:dyDescent="0.3">
      <c r="A9" s="382" t="s">
        <v>729</v>
      </c>
      <c r="B9" s="383"/>
      <c r="C9" s="384">
        <f>C5-C6-C7-C8</f>
        <v>1062057481.2199999</v>
      </c>
    </row>
    <row r="10" spans="1:5" ht="43.9" customHeight="1" x14ac:dyDescent="0.25">
      <c r="A10" s="378" t="s">
        <v>723</v>
      </c>
      <c r="B10" s="379"/>
      <c r="C10" s="380"/>
    </row>
    <row r="11" spans="1:5" ht="18.75" customHeight="1" x14ac:dyDescent="0.25">
      <c r="A11" s="378" t="s">
        <v>724</v>
      </c>
      <c r="B11" s="380"/>
      <c r="C11" s="381" t="s">
        <v>732</v>
      </c>
    </row>
    <row r="12" spans="1:5" ht="18.75" x14ac:dyDescent="0.3">
      <c r="A12" s="382" t="s">
        <v>725</v>
      </c>
      <c r="B12" s="383"/>
      <c r="C12" s="384">
        <f>Перечень!P550</f>
        <v>1904590429.3200002</v>
      </c>
    </row>
    <row r="13" spans="1:5" ht="33.75" customHeight="1" x14ac:dyDescent="0.3">
      <c r="A13" s="382" t="s">
        <v>726</v>
      </c>
      <c r="B13" s="383"/>
      <c r="C13" s="384">
        <v>0</v>
      </c>
    </row>
    <row r="14" spans="1:5" ht="18.75" x14ac:dyDescent="0.3">
      <c r="A14" s="382" t="s">
        <v>727</v>
      </c>
      <c r="B14" s="383"/>
      <c r="C14" s="384">
        <f>Перечень!Q550</f>
        <v>22294400</v>
      </c>
    </row>
    <row r="15" spans="1:5" ht="18.75" x14ac:dyDescent="0.3">
      <c r="A15" s="382" t="s">
        <v>728</v>
      </c>
      <c r="B15" s="383"/>
      <c r="C15" s="384">
        <f>Перечень!R550</f>
        <v>3015567.51</v>
      </c>
    </row>
    <row r="16" spans="1:5" ht="18.75" customHeight="1" x14ac:dyDescent="0.3">
      <c r="A16" s="382" t="s">
        <v>729</v>
      </c>
      <c r="B16" s="383"/>
      <c r="C16" s="384">
        <f>C12-C13-C14-C15</f>
        <v>1879280461.8100002</v>
      </c>
    </row>
    <row r="17" spans="1:3" ht="39.75" customHeight="1" x14ac:dyDescent="0.25">
      <c r="A17" s="378" t="s">
        <v>723</v>
      </c>
      <c r="B17" s="379"/>
      <c r="C17" s="380"/>
    </row>
    <row r="18" spans="1:3" ht="18.75" customHeight="1" x14ac:dyDescent="0.25">
      <c r="A18" s="378" t="s">
        <v>724</v>
      </c>
      <c r="B18" s="380"/>
      <c r="C18" s="381" t="s">
        <v>733</v>
      </c>
    </row>
    <row r="19" spans="1:3" ht="18.75" x14ac:dyDescent="0.3">
      <c r="A19" s="382" t="s">
        <v>725</v>
      </c>
      <c r="B19" s="383"/>
      <c r="C19" s="384">
        <f>Перечень!P1085</f>
        <v>811229658.27999985</v>
      </c>
    </row>
    <row r="20" spans="1:3" ht="41.25" customHeight="1" x14ac:dyDescent="0.3">
      <c r="A20" s="382" t="s">
        <v>726</v>
      </c>
      <c r="B20" s="383"/>
      <c r="C20" s="384">
        <v>0</v>
      </c>
    </row>
    <row r="21" spans="1:3" ht="18.75" x14ac:dyDescent="0.3">
      <c r="A21" s="382" t="s">
        <v>727</v>
      </c>
      <c r="B21" s="383"/>
      <c r="C21" s="384">
        <f>Перечень!Q1085</f>
        <v>0</v>
      </c>
    </row>
    <row r="22" spans="1:3" ht="18.75" x14ac:dyDescent="0.3">
      <c r="A22" s="382" t="s">
        <v>728</v>
      </c>
      <c r="B22" s="383"/>
      <c r="C22" s="384">
        <f>Перечень!R1085</f>
        <v>1851570.68</v>
      </c>
    </row>
    <row r="23" spans="1:3" ht="18.75" customHeight="1" x14ac:dyDescent="0.3">
      <c r="A23" s="382" t="s">
        <v>729</v>
      </c>
      <c r="B23" s="383"/>
      <c r="C23" s="384">
        <f>C19-C20-C21-C22</f>
        <v>809378087.5999999</v>
      </c>
    </row>
    <row r="24" spans="1:3" ht="81.75" customHeight="1" x14ac:dyDescent="0.25">
      <c r="A24" s="378" t="s">
        <v>1594</v>
      </c>
      <c r="B24" s="379"/>
      <c r="C24" s="380"/>
    </row>
    <row r="25" spans="1:3" ht="18.75" customHeight="1" x14ac:dyDescent="0.25">
      <c r="A25" s="378" t="s">
        <v>724</v>
      </c>
      <c r="B25" s="380"/>
      <c r="C25" s="381" t="s">
        <v>731</v>
      </c>
    </row>
    <row r="26" spans="1:3" ht="18.75" x14ac:dyDescent="0.3">
      <c r="A26" s="382" t="s">
        <v>727</v>
      </c>
      <c r="B26" s="383"/>
      <c r="C26" s="384">
        <f>Перечень!Q1369</f>
        <v>4599545.3899999997</v>
      </c>
    </row>
    <row r="27" spans="1:3" s="126" customFormat="1" ht="23.25" customHeight="1" x14ac:dyDescent="0.3">
      <c r="A27" s="382" t="s">
        <v>728</v>
      </c>
      <c r="B27" s="383"/>
      <c r="C27" s="384">
        <f>Перечень!R1369</f>
        <v>1178018</v>
      </c>
    </row>
    <row r="28" spans="1:3" s="126" customFormat="1" ht="27" customHeight="1" x14ac:dyDescent="0.3">
      <c r="A28" s="382" t="s">
        <v>729</v>
      </c>
      <c r="B28" s="383"/>
      <c r="C28" s="384">
        <f>Перечень!S1369</f>
        <v>1256638.3399999999</v>
      </c>
    </row>
    <row r="29" spans="1:3" ht="82.5" customHeight="1" x14ac:dyDescent="0.25">
      <c r="A29" s="378" t="s">
        <v>1654</v>
      </c>
      <c r="B29" s="379"/>
      <c r="C29" s="380"/>
    </row>
    <row r="30" spans="1:3" ht="18.75" customHeight="1" x14ac:dyDescent="0.25">
      <c r="A30" s="378" t="s">
        <v>724</v>
      </c>
      <c r="B30" s="380"/>
      <c r="C30" s="381" t="s">
        <v>732</v>
      </c>
    </row>
    <row r="31" spans="1:3" ht="18.75" x14ac:dyDescent="0.3">
      <c r="A31" s="382" t="s">
        <v>727</v>
      </c>
      <c r="B31" s="383"/>
      <c r="C31" s="384">
        <f>28826300-C14</f>
        <v>6531900</v>
      </c>
    </row>
    <row r="32" spans="1:3" s="126" customFormat="1" ht="23.25" customHeight="1" x14ac:dyDescent="0.3">
      <c r="A32" s="382" t="s">
        <v>1652</v>
      </c>
      <c r="B32" s="383"/>
      <c r="C32" s="384">
        <f>C31-Перечень!Q1376</f>
        <v>44500.669999999925</v>
      </c>
    </row>
    <row r="33" spans="1:5" s="126" customFormat="1" ht="23.25" customHeight="1" x14ac:dyDescent="0.3">
      <c r="A33" s="382" t="s">
        <v>728</v>
      </c>
      <c r="B33" s="383"/>
      <c r="C33" s="384">
        <f>Перечень!R1376</f>
        <v>1658867.83</v>
      </c>
    </row>
    <row r="34" spans="1:5" s="126" customFormat="1" ht="27" customHeight="1" x14ac:dyDescent="0.3">
      <c r="A34" s="382" t="s">
        <v>729</v>
      </c>
      <c r="B34" s="383"/>
      <c r="C34" s="384">
        <f>Перечень!S1376</f>
        <v>1195530.8399999999</v>
      </c>
    </row>
    <row r="35" spans="1:5" ht="81" customHeight="1" x14ac:dyDescent="0.25">
      <c r="A35" s="378" t="s">
        <v>1594</v>
      </c>
      <c r="B35" s="379"/>
      <c r="C35" s="380"/>
    </row>
    <row r="36" spans="1:5" ht="18.75" customHeight="1" x14ac:dyDescent="0.25">
      <c r="A36" s="378" t="s">
        <v>724</v>
      </c>
      <c r="B36" s="380"/>
      <c r="C36" s="381" t="s">
        <v>733</v>
      </c>
    </row>
    <row r="37" spans="1:5" ht="18.75" x14ac:dyDescent="0.3">
      <c r="A37" s="382" t="s">
        <v>727</v>
      </c>
      <c r="B37" s="383"/>
      <c r="C37" s="384">
        <v>28058900</v>
      </c>
    </row>
    <row r="38" spans="1:5" ht="81" customHeight="1" x14ac:dyDescent="0.25">
      <c r="A38" s="378" t="s">
        <v>1594</v>
      </c>
      <c r="B38" s="379"/>
      <c r="C38" s="380"/>
    </row>
    <row r="39" spans="1:5" ht="18.75" customHeight="1" x14ac:dyDescent="0.25">
      <c r="A39" s="378" t="s">
        <v>724</v>
      </c>
      <c r="B39" s="380"/>
      <c r="C39" s="381" t="s">
        <v>2264</v>
      </c>
    </row>
    <row r="40" spans="1:5" ht="18.75" x14ac:dyDescent="0.3">
      <c r="A40" s="382" t="s">
        <v>727</v>
      </c>
      <c r="B40" s="383"/>
      <c r="C40" s="384">
        <v>28058900</v>
      </c>
    </row>
    <row r="41" spans="1:5" ht="81.75" customHeight="1" x14ac:dyDescent="0.25">
      <c r="A41" s="378" t="s">
        <v>1909</v>
      </c>
      <c r="B41" s="379"/>
      <c r="C41" s="380"/>
    </row>
    <row r="42" spans="1:5" ht="18.75" customHeight="1" x14ac:dyDescent="0.25">
      <c r="A42" s="378" t="s">
        <v>724</v>
      </c>
      <c r="B42" s="380"/>
      <c r="C42" s="381" t="s">
        <v>731</v>
      </c>
    </row>
    <row r="43" spans="1:5" ht="18.75" x14ac:dyDescent="0.3">
      <c r="A43" s="382" t="s">
        <v>725</v>
      </c>
      <c r="B43" s="383"/>
      <c r="C43" s="384">
        <f>Реестр!D1392</f>
        <v>17288357.709999997</v>
      </c>
    </row>
    <row r="44" spans="1:5" ht="37.5" customHeight="1" x14ac:dyDescent="0.3">
      <c r="A44" s="382" t="s">
        <v>726</v>
      </c>
      <c r="B44" s="383"/>
      <c r="C44" s="384">
        <v>0</v>
      </c>
    </row>
    <row r="45" spans="1:5" ht="18.75" x14ac:dyDescent="0.3">
      <c r="A45" s="382" t="s">
        <v>727</v>
      </c>
      <c r="B45" s="383"/>
      <c r="C45" s="384">
        <f>Перечень!Q47</f>
        <v>0</v>
      </c>
    </row>
    <row r="46" spans="1:5" ht="18.75" x14ac:dyDescent="0.3">
      <c r="A46" s="382" t="s">
        <v>728</v>
      </c>
      <c r="B46" s="383"/>
      <c r="C46" s="384">
        <f>Перечень!R47</f>
        <v>0</v>
      </c>
      <c r="D46" s="4">
        <v>4344514.92</v>
      </c>
      <c r="E46" s="14">
        <v>746895.1400000006</v>
      </c>
    </row>
    <row r="47" spans="1:5" ht="18.75" customHeight="1" x14ac:dyDescent="0.3">
      <c r="A47" s="382" t="s">
        <v>729</v>
      </c>
      <c r="B47" s="383"/>
      <c r="C47" s="384">
        <f>C43-C44-C45-C46</f>
        <v>17288357.709999997</v>
      </c>
    </row>
    <row r="48" spans="1:5" ht="18.75" customHeight="1" x14ac:dyDescent="0.25">
      <c r="A48" s="378" t="s">
        <v>724</v>
      </c>
      <c r="B48" s="380"/>
      <c r="C48" s="381" t="s">
        <v>732</v>
      </c>
    </row>
    <row r="49" spans="1:5" ht="18.75" x14ac:dyDescent="0.3">
      <c r="A49" s="382" t="s">
        <v>725</v>
      </c>
      <c r="B49" s="383"/>
      <c r="C49" s="384">
        <f>Реестр!D1401</f>
        <v>20509408.600000001</v>
      </c>
    </row>
    <row r="50" spans="1:5" ht="37.5" customHeight="1" x14ac:dyDescent="0.3">
      <c r="A50" s="382" t="s">
        <v>726</v>
      </c>
      <c r="B50" s="383"/>
      <c r="C50" s="384">
        <v>0</v>
      </c>
    </row>
    <row r="51" spans="1:5" ht="18.75" x14ac:dyDescent="0.3">
      <c r="A51" s="382" t="s">
        <v>727</v>
      </c>
      <c r="B51" s="383"/>
      <c r="C51" s="384">
        <f>Перечень!Q53</f>
        <v>0</v>
      </c>
    </row>
    <row r="52" spans="1:5" ht="18.75" x14ac:dyDescent="0.3">
      <c r="A52" s="382" t="s">
        <v>728</v>
      </c>
      <c r="B52" s="383"/>
      <c r="C52" s="384">
        <f>Перечень!R53</f>
        <v>0</v>
      </c>
      <c r="D52" s="4">
        <v>4344514.92</v>
      </c>
      <c r="E52" s="14">
        <v>746895.1400000006</v>
      </c>
    </row>
    <row r="53" spans="1:5" ht="18.75" customHeight="1" x14ac:dyDescent="0.3">
      <c r="A53" s="382" t="s">
        <v>729</v>
      </c>
      <c r="B53" s="383"/>
      <c r="C53" s="384">
        <f>C49-C50-C51-C52</f>
        <v>20509408.600000001</v>
      </c>
    </row>
  </sheetData>
  <mergeCells count="52">
    <mergeCell ref="A53:B53"/>
    <mergeCell ref="A48:B48"/>
    <mergeCell ref="A49:B49"/>
    <mergeCell ref="A50:B50"/>
    <mergeCell ref="A51:B51"/>
    <mergeCell ref="A52:B52"/>
    <mergeCell ref="A35:C35"/>
    <mergeCell ref="A36:B36"/>
    <mergeCell ref="A37:B37"/>
    <mergeCell ref="A31:B31"/>
    <mergeCell ref="A24:C24"/>
    <mergeCell ref="A25:B25"/>
    <mergeCell ref="A26:B26"/>
    <mergeCell ref="A29:C29"/>
    <mergeCell ref="A30:B30"/>
    <mergeCell ref="A27:B27"/>
    <mergeCell ref="A28:B28"/>
    <mergeCell ref="A32:B32"/>
    <mergeCell ref="A33:B33"/>
    <mergeCell ref="A34:B34"/>
    <mergeCell ref="A7:B7"/>
    <mergeCell ref="A2:C2"/>
    <mergeCell ref="A3:C3"/>
    <mergeCell ref="A4:B4"/>
    <mergeCell ref="A5:B5"/>
    <mergeCell ref="A6:B6"/>
    <mergeCell ref="A8:B8"/>
    <mergeCell ref="A9:B9"/>
    <mergeCell ref="A10:C10"/>
    <mergeCell ref="A11:B11"/>
    <mergeCell ref="A12:B12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38:C38"/>
    <mergeCell ref="A39:B39"/>
    <mergeCell ref="A40:B40"/>
    <mergeCell ref="A47:B47"/>
    <mergeCell ref="A43:B43"/>
    <mergeCell ref="A41:C41"/>
    <mergeCell ref="A42:B42"/>
    <mergeCell ref="A44:B44"/>
    <mergeCell ref="A45:B45"/>
    <mergeCell ref="A46:B46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O235"/>
  <sheetViews>
    <sheetView topLeftCell="A200" zoomScale="70" zoomScaleNormal="70" workbookViewId="0">
      <selection activeCell="A200" sqref="A1:XFD1048576"/>
    </sheetView>
  </sheetViews>
  <sheetFormatPr defaultRowHeight="15" x14ac:dyDescent="0.25"/>
  <cols>
    <col min="1" max="1" width="9" style="4" customWidth="1"/>
    <col min="2" max="2" width="81" style="4" customWidth="1"/>
    <col min="3" max="3" width="23.85546875" style="4" customWidth="1"/>
    <col min="4" max="4" width="32.28515625" style="4" customWidth="1"/>
    <col min="5" max="5" width="22.140625" style="4" customWidth="1"/>
    <col min="6" max="6" width="28.85546875" style="4" customWidth="1"/>
    <col min="7" max="7" width="9.140625" style="4"/>
    <col min="8" max="8" width="0" style="4" hidden="1" customWidth="1"/>
    <col min="9" max="9" width="16.28515625" style="4" hidden="1" customWidth="1"/>
    <col min="10" max="10" width="0" style="4" hidden="1" customWidth="1"/>
    <col min="11" max="11" width="17" style="4" customWidth="1"/>
    <col min="12" max="12" width="11.7109375" style="4" bestFit="1" customWidth="1"/>
    <col min="13" max="13" width="16.85546875" style="4" bestFit="1" customWidth="1"/>
    <col min="14" max="14" width="11.85546875" style="4" bestFit="1" customWidth="1"/>
    <col min="15" max="15" width="16.85546875" style="4" bestFit="1" customWidth="1"/>
    <col min="16" max="16384" width="9.140625" style="4"/>
  </cols>
  <sheetData>
    <row r="1" spans="1:15" ht="20.25" x14ac:dyDescent="0.25">
      <c r="A1" s="3"/>
      <c r="B1" s="3"/>
      <c r="C1" s="3"/>
      <c r="D1" s="3"/>
      <c r="E1" s="253" t="s">
        <v>734</v>
      </c>
      <c r="F1" s="253"/>
    </row>
    <row r="2" spans="1:15" ht="95.25" customHeight="1" x14ac:dyDescent="0.25">
      <c r="B2" s="5"/>
      <c r="C2" s="5"/>
      <c r="D2" s="254" t="s">
        <v>741</v>
      </c>
      <c r="E2" s="254"/>
      <c r="F2" s="254"/>
    </row>
    <row r="3" spans="1:15" x14ac:dyDescent="0.25">
      <c r="A3" s="255" t="s">
        <v>742</v>
      </c>
      <c r="B3" s="255"/>
      <c r="C3" s="255"/>
      <c r="D3" s="255"/>
      <c r="E3" s="255"/>
      <c r="F3" s="255"/>
    </row>
    <row r="4" spans="1:15" ht="93" customHeight="1" x14ac:dyDescent="0.25">
      <c r="A4" s="255"/>
      <c r="B4" s="255"/>
      <c r="C4" s="255"/>
      <c r="D4" s="255"/>
      <c r="E4" s="255"/>
      <c r="F4" s="255"/>
    </row>
    <row r="5" spans="1:15" x14ac:dyDescent="0.25">
      <c r="A5" s="256" t="s">
        <v>6</v>
      </c>
      <c r="B5" s="259" t="s">
        <v>735</v>
      </c>
      <c r="C5" s="256" t="s">
        <v>736</v>
      </c>
      <c r="D5" s="256" t="s">
        <v>737</v>
      </c>
      <c r="E5" s="256" t="s">
        <v>738</v>
      </c>
      <c r="F5" s="256" t="s">
        <v>739</v>
      </c>
    </row>
    <row r="6" spans="1:15" x14ac:dyDescent="0.25">
      <c r="A6" s="257"/>
      <c r="B6" s="260"/>
      <c r="C6" s="262"/>
      <c r="D6" s="262"/>
      <c r="E6" s="262"/>
      <c r="F6" s="262"/>
    </row>
    <row r="7" spans="1:15" ht="101.25" customHeight="1" x14ac:dyDescent="0.25">
      <c r="A7" s="257"/>
      <c r="B7" s="260"/>
      <c r="C7" s="263"/>
      <c r="D7" s="263"/>
      <c r="E7" s="263"/>
      <c r="F7" s="263"/>
    </row>
    <row r="8" spans="1:15" ht="20.25" x14ac:dyDescent="0.3">
      <c r="A8" s="258"/>
      <c r="B8" s="261"/>
      <c r="C8" s="6" t="s">
        <v>740</v>
      </c>
      <c r="D8" s="6" t="s">
        <v>263</v>
      </c>
      <c r="E8" s="7" t="s">
        <v>37</v>
      </c>
      <c r="F8" s="7" t="s">
        <v>36</v>
      </c>
    </row>
    <row r="9" spans="1:15" ht="20.25" x14ac:dyDescent="0.3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</row>
    <row r="10" spans="1:15" ht="20.25" x14ac:dyDescent="0.3">
      <c r="A10" s="1" t="s">
        <v>744</v>
      </c>
      <c r="B10" s="9"/>
      <c r="C10" s="67">
        <v>3203667.2100000009</v>
      </c>
      <c r="D10" s="68">
        <v>111013</v>
      </c>
      <c r="E10" s="68">
        <f>E11+E79+E148</f>
        <v>1157</v>
      </c>
      <c r="F10" s="67">
        <v>3780785918.5899997</v>
      </c>
      <c r="K10" s="90"/>
      <c r="M10" s="90"/>
      <c r="N10" s="90"/>
      <c r="O10" s="90"/>
    </row>
    <row r="11" spans="1:15" ht="20.25" x14ac:dyDescent="0.3">
      <c r="A11" s="1" t="s">
        <v>745</v>
      </c>
      <c r="B11" s="9"/>
      <c r="C11" s="67">
        <v>1282974.6400000004</v>
      </c>
      <c r="D11" s="68">
        <v>49293</v>
      </c>
      <c r="E11" s="68">
        <f>SUM(E12:E78)</f>
        <v>468</v>
      </c>
      <c r="F11" s="67">
        <v>1064965830.9899999</v>
      </c>
      <c r="K11" s="90"/>
    </row>
    <row r="12" spans="1:15" ht="20.25" x14ac:dyDescent="0.3">
      <c r="A12" s="2">
        <v>1</v>
      </c>
      <c r="B12" s="1" t="s">
        <v>977</v>
      </c>
      <c r="C12" s="67">
        <v>362242.11000000022</v>
      </c>
      <c r="D12" s="68">
        <v>13536</v>
      </c>
      <c r="E12" s="69">
        <v>104</v>
      </c>
      <c r="F12" s="80">
        <v>265883729</v>
      </c>
    </row>
    <row r="13" spans="1:15" ht="20.25" x14ac:dyDescent="0.3">
      <c r="A13" s="2">
        <v>2</v>
      </c>
      <c r="B13" s="1" t="s">
        <v>884</v>
      </c>
      <c r="C13" s="67">
        <v>54718.7</v>
      </c>
      <c r="D13" s="68">
        <v>2187</v>
      </c>
      <c r="E13" s="69">
        <v>29</v>
      </c>
      <c r="F13" s="80">
        <v>50842017.239999995</v>
      </c>
    </row>
    <row r="14" spans="1:15" ht="20.25" x14ac:dyDescent="0.3">
      <c r="A14" s="2">
        <v>3</v>
      </c>
      <c r="B14" s="1" t="s">
        <v>885</v>
      </c>
      <c r="C14" s="80">
        <v>122338.65999999997</v>
      </c>
      <c r="D14" s="69">
        <v>4539</v>
      </c>
      <c r="E14" s="69">
        <v>45</v>
      </c>
      <c r="F14" s="80">
        <v>112751259.44999994</v>
      </c>
    </row>
    <row r="15" spans="1:15" ht="20.25" x14ac:dyDescent="0.3">
      <c r="A15" s="2">
        <v>4</v>
      </c>
      <c r="B15" s="1" t="s">
        <v>940</v>
      </c>
      <c r="C15" s="80">
        <v>218132.8</v>
      </c>
      <c r="D15" s="69">
        <v>7911</v>
      </c>
      <c r="E15" s="69">
        <v>36</v>
      </c>
      <c r="F15" s="80">
        <v>128937901.11000001</v>
      </c>
    </row>
    <row r="16" spans="1:15" ht="20.25" x14ac:dyDescent="0.3">
      <c r="A16" s="2">
        <v>5</v>
      </c>
      <c r="B16" s="1" t="s">
        <v>887</v>
      </c>
      <c r="C16" s="67">
        <v>38189.1</v>
      </c>
      <c r="D16" s="68">
        <v>1569</v>
      </c>
      <c r="E16" s="69">
        <v>5</v>
      </c>
      <c r="F16" s="80">
        <v>11570369.789999999</v>
      </c>
    </row>
    <row r="17" spans="1:6" ht="20.25" x14ac:dyDescent="0.3">
      <c r="A17" s="2">
        <v>6</v>
      </c>
      <c r="B17" s="1" t="s">
        <v>888</v>
      </c>
      <c r="C17" s="80">
        <v>91721.91</v>
      </c>
      <c r="D17" s="69">
        <v>3374</v>
      </c>
      <c r="E17" s="69">
        <v>26</v>
      </c>
      <c r="F17" s="80">
        <v>65365711.729999989</v>
      </c>
    </row>
    <row r="18" spans="1:6" ht="20.25" x14ac:dyDescent="0.3">
      <c r="A18" s="2">
        <v>7</v>
      </c>
      <c r="B18" s="1" t="s">
        <v>889</v>
      </c>
      <c r="C18" s="80">
        <v>29543.5</v>
      </c>
      <c r="D18" s="69">
        <v>855</v>
      </c>
      <c r="E18" s="69">
        <v>5</v>
      </c>
      <c r="F18" s="80">
        <v>14114868.93</v>
      </c>
    </row>
    <row r="19" spans="1:6" ht="20.25" x14ac:dyDescent="0.3">
      <c r="A19" s="2">
        <v>8</v>
      </c>
      <c r="B19" s="1" t="s">
        <v>890</v>
      </c>
      <c r="C19" s="80">
        <v>10662.800000000001</v>
      </c>
      <c r="D19" s="69">
        <v>403</v>
      </c>
      <c r="E19" s="69">
        <v>6</v>
      </c>
      <c r="F19" s="80">
        <v>30964559.009999998</v>
      </c>
    </row>
    <row r="20" spans="1:6" ht="20.25" x14ac:dyDescent="0.3">
      <c r="A20" s="2">
        <v>9</v>
      </c>
      <c r="B20" s="1" t="s">
        <v>891</v>
      </c>
      <c r="C20" s="80">
        <v>14970.710000000001</v>
      </c>
      <c r="D20" s="69">
        <v>518</v>
      </c>
      <c r="E20" s="69">
        <v>4</v>
      </c>
      <c r="F20" s="80">
        <v>12442442.430000002</v>
      </c>
    </row>
    <row r="21" spans="1:6" ht="20.25" x14ac:dyDescent="0.3">
      <c r="A21" s="2">
        <v>10</v>
      </c>
      <c r="B21" s="1" t="s">
        <v>1353</v>
      </c>
      <c r="C21" s="80">
        <v>762</v>
      </c>
      <c r="D21" s="69">
        <v>42</v>
      </c>
      <c r="E21" s="69">
        <v>1</v>
      </c>
      <c r="F21" s="80">
        <v>345276.04000000004</v>
      </c>
    </row>
    <row r="22" spans="1:6" ht="20.25" x14ac:dyDescent="0.3">
      <c r="A22" s="2">
        <v>11</v>
      </c>
      <c r="B22" s="1" t="s">
        <v>892</v>
      </c>
      <c r="C22" s="80">
        <v>2259.1</v>
      </c>
      <c r="D22" s="69">
        <v>104</v>
      </c>
      <c r="E22" s="69">
        <v>2</v>
      </c>
      <c r="F22" s="80">
        <v>5773107.5300000003</v>
      </c>
    </row>
    <row r="23" spans="1:6" ht="20.25" x14ac:dyDescent="0.3">
      <c r="A23" s="2">
        <v>12</v>
      </c>
      <c r="B23" s="1" t="s">
        <v>893</v>
      </c>
      <c r="C23" s="80">
        <v>4271.2</v>
      </c>
      <c r="D23" s="69">
        <v>227</v>
      </c>
      <c r="E23" s="69">
        <v>5</v>
      </c>
      <c r="F23" s="80">
        <v>10624337.110000001</v>
      </c>
    </row>
    <row r="24" spans="1:6" ht="20.25" x14ac:dyDescent="0.3">
      <c r="A24" s="2">
        <v>13</v>
      </c>
      <c r="B24" s="1" t="s">
        <v>894</v>
      </c>
      <c r="C24" s="80">
        <v>3135.5000000000005</v>
      </c>
      <c r="D24" s="69">
        <v>130</v>
      </c>
      <c r="E24" s="69">
        <v>5</v>
      </c>
      <c r="F24" s="80">
        <v>4459924</v>
      </c>
    </row>
    <row r="25" spans="1:6" ht="20.25" x14ac:dyDescent="0.3">
      <c r="A25" s="2">
        <v>14</v>
      </c>
      <c r="B25" s="1" t="s">
        <v>896</v>
      </c>
      <c r="C25" s="80">
        <v>3504.3</v>
      </c>
      <c r="D25" s="69">
        <v>178</v>
      </c>
      <c r="E25" s="69">
        <v>1</v>
      </c>
      <c r="F25" s="80">
        <v>1997229.1400000001</v>
      </c>
    </row>
    <row r="26" spans="1:6" ht="20.25" x14ac:dyDescent="0.3">
      <c r="A26" s="2">
        <v>15</v>
      </c>
      <c r="B26" s="1" t="s">
        <v>897</v>
      </c>
      <c r="C26" s="80">
        <v>37828.900000000009</v>
      </c>
      <c r="D26" s="69">
        <v>1989</v>
      </c>
      <c r="E26" s="69">
        <v>15</v>
      </c>
      <c r="F26" s="80">
        <v>29976052.369999997</v>
      </c>
    </row>
    <row r="27" spans="1:6" ht="20.25" x14ac:dyDescent="0.3">
      <c r="A27" s="2">
        <v>16</v>
      </c>
      <c r="B27" s="1" t="s">
        <v>898</v>
      </c>
      <c r="C27" s="80">
        <v>12766.299999999997</v>
      </c>
      <c r="D27" s="69">
        <v>777</v>
      </c>
      <c r="E27" s="69">
        <v>16</v>
      </c>
      <c r="F27" s="80">
        <v>22830689.180000003</v>
      </c>
    </row>
    <row r="28" spans="1:6" ht="20.25" x14ac:dyDescent="0.3">
      <c r="A28" s="2">
        <v>17</v>
      </c>
      <c r="B28" s="1" t="s">
        <v>899</v>
      </c>
      <c r="C28" s="80">
        <v>1395.0000000000002</v>
      </c>
      <c r="D28" s="69">
        <v>56</v>
      </c>
      <c r="E28" s="69">
        <v>4</v>
      </c>
      <c r="F28" s="80">
        <v>2221160.0099999998</v>
      </c>
    </row>
    <row r="29" spans="1:6" ht="20.25" x14ac:dyDescent="0.3">
      <c r="A29" s="2">
        <v>18</v>
      </c>
      <c r="B29" s="1" t="s">
        <v>900</v>
      </c>
      <c r="C29" s="80">
        <v>1222.4000000000001</v>
      </c>
      <c r="D29" s="69">
        <v>44</v>
      </c>
      <c r="E29" s="69">
        <v>2</v>
      </c>
      <c r="F29" s="80">
        <v>4069083.7199999997</v>
      </c>
    </row>
    <row r="30" spans="1:6" ht="20.25" x14ac:dyDescent="0.3">
      <c r="A30" s="2">
        <v>19</v>
      </c>
      <c r="B30" s="1" t="s">
        <v>958</v>
      </c>
      <c r="C30" s="80">
        <v>1746.5</v>
      </c>
      <c r="D30" s="69">
        <v>78</v>
      </c>
      <c r="E30" s="69">
        <v>2</v>
      </c>
      <c r="F30" s="80">
        <v>5178138.5</v>
      </c>
    </row>
    <row r="31" spans="1:6" ht="20.25" x14ac:dyDescent="0.3">
      <c r="A31" s="2">
        <v>20</v>
      </c>
      <c r="B31" s="1" t="s">
        <v>903</v>
      </c>
      <c r="C31" s="67">
        <v>5843.6</v>
      </c>
      <c r="D31" s="68">
        <v>224</v>
      </c>
      <c r="E31" s="69">
        <v>3</v>
      </c>
      <c r="F31" s="80">
        <v>8426851.959999999</v>
      </c>
    </row>
    <row r="32" spans="1:6" ht="20.25" x14ac:dyDescent="0.3">
      <c r="A32" s="2">
        <v>21</v>
      </c>
      <c r="B32" s="1" t="s">
        <v>945</v>
      </c>
      <c r="C32" s="67">
        <v>9076.82</v>
      </c>
      <c r="D32" s="68">
        <v>298</v>
      </c>
      <c r="E32" s="69">
        <v>2</v>
      </c>
      <c r="F32" s="80">
        <v>7968708.8700000001</v>
      </c>
    </row>
    <row r="33" spans="1:6" ht="20.25" x14ac:dyDescent="0.3">
      <c r="A33" s="2">
        <v>22</v>
      </c>
      <c r="B33" s="1" t="s">
        <v>905</v>
      </c>
      <c r="C33" s="67">
        <v>846.4</v>
      </c>
      <c r="D33" s="68">
        <v>26</v>
      </c>
      <c r="E33" s="69">
        <v>1</v>
      </c>
      <c r="F33" s="80">
        <v>1861701.91</v>
      </c>
    </row>
    <row r="34" spans="1:6" ht="20.25" x14ac:dyDescent="0.3">
      <c r="A34" s="2">
        <v>23</v>
      </c>
      <c r="B34" s="1" t="s">
        <v>907</v>
      </c>
      <c r="C34" s="80">
        <v>50658.080000000002</v>
      </c>
      <c r="D34" s="69">
        <v>1648</v>
      </c>
      <c r="E34" s="69">
        <v>17</v>
      </c>
      <c r="F34" s="80">
        <v>44398957.329999998</v>
      </c>
    </row>
    <row r="35" spans="1:6" ht="20.25" x14ac:dyDescent="0.3">
      <c r="A35" s="2">
        <v>24</v>
      </c>
      <c r="B35" s="1" t="s">
        <v>959</v>
      </c>
      <c r="C35" s="80">
        <v>2529.2999999999997</v>
      </c>
      <c r="D35" s="69">
        <v>106</v>
      </c>
      <c r="E35" s="69">
        <v>2</v>
      </c>
      <c r="F35" s="80">
        <v>2076549.34</v>
      </c>
    </row>
    <row r="36" spans="1:6" ht="20.25" x14ac:dyDescent="0.3">
      <c r="A36" s="2">
        <v>25</v>
      </c>
      <c r="B36" s="1" t="s">
        <v>960</v>
      </c>
      <c r="C36" s="80">
        <v>375</v>
      </c>
      <c r="D36" s="69">
        <v>21</v>
      </c>
      <c r="E36" s="69">
        <v>1</v>
      </c>
      <c r="F36" s="80">
        <v>2005046.9200000002</v>
      </c>
    </row>
    <row r="37" spans="1:6" ht="20.25" x14ac:dyDescent="0.3">
      <c r="A37" s="2">
        <v>26</v>
      </c>
      <c r="B37" s="1" t="s">
        <v>961</v>
      </c>
      <c r="C37" s="80">
        <v>1156.21</v>
      </c>
      <c r="D37" s="69">
        <v>44</v>
      </c>
      <c r="E37" s="69">
        <v>1</v>
      </c>
      <c r="F37" s="80">
        <v>3682576.42</v>
      </c>
    </row>
    <row r="38" spans="1:6" ht="20.25" x14ac:dyDescent="0.3">
      <c r="A38" s="2">
        <v>27</v>
      </c>
      <c r="B38" s="1" t="s">
        <v>909</v>
      </c>
      <c r="C38" s="80">
        <v>2624.2</v>
      </c>
      <c r="D38" s="69">
        <v>125</v>
      </c>
      <c r="E38" s="69">
        <v>4</v>
      </c>
      <c r="F38" s="80">
        <v>4283070.8099999996</v>
      </c>
    </row>
    <row r="39" spans="1:6" ht="20.25" x14ac:dyDescent="0.3">
      <c r="A39" s="2">
        <v>28</v>
      </c>
      <c r="B39" s="1" t="s">
        <v>910</v>
      </c>
      <c r="C39" s="67">
        <v>1157</v>
      </c>
      <c r="D39" s="68">
        <v>40</v>
      </c>
      <c r="E39" s="69">
        <v>2</v>
      </c>
      <c r="F39" s="80">
        <v>3114731.1799999997</v>
      </c>
    </row>
    <row r="40" spans="1:6" ht="20.25" x14ac:dyDescent="0.3">
      <c r="A40" s="2">
        <v>29</v>
      </c>
      <c r="B40" s="1" t="s">
        <v>908</v>
      </c>
      <c r="C40" s="81">
        <v>407.9</v>
      </c>
      <c r="D40" s="82">
        <v>21</v>
      </c>
      <c r="E40" s="69">
        <v>1</v>
      </c>
      <c r="F40" s="80">
        <v>43566.44</v>
      </c>
    </row>
    <row r="41" spans="1:6" ht="20.25" x14ac:dyDescent="0.3">
      <c r="A41" s="2">
        <v>30</v>
      </c>
      <c r="B41" s="1" t="s">
        <v>911</v>
      </c>
      <c r="C41" s="80">
        <v>2253.2999999999997</v>
      </c>
      <c r="D41" s="69">
        <v>108</v>
      </c>
      <c r="E41" s="69">
        <v>4</v>
      </c>
      <c r="F41" s="80">
        <v>4166442.5</v>
      </c>
    </row>
    <row r="42" spans="1:6" ht="20.25" x14ac:dyDescent="0.3">
      <c r="A42" s="2">
        <v>31</v>
      </c>
      <c r="B42" s="1" t="s">
        <v>946</v>
      </c>
      <c r="C42" s="67">
        <v>829.4</v>
      </c>
      <c r="D42" s="68">
        <v>42</v>
      </c>
      <c r="E42" s="69">
        <v>1</v>
      </c>
      <c r="F42" s="80">
        <v>2786770.47</v>
      </c>
    </row>
    <row r="43" spans="1:6" ht="20.25" x14ac:dyDescent="0.3">
      <c r="A43" s="2">
        <v>32</v>
      </c>
      <c r="B43" s="1" t="s">
        <v>912</v>
      </c>
      <c r="C43" s="67">
        <v>10312.24</v>
      </c>
      <c r="D43" s="68">
        <v>425</v>
      </c>
      <c r="E43" s="69">
        <v>7</v>
      </c>
      <c r="F43" s="80">
        <v>8480737.0799999982</v>
      </c>
    </row>
    <row r="44" spans="1:6" ht="20.25" x14ac:dyDescent="0.3">
      <c r="A44" s="2">
        <v>33</v>
      </c>
      <c r="B44" s="1" t="s">
        <v>913</v>
      </c>
      <c r="C44" s="67">
        <v>613</v>
      </c>
      <c r="D44" s="68">
        <v>32</v>
      </c>
      <c r="E44" s="69">
        <v>1</v>
      </c>
      <c r="F44" s="80">
        <v>2358530.46</v>
      </c>
    </row>
    <row r="45" spans="1:6" ht="20.25" x14ac:dyDescent="0.3">
      <c r="A45" s="2">
        <v>34</v>
      </c>
      <c r="B45" s="1" t="s">
        <v>947</v>
      </c>
      <c r="C45" s="67">
        <v>866.6</v>
      </c>
      <c r="D45" s="68">
        <v>34</v>
      </c>
      <c r="E45" s="69">
        <v>3</v>
      </c>
      <c r="F45" s="80">
        <v>178408.21000000002</v>
      </c>
    </row>
    <row r="46" spans="1:6" ht="20.25" x14ac:dyDescent="0.3">
      <c r="A46" s="2">
        <v>35</v>
      </c>
      <c r="B46" s="1" t="s">
        <v>915</v>
      </c>
      <c r="C46" s="80">
        <v>3663.2799999999997</v>
      </c>
      <c r="D46" s="69">
        <v>115</v>
      </c>
      <c r="E46" s="69">
        <v>3</v>
      </c>
      <c r="F46" s="80">
        <v>8700170.3300000001</v>
      </c>
    </row>
    <row r="47" spans="1:6" ht="20.25" x14ac:dyDescent="0.3">
      <c r="A47" s="2">
        <v>36</v>
      </c>
      <c r="B47" s="1" t="s">
        <v>918</v>
      </c>
      <c r="C47" s="67">
        <v>2767.4</v>
      </c>
      <c r="D47" s="68">
        <v>31</v>
      </c>
      <c r="E47" s="69">
        <v>1</v>
      </c>
      <c r="F47" s="80">
        <v>4281723.32</v>
      </c>
    </row>
    <row r="48" spans="1:6" ht="20.25" x14ac:dyDescent="0.3">
      <c r="A48" s="2">
        <v>37</v>
      </c>
      <c r="B48" s="1" t="s">
        <v>924</v>
      </c>
      <c r="C48" s="67">
        <v>15666.63</v>
      </c>
      <c r="D48" s="68">
        <v>545</v>
      </c>
      <c r="E48" s="69">
        <v>3</v>
      </c>
      <c r="F48" s="80">
        <v>2434186.5899999994</v>
      </c>
    </row>
    <row r="49" spans="1:6" ht="20.25" x14ac:dyDescent="0.3">
      <c r="A49" s="2">
        <v>38</v>
      </c>
      <c r="B49" s="1" t="s">
        <v>919</v>
      </c>
      <c r="C49" s="67">
        <v>14224.350000000002</v>
      </c>
      <c r="D49" s="68">
        <v>742</v>
      </c>
      <c r="E49" s="69">
        <v>6</v>
      </c>
      <c r="F49" s="80">
        <v>19736488.859999999</v>
      </c>
    </row>
    <row r="50" spans="1:6" ht="20.25" x14ac:dyDescent="0.3">
      <c r="A50" s="2">
        <v>39</v>
      </c>
      <c r="B50" s="1" t="s">
        <v>920</v>
      </c>
      <c r="C50" s="67">
        <v>4806.5999999999995</v>
      </c>
      <c r="D50" s="68">
        <v>165</v>
      </c>
      <c r="E50" s="69">
        <v>5</v>
      </c>
      <c r="F50" s="80">
        <v>9389545.5499999989</v>
      </c>
    </row>
    <row r="51" spans="1:6" ht="20.25" x14ac:dyDescent="0.3">
      <c r="A51" s="2">
        <v>40</v>
      </c>
      <c r="B51" s="1" t="s">
        <v>921</v>
      </c>
      <c r="C51" s="67">
        <v>1322.5</v>
      </c>
      <c r="D51" s="68">
        <v>60</v>
      </c>
      <c r="E51" s="69">
        <v>2</v>
      </c>
      <c r="F51" s="80">
        <v>5138784.57</v>
      </c>
    </row>
    <row r="52" spans="1:6" ht="20.25" x14ac:dyDescent="0.3">
      <c r="A52" s="2">
        <v>41</v>
      </c>
      <c r="B52" s="1" t="s">
        <v>923</v>
      </c>
      <c r="C52" s="67">
        <v>13058.16</v>
      </c>
      <c r="D52" s="68">
        <v>529</v>
      </c>
      <c r="E52" s="69">
        <v>10</v>
      </c>
      <c r="F52" s="80">
        <v>17752085.210000001</v>
      </c>
    </row>
    <row r="53" spans="1:6" ht="20.25" x14ac:dyDescent="0.3">
      <c r="A53" s="2">
        <v>42</v>
      </c>
      <c r="B53" s="1" t="s">
        <v>922</v>
      </c>
      <c r="C53" s="67">
        <v>878.6</v>
      </c>
      <c r="D53" s="68">
        <v>55</v>
      </c>
      <c r="E53" s="69">
        <v>1</v>
      </c>
      <c r="F53" s="80">
        <v>3622790.6399999997</v>
      </c>
    </row>
    <row r="54" spans="1:6" ht="20.25" x14ac:dyDescent="0.3">
      <c r="A54" s="2">
        <v>43</v>
      </c>
      <c r="B54" s="1" t="s">
        <v>925</v>
      </c>
      <c r="C54" s="80">
        <v>940.6</v>
      </c>
      <c r="D54" s="69">
        <v>33</v>
      </c>
      <c r="E54" s="69">
        <v>1</v>
      </c>
      <c r="F54" s="80">
        <v>3515825.94</v>
      </c>
    </row>
    <row r="55" spans="1:6" ht="20.25" x14ac:dyDescent="0.3">
      <c r="A55" s="2">
        <v>44</v>
      </c>
      <c r="B55" s="1" t="s">
        <v>962</v>
      </c>
      <c r="C55" s="80">
        <v>340.3</v>
      </c>
      <c r="D55" s="69">
        <v>19</v>
      </c>
      <c r="E55" s="69">
        <v>1</v>
      </c>
      <c r="F55" s="80">
        <v>1371104.41</v>
      </c>
    </row>
    <row r="56" spans="1:6" ht="20.25" x14ac:dyDescent="0.3">
      <c r="A56" s="2">
        <v>45</v>
      </c>
      <c r="B56" s="1" t="s">
        <v>1354</v>
      </c>
      <c r="C56" s="80">
        <v>953.9</v>
      </c>
      <c r="D56" s="69">
        <v>28</v>
      </c>
      <c r="E56" s="69">
        <v>1</v>
      </c>
      <c r="F56" s="80">
        <v>40161.910000000003</v>
      </c>
    </row>
    <row r="57" spans="1:6" ht="20.25" x14ac:dyDescent="0.3">
      <c r="A57" s="2">
        <v>46</v>
      </c>
      <c r="B57" s="1" t="s">
        <v>951</v>
      </c>
      <c r="C57" s="80">
        <v>1446.38</v>
      </c>
      <c r="D57" s="69">
        <v>78</v>
      </c>
      <c r="E57" s="69">
        <v>1</v>
      </c>
      <c r="F57" s="80">
        <v>127877.6</v>
      </c>
    </row>
    <row r="58" spans="1:6" ht="20.25" x14ac:dyDescent="0.3">
      <c r="A58" s="2">
        <v>47</v>
      </c>
      <c r="B58" s="1" t="s">
        <v>963</v>
      </c>
      <c r="C58" s="67">
        <v>676.3</v>
      </c>
      <c r="D58" s="68">
        <v>32</v>
      </c>
      <c r="E58" s="69">
        <v>1</v>
      </c>
      <c r="F58" s="80">
        <v>87573.72</v>
      </c>
    </row>
    <row r="59" spans="1:6" ht="20.25" x14ac:dyDescent="0.3">
      <c r="A59" s="2">
        <v>48</v>
      </c>
      <c r="B59" s="1" t="s">
        <v>928</v>
      </c>
      <c r="C59" s="81">
        <v>3130</v>
      </c>
      <c r="D59" s="82">
        <v>140</v>
      </c>
      <c r="E59" s="69">
        <v>5</v>
      </c>
      <c r="F59" s="80">
        <v>3911488.5799999996</v>
      </c>
    </row>
    <row r="60" spans="1:6" ht="20.25" x14ac:dyDescent="0.3">
      <c r="A60" s="2">
        <v>49</v>
      </c>
      <c r="B60" s="1" t="s">
        <v>953</v>
      </c>
      <c r="C60" s="80">
        <v>36117.07</v>
      </c>
      <c r="D60" s="69">
        <v>1569</v>
      </c>
      <c r="E60" s="69">
        <v>11</v>
      </c>
      <c r="F60" s="80">
        <v>23897111.18</v>
      </c>
    </row>
    <row r="61" spans="1:6" ht="20.25" x14ac:dyDescent="0.3">
      <c r="A61" s="2">
        <v>50</v>
      </c>
      <c r="B61" s="1" t="s">
        <v>929</v>
      </c>
      <c r="C61" s="67">
        <v>32478.429999999997</v>
      </c>
      <c r="D61" s="68">
        <v>1444</v>
      </c>
      <c r="E61" s="69">
        <v>8</v>
      </c>
      <c r="F61" s="80">
        <v>24440368.16</v>
      </c>
    </row>
    <row r="62" spans="1:6" ht="20.25" x14ac:dyDescent="0.3">
      <c r="A62" s="2">
        <v>51</v>
      </c>
      <c r="B62" s="1" t="s">
        <v>1355</v>
      </c>
      <c r="C62" s="67">
        <v>546.02</v>
      </c>
      <c r="D62" s="68">
        <v>20</v>
      </c>
      <c r="E62" s="69">
        <v>1</v>
      </c>
      <c r="F62" s="80">
        <v>1483737.75</v>
      </c>
    </row>
    <row r="63" spans="1:6" ht="20.25" x14ac:dyDescent="0.3">
      <c r="A63" s="2">
        <v>52</v>
      </c>
      <c r="B63" s="1" t="s">
        <v>1352</v>
      </c>
      <c r="C63" s="67">
        <v>1598.9</v>
      </c>
      <c r="D63" s="68">
        <v>38</v>
      </c>
      <c r="E63" s="69">
        <v>1</v>
      </c>
      <c r="F63" s="80">
        <v>446142.85</v>
      </c>
    </row>
    <row r="64" spans="1:6" ht="20.25" x14ac:dyDescent="0.3">
      <c r="A64" s="2">
        <v>53</v>
      </c>
      <c r="B64" s="1" t="s">
        <v>926</v>
      </c>
      <c r="C64" s="67">
        <v>9103.2800000000007</v>
      </c>
      <c r="D64" s="68">
        <v>365</v>
      </c>
      <c r="E64" s="69">
        <v>4</v>
      </c>
      <c r="F64" s="80">
        <v>3380450.98</v>
      </c>
    </row>
    <row r="65" spans="1:14" ht="20.25" x14ac:dyDescent="0.3">
      <c r="A65" s="2">
        <v>54</v>
      </c>
      <c r="B65" s="1" t="s">
        <v>930</v>
      </c>
      <c r="C65" s="67">
        <v>2977.1</v>
      </c>
      <c r="D65" s="68">
        <v>125</v>
      </c>
      <c r="E65" s="69">
        <v>5</v>
      </c>
      <c r="F65" s="80">
        <v>7738017.7799999993</v>
      </c>
    </row>
    <row r="66" spans="1:14" ht="20.25" x14ac:dyDescent="0.3">
      <c r="A66" s="2">
        <v>55</v>
      </c>
      <c r="B66" s="1" t="s">
        <v>931</v>
      </c>
      <c r="C66" s="80">
        <v>1191.0999999999999</v>
      </c>
      <c r="D66" s="69">
        <v>26</v>
      </c>
      <c r="E66" s="69">
        <v>1</v>
      </c>
      <c r="F66" s="80">
        <v>2846268.34</v>
      </c>
    </row>
    <row r="67" spans="1:14" ht="20.25" x14ac:dyDescent="0.3">
      <c r="A67" s="2">
        <v>56</v>
      </c>
      <c r="B67" s="1" t="s">
        <v>932</v>
      </c>
      <c r="C67" s="67">
        <v>1414.1</v>
      </c>
      <c r="D67" s="68">
        <v>84</v>
      </c>
      <c r="E67" s="69">
        <v>2</v>
      </c>
      <c r="F67" s="80">
        <v>2794020.73</v>
      </c>
    </row>
    <row r="68" spans="1:14" ht="20.25" x14ac:dyDescent="0.3">
      <c r="A68" s="2">
        <v>57</v>
      </c>
      <c r="B68" s="1" t="s">
        <v>933</v>
      </c>
      <c r="C68" s="67">
        <v>2762.9</v>
      </c>
      <c r="D68" s="68">
        <v>125</v>
      </c>
      <c r="E68" s="69">
        <v>2</v>
      </c>
      <c r="F68" s="80">
        <v>4868704.13</v>
      </c>
    </row>
    <row r="69" spans="1:14" ht="20.25" x14ac:dyDescent="0.3">
      <c r="A69" s="2">
        <v>58</v>
      </c>
      <c r="B69" s="1" t="s">
        <v>955</v>
      </c>
      <c r="C69" s="67">
        <v>702.7</v>
      </c>
      <c r="D69" s="68">
        <v>16</v>
      </c>
      <c r="E69" s="69">
        <v>1</v>
      </c>
      <c r="F69" s="80">
        <v>2570556.2200000002</v>
      </c>
    </row>
    <row r="70" spans="1:14" ht="20.25" x14ac:dyDescent="0.3">
      <c r="A70" s="2">
        <v>59</v>
      </c>
      <c r="B70" s="1" t="s">
        <v>1356</v>
      </c>
      <c r="C70" s="67">
        <v>1625.9</v>
      </c>
      <c r="D70" s="68">
        <v>63</v>
      </c>
      <c r="E70" s="69">
        <v>2</v>
      </c>
      <c r="F70" s="80">
        <v>1181101.6800000002</v>
      </c>
    </row>
    <row r="71" spans="1:14" ht="20.25" x14ac:dyDescent="0.3">
      <c r="A71" s="2">
        <v>60</v>
      </c>
      <c r="B71" s="1" t="s">
        <v>934</v>
      </c>
      <c r="C71" s="67">
        <v>2462.8000000000002</v>
      </c>
      <c r="D71" s="68">
        <v>120</v>
      </c>
      <c r="E71" s="69">
        <v>5</v>
      </c>
      <c r="F71" s="80">
        <v>5058199.54</v>
      </c>
    </row>
    <row r="72" spans="1:14" ht="20.25" x14ac:dyDescent="0.3">
      <c r="A72" s="2">
        <v>61</v>
      </c>
      <c r="B72" s="1" t="s">
        <v>935</v>
      </c>
      <c r="C72" s="67">
        <v>1755.2</v>
      </c>
      <c r="D72" s="68">
        <v>62</v>
      </c>
      <c r="E72" s="69">
        <v>1</v>
      </c>
      <c r="F72" s="80">
        <v>3982171.62</v>
      </c>
    </row>
    <row r="73" spans="1:14" ht="20.25" x14ac:dyDescent="0.3">
      <c r="A73" s="2">
        <v>62</v>
      </c>
      <c r="B73" s="1" t="s">
        <v>956</v>
      </c>
      <c r="C73" s="67">
        <v>4921.7999999999993</v>
      </c>
      <c r="D73" s="68">
        <v>126</v>
      </c>
      <c r="E73" s="69">
        <v>2</v>
      </c>
      <c r="F73" s="80">
        <v>8046011.1599999992</v>
      </c>
    </row>
    <row r="74" spans="1:14" ht="20.25" x14ac:dyDescent="0.3">
      <c r="A74" s="2">
        <v>63</v>
      </c>
      <c r="B74" s="1" t="s">
        <v>936</v>
      </c>
      <c r="C74" s="67">
        <v>428.4</v>
      </c>
      <c r="D74" s="68">
        <v>20</v>
      </c>
      <c r="E74" s="69">
        <v>1</v>
      </c>
      <c r="F74" s="80">
        <v>1241065.97</v>
      </c>
    </row>
    <row r="75" spans="1:14" ht="20.25" x14ac:dyDescent="0.3">
      <c r="A75" s="2">
        <v>64</v>
      </c>
      <c r="B75" s="1" t="s">
        <v>938</v>
      </c>
      <c r="C75" s="67">
        <v>12546.099999999999</v>
      </c>
      <c r="D75" s="68">
        <v>564</v>
      </c>
      <c r="E75" s="69">
        <v>9</v>
      </c>
      <c r="F75" s="80">
        <v>9190793.5899999999</v>
      </c>
    </row>
    <row r="76" spans="1:14" ht="20.25" x14ac:dyDescent="0.3">
      <c r="A76" s="2">
        <v>65</v>
      </c>
      <c r="B76" s="1" t="s">
        <v>939</v>
      </c>
      <c r="C76" s="67">
        <v>2975.2</v>
      </c>
      <c r="D76" s="68">
        <v>130</v>
      </c>
      <c r="E76" s="69">
        <v>4</v>
      </c>
      <c r="F76" s="80">
        <v>3506290.42</v>
      </c>
    </row>
    <row r="77" spans="1:14" ht="20.25" x14ac:dyDescent="0.3">
      <c r="A77" s="2">
        <v>66</v>
      </c>
      <c r="B77" s="1" t="s">
        <v>964</v>
      </c>
      <c r="C77" s="67">
        <v>1422.8</v>
      </c>
      <c r="D77" s="68">
        <v>64</v>
      </c>
      <c r="E77" s="69">
        <v>2</v>
      </c>
      <c r="F77" s="80">
        <v>735510.79</v>
      </c>
    </row>
    <row r="78" spans="1:14" ht="20.25" x14ac:dyDescent="0.3">
      <c r="A78" s="2">
        <v>67</v>
      </c>
      <c r="B78" s="1" t="s">
        <v>957</v>
      </c>
      <c r="C78" s="67">
        <v>1109.3</v>
      </c>
      <c r="D78" s="68">
        <v>49</v>
      </c>
      <c r="E78" s="69">
        <v>2</v>
      </c>
      <c r="F78" s="80">
        <v>1268994.68</v>
      </c>
    </row>
    <row r="79" spans="1:14" ht="20.25" x14ac:dyDescent="0.3">
      <c r="A79" s="1" t="s">
        <v>746</v>
      </c>
      <c r="B79" s="1"/>
      <c r="C79" s="67">
        <v>1423745.1500000004</v>
      </c>
      <c r="D79" s="68">
        <v>41485</v>
      </c>
      <c r="E79" s="69">
        <f>SUM(E80:E147)</f>
        <v>466</v>
      </c>
      <c r="F79" s="67">
        <v>1904590429.3200002</v>
      </c>
      <c r="K79" s="90"/>
      <c r="L79" s="90"/>
      <c r="M79" s="90"/>
      <c r="N79" s="90"/>
    </row>
    <row r="80" spans="1:14" ht="20.25" x14ac:dyDescent="0.3">
      <c r="A80" s="2">
        <v>1</v>
      </c>
      <c r="B80" s="1" t="s">
        <v>977</v>
      </c>
      <c r="C80" s="67">
        <v>296070.87999999989</v>
      </c>
      <c r="D80" s="68">
        <v>11011</v>
      </c>
      <c r="E80" s="69">
        <v>91</v>
      </c>
      <c r="F80" s="80">
        <v>307984169.41999978</v>
      </c>
      <c r="H80" s="4">
        <v>209231.22999999995</v>
      </c>
      <c r="I80" s="4">
        <v>8552</v>
      </c>
      <c r="J80" s="4">
        <v>216853215.43000004</v>
      </c>
    </row>
    <row r="81" spans="1:10" ht="20.25" x14ac:dyDescent="0.3">
      <c r="A81" s="2">
        <v>2</v>
      </c>
      <c r="B81" s="1" t="s">
        <v>884</v>
      </c>
      <c r="C81" s="67">
        <v>46935.01</v>
      </c>
      <c r="D81" s="68">
        <v>1959</v>
      </c>
      <c r="E81" s="69">
        <v>31</v>
      </c>
      <c r="F81" s="80">
        <v>99817914.609999999</v>
      </c>
      <c r="H81" s="4">
        <v>15519.199999999999</v>
      </c>
      <c r="I81" s="4">
        <v>787</v>
      </c>
      <c r="J81" s="4">
        <v>45048314.759999998</v>
      </c>
    </row>
    <row r="82" spans="1:10" ht="20.25" x14ac:dyDescent="0.3">
      <c r="A82" s="2">
        <v>3</v>
      </c>
      <c r="B82" s="1" t="s">
        <v>885</v>
      </c>
      <c r="C82" s="67">
        <v>165373.4</v>
      </c>
      <c r="D82" s="68">
        <v>6045</v>
      </c>
      <c r="E82" s="69">
        <v>59</v>
      </c>
      <c r="F82" s="80">
        <v>231365022.94000003</v>
      </c>
      <c r="H82" s="4">
        <v>55253.150000000009</v>
      </c>
      <c r="I82" s="4">
        <v>2316</v>
      </c>
      <c r="J82" s="4">
        <v>91626897.959999993</v>
      </c>
    </row>
    <row r="83" spans="1:10" ht="20.25" x14ac:dyDescent="0.3">
      <c r="A83" s="2">
        <v>4</v>
      </c>
      <c r="B83" s="1" t="s">
        <v>940</v>
      </c>
      <c r="C83" s="67">
        <v>419649.55999999994</v>
      </c>
      <c r="D83" s="68">
        <v>4613</v>
      </c>
      <c r="E83" s="69">
        <v>61</v>
      </c>
      <c r="F83" s="80">
        <v>413498075.70999992</v>
      </c>
      <c r="H83" s="4">
        <v>26773.05</v>
      </c>
      <c r="I83" s="4">
        <v>869</v>
      </c>
      <c r="J83" s="4">
        <v>44137673.120000005</v>
      </c>
    </row>
    <row r="84" spans="1:10" ht="20.25" x14ac:dyDescent="0.3">
      <c r="A84" s="2">
        <v>5</v>
      </c>
      <c r="B84" s="1" t="s">
        <v>887</v>
      </c>
      <c r="C84" s="67">
        <v>136982.40000000002</v>
      </c>
      <c r="D84" s="68">
        <v>3712</v>
      </c>
      <c r="E84" s="69">
        <v>17</v>
      </c>
      <c r="F84" s="80">
        <v>146860060.34</v>
      </c>
      <c r="H84" s="4">
        <v>13712.7</v>
      </c>
      <c r="I84" s="4">
        <v>336</v>
      </c>
      <c r="J84" s="4">
        <v>21856214.650000002</v>
      </c>
    </row>
    <row r="85" spans="1:10" ht="20.25" x14ac:dyDescent="0.3">
      <c r="A85" s="2">
        <v>6</v>
      </c>
      <c r="B85" s="1" t="s">
        <v>888</v>
      </c>
      <c r="C85" s="67">
        <v>53937.16</v>
      </c>
      <c r="D85" s="68">
        <v>2174</v>
      </c>
      <c r="E85" s="69">
        <v>26</v>
      </c>
      <c r="F85" s="80">
        <v>107004610.82000004</v>
      </c>
      <c r="H85" s="4">
        <v>45913.430000000008</v>
      </c>
      <c r="I85" s="4">
        <v>1959</v>
      </c>
      <c r="J85" s="4">
        <v>51679396.32</v>
      </c>
    </row>
    <row r="86" spans="1:10" ht="20.25" x14ac:dyDescent="0.3">
      <c r="A86" s="2">
        <v>7</v>
      </c>
      <c r="B86" s="1" t="s">
        <v>889</v>
      </c>
      <c r="C86" s="67">
        <v>35250.9</v>
      </c>
      <c r="D86" s="68">
        <v>902</v>
      </c>
      <c r="E86" s="69">
        <v>7</v>
      </c>
      <c r="F86" s="80">
        <v>31580337.110000003</v>
      </c>
      <c r="H86" s="4">
        <v>11170.900000000001</v>
      </c>
      <c r="I86" s="4">
        <v>305</v>
      </c>
      <c r="J86" s="4">
        <v>9890638.1399999987</v>
      </c>
    </row>
    <row r="87" spans="1:10" ht="20.25" x14ac:dyDescent="0.3">
      <c r="A87" s="2">
        <v>8</v>
      </c>
      <c r="B87" s="1" t="s">
        <v>890</v>
      </c>
      <c r="C87" s="67">
        <v>11928.599999999999</v>
      </c>
      <c r="D87" s="68">
        <v>416</v>
      </c>
      <c r="E87" s="69">
        <v>6</v>
      </c>
      <c r="F87" s="80">
        <v>22006421.640000001</v>
      </c>
      <c r="H87" s="4">
        <v>4408.6000000000004</v>
      </c>
      <c r="I87" s="4">
        <v>120</v>
      </c>
      <c r="J87" s="4">
        <v>11422752.699999999</v>
      </c>
    </row>
    <row r="88" spans="1:10" ht="20.25" x14ac:dyDescent="0.3">
      <c r="A88" s="2">
        <v>9</v>
      </c>
      <c r="B88" s="1" t="s">
        <v>891</v>
      </c>
      <c r="C88" s="67">
        <v>11803.32</v>
      </c>
      <c r="D88" s="68">
        <v>483</v>
      </c>
      <c r="E88" s="69">
        <v>4</v>
      </c>
      <c r="F88" s="80">
        <v>13606335.93</v>
      </c>
      <c r="H88" s="4">
        <v>8897</v>
      </c>
      <c r="I88" s="4">
        <v>313</v>
      </c>
      <c r="J88" s="4">
        <v>9642280</v>
      </c>
    </row>
    <row r="89" spans="1:10" ht="20.25" x14ac:dyDescent="0.3">
      <c r="A89" s="2">
        <v>10</v>
      </c>
      <c r="B89" s="1" t="s">
        <v>892</v>
      </c>
      <c r="C89" s="67">
        <v>2782.7</v>
      </c>
      <c r="D89" s="68">
        <v>103</v>
      </c>
      <c r="E89" s="69">
        <v>1</v>
      </c>
      <c r="F89" s="80">
        <v>2579501.7000000002</v>
      </c>
      <c r="H89" s="4">
        <v>804.5</v>
      </c>
      <c r="I89" s="4">
        <v>47</v>
      </c>
      <c r="J89" s="4">
        <v>4369866.08</v>
      </c>
    </row>
    <row r="90" spans="1:10" ht="20.25" x14ac:dyDescent="0.3">
      <c r="A90" s="2">
        <v>11</v>
      </c>
      <c r="B90" s="1" t="s">
        <v>894</v>
      </c>
      <c r="C90" s="67">
        <v>1151.5</v>
      </c>
      <c r="D90" s="68">
        <v>39</v>
      </c>
      <c r="E90" s="69">
        <v>2</v>
      </c>
      <c r="F90" s="80">
        <v>3008567.43</v>
      </c>
      <c r="H90" s="4">
        <v>1070.8</v>
      </c>
      <c r="I90" s="4">
        <v>42</v>
      </c>
      <c r="J90" s="4">
        <v>2936950.21</v>
      </c>
    </row>
    <row r="91" spans="1:10" ht="20.25" x14ac:dyDescent="0.3">
      <c r="A91" s="2">
        <v>12</v>
      </c>
      <c r="B91" s="1" t="s">
        <v>941</v>
      </c>
      <c r="C91" s="67">
        <v>618.29999999999995</v>
      </c>
      <c r="D91" s="68">
        <v>24</v>
      </c>
      <c r="E91" s="69">
        <v>1</v>
      </c>
      <c r="F91" s="80">
        <v>3080948</v>
      </c>
      <c r="H91" s="4">
        <v>1426.8</v>
      </c>
      <c r="I91" s="4">
        <v>72</v>
      </c>
      <c r="J91" s="4">
        <v>2773728.46</v>
      </c>
    </row>
    <row r="92" spans="1:10" ht="20.25" x14ac:dyDescent="0.3">
      <c r="A92" s="2">
        <v>13</v>
      </c>
      <c r="B92" s="1" t="s">
        <v>896</v>
      </c>
      <c r="C92" s="67">
        <v>4097</v>
      </c>
      <c r="D92" s="68">
        <v>158</v>
      </c>
      <c r="E92" s="69">
        <v>1</v>
      </c>
      <c r="F92" s="80">
        <v>2008998.15</v>
      </c>
      <c r="H92" s="4">
        <v>456.6</v>
      </c>
      <c r="I92" s="4">
        <v>26</v>
      </c>
      <c r="J92" s="4">
        <v>2158336.3499999996</v>
      </c>
    </row>
    <row r="93" spans="1:10" ht="20.25" x14ac:dyDescent="0.3">
      <c r="A93" s="2">
        <v>14</v>
      </c>
      <c r="B93" s="1" t="s">
        <v>897</v>
      </c>
      <c r="C93" s="67">
        <v>25999.699999999997</v>
      </c>
      <c r="D93" s="68">
        <v>1189</v>
      </c>
      <c r="E93" s="69">
        <v>16</v>
      </c>
      <c r="F93" s="80">
        <v>57491241.360000007</v>
      </c>
      <c r="H93" s="4">
        <v>3374.6</v>
      </c>
      <c r="I93" s="4">
        <v>144</v>
      </c>
      <c r="J93" s="4">
        <v>2000000</v>
      </c>
    </row>
    <row r="94" spans="1:10" ht="20.25" x14ac:dyDescent="0.3">
      <c r="A94" s="2">
        <v>15</v>
      </c>
      <c r="B94" s="1" t="s">
        <v>898</v>
      </c>
      <c r="C94" s="67">
        <v>12858.21</v>
      </c>
      <c r="D94" s="68">
        <v>844</v>
      </c>
      <c r="E94" s="69">
        <v>10</v>
      </c>
      <c r="F94" s="80">
        <v>26694131.16</v>
      </c>
      <c r="H94" s="4">
        <v>13638.6</v>
      </c>
      <c r="I94" s="4">
        <v>299</v>
      </c>
      <c r="J94" s="4">
        <v>23342011.919999998</v>
      </c>
    </row>
    <row r="95" spans="1:10" ht="20.25" x14ac:dyDescent="0.3">
      <c r="A95" s="2">
        <v>16</v>
      </c>
      <c r="B95" s="1" t="s">
        <v>1357</v>
      </c>
      <c r="C95" s="67">
        <v>1813.6000000000001</v>
      </c>
      <c r="D95" s="68">
        <v>68</v>
      </c>
      <c r="E95" s="69">
        <v>2</v>
      </c>
      <c r="F95" s="80">
        <v>5970247.5199999996</v>
      </c>
      <c r="H95" s="4">
        <v>5759.0999999999995</v>
      </c>
      <c r="I95" s="4">
        <v>215</v>
      </c>
      <c r="J95" s="4">
        <v>12591900</v>
      </c>
    </row>
    <row r="96" spans="1:10" ht="20.25" x14ac:dyDescent="0.3">
      <c r="A96" s="2">
        <v>17</v>
      </c>
      <c r="B96" s="1" t="s">
        <v>899</v>
      </c>
      <c r="C96" s="67">
        <v>768.40000000000009</v>
      </c>
      <c r="D96" s="68">
        <v>34</v>
      </c>
      <c r="E96" s="69">
        <v>2</v>
      </c>
      <c r="F96" s="80">
        <v>1924810.92</v>
      </c>
      <c r="H96" s="4">
        <v>396.2</v>
      </c>
      <c r="I96" s="4">
        <v>21</v>
      </c>
      <c r="J96" s="4">
        <v>1724820</v>
      </c>
    </row>
    <row r="97" spans="1:10" ht="20.25" x14ac:dyDescent="0.3">
      <c r="A97" s="2">
        <v>18</v>
      </c>
      <c r="B97" s="1" t="s">
        <v>942</v>
      </c>
      <c r="C97" s="67">
        <v>924.3</v>
      </c>
      <c r="D97" s="68">
        <v>22</v>
      </c>
      <c r="E97" s="69">
        <v>1</v>
      </c>
      <c r="F97" s="80">
        <v>2192210.02</v>
      </c>
      <c r="H97" s="4">
        <v>1011.8</v>
      </c>
      <c r="I97" s="4">
        <v>26</v>
      </c>
      <c r="J97" s="4">
        <v>1739107.3499999999</v>
      </c>
    </row>
    <row r="98" spans="1:10" ht="20.25" x14ac:dyDescent="0.3">
      <c r="A98" s="2">
        <v>19</v>
      </c>
      <c r="B98" s="1" t="s">
        <v>958</v>
      </c>
      <c r="C98" s="67">
        <v>467.8</v>
      </c>
      <c r="D98" s="68">
        <v>24</v>
      </c>
      <c r="E98" s="69">
        <v>1</v>
      </c>
      <c r="F98" s="80">
        <v>2683618.7999999998</v>
      </c>
      <c r="H98" s="4">
        <v>594.20000000000005</v>
      </c>
      <c r="I98" s="4">
        <v>23</v>
      </c>
      <c r="J98" s="4">
        <v>3373804.98</v>
      </c>
    </row>
    <row r="99" spans="1:10" ht="20.25" x14ac:dyDescent="0.3">
      <c r="A99" s="2">
        <v>20</v>
      </c>
      <c r="B99" s="1" t="s">
        <v>943</v>
      </c>
      <c r="C99" s="67">
        <v>672</v>
      </c>
      <c r="D99" s="68">
        <v>35</v>
      </c>
      <c r="E99" s="69">
        <v>1</v>
      </c>
      <c r="F99" s="80">
        <v>2610900</v>
      </c>
      <c r="H99" s="4">
        <v>594.20000000000005</v>
      </c>
      <c r="I99" s="4">
        <v>23</v>
      </c>
      <c r="J99" s="4">
        <v>3373804.98</v>
      </c>
    </row>
    <row r="100" spans="1:10" ht="20.25" x14ac:dyDescent="0.3">
      <c r="A100" s="2">
        <v>21</v>
      </c>
      <c r="B100" s="1" t="s">
        <v>944</v>
      </c>
      <c r="C100" s="67">
        <v>531.9</v>
      </c>
      <c r="D100" s="68">
        <v>14</v>
      </c>
      <c r="E100" s="69">
        <v>1</v>
      </c>
      <c r="F100" s="80">
        <v>3112313.47</v>
      </c>
      <c r="H100" s="4">
        <v>906.9</v>
      </c>
      <c r="I100" s="4">
        <v>32</v>
      </c>
      <c r="J100" s="4">
        <v>3916350</v>
      </c>
    </row>
    <row r="101" spans="1:10" ht="20.25" x14ac:dyDescent="0.3">
      <c r="A101" s="2">
        <v>22</v>
      </c>
      <c r="B101" s="1" t="s">
        <v>2438</v>
      </c>
      <c r="C101" s="67">
        <v>886.1</v>
      </c>
      <c r="D101" s="68">
        <v>26</v>
      </c>
      <c r="E101" s="69">
        <v>1</v>
      </c>
      <c r="F101" s="80">
        <v>3560912.26</v>
      </c>
      <c r="H101" s="4">
        <v>906.9</v>
      </c>
      <c r="I101" s="4">
        <v>32</v>
      </c>
      <c r="J101" s="4">
        <v>3916350</v>
      </c>
    </row>
    <row r="102" spans="1:10" ht="20.25" x14ac:dyDescent="0.3">
      <c r="A102" s="2">
        <v>23</v>
      </c>
      <c r="B102" s="1" t="s">
        <v>903</v>
      </c>
      <c r="C102" s="67">
        <v>7845.75</v>
      </c>
      <c r="D102" s="68">
        <v>252</v>
      </c>
      <c r="E102" s="69">
        <v>1</v>
      </c>
      <c r="F102" s="80">
        <v>9833014.4500000011</v>
      </c>
      <c r="H102" s="4">
        <v>2184</v>
      </c>
      <c r="I102" s="4">
        <v>57</v>
      </c>
      <c r="J102" s="4">
        <v>3516578.96</v>
      </c>
    </row>
    <row r="103" spans="1:10" ht="20.25" x14ac:dyDescent="0.3">
      <c r="A103" s="2">
        <v>24</v>
      </c>
      <c r="B103" s="1" t="s">
        <v>904</v>
      </c>
      <c r="C103" s="67">
        <v>550.20000000000005</v>
      </c>
      <c r="D103" s="68">
        <v>20</v>
      </c>
      <c r="E103" s="69">
        <v>1</v>
      </c>
      <c r="F103" s="80">
        <v>2537436</v>
      </c>
      <c r="H103" s="4">
        <v>1069.5</v>
      </c>
      <c r="I103" s="4">
        <v>39</v>
      </c>
      <c r="J103" s="4">
        <v>3598749.4899999998</v>
      </c>
    </row>
    <row r="104" spans="1:10" ht="20.25" x14ac:dyDescent="0.3">
      <c r="A104" s="2">
        <v>25</v>
      </c>
      <c r="B104" s="1" t="s">
        <v>945</v>
      </c>
      <c r="C104" s="67">
        <v>10202.299999999999</v>
      </c>
      <c r="D104" s="68">
        <v>360</v>
      </c>
      <c r="E104" s="69">
        <v>4</v>
      </c>
      <c r="F104" s="80">
        <v>7294072.0299999993</v>
      </c>
      <c r="H104" s="4">
        <v>630</v>
      </c>
      <c r="I104" s="4">
        <v>32</v>
      </c>
      <c r="J104" s="4">
        <v>3488946.79</v>
      </c>
    </row>
    <row r="105" spans="1:10" ht="20.25" x14ac:dyDescent="0.3">
      <c r="A105" s="2">
        <v>26</v>
      </c>
      <c r="B105" s="1" t="s">
        <v>905</v>
      </c>
      <c r="C105" s="67">
        <v>846.4</v>
      </c>
      <c r="D105" s="68">
        <v>26</v>
      </c>
      <c r="E105" s="69">
        <v>1</v>
      </c>
      <c r="F105" s="80">
        <v>4024889.9</v>
      </c>
      <c r="H105" s="4">
        <v>626.5</v>
      </c>
      <c r="I105" s="4">
        <v>23</v>
      </c>
      <c r="J105" s="4">
        <v>1538879.17</v>
      </c>
    </row>
    <row r="106" spans="1:10" ht="20.25" x14ac:dyDescent="0.3">
      <c r="A106" s="2">
        <v>27</v>
      </c>
      <c r="B106" s="1" t="s">
        <v>907</v>
      </c>
      <c r="C106" s="67">
        <v>17997.829999999998</v>
      </c>
      <c r="D106" s="68">
        <v>716</v>
      </c>
      <c r="E106" s="69">
        <v>12</v>
      </c>
      <c r="F106" s="80">
        <v>42452497.159999996</v>
      </c>
      <c r="H106" s="4">
        <v>20161.96</v>
      </c>
      <c r="I106" s="4">
        <v>621</v>
      </c>
      <c r="J106" s="4">
        <v>28415186.600000001</v>
      </c>
    </row>
    <row r="107" spans="1:10" ht="20.25" x14ac:dyDescent="0.3">
      <c r="A107" s="2">
        <v>28</v>
      </c>
      <c r="B107" s="1" t="s">
        <v>909</v>
      </c>
      <c r="C107" s="67">
        <v>1443.4</v>
      </c>
      <c r="D107" s="68">
        <v>68</v>
      </c>
      <c r="E107" s="69">
        <v>2</v>
      </c>
      <c r="F107" s="80">
        <v>5513180.9399999995</v>
      </c>
      <c r="H107" s="4">
        <v>1573</v>
      </c>
      <c r="I107" s="4">
        <v>68</v>
      </c>
      <c r="J107" s="4">
        <v>5777967.8699999992</v>
      </c>
    </row>
    <row r="108" spans="1:10" ht="20.25" x14ac:dyDescent="0.3">
      <c r="A108" s="2">
        <v>29</v>
      </c>
      <c r="B108" s="1" t="s">
        <v>911</v>
      </c>
      <c r="C108" s="67">
        <v>1854.1999999999998</v>
      </c>
      <c r="D108" s="68">
        <v>87</v>
      </c>
      <c r="E108" s="69">
        <v>3</v>
      </c>
      <c r="F108" s="80">
        <v>7320616.3300000001</v>
      </c>
      <c r="H108" s="4">
        <v>1266.2</v>
      </c>
      <c r="I108" s="4">
        <v>52</v>
      </c>
      <c r="J108" s="4">
        <v>4715781.71</v>
      </c>
    </row>
    <row r="109" spans="1:10" ht="20.25" x14ac:dyDescent="0.3">
      <c r="A109" s="2">
        <v>30</v>
      </c>
      <c r="B109" s="1" t="s">
        <v>910</v>
      </c>
      <c r="C109" s="67">
        <v>889.09999999999991</v>
      </c>
      <c r="D109" s="68">
        <v>44</v>
      </c>
      <c r="E109" s="69">
        <v>2</v>
      </c>
      <c r="F109" s="80">
        <v>5162888.5</v>
      </c>
      <c r="H109" s="4">
        <v>703.5</v>
      </c>
      <c r="I109" s="4">
        <v>36</v>
      </c>
      <c r="J109" s="4">
        <v>2590114.16</v>
      </c>
    </row>
    <row r="110" spans="1:10" ht="20.25" x14ac:dyDescent="0.3">
      <c r="A110" s="2">
        <v>31</v>
      </c>
      <c r="B110" s="1" t="s">
        <v>946</v>
      </c>
      <c r="C110" s="67">
        <v>1323.09</v>
      </c>
      <c r="D110" s="68">
        <v>68</v>
      </c>
      <c r="E110" s="69">
        <v>2</v>
      </c>
      <c r="F110" s="80">
        <v>6619041.75</v>
      </c>
      <c r="H110" s="4">
        <v>1217.2</v>
      </c>
      <c r="I110" s="4">
        <v>47</v>
      </c>
      <c r="J110" s="4">
        <v>1456533.11</v>
      </c>
    </row>
    <row r="111" spans="1:10" ht="20.25" x14ac:dyDescent="0.3">
      <c r="A111" s="2">
        <v>32</v>
      </c>
      <c r="B111" s="1" t="s">
        <v>908</v>
      </c>
      <c r="C111" s="67">
        <v>804.7</v>
      </c>
      <c r="D111" s="68">
        <v>36</v>
      </c>
      <c r="E111" s="69">
        <v>2</v>
      </c>
      <c r="F111" s="80">
        <v>3151634.72</v>
      </c>
      <c r="H111" s="4">
        <v>1774</v>
      </c>
      <c r="I111" s="4">
        <v>80</v>
      </c>
      <c r="J111" s="4">
        <v>10290828.25</v>
      </c>
    </row>
    <row r="112" spans="1:10" ht="20.25" x14ac:dyDescent="0.3">
      <c r="A112" s="2">
        <v>33</v>
      </c>
      <c r="B112" s="1" t="s">
        <v>912</v>
      </c>
      <c r="C112" s="67">
        <v>6122.7</v>
      </c>
      <c r="D112" s="68">
        <v>226</v>
      </c>
      <c r="E112" s="69">
        <v>8</v>
      </c>
      <c r="F112" s="80">
        <v>25708169.950000003</v>
      </c>
      <c r="H112" s="4">
        <v>609</v>
      </c>
      <c r="I112" s="4">
        <v>31</v>
      </c>
      <c r="J112" s="4">
        <v>3013803.8600000003</v>
      </c>
    </row>
    <row r="113" spans="1:15" ht="20.25" x14ac:dyDescent="0.3">
      <c r="A113" s="2">
        <v>34</v>
      </c>
      <c r="B113" s="1" t="s">
        <v>947</v>
      </c>
      <c r="C113" s="67">
        <v>1222.5999999999999</v>
      </c>
      <c r="D113" s="68">
        <v>66</v>
      </c>
      <c r="E113" s="69">
        <v>3</v>
      </c>
      <c r="F113" s="80">
        <v>2999636.55</v>
      </c>
      <c r="H113" s="4">
        <v>616</v>
      </c>
      <c r="I113" s="4">
        <v>21</v>
      </c>
      <c r="J113" s="4">
        <v>2036502</v>
      </c>
    </row>
    <row r="114" spans="1:15" ht="20.25" x14ac:dyDescent="0.3">
      <c r="A114" s="2">
        <v>35</v>
      </c>
      <c r="B114" s="1" t="s">
        <v>948</v>
      </c>
      <c r="C114" s="67">
        <v>654.5</v>
      </c>
      <c r="D114" s="68">
        <v>32</v>
      </c>
      <c r="E114" s="69">
        <v>1</v>
      </c>
      <c r="F114" s="80">
        <v>3037413.17</v>
      </c>
      <c r="H114" s="4">
        <v>772.9</v>
      </c>
      <c r="I114" s="4">
        <v>32</v>
      </c>
      <c r="J114" s="4">
        <v>3592598.4</v>
      </c>
    </row>
    <row r="115" spans="1:15" ht="20.25" x14ac:dyDescent="0.3">
      <c r="A115" s="2">
        <v>36</v>
      </c>
      <c r="B115" s="1" t="s">
        <v>915</v>
      </c>
      <c r="C115" s="67">
        <v>7388.82</v>
      </c>
      <c r="D115" s="68">
        <v>208</v>
      </c>
      <c r="E115" s="69">
        <v>4</v>
      </c>
      <c r="F115" s="80">
        <v>13139008.529999999</v>
      </c>
      <c r="H115" s="4">
        <v>976.3</v>
      </c>
      <c r="I115" s="4">
        <v>36</v>
      </c>
      <c r="J115" s="4">
        <v>4454195.3999999994</v>
      </c>
    </row>
    <row r="116" spans="1:15" ht="20.25" x14ac:dyDescent="0.3">
      <c r="A116" s="2">
        <v>37</v>
      </c>
      <c r="B116" s="1" t="s">
        <v>2298</v>
      </c>
      <c r="C116" s="67">
        <v>327.60000000000002</v>
      </c>
      <c r="D116" s="68">
        <v>21</v>
      </c>
      <c r="E116" s="69">
        <v>1</v>
      </c>
      <c r="F116" s="80">
        <v>962789.91</v>
      </c>
      <c r="H116" s="4">
        <v>781.7</v>
      </c>
      <c r="I116" s="4">
        <v>25</v>
      </c>
      <c r="J116" s="4">
        <v>4839701.7600000007</v>
      </c>
    </row>
    <row r="117" spans="1:15" ht="20.25" x14ac:dyDescent="0.3">
      <c r="A117" s="2">
        <v>38</v>
      </c>
      <c r="B117" s="1" t="s">
        <v>949</v>
      </c>
      <c r="C117" s="67">
        <v>948.3</v>
      </c>
      <c r="D117" s="68">
        <v>64</v>
      </c>
      <c r="E117" s="69">
        <v>1</v>
      </c>
      <c r="F117" s="80">
        <v>3760087.36</v>
      </c>
      <c r="H117" s="4">
        <v>781.7</v>
      </c>
      <c r="I117" s="4">
        <v>25</v>
      </c>
      <c r="J117" s="4">
        <v>4839701.7600000007</v>
      </c>
    </row>
    <row r="118" spans="1:15" ht="20.25" x14ac:dyDescent="0.3">
      <c r="A118" s="2">
        <v>39</v>
      </c>
      <c r="B118" s="1" t="s">
        <v>916</v>
      </c>
      <c r="C118" s="67">
        <v>779.2</v>
      </c>
      <c r="D118" s="68">
        <v>33</v>
      </c>
      <c r="E118" s="69">
        <v>1</v>
      </c>
      <c r="F118" s="80">
        <v>2964091.65</v>
      </c>
      <c r="H118" s="4">
        <v>792.9</v>
      </c>
      <c r="I118" s="4">
        <v>42</v>
      </c>
      <c r="J118" s="4">
        <v>3231458.3</v>
      </c>
      <c r="K118" s="14"/>
      <c r="L118" s="14"/>
      <c r="M118" s="14"/>
      <c r="N118" s="14"/>
      <c r="O118" s="14"/>
    </row>
    <row r="119" spans="1:15" ht="20.25" x14ac:dyDescent="0.3">
      <c r="A119" s="2">
        <v>40</v>
      </c>
      <c r="B119" s="1" t="s">
        <v>918</v>
      </c>
      <c r="C119" s="67">
        <v>1015.6</v>
      </c>
      <c r="D119" s="68">
        <v>45</v>
      </c>
      <c r="E119" s="69">
        <v>1</v>
      </c>
      <c r="F119" s="80">
        <v>3826397.3</v>
      </c>
      <c r="H119" s="4">
        <v>792.9</v>
      </c>
      <c r="I119" s="4">
        <v>42</v>
      </c>
      <c r="J119" s="4">
        <v>3231458.3</v>
      </c>
    </row>
    <row r="120" spans="1:15" ht="20.25" x14ac:dyDescent="0.3">
      <c r="A120" s="2">
        <v>41</v>
      </c>
      <c r="B120" s="1" t="s">
        <v>924</v>
      </c>
      <c r="C120" s="67">
        <v>23824.84</v>
      </c>
      <c r="D120" s="68">
        <v>837</v>
      </c>
      <c r="E120" s="69">
        <v>4</v>
      </c>
      <c r="F120" s="80">
        <v>27427227.939999998</v>
      </c>
      <c r="H120" s="4">
        <v>9443</v>
      </c>
      <c r="I120" s="4">
        <v>371</v>
      </c>
      <c r="J120" s="4">
        <v>16849360.93</v>
      </c>
    </row>
    <row r="121" spans="1:15" ht="20.25" x14ac:dyDescent="0.3">
      <c r="A121" s="2">
        <v>42</v>
      </c>
      <c r="B121" s="1" t="s">
        <v>950</v>
      </c>
      <c r="C121" s="67">
        <v>1431.7</v>
      </c>
      <c r="D121" s="68">
        <v>54</v>
      </c>
      <c r="E121" s="69">
        <v>2</v>
      </c>
      <c r="F121" s="80">
        <v>5796065.7599999998</v>
      </c>
      <c r="H121" s="4">
        <v>2168.41</v>
      </c>
      <c r="I121" s="4">
        <v>62</v>
      </c>
      <c r="J121" s="4">
        <v>3799734.79</v>
      </c>
    </row>
    <row r="122" spans="1:15" ht="20.25" x14ac:dyDescent="0.3">
      <c r="A122" s="2">
        <v>43</v>
      </c>
      <c r="B122" s="1" t="s">
        <v>919</v>
      </c>
      <c r="C122" s="67">
        <v>13217.54</v>
      </c>
      <c r="D122" s="68">
        <v>505</v>
      </c>
      <c r="E122" s="69">
        <v>5</v>
      </c>
      <c r="F122" s="80">
        <v>21179945.890000001</v>
      </c>
      <c r="H122" s="4">
        <v>540.79999999999995</v>
      </c>
      <c r="I122" s="4">
        <v>15</v>
      </c>
      <c r="J122" s="4">
        <v>3215375.5700000003</v>
      </c>
    </row>
    <row r="123" spans="1:15" ht="20.25" x14ac:dyDescent="0.3">
      <c r="A123" s="2">
        <v>44</v>
      </c>
      <c r="B123" s="1" t="s">
        <v>920</v>
      </c>
      <c r="C123" s="67">
        <v>8831.67</v>
      </c>
      <c r="D123" s="68">
        <v>282</v>
      </c>
      <c r="E123" s="69">
        <v>3</v>
      </c>
      <c r="F123" s="80">
        <v>12690176.640000001</v>
      </c>
      <c r="H123" s="4">
        <v>2550.6999999999998</v>
      </c>
      <c r="I123" s="4">
        <v>119</v>
      </c>
      <c r="J123" s="4">
        <v>10672314.84</v>
      </c>
    </row>
    <row r="124" spans="1:15" ht="20.25" x14ac:dyDescent="0.3">
      <c r="A124" s="2">
        <v>45</v>
      </c>
      <c r="B124" s="1" t="s">
        <v>921</v>
      </c>
      <c r="C124" s="67">
        <v>485.3</v>
      </c>
      <c r="D124" s="68">
        <v>16</v>
      </c>
      <c r="E124" s="69">
        <v>1</v>
      </c>
      <c r="F124" s="80">
        <v>2077656.16</v>
      </c>
      <c r="H124" s="4">
        <v>5727.7</v>
      </c>
      <c r="I124" s="4">
        <v>188</v>
      </c>
      <c r="J124" s="4">
        <v>6053192.4699999997</v>
      </c>
    </row>
    <row r="125" spans="1:15" ht="20.25" x14ac:dyDescent="0.3">
      <c r="A125" s="2">
        <v>46</v>
      </c>
      <c r="B125" s="1" t="s">
        <v>923</v>
      </c>
      <c r="C125" s="67">
        <v>10895.89</v>
      </c>
      <c r="D125" s="68">
        <v>502</v>
      </c>
      <c r="E125" s="69">
        <v>8</v>
      </c>
      <c r="F125" s="80">
        <v>26983289.199999999</v>
      </c>
      <c r="H125" s="4">
        <v>1040.7</v>
      </c>
      <c r="I125" s="4">
        <v>44</v>
      </c>
      <c r="J125" s="4">
        <v>4804056</v>
      </c>
    </row>
    <row r="126" spans="1:15" ht="20.25" x14ac:dyDescent="0.3">
      <c r="A126" s="2">
        <v>47</v>
      </c>
      <c r="B126" s="1" t="s">
        <v>925</v>
      </c>
      <c r="C126" s="67">
        <v>4675.3</v>
      </c>
      <c r="D126" s="68">
        <v>143</v>
      </c>
      <c r="E126" s="69">
        <v>3</v>
      </c>
      <c r="F126" s="80">
        <v>8494956.25</v>
      </c>
      <c r="H126" s="4">
        <v>3554.5</v>
      </c>
      <c r="I126" s="4">
        <v>145</v>
      </c>
      <c r="J126" s="4">
        <v>7284801.9000000004</v>
      </c>
    </row>
    <row r="127" spans="1:15" ht="20.25" x14ac:dyDescent="0.3">
      <c r="A127" s="2">
        <v>48</v>
      </c>
      <c r="B127" s="1" t="s">
        <v>1354</v>
      </c>
      <c r="C127" s="67">
        <v>953.9</v>
      </c>
      <c r="D127" s="68">
        <v>28</v>
      </c>
      <c r="E127" s="69">
        <v>1</v>
      </c>
      <c r="F127" s="80">
        <v>3567998.53</v>
      </c>
      <c r="H127" s="4">
        <v>2640.94</v>
      </c>
      <c r="I127" s="4">
        <v>88</v>
      </c>
      <c r="J127" s="4">
        <v>4011881.02</v>
      </c>
    </row>
    <row r="128" spans="1:15" ht="20.25" x14ac:dyDescent="0.3">
      <c r="A128" s="2">
        <v>49</v>
      </c>
      <c r="B128" s="1" t="s">
        <v>951</v>
      </c>
      <c r="C128" s="67">
        <v>1991.7200000000003</v>
      </c>
      <c r="D128" s="68">
        <v>99</v>
      </c>
      <c r="E128" s="69">
        <v>2</v>
      </c>
      <c r="F128" s="80">
        <v>7040608.0200000005</v>
      </c>
      <c r="H128" s="4">
        <v>4173.7</v>
      </c>
      <c r="I128" s="4">
        <v>171</v>
      </c>
      <c r="J128" s="4">
        <v>6026117.5699999994</v>
      </c>
    </row>
    <row r="129" spans="1:10" ht="20.25" x14ac:dyDescent="0.3">
      <c r="A129" s="2">
        <v>50</v>
      </c>
      <c r="B129" s="1" t="s">
        <v>952</v>
      </c>
      <c r="C129" s="67">
        <v>938.37</v>
      </c>
      <c r="D129" s="68">
        <v>47</v>
      </c>
      <c r="E129" s="69">
        <v>1</v>
      </c>
      <c r="F129" s="80">
        <v>3974620.0799999996</v>
      </c>
      <c r="H129" s="4">
        <v>8514.9</v>
      </c>
      <c r="I129" s="4">
        <v>327</v>
      </c>
      <c r="J129" s="4">
        <v>12459674.15</v>
      </c>
    </row>
    <row r="130" spans="1:10" ht="20.25" x14ac:dyDescent="0.3">
      <c r="A130" s="2">
        <v>51</v>
      </c>
      <c r="B130" s="1" t="s">
        <v>927</v>
      </c>
      <c r="C130" s="67">
        <v>1367.9</v>
      </c>
      <c r="D130" s="68">
        <v>78</v>
      </c>
      <c r="E130" s="69">
        <v>1</v>
      </c>
      <c r="F130" s="80">
        <v>3001841.1700000004</v>
      </c>
      <c r="H130" s="4">
        <v>14680.3</v>
      </c>
      <c r="I130" s="4">
        <v>685</v>
      </c>
      <c r="J130" s="4">
        <v>13993215.270000001</v>
      </c>
    </row>
    <row r="131" spans="1:10" ht="20.25" x14ac:dyDescent="0.3">
      <c r="A131" s="2">
        <v>52</v>
      </c>
      <c r="B131" s="1" t="s">
        <v>963</v>
      </c>
      <c r="C131" s="67">
        <v>676.3</v>
      </c>
      <c r="D131" s="68">
        <v>32</v>
      </c>
      <c r="E131" s="69">
        <v>1</v>
      </c>
      <c r="F131" s="80">
        <v>2594808.33</v>
      </c>
      <c r="H131" s="4">
        <v>4947</v>
      </c>
      <c r="I131" s="4">
        <v>164</v>
      </c>
      <c r="J131" s="4">
        <v>9221698.8000000007</v>
      </c>
    </row>
    <row r="132" spans="1:10" ht="20.25" x14ac:dyDescent="0.3">
      <c r="A132" s="2">
        <v>53</v>
      </c>
      <c r="B132" s="1" t="s">
        <v>928</v>
      </c>
      <c r="C132" s="67">
        <v>4397.6899999999996</v>
      </c>
      <c r="D132" s="68">
        <v>167</v>
      </c>
      <c r="E132" s="69">
        <v>3</v>
      </c>
      <c r="F132" s="80">
        <v>12428636.060000001</v>
      </c>
      <c r="H132" s="4">
        <v>726</v>
      </c>
      <c r="I132" s="4">
        <v>28</v>
      </c>
      <c r="J132" s="4">
        <v>3623929.1999999997</v>
      </c>
    </row>
    <row r="133" spans="1:10" ht="20.25" x14ac:dyDescent="0.3">
      <c r="A133" s="2">
        <v>54</v>
      </c>
      <c r="B133" s="1" t="s">
        <v>953</v>
      </c>
      <c r="C133" s="67">
        <v>8018.76</v>
      </c>
      <c r="D133" s="68">
        <v>440</v>
      </c>
      <c r="E133" s="69">
        <v>5</v>
      </c>
      <c r="F133" s="80">
        <v>18337846.370000001</v>
      </c>
      <c r="H133" s="4">
        <v>675.9</v>
      </c>
      <c r="I133" s="4">
        <v>32</v>
      </c>
      <c r="J133" s="4">
        <v>3080862</v>
      </c>
    </row>
    <row r="134" spans="1:10" ht="20.25" x14ac:dyDescent="0.3">
      <c r="A134" s="2">
        <v>55</v>
      </c>
      <c r="B134" s="1" t="s">
        <v>929</v>
      </c>
      <c r="C134" s="67">
        <v>22450.780000000002</v>
      </c>
      <c r="D134" s="68">
        <v>905</v>
      </c>
      <c r="E134" s="69">
        <v>6</v>
      </c>
      <c r="F134" s="80">
        <v>32249890.369999997</v>
      </c>
      <c r="H134" s="4">
        <v>611.5</v>
      </c>
      <c r="I134" s="4">
        <v>28</v>
      </c>
      <c r="J134" s="4">
        <v>2610892.59</v>
      </c>
    </row>
    <row r="135" spans="1:10" ht="20.25" x14ac:dyDescent="0.3">
      <c r="A135" s="2">
        <v>56</v>
      </c>
      <c r="B135" s="1" t="s">
        <v>930</v>
      </c>
      <c r="C135" s="67">
        <v>4721.28</v>
      </c>
      <c r="D135" s="68">
        <v>152</v>
      </c>
      <c r="E135" s="69">
        <v>3</v>
      </c>
      <c r="F135" s="80">
        <v>14837581.219999999</v>
      </c>
      <c r="H135" s="4">
        <v>789</v>
      </c>
      <c r="I135" s="4">
        <v>64</v>
      </c>
      <c r="J135" s="4">
        <v>3026194.08</v>
      </c>
    </row>
    <row r="136" spans="1:10" ht="20.25" x14ac:dyDescent="0.3">
      <c r="A136" s="2">
        <v>57</v>
      </c>
      <c r="B136" s="1" t="s">
        <v>932</v>
      </c>
      <c r="C136" s="67">
        <v>708.1</v>
      </c>
      <c r="D136" s="68">
        <v>42</v>
      </c>
      <c r="E136" s="69">
        <v>1</v>
      </c>
      <c r="F136" s="80">
        <v>3029954.81</v>
      </c>
      <c r="H136" s="4">
        <v>351</v>
      </c>
      <c r="I136" s="4">
        <v>18</v>
      </c>
      <c r="J136" s="4">
        <v>3600600</v>
      </c>
    </row>
    <row r="137" spans="1:10" ht="20.25" x14ac:dyDescent="0.3">
      <c r="A137" s="2">
        <v>58</v>
      </c>
      <c r="B137" s="1" t="s">
        <v>954</v>
      </c>
      <c r="C137" s="67">
        <v>788.3</v>
      </c>
      <c r="D137" s="68">
        <v>16</v>
      </c>
      <c r="E137" s="69">
        <v>1</v>
      </c>
      <c r="F137" s="80">
        <v>4784142.67</v>
      </c>
      <c r="H137" s="4">
        <v>351</v>
      </c>
      <c r="I137" s="4">
        <v>18</v>
      </c>
      <c r="J137" s="4">
        <v>3600600</v>
      </c>
    </row>
    <row r="138" spans="1:10" ht="20.25" x14ac:dyDescent="0.3">
      <c r="A138" s="2">
        <v>59</v>
      </c>
      <c r="B138" s="1" t="s">
        <v>933</v>
      </c>
      <c r="C138" s="67">
        <v>758.5</v>
      </c>
      <c r="D138" s="68">
        <v>31</v>
      </c>
      <c r="E138" s="69">
        <v>1</v>
      </c>
      <c r="F138" s="80">
        <v>877727.45000000007</v>
      </c>
      <c r="H138" s="4">
        <v>626</v>
      </c>
      <c r="I138" s="4">
        <v>23</v>
      </c>
      <c r="J138" s="4">
        <v>1917600</v>
      </c>
    </row>
    <row r="139" spans="1:10" ht="20.25" x14ac:dyDescent="0.3">
      <c r="A139" s="2">
        <v>60</v>
      </c>
      <c r="B139" s="1" t="s">
        <v>955</v>
      </c>
      <c r="C139" s="67">
        <v>707.1</v>
      </c>
      <c r="D139" s="68">
        <v>16</v>
      </c>
      <c r="E139" s="69">
        <v>1</v>
      </c>
      <c r="F139" s="80">
        <v>3108475.73</v>
      </c>
    </row>
    <row r="140" spans="1:10" ht="20.25" x14ac:dyDescent="0.3">
      <c r="A140" s="2">
        <v>61</v>
      </c>
      <c r="B140" s="1" t="s">
        <v>934</v>
      </c>
      <c r="C140" s="67">
        <v>3679.7</v>
      </c>
      <c r="D140" s="68">
        <v>153</v>
      </c>
      <c r="E140" s="69">
        <v>5</v>
      </c>
      <c r="F140" s="80">
        <v>10682268.789999999</v>
      </c>
    </row>
    <row r="141" spans="1:10" ht="20.25" x14ac:dyDescent="0.3">
      <c r="A141" s="2">
        <v>62</v>
      </c>
      <c r="B141" s="1" t="s">
        <v>935</v>
      </c>
      <c r="C141" s="67">
        <v>1492</v>
      </c>
      <c r="D141" s="68">
        <v>70</v>
      </c>
      <c r="E141" s="69">
        <v>1</v>
      </c>
      <c r="F141" s="80">
        <v>2165953.36</v>
      </c>
    </row>
    <row r="142" spans="1:10" ht="20.25" x14ac:dyDescent="0.3">
      <c r="A142" s="2">
        <v>63</v>
      </c>
      <c r="B142" s="1" t="s">
        <v>956</v>
      </c>
      <c r="C142" s="67">
        <v>834.7</v>
      </c>
      <c r="D142" s="68">
        <v>56</v>
      </c>
      <c r="E142" s="69">
        <v>1</v>
      </c>
      <c r="F142" s="80">
        <v>4822502.0600000005</v>
      </c>
    </row>
    <row r="143" spans="1:10" ht="20.25" x14ac:dyDescent="0.3">
      <c r="A143" s="2">
        <v>64</v>
      </c>
      <c r="B143" s="1" t="s">
        <v>936</v>
      </c>
      <c r="C143" s="67">
        <v>350.9</v>
      </c>
      <c r="D143" s="68">
        <v>18</v>
      </c>
      <c r="E143" s="69">
        <v>1</v>
      </c>
      <c r="F143" s="80">
        <v>1387689.7000000002</v>
      </c>
    </row>
    <row r="144" spans="1:10" ht="20.25" x14ac:dyDescent="0.3">
      <c r="A144" s="2">
        <v>65</v>
      </c>
      <c r="B144" s="1" t="s">
        <v>938</v>
      </c>
      <c r="C144" s="67">
        <v>7837.28</v>
      </c>
      <c r="D144" s="68">
        <v>373</v>
      </c>
      <c r="E144" s="69">
        <v>7</v>
      </c>
      <c r="F144" s="80">
        <v>18400776.5</v>
      </c>
    </row>
    <row r="145" spans="1:10" ht="20.25" x14ac:dyDescent="0.3">
      <c r="A145" s="2">
        <v>66</v>
      </c>
      <c r="B145" s="1" t="s">
        <v>939</v>
      </c>
      <c r="C145" s="67">
        <v>2986.5999999999995</v>
      </c>
      <c r="D145" s="68">
        <v>122</v>
      </c>
      <c r="E145" s="69">
        <v>4</v>
      </c>
      <c r="F145" s="80">
        <v>8045705.7599999988</v>
      </c>
    </row>
    <row r="146" spans="1:10" ht="20.25" x14ac:dyDescent="0.3">
      <c r="A146" s="2">
        <v>67</v>
      </c>
      <c r="B146" s="1" t="s">
        <v>957</v>
      </c>
      <c r="C146" s="67">
        <v>791.9</v>
      </c>
      <c r="D146" s="68">
        <v>27</v>
      </c>
      <c r="E146" s="69">
        <v>1</v>
      </c>
      <c r="F146" s="80">
        <v>3417127.3200000003</v>
      </c>
    </row>
    <row r="147" spans="1:10" ht="20.25" x14ac:dyDescent="0.3">
      <c r="A147" s="2">
        <v>68</v>
      </c>
      <c r="B147" s="1" t="s">
        <v>964</v>
      </c>
      <c r="C147" s="67">
        <v>212.1</v>
      </c>
      <c r="D147" s="68">
        <v>7</v>
      </c>
      <c r="E147" s="69">
        <v>1</v>
      </c>
      <c r="F147" s="80">
        <v>236741.66999999998</v>
      </c>
    </row>
    <row r="148" spans="1:10" ht="20.25" x14ac:dyDescent="0.3">
      <c r="A148" s="1" t="s">
        <v>747</v>
      </c>
      <c r="B148" s="10"/>
      <c r="C148" s="67">
        <v>496947.41999999993</v>
      </c>
      <c r="D148" s="68">
        <v>20235</v>
      </c>
      <c r="E148" s="68">
        <f>SUM(E149:E206)</f>
        <v>223</v>
      </c>
      <c r="F148" s="67">
        <v>811229658.27999985</v>
      </c>
      <c r="H148" s="4">
        <v>715.9</v>
      </c>
      <c r="I148" s="4">
        <v>16</v>
      </c>
      <c r="J148" s="4">
        <v>3396600</v>
      </c>
    </row>
    <row r="149" spans="1:10" ht="20.25" x14ac:dyDescent="0.3">
      <c r="A149" s="2">
        <v>1</v>
      </c>
      <c r="B149" s="1" t="s">
        <v>977</v>
      </c>
      <c r="C149" s="67">
        <v>216494.09999999986</v>
      </c>
      <c r="D149" s="68">
        <v>9040</v>
      </c>
      <c r="E149" s="164">
        <v>70</v>
      </c>
      <c r="F149" s="80">
        <v>266927665.74999997</v>
      </c>
      <c r="H149" s="4">
        <v>209231.22999999995</v>
      </c>
      <c r="I149" s="4">
        <v>8552</v>
      </c>
      <c r="J149" s="4">
        <v>216853215.43000004</v>
      </c>
    </row>
    <row r="150" spans="1:10" ht="20.25" x14ac:dyDescent="0.3">
      <c r="A150" s="2">
        <v>2</v>
      </c>
      <c r="B150" s="1" t="s">
        <v>884</v>
      </c>
      <c r="C150" s="67">
        <v>14992.5</v>
      </c>
      <c r="D150" s="68">
        <v>773</v>
      </c>
      <c r="E150" s="69">
        <v>14</v>
      </c>
      <c r="F150" s="80">
        <v>44764760.649999999</v>
      </c>
      <c r="H150" s="4">
        <v>15519.199999999999</v>
      </c>
      <c r="I150" s="4">
        <v>787</v>
      </c>
      <c r="J150" s="4">
        <v>45048314.759999998</v>
      </c>
    </row>
    <row r="151" spans="1:10" ht="20.25" x14ac:dyDescent="0.3">
      <c r="A151" s="2">
        <v>3</v>
      </c>
      <c r="B151" s="1" t="s">
        <v>885</v>
      </c>
      <c r="C151" s="67">
        <v>38453.350000000006</v>
      </c>
      <c r="D151" s="68">
        <v>1662</v>
      </c>
      <c r="E151" s="69">
        <v>24</v>
      </c>
      <c r="F151" s="80">
        <v>79793906.129999995</v>
      </c>
      <c r="H151" s="4">
        <v>55253.150000000009</v>
      </c>
      <c r="I151" s="4">
        <v>2316</v>
      </c>
      <c r="J151" s="4">
        <v>91626897.959999993</v>
      </c>
    </row>
    <row r="152" spans="1:10" ht="20.25" x14ac:dyDescent="0.3">
      <c r="A152" s="2">
        <v>4</v>
      </c>
      <c r="B152" s="83" t="s">
        <v>886</v>
      </c>
      <c r="C152" s="67">
        <v>17828.41</v>
      </c>
      <c r="D152" s="68">
        <v>526</v>
      </c>
      <c r="E152" s="69">
        <v>10</v>
      </c>
      <c r="F152" s="80">
        <v>37956499.130000003</v>
      </c>
      <c r="H152" s="4">
        <v>26773.05</v>
      </c>
      <c r="I152" s="4">
        <v>869</v>
      </c>
      <c r="J152" s="4">
        <v>44137673.120000005</v>
      </c>
    </row>
    <row r="153" spans="1:10" ht="20.25" x14ac:dyDescent="0.3">
      <c r="A153" s="2">
        <v>5</v>
      </c>
      <c r="B153" s="1" t="s">
        <v>887</v>
      </c>
      <c r="C153" s="67">
        <v>13712.699999999999</v>
      </c>
      <c r="D153" s="68">
        <v>547</v>
      </c>
      <c r="E153" s="69">
        <v>2</v>
      </c>
      <c r="F153" s="80">
        <v>21856214.649999999</v>
      </c>
      <c r="H153" s="4">
        <v>13712.7</v>
      </c>
      <c r="I153" s="4">
        <v>336</v>
      </c>
      <c r="J153" s="4">
        <v>21856214.650000002</v>
      </c>
    </row>
    <row r="154" spans="1:10" ht="20.25" x14ac:dyDescent="0.3">
      <c r="A154" s="2">
        <v>6</v>
      </c>
      <c r="B154" s="1" t="s">
        <v>888</v>
      </c>
      <c r="C154" s="67">
        <v>44403.5</v>
      </c>
      <c r="D154" s="68">
        <v>1743</v>
      </c>
      <c r="E154" s="69">
        <v>8</v>
      </c>
      <c r="F154" s="80">
        <v>51599396.32</v>
      </c>
      <c r="H154" s="4">
        <v>45913.430000000008</v>
      </c>
      <c r="I154" s="4">
        <v>1959</v>
      </c>
      <c r="J154" s="4">
        <v>51679396.32</v>
      </c>
    </row>
    <row r="155" spans="1:10" ht="20.25" x14ac:dyDescent="0.3">
      <c r="A155" s="2">
        <v>7</v>
      </c>
      <c r="B155" s="1" t="s">
        <v>889</v>
      </c>
      <c r="C155" s="67">
        <v>6151.9</v>
      </c>
      <c r="D155" s="68">
        <v>158</v>
      </c>
      <c r="E155" s="69">
        <v>2</v>
      </c>
      <c r="F155" s="80">
        <v>5663822.2999999998</v>
      </c>
      <c r="H155" s="4">
        <v>11170.900000000001</v>
      </c>
      <c r="I155" s="4">
        <v>305</v>
      </c>
      <c r="J155" s="4">
        <v>9890638.1399999987</v>
      </c>
    </row>
    <row r="156" spans="1:10" ht="20.25" x14ac:dyDescent="0.3">
      <c r="A156" s="2">
        <v>8</v>
      </c>
      <c r="B156" s="1" t="s">
        <v>890</v>
      </c>
      <c r="C156" s="67">
        <v>8048.2000000000007</v>
      </c>
      <c r="D156" s="68">
        <v>328</v>
      </c>
      <c r="E156" s="69">
        <v>3</v>
      </c>
      <c r="F156" s="80">
        <v>7120486.3999999994</v>
      </c>
      <c r="H156" s="4">
        <v>4408.6000000000004</v>
      </c>
      <c r="I156" s="4">
        <v>120</v>
      </c>
      <c r="J156" s="4">
        <v>11422752.699999999</v>
      </c>
    </row>
    <row r="157" spans="1:10" ht="20.25" x14ac:dyDescent="0.3">
      <c r="A157" s="2">
        <v>9</v>
      </c>
      <c r="B157" s="1" t="s">
        <v>891</v>
      </c>
      <c r="C157" s="67">
        <v>6442.65</v>
      </c>
      <c r="D157" s="68">
        <v>188</v>
      </c>
      <c r="E157" s="69">
        <v>2</v>
      </c>
      <c r="F157" s="80">
        <v>8756823</v>
      </c>
      <c r="H157" s="4">
        <v>8897</v>
      </c>
      <c r="I157" s="4">
        <v>313</v>
      </c>
      <c r="J157" s="4">
        <v>9642280</v>
      </c>
    </row>
    <row r="158" spans="1:10" ht="20.25" x14ac:dyDescent="0.3">
      <c r="A158" s="2">
        <v>10</v>
      </c>
      <c r="B158" s="1" t="s">
        <v>892</v>
      </c>
      <c r="C158" s="67">
        <v>1801.1</v>
      </c>
      <c r="D158" s="68">
        <v>87</v>
      </c>
      <c r="E158" s="69">
        <v>1</v>
      </c>
      <c r="F158" s="80">
        <v>4369866.08</v>
      </c>
      <c r="H158" s="4">
        <v>804.5</v>
      </c>
      <c r="I158" s="4">
        <v>47</v>
      </c>
      <c r="J158" s="4">
        <v>4369866.08</v>
      </c>
    </row>
    <row r="159" spans="1:10" ht="20.25" x14ac:dyDescent="0.3">
      <c r="A159" s="2">
        <v>11</v>
      </c>
      <c r="B159" s="1" t="s">
        <v>893</v>
      </c>
      <c r="C159" s="67">
        <v>1070.8</v>
      </c>
      <c r="D159" s="68">
        <v>57</v>
      </c>
      <c r="E159" s="69">
        <v>1</v>
      </c>
      <c r="F159" s="80">
        <v>2936950.21</v>
      </c>
      <c r="H159" s="4">
        <v>1070.8</v>
      </c>
      <c r="I159" s="4">
        <v>42</v>
      </c>
      <c r="J159" s="4">
        <v>2936950.21</v>
      </c>
    </row>
    <row r="160" spans="1:10" ht="20.25" x14ac:dyDescent="0.3">
      <c r="A160" s="2">
        <v>12</v>
      </c>
      <c r="B160" s="1" t="s">
        <v>894</v>
      </c>
      <c r="C160" s="67">
        <v>1547.1</v>
      </c>
      <c r="D160" s="68">
        <v>72</v>
      </c>
      <c r="E160" s="69">
        <v>2</v>
      </c>
      <c r="F160" s="80">
        <v>2773728.46</v>
      </c>
      <c r="H160" s="4">
        <v>1426.8</v>
      </c>
      <c r="I160" s="4">
        <v>72</v>
      </c>
      <c r="J160" s="4">
        <v>2773728.46</v>
      </c>
    </row>
    <row r="161" spans="1:10" ht="20.25" x14ac:dyDescent="0.3">
      <c r="A161" s="2">
        <v>13</v>
      </c>
      <c r="B161" s="1" t="s">
        <v>895</v>
      </c>
      <c r="C161" s="67">
        <v>520.79999999999995</v>
      </c>
      <c r="D161" s="68">
        <v>32</v>
      </c>
      <c r="E161" s="69">
        <v>1</v>
      </c>
      <c r="F161" s="80">
        <v>2158336.3499999996</v>
      </c>
      <c r="H161" s="4">
        <v>456.6</v>
      </c>
      <c r="I161" s="4">
        <v>26</v>
      </c>
      <c r="J161" s="4">
        <v>2158336.3499999996</v>
      </c>
    </row>
    <row r="162" spans="1:10" ht="20.25" x14ac:dyDescent="0.3">
      <c r="A162" s="2">
        <v>14</v>
      </c>
      <c r="B162" s="1" t="s">
        <v>896</v>
      </c>
      <c r="C162" s="67">
        <v>3156.2</v>
      </c>
      <c r="D162" s="68">
        <v>151</v>
      </c>
      <c r="E162" s="69">
        <v>1</v>
      </c>
      <c r="F162" s="80">
        <v>2000000</v>
      </c>
      <c r="H162" s="4">
        <v>3374.6</v>
      </c>
      <c r="I162" s="4">
        <v>144</v>
      </c>
      <c r="J162" s="4">
        <v>2000000</v>
      </c>
    </row>
    <row r="163" spans="1:10" ht="20.25" x14ac:dyDescent="0.3">
      <c r="A163" s="2">
        <v>15</v>
      </c>
      <c r="B163" s="1" t="s">
        <v>897</v>
      </c>
      <c r="C163" s="67">
        <v>11171.599999999999</v>
      </c>
      <c r="D163" s="68">
        <v>563</v>
      </c>
      <c r="E163" s="69">
        <v>6</v>
      </c>
      <c r="F163" s="80">
        <v>19139362.629999999</v>
      </c>
      <c r="H163" s="4">
        <v>13638.6</v>
      </c>
      <c r="I163" s="4">
        <v>299</v>
      </c>
      <c r="J163" s="4">
        <v>23342011.919999998</v>
      </c>
    </row>
    <row r="164" spans="1:10" ht="20.25" x14ac:dyDescent="0.3">
      <c r="A164" s="2">
        <v>16</v>
      </c>
      <c r="B164" s="1" t="s">
        <v>898</v>
      </c>
      <c r="C164" s="67">
        <v>6105.4</v>
      </c>
      <c r="D164" s="68">
        <v>226</v>
      </c>
      <c r="E164" s="69">
        <v>3</v>
      </c>
      <c r="F164" s="80">
        <v>13813074.67</v>
      </c>
      <c r="H164" s="4">
        <v>5759.0999999999995</v>
      </c>
      <c r="I164" s="4">
        <v>215</v>
      </c>
      <c r="J164" s="4">
        <v>12591900</v>
      </c>
    </row>
    <row r="165" spans="1:10" ht="20.25" x14ac:dyDescent="0.3">
      <c r="A165" s="2">
        <v>17</v>
      </c>
      <c r="B165" s="1" t="s">
        <v>899</v>
      </c>
      <c r="C165" s="67">
        <v>396.2</v>
      </c>
      <c r="D165" s="68">
        <v>20</v>
      </c>
      <c r="E165" s="69">
        <v>1</v>
      </c>
      <c r="F165" s="80">
        <v>1724820</v>
      </c>
      <c r="H165" s="4">
        <v>396.2</v>
      </c>
      <c r="I165" s="4">
        <v>21</v>
      </c>
      <c r="J165" s="4">
        <v>1724820</v>
      </c>
    </row>
    <row r="166" spans="1:10" ht="20.25" x14ac:dyDescent="0.3">
      <c r="A166" s="2">
        <v>18</v>
      </c>
      <c r="B166" s="1" t="s">
        <v>900</v>
      </c>
      <c r="C166" s="67">
        <v>1011.8</v>
      </c>
      <c r="D166" s="68">
        <v>36</v>
      </c>
      <c r="E166" s="69">
        <v>1</v>
      </c>
      <c r="F166" s="80">
        <v>1739107.3499999999</v>
      </c>
      <c r="H166" s="4">
        <v>1011.8</v>
      </c>
      <c r="I166" s="4">
        <v>26</v>
      </c>
      <c r="J166" s="4">
        <v>1739107.3499999999</v>
      </c>
    </row>
    <row r="167" spans="1:10" ht="20.25" x14ac:dyDescent="0.3">
      <c r="A167" s="2">
        <v>19</v>
      </c>
      <c r="B167" s="1" t="s">
        <v>901</v>
      </c>
      <c r="C167" s="67">
        <v>594.20000000000005</v>
      </c>
      <c r="D167" s="68">
        <v>21</v>
      </c>
      <c r="E167" s="69">
        <v>1</v>
      </c>
      <c r="F167" s="80">
        <v>3373804.98</v>
      </c>
      <c r="H167" s="4">
        <v>594.20000000000005</v>
      </c>
      <c r="I167" s="4">
        <v>23</v>
      </c>
      <c r="J167" s="4">
        <v>3373804.98</v>
      </c>
    </row>
    <row r="168" spans="1:10" ht="20.25" x14ac:dyDescent="0.3">
      <c r="A168" s="2">
        <v>20</v>
      </c>
      <c r="B168" s="1" t="s">
        <v>902</v>
      </c>
      <c r="C168" s="67">
        <v>1532.1</v>
      </c>
      <c r="D168" s="68">
        <v>39</v>
      </c>
      <c r="E168" s="69">
        <v>2</v>
      </c>
      <c r="F168" s="80">
        <v>3916350</v>
      </c>
      <c r="H168" s="4">
        <v>906.9</v>
      </c>
      <c r="I168" s="4">
        <v>32</v>
      </c>
      <c r="J168" s="4">
        <v>3916350</v>
      </c>
    </row>
    <row r="169" spans="1:10" ht="20.25" x14ac:dyDescent="0.3">
      <c r="A169" s="2">
        <v>21</v>
      </c>
      <c r="B169" s="1" t="s">
        <v>903</v>
      </c>
      <c r="C169" s="67">
        <v>2184</v>
      </c>
      <c r="D169" s="68">
        <v>61</v>
      </c>
      <c r="E169" s="69">
        <v>2</v>
      </c>
      <c r="F169" s="80">
        <v>3516578.96</v>
      </c>
      <c r="H169" s="4">
        <v>2184</v>
      </c>
      <c r="I169" s="4">
        <v>57</v>
      </c>
      <c r="J169" s="4">
        <v>3516578.96</v>
      </c>
    </row>
    <row r="170" spans="1:10" ht="20.25" x14ac:dyDescent="0.3">
      <c r="A170" s="2">
        <v>22</v>
      </c>
      <c r="B170" s="1" t="s">
        <v>904</v>
      </c>
      <c r="C170" s="67">
        <v>1069.5</v>
      </c>
      <c r="D170" s="68">
        <v>34</v>
      </c>
      <c r="E170" s="69">
        <v>1</v>
      </c>
      <c r="F170" s="80">
        <v>3598749.4899999998</v>
      </c>
      <c r="H170" s="4">
        <v>1069.5</v>
      </c>
      <c r="I170" s="4">
        <v>39</v>
      </c>
      <c r="J170" s="4">
        <v>3598749.4899999998</v>
      </c>
    </row>
    <row r="171" spans="1:10" ht="20.25" x14ac:dyDescent="0.3">
      <c r="A171" s="2">
        <v>23</v>
      </c>
      <c r="B171" s="1" t="s">
        <v>905</v>
      </c>
      <c r="C171" s="67">
        <v>667.4</v>
      </c>
      <c r="D171" s="68">
        <v>32</v>
      </c>
      <c r="E171" s="69">
        <v>1</v>
      </c>
      <c r="F171" s="80">
        <v>1925593.0499999998</v>
      </c>
      <c r="H171" s="4">
        <v>630</v>
      </c>
      <c r="I171" s="4">
        <v>32</v>
      </c>
      <c r="J171" s="4">
        <v>3488946.79</v>
      </c>
    </row>
    <row r="172" spans="1:10" ht="20.25" x14ac:dyDescent="0.3">
      <c r="A172" s="2">
        <v>24</v>
      </c>
      <c r="B172" s="1" t="s">
        <v>906</v>
      </c>
      <c r="C172" s="67">
        <v>569.20000000000005</v>
      </c>
      <c r="D172" s="68">
        <v>29</v>
      </c>
      <c r="E172" s="69">
        <v>1</v>
      </c>
      <c r="F172" s="80">
        <v>1538879.17</v>
      </c>
      <c r="H172" s="4">
        <v>626.5</v>
      </c>
      <c r="I172" s="4">
        <v>23</v>
      </c>
      <c r="J172" s="4">
        <v>1538879.17</v>
      </c>
    </row>
    <row r="173" spans="1:10" ht="20.25" x14ac:dyDescent="0.3">
      <c r="A173" s="2">
        <v>25</v>
      </c>
      <c r="B173" s="1" t="s">
        <v>907</v>
      </c>
      <c r="C173" s="67">
        <v>14681.960000000001</v>
      </c>
      <c r="D173" s="68">
        <v>474</v>
      </c>
      <c r="E173" s="69">
        <v>6</v>
      </c>
      <c r="F173" s="80">
        <v>29402856.009999998</v>
      </c>
      <c r="H173" s="4">
        <v>20161.96</v>
      </c>
      <c r="I173" s="4">
        <v>621</v>
      </c>
      <c r="J173" s="4">
        <v>28415186.600000001</v>
      </c>
    </row>
    <row r="174" spans="1:10" ht="20.25" x14ac:dyDescent="0.3">
      <c r="A174" s="2">
        <v>26</v>
      </c>
      <c r="B174" s="1" t="s">
        <v>908</v>
      </c>
      <c r="C174" s="67">
        <v>1573</v>
      </c>
      <c r="D174" s="68">
        <v>86</v>
      </c>
      <c r="E174" s="69">
        <v>2</v>
      </c>
      <c r="F174" s="80">
        <v>5380655.7999999998</v>
      </c>
      <c r="H174" s="4">
        <v>1573</v>
      </c>
      <c r="I174" s="4">
        <v>68</v>
      </c>
      <c r="J174" s="4">
        <v>5777967.8699999992</v>
      </c>
    </row>
    <row r="175" spans="1:10" ht="20.25" x14ac:dyDescent="0.3">
      <c r="A175" s="2">
        <v>27</v>
      </c>
      <c r="B175" s="1" t="s">
        <v>909</v>
      </c>
      <c r="C175" s="67">
        <v>1266.2</v>
      </c>
      <c r="D175" s="68">
        <v>63</v>
      </c>
      <c r="E175" s="69">
        <v>3</v>
      </c>
      <c r="F175" s="80">
        <v>5206292.58</v>
      </c>
      <c r="H175" s="4">
        <v>1266.2</v>
      </c>
      <c r="I175" s="4">
        <v>52</v>
      </c>
      <c r="J175" s="4">
        <v>4715781.71</v>
      </c>
    </row>
    <row r="176" spans="1:10" ht="20.25" x14ac:dyDescent="0.3">
      <c r="A176" s="2">
        <v>28</v>
      </c>
      <c r="B176" s="1" t="s">
        <v>910</v>
      </c>
      <c r="C176" s="67">
        <v>666.5</v>
      </c>
      <c r="D176" s="68">
        <v>37</v>
      </c>
      <c r="E176" s="69">
        <v>2</v>
      </c>
      <c r="F176" s="80">
        <v>2957426.2299999995</v>
      </c>
      <c r="H176" s="4">
        <v>703.5</v>
      </c>
      <c r="I176" s="4">
        <v>36</v>
      </c>
      <c r="J176" s="4">
        <v>2590114.16</v>
      </c>
    </row>
    <row r="177" spans="1:10" ht="20.25" x14ac:dyDescent="0.3">
      <c r="A177" s="2">
        <v>29</v>
      </c>
      <c r="B177" s="1" t="s">
        <v>911</v>
      </c>
      <c r="C177" s="67">
        <v>1217.2</v>
      </c>
      <c r="D177" s="68">
        <v>47</v>
      </c>
      <c r="E177" s="69">
        <v>1</v>
      </c>
      <c r="F177" s="80">
        <v>1486533.11</v>
      </c>
      <c r="H177" s="4">
        <v>1217.2</v>
      </c>
      <c r="I177" s="4">
        <v>47</v>
      </c>
      <c r="J177" s="4">
        <v>1456533.11</v>
      </c>
    </row>
    <row r="178" spans="1:10" ht="20.25" x14ac:dyDescent="0.3">
      <c r="A178" s="2">
        <v>30</v>
      </c>
      <c r="B178" s="1" t="s">
        <v>912</v>
      </c>
      <c r="C178" s="67">
        <v>1774</v>
      </c>
      <c r="D178" s="68">
        <v>80</v>
      </c>
      <c r="E178" s="69">
        <v>3</v>
      </c>
      <c r="F178" s="80">
        <v>10290828.25</v>
      </c>
      <c r="H178" s="4">
        <v>1774</v>
      </c>
      <c r="I178" s="4">
        <v>80</v>
      </c>
      <c r="J178" s="4">
        <v>10290828.25</v>
      </c>
    </row>
    <row r="179" spans="1:10" ht="20.25" x14ac:dyDescent="0.3">
      <c r="A179" s="2">
        <v>31</v>
      </c>
      <c r="B179" s="1" t="s">
        <v>913</v>
      </c>
      <c r="C179" s="67">
        <v>609</v>
      </c>
      <c r="D179" s="68">
        <v>32</v>
      </c>
      <c r="E179" s="69">
        <v>1</v>
      </c>
      <c r="F179" s="80">
        <v>3013803.8600000003</v>
      </c>
      <c r="H179" s="4">
        <v>609</v>
      </c>
      <c r="I179" s="4">
        <v>31</v>
      </c>
      <c r="J179" s="4">
        <v>3013803.8600000003</v>
      </c>
    </row>
    <row r="180" spans="1:10" ht="20.25" x14ac:dyDescent="0.3">
      <c r="A180" s="2">
        <v>32</v>
      </c>
      <c r="B180" s="1" t="s">
        <v>914</v>
      </c>
      <c r="C180" s="67">
        <v>616.20000000000005</v>
      </c>
      <c r="D180" s="68">
        <v>21</v>
      </c>
      <c r="E180" s="69">
        <v>1</v>
      </c>
      <c r="F180" s="80">
        <v>2036502</v>
      </c>
      <c r="H180" s="4">
        <v>616</v>
      </c>
      <c r="I180" s="4">
        <v>21</v>
      </c>
      <c r="J180" s="4">
        <v>2036502</v>
      </c>
    </row>
    <row r="181" spans="1:10" ht="20.25" x14ac:dyDescent="0.3">
      <c r="A181" s="2">
        <v>33</v>
      </c>
      <c r="B181" s="1" t="s">
        <v>915</v>
      </c>
      <c r="C181" s="67">
        <v>772.9</v>
      </c>
      <c r="D181" s="68">
        <v>30</v>
      </c>
      <c r="E181" s="69">
        <v>1</v>
      </c>
      <c r="F181" s="80">
        <v>3592598.4</v>
      </c>
      <c r="H181" s="4">
        <v>772.9</v>
      </c>
      <c r="I181" s="4">
        <v>32</v>
      </c>
      <c r="J181" s="4">
        <v>3592598.4</v>
      </c>
    </row>
    <row r="182" spans="1:10" ht="20.25" x14ac:dyDescent="0.3">
      <c r="A182" s="2">
        <v>34</v>
      </c>
      <c r="B182" s="1" t="s">
        <v>916</v>
      </c>
      <c r="C182" s="67">
        <v>976.3</v>
      </c>
      <c r="D182" s="68">
        <v>36</v>
      </c>
      <c r="E182" s="69">
        <v>1</v>
      </c>
      <c r="F182" s="80">
        <v>4454195.3999999994</v>
      </c>
      <c r="H182" s="4">
        <v>976.3</v>
      </c>
      <c r="I182" s="4">
        <v>36</v>
      </c>
      <c r="J182" s="4">
        <v>4454195.3999999994</v>
      </c>
    </row>
    <row r="183" spans="1:10" ht="20.25" x14ac:dyDescent="0.3">
      <c r="A183" s="2">
        <v>35</v>
      </c>
      <c r="B183" s="1" t="s">
        <v>917</v>
      </c>
      <c r="C183" s="67">
        <v>781.7</v>
      </c>
      <c r="D183" s="68">
        <v>40</v>
      </c>
      <c r="E183" s="69">
        <v>1</v>
      </c>
      <c r="F183" s="80">
        <v>5304624.57</v>
      </c>
      <c r="H183" s="4">
        <v>781.7</v>
      </c>
      <c r="I183" s="4">
        <v>25</v>
      </c>
      <c r="J183" s="4">
        <v>4839701.7600000007</v>
      </c>
    </row>
    <row r="184" spans="1:10" ht="20.25" x14ac:dyDescent="0.3">
      <c r="A184" s="2">
        <v>36</v>
      </c>
      <c r="B184" s="1" t="s">
        <v>918</v>
      </c>
      <c r="C184" s="67">
        <v>736.7</v>
      </c>
      <c r="D184" s="68">
        <v>41</v>
      </c>
      <c r="E184" s="69">
        <v>1</v>
      </c>
      <c r="F184" s="80">
        <v>3231458.3</v>
      </c>
      <c r="H184" s="4">
        <v>792.9</v>
      </c>
      <c r="I184" s="4">
        <v>42</v>
      </c>
      <c r="J184" s="4">
        <v>3231458.3</v>
      </c>
    </row>
    <row r="185" spans="1:10" ht="20.25" x14ac:dyDescent="0.3">
      <c r="A185" s="2">
        <v>37</v>
      </c>
      <c r="B185" s="1" t="s">
        <v>919</v>
      </c>
      <c r="C185" s="67">
        <v>12250.7</v>
      </c>
      <c r="D185" s="68">
        <v>563</v>
      </c>
      <c r="E185" s="69">
        <v>4</v>
      </c>
      <c r="F185" s="80">
        <v>21660267.710000001</v>
      </c>
      <c r="H185" s="4">
        <v>9443</v>
      </c>
      <c r="I185" s="4">
        <v>371</v>
      </c>
      <c r="J185" s="4">
        <v>16849360.93</v>
      </c>
    </row>
    <row r="186" spans="1:10" ht="20.25" x14ac:dyDescent="0.3">
      <c r="A186" s="2">
        <v>38</v>
      </c>
      <c r="B186" s="1" t="s">
        <v>920</v>
      </c>
      <c r="C186" s="67">
        <v>2168.41</v>
      </c>
      <c r="D186" s="68">
        <v>63</v>
      </c>
      <c r="E186" s="69">
        <v>1</v>
      </c>
      <c r="F186" s="80">
        <v>3221353.3</v>
      </c>
      <c r="H186" s="4">
        <v>2168.41</v>
      </c>
      <c r="I186" s="4">
        <v>62</v>
      </c>
      <c r="J186" s="4">
        <v>3799734.79</v>
      </c>
    </row>
    <row r="187" spans="1:10" ht="20.25" x14ac:dyDescent="0.3">
      <c r="A187" s="2">
        <v>39</v>
      </c>
      <c r="B187" s="1" t="s">
        <v>921</v>
      </c>
      <c r="C187" s="67">
        <v>780.3</v>
      </c>
      <c r="D187" s="68">
        <v>40</v>
      </c>
      <c r="E187" s="69">
        <v>1</v>
      </c>
      <c r="F187" s="80">
        <v>2580625.15</v>
      </c>
      <c r="H187" s="4">
        <v>780.3</v>
      </c>
      <c r="I187" s="4">
        <v>24</v>
      </c>
      <c r="J187" s="4">
        <v>2311215.4500000002</v>
      </c>
    </row>
    <row r="188" spans="1:10" ht="20.25" x14ac:dyDescent="0.3">
      <c r="A188" s="2">
        <v>40</v>
      </c>
      <c r="B188" s="1" t="s">
        <v>922</v>
      </c>
      <c r="C188" s="67">
        <v>540.79999999999995</v>
      </c>
      <c r="D188" s="68">
        <v>26</v>
      </c>
      <c r="E188" s="69">
        <v>1</v>
      </c>
      <c r="F188" s="80">
        <v>3215375.5700000003</v>
      </c>
      <c r="H188" s="4">
        <v>540.79999999999995</v>
      </c>
      <c r="I188" s="4">
        <v>15</v>
      </c>
      <c r="J188" s="4">
        <v>3215375.5700000003</v>
      </c>
    </row>
    <row r="189" spans="1:10" ht="20.25" x14ac:dyDescent="0.3">
      <c r="A189" s="2">
        <v>41</v>
      </c>
      <c r="B189" s="1" t="s">
        <v>923</v>
      </c>
      <c r="C189" s="67">
        <v>2550.6999999999998</v>
      </c>
      <c r="D189" s="68">
        <v>140</v>
      </c>
      <c r="E189" s="69">
        <v>3</v>
      </c>
      <c r="F189" s="80">
        <v>10672314.84</v>
      </c>
      <c r="H189" s="4">
        <v>2550.6999999999998</v>
      </c>
      <c r="I189" s="4">
        <v>119</v>
      </c>
      <c r="J189" s="4">
        <v>10672314.84</v>
      </c>
    </row>
    <row r="190" spans="1:10" ht="20.25" x14ac:dyDescent="0.3">
      <c r="A190" s="2">
        <v>42</v>
      </c>
      <c r="B190" s="1" t="s">
        <v>924</v>
      </c>
      <c r="C190" s="67">
        <v>5523</v>
      </c>
      <c r="D190" s="68">
        <v>208</v>
      </c>
      <c r="E190" s="69">
        <v>1</v>
      </c>
      <c r="F190" s="80">
        <v>3962770.8299999996</v>
      </c>
      <c r="H190" s="4">
        <v>5727.7</v>
      </c>
      <c r="I190" s="4">
        <v>188</v>
      </c>
      <c r="J190" s="4">
        <v>6053192.4699999997</v>
      </c>
    </row>
    <row r="191" spans="1:10" ht="20.25" x14ac:dyDescent="0.3">
      <c r="A191" s="2">
        <v>43</v>
      </c>
      <c r="B191" s="1" t="s">
        <v>925</v>
      </c>
      <c r="C191" s="67">
        <v>1046.8</v>
      </c>
      <c r="D191" s="68">
        <v>44</v>
      </c>
      <c r="E191" s="69">
        <v>1</v>
      </c>
      <c r="F191" s="80">
        <v>5841301.9000000004</v>
      </c>
      <c r="H191" s="4">
        <v>1040.7</v>
      </c>
      <c r="I191" s="4">
        <v>44</v>
      </c>
      <c r="J191" s="4">
        <v>4804056</v>
      </c>
    </row>
    <row r="192" spans="1:10" ht="20.25" x14ac:dyDescent="0.3">
      <c r="A192" s="2">
        <v>44</v>
      </c>
      <c r="B192" s="1" t="s">
        <v>926</v>
      </c>
      <c r="C192" s="67">
        <v>3554.5</v>
      </c>
      <c r="D192" s="68">
        <v>158</v>
      </c>
      <c r="E192" s="69">
        <v>1</v>
      </c>
      <c r="F192" s="80">
        <v>7297176.4800000004</v>
      </c>
      <c r="H192" s="4">
        <v>3554.5</v>
      </c>
      <c r="I192" s="4">
        <v>145</v>
      </c>
      <c r="J192" s="4">
        <v>7284801.9000000004</v>
      </c>
    </row>
    <row r="193" spans="1:11" ht="20.25" x14ac:dyDescent="0.3">
      <c r="A193" s="2">
        <v>45</v>
      </c>
      <c r="B193" s="1" t="s">
        <v>927</v>
      </c>
      <c r="C193" s="67">
        <v>2640.94</v>
      </c>
      <c r="D193" s="68">
        <v>92</v>
      </c>
      <c r="E193" s="69">
        <v>2</v>
      </c>
      <c r="F193" s="80">
        <v>4011881.02</v>
      </c>
      <c r="H193" s="4">
        <v>2640.94</v>
      </c>
      <c r="I193" s="4">
        <v>88</v>
      </c>
      <c r="J193" s="4">
        <v>4011881.02</v>
      </c>
    </row>
    <row r="194" spans="1:11" ht="20.25" x14ac:dyDescent="0.3">
      <c r="A194" s="2">
        <v>46</v>
      </c>
      <c r="B194" s="1" t="s">
        <v>928</v>
      </c>
      <c r="C194" s="67">
        <v>3872.1</v>
      </c>
      <c r="D194" s="68">
        <v>163</v>
      </c>
      <c r="E194" s="69">
        <v>3</v>
      </c>
      <c r="F194" s="80">
        <v>6079528.0199999996</v>
      </c>
      <c r="H194" s="4">
        <v>4173.7</v>
      </c>
      <c r="I194" s="4">
        <v>171</v>
      </c>
      <c r="J194" s="4">
        <v>6026117.5699999994</v>
      </c>
    </row>
    <row r="195" spans="1:11" ht="20.25" x14ac:dyDescent="0.3">
      <c r="A195" s="2">
        <v>47</v>
      </c>
      <c r="B195" s="1" t="s">
        <v>953</v>
      </c>
      <c r="C195" s="67">
        <v>13642.179999999998</v>
      </c>
      <c r="D195" s="68">
        <v>462</v>
      </c>
      <c r="E195" s="69">
        <v>3</v>
      </c>
      <c r="F195" s="80">
        <v>12459674.15</v>
      </c>
      <c r="H195" s="4">
        <v>8514.9</v>
      </c>
      <c r="I195" s="4">
        <v>327</v>
      </c>
      <c r="J195" s="4">
        <v>12459674.15</v>
      </c>
    </row>
    <row r="196" spans="1:11" ht="20.25" x14ac:dyDescent="0.3">
      <c r="A196" s="2">
        <v>48</v>
      </c>
      <c r="B196" s="1" t="s">
        <v>929</v>
      </c>
      <c r="C196" s="67">
        <v>5318.7099999999991</v>
      </c>
      <c r="D196" s="68">
        <v>278</v>
      </c>
      <c r="E196" s="69">
        <v>3</v>
      </c>
      <c r="F196" s="80">
        <v>8976986.379999999</v>
      </c>
      <c r="H196" s="4">
        <v>14680.3</v>
      </c>
      <c r="I196" s="4">
        <v>685</v>
      </c>
      <c r="J196" s="4">
        <v>13993215.270000001</v>
      </c>
    </row>
    <row r="197" spans="1:11" ht="20.25" x14ac:dyDescent="0.3">
      <c r="A197" s="2">
        <v>49</v>
      </c>
      <c r="B197" s="1" t="s">
        <v>930</v>
      </c>
      <c r="C197" s="67">
        <v>5101.2</v>
      </c>
      <c r="D197" s="68">
        <v>130</v>
      </c>
      <c r="E197" s="69">
        <v>2</v>
      </c>
      <c r="F197" s="80">
        <v>9221698.8000000007</v>
      </c>
      <c r="H197" s="4">
        <v>4947</v>
      </c>
      <c r="I197" s="4">
        <v>164</v>
      </c>
      <c r="J197" s="4">
        <v>9221698.8000000007</v>
      </c>
    </row>
    <row r="198" spans="1:11" ht="20.25" x14ac:dyDescent="0.3">
      <c r="A198" s="2">
        <v>50</v>
      </c>
      <c r="B198" s="1" t="s">
        <v>931</v>
      </c>
      <c r="C198" s="67">
        <v>783.81</v>
      </c>
      <c r="D198" s="68">
        <v>16</v>
      </c>
      <c r="E198" s="69">
        <v>1</v>
      </c>
      <c r="F198" s="80">
        <v>3623929.1999999997</v>
      </c>
      <c r="H198" s="4">
        <v>726</v>
      </c>
      <c r="I198" s="4">
        <v>28</v>
      </c>
      <c r="J198" s="4">
        <v>3623929.1999999997</v>
      </c>
    </row>
    <row r="199" spans="1:11" ht="20.25" x14ac:dyDescent="0.3">
      <c r="A199" s="2">
        <v>51</v>
      </c>
      <c r="B199" s="1" t="s">
        <v>932</v>
      </c>
      <c r="C199" s="67">
        <v>680.2</v>
      </c>
      <c r="D199" s="68">
        <v>33</v>
      </c>
      <c r="E199" s="69">
        <v>1</v>
      </c>
      <c r="F199" s="80">
        <v>3080862</v>
      </c>
      <c r="H199" s="4">
        <v>675.9</v>
      </c>
      <c r="I199" s="4">
        <v>32</v>
      </c>
      <c r="J199" s="4">
        <v>3080862</v>
      </c>
    </row>
    <row r="200" spans="1:11" ht="20.25" x14ac:dyDescent="0.3">
      <c r="A200" s="2">
        <v>52</v>
      </c>
      <c r="B200" s="1" t="s">
        <v>933</v>
      </c>
      <c r="C200" s="67">
        <v>646.4</v>
      </c>
      <c r="D200" s="68">
        <v>15</v>
      </c>
      <c r="E200" s="69">
        <v>2</v>
      </c>
      <c r="F200" s="80">
        <v>2610892.59</v>
      </c>
      <c r="H200" s="4">
        <v>611.5</v>
      </c>
      <c r="I200" s="4">
        <v>28</v>
      </c>
      <c r="J200" s="4">
        <v>2610892.59</v>
      </c>
    </row>
    <row r="201" spans="1:11" ht="20.25" x14ac:dyDescent="0.3">
      <c r="A201" s="2">
        <v>53</v>
      </c>
      <c r="B201" s="1" t="s">
        <v>934</v>
      </c>
      <c r="C201" s="67">
        <v>2009.6000000000001</v>
      </c>
      <c r="D201" s="68">
        <v>65</v>
      </c>
      <c r="E201" s="69">
        <v>3</v>
      </c>
      <c r="F201" s="80">
        <v>6332416.4000000004</v>
      </c>
      <c r="H201" s="4">
        <v>2373.5</v>
      </c>
      <c r="I201" s="4">
        <v>77</v>
      </c>
      <c r="J201" s="4">
        <v>6332416.4000000004</v>
      </c>
    </row>
    <row r="202" spans="1:11" ht="20.25" x14ac:dyDescent="0.3">
      <c r="A202" s="2">
        <v>54</v>
      </c>
      <c r="B202" s="1" t="s">
        <v>935</v>
      </c>
      <c r="C202" s="67">
        <v>814.6</v>
      </c>
      <c r="D202" s="68">
        <v>26</v>
      </c>
      <c r="E202" s="69">
        <v>1</v>
      </c>
      <c r="F202" s="80">
        <v>3434659.7399999998</v>
      </c>
      <c r="H202" s="4">
        <v>789</v>
      </c>
      <c r="I202" s="4">
        <v>64</v>
      </c>
      <c r="J202" s="4">
        <v>3026194.08</v>
      </c>
    </row>
    <row r="203" spans="1:11" ht="20.25" x14ac:dyDescent="0.3">
      <c r="A203" s="2">
        <v>55</v>
      </c>
      <c r="B203" s="1" t="s">
        <v>936</v>
      </c>
      <c r="C203" s="67">
        <v>1047.5</v>
      </c>
      <c r="D203" s="68">
        <v>55</v>
      </c>
      <c r="E203" s="69">
        <v>1</v>
      </c>
      <c r="F203" s="80">
        <v>3600600</v>
      </c>
      <c r="H203" s="4">
        <v>351</v>
      </c>
      <c r="I203" s="4">
        <v>18</v>
      </c>
      <c r="J203" s="4">
        <v>3600600</v>
      </c>
    </row>
    <row r="204" spans="1:11" ht="20.25" x14ac:dyDescent="0.3">
      <c r="A204" s="2">
        <v>56</v>
      </c>
      <c r="B204" s="1" t="s">
        <v>937</v>
      </c>
      <c r="C204" s="67">
        <v>626</v>
      </c>
      <c r="D204" s="68">
        <v>31</v>
      </c>
      <c r="E204" s="69">
        <v>1</v>
      </c>
      <c r="F204" s="80">
        <v>2233993.96</v>
      </c>
      <c r="H204" s="4">
        <v>626</v>
      </c>
      <c r="I204" s="4">
        <v>23</v>
      </c>
      <c r="J204" s="4">
        <v>1917600</v>
      </c>
    </row>
    <row r="205" spans="1:11" ht="20.25" x14ac:dyDescent="0.3">
      <c r="A205" s="2">
        <v>57</v>
      </c>
      <c r="B205" s="1" t="s">
        <v>938</v>
      </c>
      <c r="C205" s="67">
        <v>4977.3999999999996</v>
      </c>
      <c r="D205" s="68">
        <v>180</v>
      </c>
      <c r="E205" s="69">
        <v>3</v>
      </c>
      <c r="F205" s="80">
        <v>14392200</v>
      </c>
      <c r="H205" s="4">
        <v>4977.8</v>
      </c>
      <c r="I205" s="4">
        <v>158</v>
      </c>
      <c r="J205" s="4">
        <v>14392200</v>
      </c>
    </row>
    <row r="206" spans="1:11" ht="20.25" x14ac:dyDescent="0.3">
      <c r="A206" s="2">
        <v>58</v>
      </c>
      <c r="B206" s="1" t="s">
        <v>939</v>
      </c>
      <c r="C206" s="67">
        <v>775.2</v>
      </c>
      <c r="D206" s="68">
        <v>35</v>
      </c>
      <c r="E206" s="69">
        <v>1</v>
      </c>
      <c r="F206" s="80">
        <v>3396600</v>
      </c>
    </row>
    <row r="207" spans="1:11" ht="71.25" customHeight="1" x14ac:dyDescent="0.25">
      <c r="A207" s="385" t="s">
        <v>1655</v>
      </c>
      <c r="B207" s="385"/>
      <c r="C207" s="385"/>
      <c r="D207" s="385"/>
      <c r="E207" s="385"/>
      <c r="F207" s="385"/>
    </row>
    <row r="208" spans="1:11" ht="18.75" x14ac:dyDescent="0.3">
      <c r="A208" s="386" t="s">
        <v>2427</v>
      </c>
      <c r="B208" s="387"/>
      <c r="C208" s="388">
        <f>C209+C213</f>
        <v>5923.7</v>
      </c>
      <c r="D208" s="389">
        <f>D209+D213</f>
        <v>240</v>
      </c>
      <c r="E208" s="389">
        <f>E209+E213</f>
        <v>6</v>
      </c>
      <c r="F208" s="388">
        <v>16375999.73</v>
      </c>
      <c r="K208" s="90"/>
    </row>
    <row r="209" spans="1:11" ht="18.75" x14ac:dyDescent="0.3">
      <c r="A209" s="386" t="s">
        <v>1653</v>
      </c>
      <c r="B209" s="387"/>
      <c r="C209" s="388">
        <f>SUM(C210:C212)</f>
        <v>3182.5</v>
      </c>
      <c r="D209" s="389">
        <f>SUM(D210:D212)</f>
        <v>134</v>
      </c>
      <c r="E209" s="389">
        <f>SUM(E210:E212)</f>
        <v>3</v>
      </c>
      <c r="F209" s="388">
        <v>7034201.7300000004</v>
      </c>
      <c r="K209" s="90"/>
    </row>
    <row r="210" spans="1:11" ht="20.25" x14ac:dyDescent="0.3">
      <c r="A210" s="390">
        <v>1</v>
      </c>
      <c r="B210" s="1" t="s">
        <v>938</v>
      </c>
      <c r="C210" s="80">
        <v>522.9</v>
      </c>
      <c r="D210" s="69">
        <v>31</v>
      </c>
      <c r="E210" s="69">
        <v>1</v>
      </c>
      <c r="F210" s="80">
        <v>1836114.4000000001</v>
      </c>
      <c r="K210" s="90"/>
    </row>
    <row r="211" spans="1:11" ht="20.25" x14ac:dyDescent="0.3">
      <c r="A211" s="390">
        <v>2</v>
      </c>
      <c r="B211" s="1" t="s">
        <v>888</v>
      </c>
      <c r="C211" s="80">
        <v>1826</v>
      </c>
      <c r="D211" s="69">
        <v>73</v>
      </c>
      <c r="E211" s="69">
        <v>1</v>
      </c>
      <c r="F211" s="80">
        <v>2643881</v>
      </c>
      <c r="K211" s="90"/>
    </row>
    <row r="212" spans="1:11" ht="20.25" x14ac:dyDescent="0.3">
      <c r="A212" s="390">
        <v>3</v>
      </c>
      <c r="B212" s="1" t="s">
        <v>902</v>
      </c>
      <c r="C212" s="80">
        <v>833.6</v>
      </c>
      <c r="D212" s="69">
        <v>30</v>
      </c>
      <c r="E212" s="69">
        <v>1</v>
      </c>
      <c r="F212" s="80">
        <v>2554206.33</v>
      </c>
      <c r="K212" s="90"/>
    </row>
    <row r="213" spans="1:11" ht="18.75" x14ac:dyDescent="0.3">
      <c r="A213" s="386" t="s">
        <v>2426</v>
      </c>
      <c r="B213" s="387"/>
      <c r="C213" s="388">
        <f>SUM(C214:C216)</f>
        <v>2741.2</v>
      </c>
      <c r="D213" s="389">
        <f>SUM(D214:D216)</f>
        <v>106</v>
      </c>
      <c r="E213" s="389">
        <f>SUM(E214:E216)</f>
        <v>3</v>
      </c>
      <c r="F213" s="388">
        <v>9341798</v>
      </c>
      <c r="K213" s="90"/>
    </row>
    <row r="214" spans="1:11" ht="20.25" x14ac:dyDescent="0.3">
      <c r="A214" s="390">
        <v>1</v>
      </c>
      <c r="B214" s="1" t="s">
        <v>1557</v>
      </c>
      <c r="C214" s="80">
        <v>833.7</v>
      </c>
      <c r="D214" s="69">
        <v>33</v>
      </c>
      <c r="E214" s="69">
        <v>1</v>
      </c>
      <c r="F214" s="80">
        <v>2859178</v>
      </c>
      <c r="K214" s="90"/>
    </row>
    <row r="215" spans="1:11" ht="20.25" x14ac:dyDescent="0.3">
      <c r="A215" s="390">
        <v>2</v>
      </c>
      <c r="B215" s="1" t="s">
        <v>925</v>
      </c>
      <c r="C215" s="80">
        <v>944.3</v>
      </c>
      <c r="D215" s="69">
        <v>39</v>
      </c>
      <c r="E215" s="69">
        <v>1</v>
      </c>
      <c r="F215" s="80">
        <v>3670630</v>
      </c>
      <c r="K215" s="90"/>
    </row>
    <row r="216" spans="1:11" ht="20.25" x14ac:dyDescent="0.3">
      <c r="A216" s="390">
        <v>3</v>
      </c>
      <c r="B216" s="1" t="s">
        <v>903</v>
      </c>
      <c r="C216" s="80">
        <v>963.2</v>
      </c>
      <c r="D216" s="69">
        <v>34</v>
      </c>
      <c r="E216" s="69">
        <v>1</v>
      </c>
      <c r="F216" s="80">
        <v>2811990</v>
      </c>
      <c r="K216" s="90"/>
    </row>
    <row r="217" spans="1:11" ht="72.75" customHeight="1" x14ac:dyDescent="0.25">
      <c r="A217" s="391" t="s">
        <v>1893</v>
      </c>
      <c r="B217" s="392"/>
      <c r="C217" s="392"/>
      <c r="D217" s="392"/>
      <c r="E217" s="392"/>
      <c r="F217" s="393"/>
    </row>
    <row r="218" spans="1:11" ht="18.75" x14ac:dyDescent="0.3">
      <c r="A218" s="386" t="s">
        <v>2427</v>
      </c>
      <c r="B218" s="387"/>
      <c r="C218" s="388">
        <v>17769.8</v>
      </c>
      <c r="D218" s="389">
        <v>804</v>
      </c>
      <c r="E218" s="389">
        <f>E219+E223</f>
        <v>10</v>
      </c>
      <c r="F218" s="388">
        <f>F219+F223</f>
        <v>37797766.310000002</v>
      </c>
      <c r="K218" s="90"/>
    </row>
    <row r="219" spans="1:11" ht="18.75" x14ac:dyDescent="0.3">
      <c r="A219" s="386" t="s">
        <v>1894</v>
      </c>
      <c r="B219" s="387"/>
      <c r="C219" s="388">
        <v>9484.2999999999993</v>
      </c>
      <c r="D219" s="389">
        <v>424</v>
      </c>
      <c r="E219" s="389">
        <f>SUM(E220:E222)</f>
        <v>5</v>
      </c>
      <c r="F219" s="388">
        <v>17288357.709999997</v>
      </c>
    </row>
    <row r="220" spans="1:11" ht="20.25" x14ac:dyDescent="0.3">
      <c r="A220" s="390">
        <v>1</v>
      </c>
      <c r="B220" s="1" t="s">
        <v>912</v>
      </c>
      <c r="C220" s="80">
        <v>7491.9</v>
      </c>
      <c r="D220" s="69">
        <v>356</v>
      </c>
      <c r="E220" s="69">
        <v>3</v>
      </c>
      <c r="F220" s="80">
        <v>13535253.609999999</v>
      </c>
    </row>
    <row r="221" spans="1:11" ht="20.25" x14ac:dyDescent="0.3">
      <c r="A221" s="390">
        <v>2</v>
      </c>
      <c r="B221" s="1" t="s">
        <v>908</v>
      </c>
      <c r="C221" s="80">
        <v>1298.5999999999999</v>
      </c>
      <c r="D221" s="69">
        <v>47</v>
      </c>
      <c r="E221" s="69">
        <v>1</v>
      </c>
      <c r="F221" s="80">
        <v>1806013.41</v>
      </c>
    </row>
    <row r="222" spans="1:11" ht="20.25" x14ac:dyDescent="0.3">
      <c r="A222" s="390">
        <v>3</v>
      </c>
      <c r="B222" s="1" t="s">
        <v>960</v>
      </c>
      <c r="C222" s="80">
        <v>693.8</v>
      </c>
      <c r="D222" s="69">
        <v>21</v>
      </c>
      <c r="E222" s="69">
        <v>1</v>
      </c>
      <c r="F222" s="80">
        <v>1947090.69</v>
      </c>
    </row>
    <row r="223" spans="1:11" ht="18.75" x14ac:dyDescent="0.3">
      <c r="A223" s="386" t="s">
        <v>2716</v>
      </c>
      <c r="B223" s="387"/>
      <c r="C223" s="388">
        <v>8285.5</v>
      </c>
      <c r="D223" s="389">
        <v>380</v>
      </c>
      <c r="E223" s="389">
        <f t="shared" ref="D223:F223" si="0">SUM(E224:E226)</f>
        <v>5</v>
      </c>
      <c r="F223" s="388">
        <f t="shared" si="0"/>
        <v>20509408.600000001</v>
      </c>
    </row>
    <row r="224" spans="1:11" ht="20.25" x14ac:dyDescent="0.3">
      <c r="A224" s="390">
        <v>1</v>
      </c>
      <c r="B224" s="1" t="s">
        <v>898</v>
      </c>
      <c r="C224" s="80">
        <v>7352.4</v>
      </c>
      <c r="D224" s="69">
        <v>330</v>
      </c>
      <c r="E224" s="69">
        <v>3</v>
      </c>
      <c r="F224" s="80">
        <v>15848198.850000001</v>
      </c>
    </row>
    <row r="225" spans="1:6" ht="20.25" x14ac:dyDescent="0.3">
      <c r="A225" s="390">
        <v>2</v>
      </c>
      <c r="B225" s="1" t="s">
        <v>899</v>
      </c>
      <c r="C225" s="80">
        <v>594.6</v>
      </c>
      <c r="D225" s="69">
        <v>23</v>
      </c>
      <c r="E225" s="69">
        <v>1</v>
      </c>
      <c r="F225" s="80">
        <v>2814864.3</v>
      </c>
    </row>
    <row r="226" spans="1:6" ht="20.25" x14ac:dyDescent="0.3">
      <c r="A226" s="390">
        <v>3</v>
      </c>
      <c r="B226" s="1" t="s">
        <v>885</v>
      </c>
      <c r="C226" s="80">
        <v>338.5</v>
      </c>
      <c r="D226" s="69">
        <v>27</v>
      </c>
      <c r="E226" s="69">
        <v>1</v>
      </c>
      <c r="F226" s="80">
        <v>1846345.45</v>
      </c>
    </row>
    <row r="227" spans="1:6" x14ac:dyDescent="0.25">
      <c r="F227" s="90"/>
    </row>
    <row r="228" spans="1:6" x14ac:dyDescent="0.25">
      <c r="F228" s="90"/>
    </row>
    <row r="229" spans="1:6" x14ac:dyDescent="0.25">
      <c r="F229" s="90"/>
    </row>
    <row r="230" spans="1:6" x14ac:dyDescent="0.25">
      <c r="F230" s="90"/>
    </row>
    <row r="231" spans="1:6" x14ac:dyDescent="0.25">
      <c r="F231" s="107"/>
    </row>
    <row r="232" spans="1:6" x14ac:dyDescent="0.25">
      <c r="F232" s="107">
        <f>SUBTOTAL(9,F227:F231)</f>
        <v>0</v>
      </c>
    </row>
    <row r="233" spans="1:6" x14ac:dyDescent="0.25">
      <c r="F233" s="107"/>
    </row>
    <row r="234" spans="1:6" x14ac:dyDescent="0.25">
      <c r="F234" s="107"/>
    </row>
    <row r="235" spans="1:6" x14ac:dyDescent="0.25">
      <c r="F235" s="107"/>
    </row>
  </sheetData>
  <autoFilter ref="A9:K212" xr:uid="{00000000-0009-0000-0000-000003000000}"/>
  <mergeCells count="17">
    <mergeCell ref="A223:B223"/>
    <mergeCell ref="A218:B218"/>
    <mergeCell ref="A217:F217"/>
    <mergeCell ref="A219:B219"/>
    <mergeCell ref="A207:F207"/>
    <mergeCell ref="A209:B209"/>
    <mergeCell ref="E1:F1"/>
    <mergeCell ref="D2:F2"/>
    <mergeCell ref="A3:F4"/>
    <mergeCell ref="A5:A8"/>
    <mergeCell ref="B5:B8"/>
    <mergeCell ref="C5:C7"/>
    <mergeCell ref="D5:D7"/>
    <mergeCell ref="E5:E7"/>
    <mergeCell ref="F5:F7"/>
    <mergeCell ref="A213:B213"/>
    <mergeCell ref="A208:B208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AD768"/>
  <sheetViews>
    <sheetView topLeftCell="B728" zoomScale="40" zoomScaleNormal="40" workbookViewId="0">
      <selection activeCell="B728" sqref="A1:XFD1048576"/>
    </sheetView>
  </sheetViews>
  <sheetFormatPr defaultRowHeight="15" x14ac:dyDescent="0.25"/>
  <cols>
    <col min="1" max="1" width="9.28515625" style="133" hidden="1" customWidth="1"/>
    <col min="2" max="2" width="12.85546875" style="133" customWidth="1"/>
    <col min="3" max="3" width="167.42578125" style="133" customWidth="1"/>
    <col min="4" max="4" width="27.85546875" style="133" customWidth="1"/>
    <col min="5" max="5" width="26.140625" style="133" customWidth="1"/>
    <col min="6" max="6" width="26.85546875" style="133" customWidth="1"/>
    <col min="7" max="7" width="34.5703125" style="133" customWidth="1"/>
    <col min="8" max="8" width="23.28515625" style="133" customWidth="1"/>
    <col min="9" max="9" width="25.140625" style="133" customWidth="1"/>
    <col min="10" max="10" width="24.85546875" style="133" customWidth="1"/>
    <col min="11" max="11" width="22" style="133" customWidth="1"/>
    <col min="12" max="12" width="25.7109375" style="133" customWidth="1"/>
    <col min="13" max="13" width="26.140625" style="133" customWidth="1"/>
    <col min="14" max="14" width="27.5703125" style="133" customWidth="1"/>
    <col min="15" max="15" width="27.140625" style="133" customWidth="1"/>
    <col min="16" max="16" width="32.85546875" style="133" customWidth="1"/>
    <col min="17" max="17" width="22.42578125" style="133" customWidth="1"/>
    <col min="18" max="18" width="28.140625" style="133" customWidth="1"/>
    <col min="19" max="19" width="52.42578125" style="133" customWidth="1"/>
    <col min="20" max="20" width="32.42578125" style="133" customWidth="1"/>
    <col min="21" max="21" width="24.5703125" style="133" customWidth="1"/>
    <col min="22" max="22" width="35" style="133" customWidth="1"/>
    <col min="23" max="23" width="35.140625" style="133" customWidth="1"/>
    <col min="24" max="24" width="41.140625" style="133" customWidth="1"/>
    <col min="25" max="25" width="16.42578125" style="133" customWidth="1"/>
    <col min="26" max="26" width="21.42578125" style="133" customWidth="1"/>
    <col min="27" max="27" width="31.42578125" style="133" customWidth="1"/>
    <col min="28" max="28" width="18.140625" style="133" customWidth="1"/>
    <col min="29" max="256" width="9.140625" style="133"/>
    <col min="257" max="257" width="9.28515625" style="133" customWidth="1"/>
    <col min="258" max="258" width="12.85546875" style="133" customWidth="1"/>
    <col min="259" max="259" width="167.42578125" style="133" customWidth="1"/>
    <col min="260" max="260" width="27.85546875" style="133" customWidth="1"/>
    <col min="261" max="261" width="26.140625" style="133" customWidth="1"/>
    <col min="262" max="262" width="26.85546875" style="133" customWidth="1"/>
    <col min="263" max="263" width="34.5703125" style="133" customWidth="1"/>
    <col min="264" max="264" width="23.28515625" style="133" customWidth="1"/>
    <col min="265" max="265" width="25.140625" style="133" customWidth="1"/>
    <col min="266" max="266" width="24.85546875" style="133" customWidth="1"/>
    <col min="267" max="267" width="22" style="133" customWidth="1"/>
    <col min="268" max="268" width="25.7109375" style="133" customWidth="1"/>
    <col min="269" max="269" width="26.140625" style="133" customWidth="1"/>
    <col min="270" max="270" width="27.5703125" style="133" customWidth="1"/>
    <col min="271" max="271" width="27.140625" style="133" customWidth="1"/>
    <col min="272" max="272" width="32.85546875" style="133" customWidth="1"/>
    <col min="273" max="273" width="22.42578125" style="133" customWidth="1"/>
    <col min="274" max="274" width="28.140625" style="133" customWidth="1"/>
    <col min="275" max="275" width="52.42578125" style="133" customWidth="1"/>
    <col min="276" max="276" width="32.42578125" style="133" customWidth="1"/>
    <col min="277" max="277" width="24.5703125" style="133" customWidth="1"/>
    <col min="278" max="278" width="35" style="133" customWidth="1"/>
    <col min="279" max="279" width="35.140625" style="133" customWidth="1"/>
    <col min="280" max="280" width="41.140625" style="133" customWidth="1"/>
    <col min="281" max="281" width="16.42578125" style="133" customWidth="1"/>
    <col min="282" max="282" width="21.42578125" style="133" customWidth="1"/>
    <col min="283" max="283" width="31.42578125" style="133" customWidth="1"/>
    <col min="284" max="284" width="18.140625" style="133" customWidth="1"/>
    <col min="285" max="512" width="9.140625" style="133"/>
    <col min="513" max="513" width="9.28515625" style="133" customWidth="1"/>
    <col min="514" max="514" width="12.85546875" style="133" customWidth="1"/>
    <col min="515" max="515" width="167.42578125" style="133" customWidth="1"/>
    <col min="516" max="516" width="27.85546875" style="133" customWidth="1"/>
    <col min="517" max="517" width="26.140625" style="133" customWidth="1"/>
    <col min="518" max="518" width="26.85546875" style="133" customWidth="1"/>
    <col min="519" max="519" width="34.5703125" style="133" customWidth="1"/>
    <col min="520" max="520" width="23.28515625" style="133" customWidth="1"/>
    <col min="521" max="521" width="25.140625" style="133" customWidth="1"/>
    <col min="522" max="522" width="24.85546875" style="133" customWidth="1"/>
    <col min="523" max="523" width="22" style="133" customWidth="1"/>
    <col min="524" max="524" width="25.7109375" style="133" customWidth="1"/>
    <col min="525" max="525" width="26.140625" style="133" customWidth="1"/>
    <col min="526" max="526" width="27.5703125" style="133" customWidth="1"/>
    <col min="527" max="527" width="27.140625" style="133" customWidth="1"/>
    <col min="528" max="528" width="32.85546875" style="133" customWidth="1"/>
    <col min="529" max="529" width="22.42578125" style="133" customWidth="1"/>
    <col min="530" max="530" width="28.140625" style="133" customWidth="1"/>
    <col min="531" max="531" width="52.42578125" style="133" customWidth="1"/>
    <col min="532" max="532" width="32.42578125" style="133" customWidth="1"/>
    <col min="533" max="533" width="24.5703125" style="133" customWidth="1"/>
    <col min="534" max="534" width="35" style="133" customWidth="1"/>
    <col min="535" max="535" width="35.140625" style="133" customWidth="1"/>
    <col min="536" max="536" width="41.140625" style="133" customWidth="1"/>
    <col min="537" max="537" width="16.42578125" style="133" customWidth="1"/>
    <col min="538" max="538" width="21.42578125" style="133" customWidth="1"/>
    <col min="539" max="539" width="31.42578125" style="133" customWidth="1"/>
    <col min="540" max="540" width="18.140625" style="133" customWidth="1"/>
    <col min="541" max="768" width="9.140625" style="133"/>
    <col min="769" max="769" width="9.28515625" style="133" customWidth="1"/>
    <col min="770" max="770" width="12.85546875" style="133" customWidth="1"/>
    <col min="771" max="771" width="167.42578125" style="133" customWidth="1"/>
    <col min="772" max="772" width="27.85546875" style="133" customWidth="1"/>
    <col min="773" max="773" width="26.140625" style="133" customWidth="1"/>
    <col min="774" max="774" width="26.85546875" style="133" customWidth="1"/>
    <col min="775" max="775" width="34.5703125" style="133" customWidth="1"/>
    <col min="776" max="776" width="23.28515625" style="133" customWidth="1"/>
    <col min="777" max="777" width="25.140625" style="133" customWidth="1"/>
    <col min="778" max="778" width="24.85546875" style="133" customWidth="1"/>
    <col min="779" max="779" width="22" style="133" customWidth="1"/>
    <col min="780" max="780" width="25.7109375" style="133" customWidth="1"/>
    <col min="781" max="781" width="26.140625" style="133" customWidth="1"/>
    <col min="782" max="782" width="27.5703125" style="133" customWidth="1"/>
    <col min="783" max="783" width="27.140625" style="133" customWidth="1"/>
    <col min="784" max="784" width="32.85546875" style="133" customWidth="1"/>
    <col min="785" max="785" width="22.42578125" style="133" customWidth="1"/>
    <col min="786" max="786" width="28.140625" style="133" customWidth="1"/>
    <col min="787" max="787" width="52.42578125" style="133" customWidth="1"/>
    <col min="788" max="788" width="32.42578125" style="133" customWidth="1"/>
    <col min="789" max="789" width="24.5703125" style="133" customWidth="1"/>
    <col min="790" max="790" width="35" style="133" customWidth="1"/>
    <col min="791" max="791" width="35.140625" style="133" customWidth="1"/>
    <col min="792" max="792" width="41.140625" style="133" customWidth="1"/>
    <col min="793" max="793" width="16.42578125" style="133" customWidth="1"/>
    <col min="794" max="794" width="21.42578125" style="133" customWidth="1"/>
    <col min="795" max="795" width="31.42578125" style="133" customWidth="1"/>
    <col min="796" max="796" width="18.140625" style="133" customWidth="1"/>
    <col min="797" max="1024" width="9.140625" style="133"/>
    <col min="1025" max="1025" width="9.28515625" style="133" customWidth="1"/>
    <col min="1026" max="1026" width="12.85546875" style="133" customWidth="1"/>
    <col min="1027" max="1027" width="167.42578125" style="133" customWidth="1"/>
    <col min="1028" max="1028" width="27.85546875" style="133" customWidth="1"/>
    <col min="1029" max="1029" width="26.140625" style="133" customWidth="1"/>
    <col min="1030" max="1030" width="26.85546875" style="133" customWidth="1"/>
    <col min="1031" max="1031" width="34.5703125" style="133" customWidth="1"/>
    <col min="1032" max="1032" width="23.28515625" style="133" customWidth="1"/>
    <col min="1033" max="1033" width="25.140625" style="133" customWidth="1"/>
    <col min="1034" max="1034" width="24.85546875" style="133" customWidth="1"/>
    <col min="1035" max="1035" width="22" style="133" customWidth="1"/>
    <col min="1036" max="1036" width="25.7109375" style="133" customWidth="1"/>
    <col min="1037" max="1037" width="26.140625" style="133" customWidth="1"/>
    <col min="1038" max="1038" width="27.5703125" style="133" customWidth="1"/>
    <col min="1039" max="1039" width="27.140625" style="133" customWidth="1"/>
    <col min="1040" max="1040" width="32.85546875" style="133" customWidth="1"/>
    <col min="1041" max="1041" width="22.42578125" style="133" customWidth="1"/>
    <col min="1042" max="1042" width="28.140625" style="133" customWidth="1"/>
    <col min="1043" max="1043" width="52.42578125" style="133" customWidth="1"/>
    <col min="1044" max="1044" width="32.42578125" style="133" customWidth="1"/>
    <col min="1045" max="1045" width="24.5703125" style="133" customWidth="1"/>
    <col min="1046" max="1046" width="35" style="133" customWidth="1"/>
    <col min="1047" max="1047" width="35.140625" style="133" customWidth="1"/>
    <col min="1048" max="1048" width="41.140625" style="133" customWidth="1"/>
    <col min="1049" max="1049" width="16.42578125" style="133" customWidth="1"/>
    <col min="1050" max="1050" width="21.42578125" style="133" customWidth="1"/>
    <col min="1051" max="1051" width="31.42578125" style="133" customWidth="1"/>
    <col min="1052" max="1052" width="18.140625" style="133" customWidth="1"/>
    <col min="1053" max="1280" width="9.140625" style="133"/>
    <col min="1281" max="1281" width="9.28515625" style="133" customWidth="1"/>
    <col min="1282" max="1282" width="12.85546875" style="133" customWidth="1"/>
    <col min="1283" max="1283" width="167.42578125" style="133" customWidth="1"/>
    <col min="1284" max="1284" width="27.85546875" style="133" customWidth="1"/>
    <col min="1285" max="1285" width="26.140625" style="133" customWidth="1"/>
    <col min="1286" max="1286" width="26.85546875" style="133" customWidth="1"/>
    <col min="1287" max="1287" width="34.5703125" style="133" customWidth="1"/>
    <col min="1288" max="1288" width="23.28515625" style="133" customWidth="1"/>
    <col min="1289" max="1289" width="25.140625" style="133" customWidth="1"/>
    <col min="1290" max="1290" width="24.85546875" style="133" customWidth="1"/>
    <col min="1291" max="1291" width="22" style="133" customWidth="1"/>
    <col min="1292" max="1292" width="25.7109375" style="133" customWidth="1"/>
    <col min="1293" max="1293" width="26.140625" style="133" customWidth="1"/>
    <col min="1294" max="1294" width="27.5703125" style="133" customWidth="1"/>
    <col min="1295" max="1295" width="27.140625" style="133" customWidth="1"/>
    <col min="1296" max="1296" width="32.85546875" style="133" customWidth="1"/>
    <col min="1297" max="1297" width="22.42578125" style="133" customWidth="1"/>
    <col min="1298" max="1298" width="28.140625" style="133" customWidth="1"/>
    <col min="1299" max="1299" width="52.42578125" style="133" customWidth="1"/>
    <col min="1300" max="1300" width="32.42578125" style="133" customWidth="1"/>
    <col min="1301" max="1301" width="24.5703125" style="133" customWidth="1"/>
    <col min="1302" max="1302" width="35" style="133" customWidth="1"/>
    <col min="1303" max="1303" width="35.140625" style="133" customWidth="1"/>
    <col min="1304" max="1304" width="41.140625" style="133" customWidth="1"/>
    <col min="1305" max="1305" width="16.42578125" style="133" customWidth="1"/>
    <col min="1306" max="1306" width="21.42578125" style="133" customWidth="1"/>
    <col min="1307" max="1307" width="31.42578125" style="133" customWidth="1"/>
    <col min="1308" max="1308" width="18.140625" style="133" customWidth="1"/>
    <col min="1309" max="1536" width="9.140625" style="133"/>
    <col min="1537" max="1537" width="9.28515625" style="133" customWidth="1"/>
    <col min="1538" max="1538" width="12.85546875" style="133" customWidth="1"/>
    <col min="1539" max="1539" width="167.42578125" style="133" customWidth="1"/>
    <col min="1540" max="1540" width="27.85546875" style="133" customWidth="1"/>
    <col min="1541" max="1541" width="26.140625" style="133" customWidth="1"/>
    <col min="1542" max="1542" width="26.85546875" style="133" customWidth="1"/>
    <col min="1543" max="1543" width="34.5703125" style="133" customWidth="1"/>
    <col min="1544" max="1544" width="23.28515625" style="133" customWidth="1"/>
    <col min="1545" max="1545" width="25.140625" style="133" customWidth="1"/>
    <col min="1546" max="1546" width="24.85546875" style="133" customWidth="1"/>
    <col min="1547" max="1547" width="22" style="133" customWidth="1"/>
    <col min="1548" max="1548" width="25.7109375" style="133" customWidth="1"/>
    <col min="1549" max="1549" width="26.140625" style="133" customWidth="1"/>
    <col min="1550" max="1550" width="27.5703125" style="133" customWidth="1"/>
    <col min="1551" max="1551" width="27.140625" style="133" customWidth="1"/>
    <col min="1552" max="1552" width="32.85546875" style="133" customWidth="1"/>
    <col min="1553" max="1553" width="22.42578125" style="133" customWidth="1"/>
    <col min="1554" max="1554" width="28.140625" style="133" customWidth="1"/>
    <col min="1555" max="1555" width="52.42578125" style="133" customWidth="1"/>
    <col min="1556" max="1556" width="32.42578125" style="133" customWidth="1"/>
    <col min="1557" max="1557" width="24.5703125" style="133" customWidth="1"/>
    <col min="1558" max="1558" width="35" style="133" customWidth="1"/>
    <col min="1559" max="1559" width="35.140625" style="133" customWidth="1"/>
    <col min="1560" max="1560" width="41.140625" style="133" customWidth="1"/>
    <col min="1561" max="1561" width="16.42578125" style="133" customWidth="1"/>
    <col min="1562" max="1562" width="21.42578125" style="133" customWidth="1"/>
    <col min="1563" max="1563" width="31.42578125" style="133" customWidth="1"/>
    <col min="1564" max="1564" width="18.140625" style="133" customWidth="1"/>
    <col min="1565" max="1792" width="9.140625" style="133"/>
    <col min="1793" max="1793" width="9.28515625" style="133" customWidth="1"/>
    <col min="1794" max="1794" width="12.85546875" style="133" customWidth="1"/>
    <col min="1795" max="1795" width="167.42578125" style="133" customWidth="1"/>
    <col min="1796" max="1796" width="27.85546875" style="133" customWidth="1"/>
    <col min="1797" max="1797" width="26.140625" style="133" customWidth="1"/>
    <col min="1798" max="1798" width="26.85546875" style="133" customWidth="1"/>
    <col min="1799" max="1799" width="34.5703125" style="133" customWidth="1"/>
    <col min="1800" max="1800" width="23.28515625" style="133" customWidth="1"/>
    <col min="1801" max="1801" width="25.140625" style="133" customWidth="1"/>
    <col min="1802" max="1802" width="24.85546875" style="133" customWidth="1"/>
    <col min="1803" max="1803" width="22" style="133" customWidth="1"/>
    <col min="1804" max="1804" width="25.7109375" style="133" customWidth="1"/>
    <col min="1805" max="1805" width="26.140625" style="133" customWidth="1"/>
    <col min="1806" max="1806" width="27.5703125" style="133" customWidth="1"/>
    <col min="1807" max="1807" width="27.140625" style="133" customWidth="1"/>
    <col min="1808" max="1808" width="32.85546875" style="133" customWidth="1"/>
    <col min="1809" max="1809" width="22.42578125" style="133" customWidth="1"/>
    <col min="1810" max="1810" width="28.140625" style="133" customWidth="1"/>
    <col min="1811" max="1811" width="52.42578125" style="133" customWidth="1"/>
    <col min="1812" max="1812" width="32.42578125" style="133" customWidth="1"/>
    <col min="1813" max="1813" width="24.5703125" style="133" customWidth="1"/>
    <col min="1814" max="1814" width="35" style="133" customWidth="1"/>
    <col min="1815" max="1815" width="35.140625" style="133" customWidth="1"/>
    <col min="1816" max="1816" width="41.140625" style="133" customWidth="1"/>
    <col min="1817" max="1817" width="16.42578125" style="133" customWidth="1"/>
    <col min="1818" max="1818" width="21.42578125" style="133" customWidth="1"/>
    <col min="1819" max="1819" width="31.42578125" style="133" customWidth="1"/>
    <col min="1820" max="1820" width="18.140625" style="133" customWidth="1"/>
    <col min="1821" max="2048" width="9.140625" style="133"/>
    <col min="2049" max="2049" width="9.28515625" style="133" customWidth="1"/>
    <col min="2050" max="2050" width="12.85546875" style="133" customWidth="1"/>
    <col min="2051" max="2051" width="167.42578125" style="133" customWidth="1"/>
    <col min="2052" max="2052" width="27.85546875" style="133" customWidth="1"/>
    <col min="2053" max="2053" width="26.140625" style="133" customWidth="1"/>
    <col min="2054" max="2054" width="26.85546875" style="133" customWidth="1"/>
    <col min="2055" max="2055" width="34.5703125" style="133" customWidth="1"/>
    <col min="2056" max="2056" width="23.28515625" style="133" customWidth="1"/>
    <col min="2057" max="2057" width="25.140625" style="133" customWidth="1"/>
    <col min="2058" max="2058" width="24.85546875" style="133" customWidth="1"/>
    <col min="2059" max="2059" width="22" style="133" customWidth="1"/>
    <col min="2060" max="2060" width="25.7109375" style="133" customWidth="1"/>
    <col min="2061" max="2061" width="26.140625" style="133" customWidth="1"/>
    <col min="2062" max="2062" width="27.5703125" style="133" customWidth="1"/>
    <col min="2063" max="2063" width="27.140625" style="133" customWidth="1"/>
    <col min="2064" max="2064" width="32.85546875" style="133" customWidth="1"/>
    <col min="2065" max="2065" width="22.42578125" style="133" customWidth="1"/>
    <col min="2066" max="2066" width="28.140625" style="133" customWidth="1"/>
    <col min="2067" max="2067" width="52.42578125" style="133" customWidth="1"/>
    <col min="2068" max="2068" width="32.42578125" style="133" customWidth="1"/>
    <col min="2069" max="2069" width="24.5703125" style="133" customWidth="1"/>
    <col min="2070" max="2070" width="35" style="133" customWidth="1"/>
    <col min="2071" max="2071" width="35.140625" style="133" customWidth="1"/>
    <col min="2072" max="2072" width="41.140625" style="133" customWidth="1"/>
    <col min="2073" max="2073" width="16.42578125" style="133" customWidth="1"/>
    <col min="2074" max="2074" width="21.42578125" style="133" customWidth="1"/>
    <col min="2075" max="2075" width="31.42578125" style="133" customWidth="1"/>
    <col min="2076" max="2076" width="18.140625" style="133" customWidth="1"/>
    <col min="2077" max="2304" width="9.140625" style="133"/>
    <col min="2305" max="2305" width="9.28515625" style="133" customWidth="1"/>
    <col min="2306" max="2306" width="12.85546875" style="133" customWidth="1"/>
    <col min="2307" max="2307" width="167.42578125" style="133" customWidth="1"/>
    <col min="2308" max="2308" width="27.85546875" style="133" customWidth="1"/>
    <col min="2309" max="2309" width="26.140625" style="133" customWidth="1"/>
    <col min="2310" max="2310" width="26.85546875" style="133" customWidth="1"/>
    <col min="2311" max="2311" width="34.5703125" style="133" customWidth="1"/>
    <col min="2312" max="2312" width="23.28515625" style="133" customWidth="1"/>
    <col min="2313" max="2313" width="25.140625" style="133" customWidth="1"/>
    <col min="2314" max="2314" width="24.85546875" style="133" customWidth="1"/>
    <col min="2315" max="2315" width="22" style="133" customWidth="1"/>
    <col min="2316" max="2316" width="25.7109375" style="133" customWidth="1"/>
    <col min="2317" max="2317" width="26.140625" style="133" customWidth="1"/>
    <col min="2318" max="2318" width="27.5703125" style="133" customWidth="1"/>
    <col min="2319" max="2319" width="27.140625" style="133" customWidth="1"/>
    <col min="2320" max="2320" width="32.85546875" style="133" customWidth="1"/>
    <col min="2321" max="2321" width="22.42578125" style="133" customWidth="1"/>
    <col min="2322" max="2322" width="28.140625" style="133" customWidth="1"/>
    <col min="2323" max="2323" width="52.42578125" style="133" customWidth="1"/>
    <col min="2324" max="2324" width="32.42578125" style="133" customWidth="1"/>
    <col min="2325" max="2325" width="24.5703125" style="133" customWidth="1"/>
    <col min="2326" max="2326" width="35" style="133" customWidth="1"/>
    <col min="2327" max="2327" width="35.140625" style="133" customWidth="1"/>
    <col min="2328" max="2328" width="41.140625" style="133" customWidth="1"/>
    <col min="2329" max="2329" width="16.42578125" style="133" customWidth="1"/>
    <col min="2330" max="2330" width="21.42578125" style="133" customWidth="1"/>
    <col min="2331" max="2331" width="31.42578125" style="133" customWidth="1"/>
    <col min="2332" max="2332" width="18.140625" style="133" customWidth="1"/>
    <col min="2333" max="2560" width="9.140625" style="133"/>
    <col min="2561" max="2561" width="9.28515625" style="133" customWidth="1"/>
    <col min="2562" max="2562" width="12.85546875" style="133" customWidth="1"/>
    <col min="2563" max="2563" width="167.42578125" style="133" customWidth="1"/>
    <col min="2564" max="2564" width="27.85546875" style="133" customWidth="1"/>
    <col min="2565" max="2565" width="26.140625" style="133" customWidth="1"/>
    <col min="2566" max="2566" width="26.85546875" style="133" customWidth="1"/>
    <col min="2567" max="2567" width="34.5703125" style="133" customWidth="1"/>
    <col min="2568" max="2568" width="23.28515625" style="133" customWidth="1"/>
    <col min="2569" max="2569" width="25.140625" style="133" customWidth="1"/>
    <col min="2570" max="2570" width="24.85546875" style="133" customWidth="1"/>
    <col min="2571" max="2571" width="22" style="133" customWidth="1"/>
    <col min="2572" max="2572" width="25.7109375" style="133" customWidth="1"/>
    <col min="2573" max="2573" width="26.140625" style="133" customWidth="1"/>
    <col min="2574" max="2574" width="27.5703125" style="133" customWidth="1"/>
    <col min="2575" max="2575" width="27.140625" style="133" customWidth="1"/>
    <col min="2576" max="2576" width="32.85546875" style="133" customWidth="1"/>
    <col min="2577" max="2577" width="22.42578125" style="133" customWidth="1"/>
    <col min="2578" max="2578" width="28.140625" style="133" customWidth="1"/>
    <col min="2579" max="2579" width="52.42578125" style="133" customWidth="1"/>
    <col min="2580" max="2580" width="32.42578125" style="133" customWidth="1"/>
    <col min="2581" max="2581" width="24.5703125" style="133" customWidth="1"/>
    <col min="2582" max="2582" width="35" style="133" customWidth="1"/>
    <col min="2583" max="2583" width="35.140625" style="133" customWidth="1"/>
    <col min="2584" max="2584" width="41.140625" style="133" customWidth="1"/>
    <col min="2585" max="2585" width="16.42578125" style="133" customWidth="1"/>
    <col min="2586" max="2586" width="21.42578125" style="133" customWidth="1"/>
    <col min="2587" max="2587" width="31.42578125" style="133" customWidth="1"/>
    <col min="2588" max="2588" width="18.140625" style="133" customWidth="1"/>
    <col min="2589" max="2816" width="9.140625" style="133"/>
    <col min="2817" max="2817" width="9.28515625" style="133" customWidth="1"/>
    <col min="2818" max="2818" width="12.85546875" style="133" customWidth="1"/>
    <col min="2819" max="2819" width="167.42578125" style="133" customWidth="1"/>
    <col min="2820" max="2820" width="27.85546875" style="133" customWidth="1"/>
    <col min="2821" max="2821" width="26.140625" style="133" customWidth="1"/>
    <col min="2822" max="2822" width="26.85546875" style="133" customWidth="1"/>
    <col min="2823" max="2823" width="34.5703125" style="133" customWidth="1"/>
    <col min="2824" max="2824" width="23.28515625" style="133" customWidth="1"/>
    <col min="2825" max="2825" width="25.140625" style="133" customWidth="1"/>
    <col min="2826" max="2826" width="24.85546875" style="133" customWidth="1"/>
    <col min="2827" max="2827" width="22" style="133" customWidth="1"/>
    <col min="2828" max="2828" width="25.7109375" style="133" customWidth="1"/>
    <col min="2829" max="2829" width="26.140625" style="133" customWidth="1"/>
    <col min="2830" max="2830" width="27.5703125" style="133" customWidth="1"/>
    <col min="2831" max="2831" width="27.140625" style="133" customWidth="1"/>
    <col min="2832" max="2832" width="32.85546875" style="133" customWidth="1"/>
    <col min="2833" max="2833" width="22.42578125" style="133" customWidth="1"/>
    <col min="2834" max="2834" width="28.140625" style="133" customWidth="1"/>
    <col min="2835" max="2835" width="52.42578125" style="133" customWidth="1"/>
    <col min="2836" max="2836" width="32.42578125" style="133" customWidth="1"/>
    <col min="2837" max="2837" width="24.5703125" style="133" customWidth="1"/>
    <col min="2838" max="2838" width="35" style="133" customWidth="1"/>
    <col min="2839" max="2839" width="35.140625" style="133" customWidth="1"/>
    <col min="2840" max="2840" width="41.140625" style="133" customWidth="1"/>
    <col min="2841" max="2841" width="16.42578125" style="133" customWidth="1"/>
    <col min="2842" max="2842" width="21.42578125" style="133" customWidth="1"/>
    <col min="2843" max="2843" width="31.42578125" style="133" customWidth="1"/>
    <col min="2844" max="2844" width="18.140625" style="133" customWidth="1"/>
    <col min="2845" max="3072" width="9.140625" style="133"/>
    <col min="3073" max="3073" width="9.28515625" style="133" customWidth="1"/>
    <col min="3074" max="3074" width="12.85546875" style="133" customWidth="1"/>
    <col min="3075" max="3075" width="167.42578125" style="133" customWidth="1"/>
    <col min="3076" max="3076" width="27.85546875" style="133" customWidth="1"/>
    <col min="3077" max="3077" width="26.140625" style="133" customWidth="1"/>
    <col min="3078" max="3078" width="26.85546875" style="133" customWidth="1"/>
    <col min="3079" max="3079" width="34.5703125" style="133" customWidth="1"/>
    <col min="3080" max="3080" width="23.28515625" style="133" customWidth="1"/>
    <col min="3081" max="3081" width="25.140625" style="133" customWidth="1"/>
    <col min="3082" max="3082" width="24.85546875" style="133" customWidth="1"/>
    <col min="3083" max="3083" width="22" style="133" customWidth="1"/>
    <col min="3084" max="3084" width="25.7109375" style="133" customWidth="1"/>
    <col min="3085" max="3085" width="26.140625" style="133" customWidth="1"/>
    <col min="3086" max="3086" width="27.5703125" style="133" customWidth="1"/>
    <col min="3087" max="3087" width="27.140625" style="133" customWidth="1"/>
    <col min="3088" max="3088" width="32.85546875" style="133" customWidth="1"/>
    <col min="3089" max="3089" width="22.42578125" style="133" customWidth="1"/>
    <col min="3090" max="3090" width="28.140625" style="133" customWidth="1"/>
    <col min="3091" max="3091" width="52.42578125" style="133" customWidth="1"/>
    <col min="3092" max="3092" width="32.42578125" style="133" customWidth="1"/>
    <col min="3093" max="3093" width="24.5703125" style="133" customWidth="1"/>
    <col min="3094" max="3094" width="35" style="133" customWidth="1"/>
    <col min="3095" max="3095" width="35.140625" style="133" customWidth="1"/>
    <col min="3096" max="3096" width="41.140625" style="133" customWidth="1"/>
    <col min="3097" max="3097" width="16.42578125" style="133" customWidth="1"/>
    <col min="3098" max="3098" width="21.42578125" style="133" customWidth="1"/>
    <col min="3099" max="3099" width="31.42578125" style="133" customWidth="1"/>
    <col min="3100" max="3100" width="18.140625" style="133" customWidth="1"/>
    <col min="3101" max="3328" width="9.140625" style="133"/>
    <col min="3329" max="3329" width="9.28515625" style="133" customWidth="1"/>
    <col min="3330" max="3330" width="12.85546875" style="133" customWidth="1"/>
    <col min="3331" max="3331" width="167.42578125" style="133" customWidth="1"/>
    <col min="3332" max="3332" width="27.85546875" style="133" customWidth="1"/>
    <col min="3333" max="3333" width="26.140625" style="133" customWidth="1"/>
    <col min="3334" max="3334" width="26.85546875" style="133" customWidth="1"/>
    <col min="3335" max="3335" width="34.5703125" style="133" customWidth="1"/>
    <col min="3336" max="3336" width="23.28515625" style="133" customWidth="1"/>
    <col min="3337" max="3337" width="25.140625" style="133" customWidth="1"/>
    <col min="3338" max="3338" width="24.85546875" style="133" customWidth="1"/>
    <col min="3339" max="3339" width="22" style="133" customWidth="1"/>
    <col min="3340" max="3340" width="25.7109375" style="133" customWidth="1"/>
    <col min="3341" max="3341" width="26.140625" style="133" customWidth="1"/>
    <col min="3342" max="3342" width="27.5703125" style="133" customWidth="1"/>
    <col min="3343" max="3343" width="27.140625" style="133" customWidth="1"/>
    <col min="3344" max="3344" width="32.85546875" style="133" customWidth="1"/>
    <col min="3345" max="3345" width="22.42578125" style="133" customWidth="1"/>
    <col min="3346" max="3346" width="28.140625" style="133" customWidth="1"/>
    <col min="3347" max="3347" width="52.42578125" style="133" customWidth="1"/>
    <col min="3348" max="3348" width="32.42578125" style="133" customWidth="1"/>
    <col min="3349" max="3349" width="24.5703125" style="133" customWidth="1"/>
    <col min="3350" max="3350" width="35" style="133" customWidth="1"/>
    <col min="3351" max="3351" width="35.140625" style="133" customWidth="1"/>
    <col min="3352" max="3352" width="41.140625" style="133" customWidth="1"/>
    <col min="3353" max="3353" width="16.42578125" style="133" customWidth="1"/>
    <col min="3354" max="3354" width="21.42578125" style="133" customWidth="1"/>
    <col min="3355" max="3355" width="31.42578125" style="133" customWidth="1"/>
    <col min="3356" max="3356" width="18.140625" style="133" customWidth="1"/>
    <col min="3357" max="3584" width="9.140625" style="133"/>
    <col min="3585" max="3585" width="9.28515625" style="133" customWidth="1"/>
    <col min="3586" max="3586" width="12.85546875" style="133" customWidth="1"/>
    <col min="3587" max="3587" width="167.42578125" style="133" customWidth="1"/>
    <col min="3588" max="3588" width="27.85546875" style="133" customWidth="1"/>
    <col min="3589" max="3589" width="26.140625" style="133" customWidth="1"/>
    <col min="3590" max="3590" width="26.85546875" style="133" customWidth="1"/>
    <col min="3591" max="3591" width="34.5703125" style="133" customWidth="1"/>
    <col min="3592" max="3592" width="23.28515625" style="133" customWidth="1"/>
    <col min="3593" max="3593" width="25.140625" style="133" customWidth="1"/>
    <col min="3594" max="3594" width="24.85546875" style="133" customWidth="1"/>
    <col min="3595" max="3595" width="22" style="133" customWidth="1"/>
    <col min="3596" max="3596" width="25.7109375" style="133" customWidth="1"/>
    <col min="3597" max="3597" width="26.140625" style="133" customWidth="1"/>
    <col min="3598" max="3598" width="27.5703125" style="133" customWidth="1"/>
    <col min="3599" max="3599" width="27.140625" style="133" customWidth="1"/>
    <col min="3600" max="3600" width="32.85546875" style="133" customWidth="1"/>
    <col min="3601" max="3601" width="22.42578125" style="133" customWidth="1"/>
    <col min="3602" max="3602" width="28.140625" style="133" customWidth="1"/>
    <col min="3603" max="3603" width="52.42578125" style="133" customWidth="1"/>
    <col min="3604" max="3604" width="32.42578125" style="133" customWidth="1"/>
    <col min="3605" max="3605" width="24.5703125" style="133" customWidth="1"/>
    <col min="3606" max="3606" width="35" style="133" customWidth="1"/>
    <col min="3607" max="3607" width="35.140625" style="133" customWidth="1"/>
    <col min="3608" max="3608" width="41.140625" style="133" customWidth="1"/>
    <col min="3609" max="3609" width="16.42578125" style="133" customWidth="1"/>
    <col min="3610" max="3610" width="21.42578125" style="133" customWidth="1"/>
    <col min="3611" max="3611" width="31.42578125" style="133" customWidth="1"/>
    <col min="3612" max="3612" width="18.140625" style="133" customWidth="1"/>
    <col min="3613" max="3840" width="9.140625" style="133"/>
    <col min="3841" max="3841" width="9.28515625" style="133" customWidth="1"/>
    <col min="3842" max="3842" width="12.85546875" style="133" customWidth="1"/>
    <col min="3843" max="3843" width="167.42578125" style="133" customWidth="1"/>
    <col min="3844" max="3844" width="27.85546875" style="133" customWidth="1"/>
    <col min="3845" max="3845" width="26.140625" style="133" customWidth="1"/>
    <col min="3846" max="3846" width="26.85546875" style="133" customWidth="1"/>
    <col min="3847" max="3847" width="34.5703125" style="133" customWidth="1"/>
    <col min="3848" max="3848" width="23.28515625" style="133" customWidth="1"/>
    <col min="3849" max="3849" width="25.140625" style="133" customWidth="1"/>
    <col min="3850" max="3850" width="24.85546875" style="133" customWidth="1"/>
    <col min="3851" max="3851" width="22" style="133" customWidth="1"/>
    <col min="3852" max="3852" width="25.7109375" style="133" customWidth="1"/>
    <col min="3853" max="3853" width="26.140625" style="133" customWidth="1"/>
    <col min="3854" max="3854" width="27.5703125" style="133" customWidth="1"/>
    <col min="3855" max="3855" width="27.140625" style="133" customWidth="1"/>
    <col min="3856" max="3856" width="32.85546875" style="133" customWidth="1"/>
    <col min="3857" max="3857" width="22.42578125" style="133" customWidth="1"/>
    <col min="3858" max="3858" width="28.140625" style="133" customWidth="1"/>
    <col min="3859" max="3859" width="52.42578125" style="133" customWidth="1"/>
    <col min="3860" max="3860" width="32.42578125" style="133" customWidth="1"/>
    <col min="3861" max="3861" width="24.5703125" style="133" customWidth="1"/>
    <col min="3862" max="3862" width="35" style="133" customWidth="1"/>
    <col min="3863" max="3863" width="35.140625" style="133" customWidth="1"/>
    <col min="3864" max="3864" width="41.140625" style="133" customWidth="1"/>
    <col min="3865" max="3865" width="16.42578125" style="133" customWidth="1"/>
    <col min="3866" max="3866" width="21.42578125" style="133" customWidth="1"/>
    <col min="3867" max="3867" width="31.42578125" style="133" customWidth="1"/>
    <col min="3868" max="3868" width="18.140625" style="133" customWidth="1"/>
    <col min="3869" max="4096" width="9.140625" style="133"/>
    <col min="4097" max="4097" width="9.28515625" style="133" customWidth="1"/>
    <col min="4098" max="4098" width="12.85546875" style="133" customWidth="1"/>
    <col min="4099" max="4099" width="167.42578125" style="133" customWidth="1"/>
    <col min="4100" max="4100" width="27.85546875" style="133" customWidth="1"/>
    <col min="4101" max="4101" width="26.140625" style="133" customWidth="1"/>
    <col min="4102" max="4102" width="26.85546875" style="133" customWidth="1"/>
    <col min="4103" max="4103" width="34.5703125" style="133" customWidth="1"/>
    <col min="4104" max="4104" width="23.28515625" style="133" customWidth="1"/>
    <col min="4105" max="4105" width="25.140625" style="133" customWidth="1"/>
    <col min="4106" max="4106" width="24.85546875" style="133" customWidth="1"/>
    <col min="4107" max="4107" width="22" style="133" customWidth="1"/>
    <col min="4108" max="4108" width="25.7109375" style="133" customWidth="1"/>
    <col min="4109" max="4109" width="26.140625" style="133" customWidth="1"/>
    <col min="4110" max="4110" width="27.5703125" style="133" customWidth="1"/>
    <col min="4111" max="4111" width="27.140625" style="133" customWidth="1"/>
    <col min="4112" max="4112" width="32.85546875" style="133" customWidth="1"/>
    <col min="4113" max="4113" width="22.42578125" style="133" customWidth="1"/>
    <col min="4114" max="4114" width="28.140625" style="133" customWidth="1"/>
    <col min="4115" max="4115" width="52.42578125" style="133" customWidth="1"/>
    <col min="4116" max="4116" width="32.42578125" style="133" customWidth="1"/>
    <col min="4117" max="4117" width="24.5703125" style="133" customWidth="1"/>
    <col min="4118" max="4118" width="35" style="133" customWidth="1"/>
    <col min="4119" max="4119" width="35.140625" style="133" customWidth="1"/>
    <col min="4120" max="4120" width="41.140625" style="133" customWidth="1"/>
    <col min="4121" max="4121" width="16.42578125" style="133" customWidth="1"/>
    <col min="4122" max="4122" width="21.42578125" style="133" customWidth="1"/>
    <col min="4123" max="4123" width="31.42578125" style="133" customWidth="1"/>
    <col min="4124" max="4124" width="18.140625" style="133" customWidth="1"/>
    <col min="4125" max="4352" width="9.140625" style="133"/>
    <col min="4353" max="4353" width="9.28515625" style="133" customWidth="1"/>
    <col min="4354" max="4354" width="12.85546875" style="133" customWidth="1"/>
    <col min="4355" max="4355" width="167.42578125" style="133" customWidth="1"/>
    <col min="4356" max="4356" width="27.85546875" style="133" customWidth="1"/>
    <col min="4357" max="4357" width="26.140625" style="133" customWidth="1"/>
    <col min="4358" max="4358" width="26.85546875" style="133" customWidth="1"/>
    <col min="4359" max="4359" width="34.5703125" style="133" customWidth="1"/>
    <col min="4360" max="4360" width="23.28515625" style="133" customWidth="1"/>
    <col min="4361" max="4361" width="25.140625" style="133" customWidth="1"/>
    <col min="4362" max="4362" width="24.85546875" style="133" customWidth="1"/>
    <col min="4363" max="4363" width="22" style="133" customWidth="1"/>
    <col min="4364" max="4364" width="25.7109375" style="133" customWidth="1"/>
    <col min="4365" max="4365" width="26.140625" style="133" customWidth="1"/>
    <col min="4366" max="4366" width="27.5703125" style="133" customWidth="1"/>
    <col min="4367" max="4367" width="27.140625" style="133" customWidth="1"/>
    <col min="4368" max="4368" width="32.85546875" style="133" customWidth="1"/>
    <col min="4369" max="4369" width="22.42578125" style="133" customWidth="1"/>
    <col min="4370" max="4370" width="28.140625" style="133" customWidth="1"/>
    <col min="4371" max="4371" width="52.42578125" style="133" customWidth="1"/>
    <col min="4372" max="4372" width="32.42578125" style="133" customWidth="1"/>
    <col min="4373" max="4373" width="24.5703125" style="133" customWidth="1"/>
    <col min="4374" max="4374" width="35" style="133" customWidth="1"/>
    <col min="4375" max="4375" width="35.140625" style="133" customWidth="1"/>
    <col min="4376" max="4376" width="41.140625" style="133" customWidth="1"/>
    <col min="4377" max="4377" width="16.42578125" style="133" customWidth="1"/>
    <col min="4378" max="4378" width="21.42578125" style="133" customWidth="1"/>
    <col min="4379" max="4379" width="31.42578125" style="133" customWidth="1"/>
    <col min="4380" max="4380" width="18.140625" style="133" customWidth="1"/>
    <col min="4381" max="4608" width="9.140625" style="133"/>
    <col min="4609" max="4609" width="9.28515625" style="133" customWidth="1"/>
    <col min="4610" max="4610" width="12.85546875" style="133" customWidth="1"/>
    <col min="4611" max="4611" width="167.42578125" style="133" customWidth="1"/>
    <col min="4612" max="4612" width="27.85546875" style="133" customWidth="1"/>
    <col min="4613" max="4613" width="26.140625" style="133" customWidth="1"/>
    <col min="4614" max="4614" width="26.85546875" style="133" customWidth="1"/>
    <col min="4615" max="4615" width="34.5703125" style="133" customWidth="1"/>
    <col min="4616" max="4616" width="23.28515625" style="133" customWidth="1"/>
    <col min="4617" max="4617" width="25.140625" style="133" customWidth="1"/>
    <col min="4618" max="4618" width="24.85546875" style="133" customWidth="1"/>
    <col min="4619" max="4619" width="22" style="133" customWidth="1"/>
    <col min="4620" max="4620" width="25.7109375" style="133" customWidth="1"/>
    <col min="4621" max="4621" width="26.140625" style="133" customWidth="1"/>
    <col min="4622" max="4622" width="27.5703125" style="133" customWidth="1"/>
    <col min="4623" max="4623" width="27.140625" style="133" customWidth="1"/>
    <col min="4624" max="4624" width="32.85546875" style="133" customWidth="1"/>
    <col min="4625" max="4625" width="22.42578125" style="133" customWidth="1"/>
    <col min="4626" max="4626" width="28.140625" style="133" customWidth="1"/>
    <col min="4627" max="4627" width="52.42578125" style="133" customWidth="1"/>
    <col min="4628" max="4628" width="32.42578125" style="133" customWidth="1"/>
    <col min="4629" max="4629" width="24.5703125" style="133" customWidth="1"/>
    <col min="4630" max="4630" width="35" style="133" customWidth="1"/>
    <col min="4631" max="4631" width="35.140625" style="133" customWidth="1"/>
    <col min="4632" max="4632" width="41.140625" style="133" customWidth="1"/>
    <col min="4633" max="4633" width="16.42578125" style="133" customWidth="1"/>
    <col min="4634" max="4634" width="21.42578125" style="133" customWidth="1"/>
    <col min="4635" max="4635" width="31.42578125" style="133" customWidth="1"/>
    <col min="4636" max="4636" width="18.140625" style="133" customWidth="1"/>
    <col min="4637" max="4864" width="9.140625" style="133"/>
    <col min="4865" max="4865" width="9.28515625" style="133" customWidth="1"/>
    <col min="4866" max="4866" width="12.85546875" style="133" customWidth="1"/>
    <col min="4867" max="4867" width="167.42578125" style="133" customWidth="1"/>
    <col min="4868" max="4868" width="27.85546875" style="133" customWidth="1"/>
    <col min="4869" max="4869" width="26.140625" style="133" customWidth="1"/>
    <col min="4870" max="4870" width="26.85546875" style="133" customWidth="1"/>
    <col min="4871" max="4871" width="34.5703125" style="133" customWidth="1"/>
    <col min="4872" max="4872" width="23.28515625" style="133" customWidth="1"/>
    <col min="4873" max="4873" width="25.140625" style="133" customWidth="1"/>
    <col min="4874" max="4874" width="24.85546875" style="133" customWidth="1"/>
    <col min="4875" max="4875" width="22" style="133" customWidth="1"/>
    <col min="4876" max="4876" width="25.7109375" style="133" customWidth="1"/>
    <col min="4877" max="4877" width="26.140625" style="133" customWidth="1"/>
    <col min="4878" max="4878" width="27.5703125" style="133" customWidth="1"/>
    <col min="4879" max="4879" width="27.140625" style="133" customWidth="1"/>
    <col min="4880" max="4880" width="32.85546875" style="133" customWidth="1"/>
    <col min="4881" max="4881" width="22.42578125" style="133" customWidth="1"/>
    <col min="4882" max="4882" width="28.140625" style="133" customWidth="1"/>
    <col min="4883" max="4883" width="52.42578125" style="133" customWidth="1"/>
    <col min="4884" max="4884" width="32.42578125" style="133" customWidth="1"/>
    <col min="4885" max="4885" width="24.5703125" style="133" customWidth="1"/>
    <col min="4886" max="4886" width="35" style="133" customWidth="1"/>
    <col min="4887" max="4887" width="35.140625" style="133" customWidth="1"/>
    <col min="4888" max="4888" width="41.140625" style="133" customWidth="1"/>
    <col min="4889" max="4889" width="16.42578125" style="133" customWidth="1"/>
    <col min="4890" max="4890" width="21.42578125" style="133" customWidth="1"/>
    <col min="4891" max="4891" width="31.42578125" style="133" customWidth="1"/>
    <col min="4892" max="4892" width="18.140625" style="133" customWidth="1"/>
    <col min="4893" max="5120" width="9.140625" style="133"/>
    <col min="5121" max="5121" width="9.28515625" style="133" customWidth="1"/>
    <col min="5122" max="5122" width="12.85546875" style="133" customWidth="1"/>
    <col min="5123" max="5123" width="167.42578125" style="133" customWidth="1"/>
    <col min="5124" max="5124" width="27.85546875" style="133" customWidth="1"/>
    <col min="5125" max="5125" width="26.140625" style="133" customWidth="1"/>
    <col min="5126" max="5126" width="26.85546875" style="133" customWidth="1"/>
    <col min="5127" max="5127" width="34.5703125" style="133" customWidth="1"/>
    <col min="5128" max="5128" width="23.28515625" style="133" customWidth="1"/>
    <col min="5129" max="5129" width="25.140625" style="133" customWidth="1"/>
    <col min="5130" max="5130" width="24.85546875" style="133" customWidth="1"/>
    <col min="5131" max="5131" width="22" style="133" customWidth="1"/>
    <col min="5132" max="5132" width="25.7109375" style="133" customWidth="1"/>
    <col min="5133" max="5133" width="26.140625" style="133" customWidth="1"/>
    <col min="5134" max="5134" width="27.5703125" style="133" customWidth="1"/>
    <col min="5135" max="5135" width="27.140625" style="133" customWidth="1"/>
    <col min="5136" max="5136" width="32.85546875" style="133" customWidth="1"/>
    <col min="5137" max="5137" width="22.42578125" style="133" customWidth="1"/>
    <col min="5138" max="5138" width="28.140625" style="133" customWidth="1"/>
    <col min="5139" max="5139" width="52.42578125" style="133" customWidth="1"/>
    <col min="5140" max="5140" width="32.42578125" style="133" customWidth="1"/>
    <col min="5141" max="5141" width="24.5703125" style="133" customWidth="1"/>
    <col min="5142" max="5142" width="35" style="133" customWidth="1"/>
    <col min="5143" max="5143" width="35.140625" style="133" customWidth="1"/>
    <col min="5144" max="5144" width="41.140625" style="133" customWidth="1"/>
    <col min="5145" max="5145" width="16.42578125" style="133" customWidth="1"/>
    <col min="5146" max="5146" width="21.42578125" style="133" customWidth="1"/>
    <col min="5147" max="5147" width="31.42578125" style="133" customWidth="1"/>
    <col min="5148" max="5148" width="18.140625" style="133" customWidth="1"/>
    <col min="5149" max="5376" width="9.140625" style="133"/>
    <col min="5377" max="5377" width="9.28515625" style="133" customWidth="1"/>
    <col min="5378" max="5378" width="12.85546875" style="133" customWidth="1"/>
    <col min="5379" max="5379" width="167.42578125" style="133" customWidth="1"/>
    <col min="5380" max="5380" width="27.85546875" style="133" customWidth="1"/>
    <col min="5381" max="5381" width="26.140625" style="133" customWidth="1"/>
    <col min="5382" max="5382" width="26.85546875" style="133" customWidth="1"/>
    <col min="5383" max="5383" width="34.5703125" style="133" customWidth="1"/>
    <col min="5384" max="5384" width="23.28515625" style="133" customWidth="1"/>
    <col min="5385" max="5385" width="25.140625" style="133" customWidth="1"/>
    <col min="5386" max="5386" width="24.85546875" style="133" customWidth="1"/>
    <col min="5387" max="5387" width="22" style="133" customWidth="1"/>
    <col min="5388" max="5388" width="25.7109375" style="133" customWidth="1"/>
    <col min="5389" max="5389" width="26.140625" style="133" customWidth="1"/>
    <col min="5390" max="5390" width="27.5703125" style="133" customWidth="1"/>
    <col min="5391" max="5391" width="27.140625" style="133" customWidth="1"/>
    <col min="5392" max="5392" width="32.85546875" style="133" customWidth="1"/>
    <col min="5393" max="5393" width="22.42578125" style="133" customWidth="1"/>
    <col min="5394" max="5394" width="28.140625" style="133" customWidth="1"/>
    <col min="5395" max="5395" width="52.42578125" style="133" customWidth="1"/>
    <col min="5396" max="5396" width="32.42578125" style="133" customWidth="1"/>
    <col min="5397" max="5397" width="24.5703125" style="133" customWidth="1"/>
    <col min="5398" max="5398" width="35" style="133" customWidth="1"/>
    <col min="5399" max="5399" width="35.140625" style="133" customWidth="1"/>
    <col min="5400" max="5400" width="41.140625" style="133" customWidth="1"/>
    <col min="5401" max="5401" width="16.42578125" style="133" customWidth="1"/>
    <col min="5402" max="5402" width="21.42578125" style="133" customWidth="1"/>
    <col min="5403" max="5403" width="31.42578125" style="133" customWidth="1"/>
    <col min="5404" max="5404" width="18.140625" style="133" customWidth="1"/>
    <col min="5405" max="5632" width="9.140625" style="133"/>
    <col min="5633" max="5633" width="9.28515625" style="133" customWidth="1"/>
    <col min="5634" max="5634" width="12.85546875" style="133" customWidth="1"/>
    <col min="5635" max="5635" width="167.42578125" style="133" customWidth="1"/>
    <col min="5636" max="5636" width="27.85546875" style="133" customWidth="1"/>
    <col min="5637" max="5637" width="26.140625" style="133" customWidth="1"/>
    <col min="5638" max="5638" width="26.85546875" style="133" customWidth="1"/>
    <col min="5639" max="5639" width="34.5703125" style="133" customWidth="1"/>
    <col min="5640" max="5640" width="23.28515625" style="133" customWidth="1"/>
    <col min="5641" max="5641" width="25.140625" style="133" customWidth="1"/>
    <col min="5642" max="5642" width="24.85546875" style="133" customWidth="1"/>
    <col min="5643" max="5643" width="22" style="133" customWidth="1"/>
    <col min="5644" max="5644" width="25.7109375" style="133" customWidth="1"/>
    <col min="5645" max="5645" width="26.140625" style="133" customWidth="1"/>
    <col min="5646" max="5646" width="27.5703125" style="133" customWidth="1"/>
    <col min="5647" max="5647" width="27.140625" style="133" customWidth="1"/>
    <col min="5648" max="5648" width="32.85546875" style="133" customWidth="1"/>
    <col min="5649" max="5649" width="22.42578125" style="133" customWidth="1"/>
    <col min="5650" max="5650" width="28.140625" style="133" customWidth="1"/>
    <col min="5651" max="5651" width="52.42578125" style="133" customWidth="1"/>
    <col min="5652" max="5652" width="32.42578125" style="133" customWidth="1"/>
    <col min="5653" max="5653" width="24.5703125" style="133" customWidth="1"/>
    <col min="5654" max="5654" width="35" style="133" customWidth="1"/>
    <col min="5655" max="5655" width="35.140625" style="133" customWidth="1"/>
    <col min="5656" max="5656" width="41.140625" style="133" customWidth="1"/>
    <col min="5657" max="5657" width="16.42578125" style="133" customWidth="1"/>
    <col min="5658" max="5658" width="21.42578125" style="133" customWidth="1"/>
    <col min="5659" max="5659" width="31.42578125" style="133" customWidth="1"/>
    <col min="5660" max="5660" width="18.140625" style="133" customWidth="1"/>
    <col min="5661" max="5888" width="9.140625" style="133"/>
    <col min="5889" max="5889" width="9.28515625" style="133" customWidth="1"/>
    <col min="5890" max="5890" width="12.85546875" style="133" customWidth="1"/>
    <col min="5891" max="5891" width="167.42578125" style="133" customWidth="1"/>
    <col min="5892" max="5892" width="27.85546875" style="133" customWidth="1"/>
    <col min="5893" max="5893" width="26.140625" style="133" customWidth="1"/>
    <col min="5894" max="5894" width="26.85546875" style="133" customWidth="1"/>
    <col min="5895" max="5895" width="34.5703125" style="133" customWidth="1"/>
    <col min="5896" max="5896" width="23.28515625" style="133" customWidth="1"/>
    <col min="5897" max="5897" width="25.140625" style="133" customWidth="1"/>
    <col min="5898" max="5898" width="24.85546875" style="133" customWidth="1"/>
    <col min="5899" max="5899" width="22" style="133" customWidth="1"/>
    <col min="5900" max="5900" width="25.7109375" style="133" customWidth="1"/>
    <col min="5901" max="5901" width="26.140625" style="133" customWidth="1"/>
    <col min="5902" max="5902" width="27.5703125" style="133" customWidth="1"/>
    <col min="5903" max="5903" width="27.140625" style="133" customWidth="1"/>
    <col min="5904" max="5904" width="32.85546875" style="133" customWidth="1"/>
    <col min="5905" max="5905" width="22.42578125" style="133" customWidth="1"/>
    <col min="5906" max="5906" width="28.140625" style="133" customWidth="1"/>
    <col min="5907" max="5907" width="52.42578125" style="133" customWidth="1"/>
    <col min="5908" max="5908" width="32.42578125" style="133" customWidth="1"/>
    <col min="5909" max="5909" width="24.5703125" style="133" customWidth="1"/>
    <col min="5910" max="5910" width="35" style="133" customWidth="1"/>
    <col min="5911" max="5911" width="35.140625" style="133" customWidth="1"/>
    <col min="5912" max="5912" width="41.140625" style="133" customWidth="1"/>
    <col min="5913" max="5913" width="16.42578125" style="133" customWidth="1"/>
    <col min="5914" max="5914" width="21.42578125" style="133" customWidth="1"/>
    <col min="5915" max="5915" width="31.42578125" style="133" customWidth="1"/>
    <col min="5916" max="5916" width="18.140625" style="133" customWidth="1"/>
    <col min="5917" max="6144" width="9.140625" style="133"/>
    <col min="6145" max="6145" width="9.28515625" style="133" customWidth="1"/>
    <col min="6146" max="6146" width="12.85546875" style="133" customWidth="1"/>
    <col min="6147" max="6147" width="167.42578125" style="133" customWidth="1"/>
    <col min="6148" max="6148" width="27.85546875" style="133" customWidth="1"/>
    <col min="6149" max="6149" width="26.140625" style="133" customWidth="1"/>
    <col min="6150" max="6150" width="26.85546875" style="133" customWidth="1"/>
    <col min="6151" max="6151" width="34.5703125" style="133" customWidth="1"/>
    <col min="6152" max="6152" width="23.28515625" style="133" customWidth="1"/>
    <col min="6153" max="6153" width="25.140625" style="133" customWidth="1"/>
    <col min="6154" max="6154" width="24.85546875" style="133" customWidth="1"/>
    <col min="6155" max="6155" width="22" style="133" customWidth="1"/>
    <col min="6156" max="6156" width="25.7109375" style="133" customWidth="1"/>
    <col min="6157" max="6157" width="26.140625" style="133" customWidth="1"/>
    <col min="6158" max="6158" width="27.5703125" style="133" customWidth="1"/>
    <col min="6159" max="6159" width="27.140625" style="133" customWidth="1"/>
    <col min="6160" max="6160" width="32.85546875" style="133" customWidth="1"/>
    <col min="6161" max="6161" width="22.42578125" style="133" customWidth="1"/>
    <col min="6162" max="6162" width="28.140625" style="133" customWidth="1"/>
    <col min="6163" max="6163" width="52.42578125" style="133" customWidth="1"/>
    <col min="6164" max="6164" width="32.42578125" style="133" customWidth="1"/>
    <col min="6165" max="6165" width="24.5703125" style="133" customWidth="1"/>
    <col min="6166" max="6166" width="35" style="133" customWidth="1"/>
    <col min="6167" max="6167" width="35.140625" style="133" customWidth="1"/>
    <col min="6168" max="6168" width="41.140625" style="133" customWidth="1"/>
    <col min="6169" max="6169" width="16.42578125" style="133" customWidth="1"/>
    <col min="6170" max="6170" width="21.42578125" style="133" customWidth="1"/>
    <col min="6171" max="6171" width="31.42578125" style="133" customWidth="1"/>
    <col min="6172" max="6172" width="18.140625" style="133" customWidth="1"/>
    <col min="6173" max="6400" width="9.140625" style="133"/>
    <col min="6401" max="6401" width="9.28515625" style="133" customWidth="1"/>
    <col min="6402" max="6402" width="12.85546875" style="133" customWidth="1"/>
    <col min="6403" max="6403" width="167.42578125" style="133" customWidth="1"/>
    <col min="6404" max="6404" width="27.85546875" style="133" customWidth="1"/>
    <col min="6405" max="6405" width="26.140625" style="133" customWidth="1"/>
    <col min="6406" max="6406" width="26.85546875" style="133" customWidth="1"/>
    <col min="6407" max="6407" width="34.5703125" style="133" customWidth="1"/>
    <col min="6408" max="6408" width="23.28515625" style="133" customWidth="1"/>
    <col min="6409" max="6409" width="25.140625" style="133" customWidth="1"/>
    <col min="6410" max="6410" width="24.85546875" style="133" customWidth="1"/>
    <col min="6411" max="6411" width="22" style="133" customWidth="1"/>
    <col min="6412" max="6412" width="25.7109375" style="133" customWidth="1"/>
    <col min="6413" max="6413" width="26.140625" style="133" customWidth="1"/>
    <col min="6414" max="6414" width="27.5703125" style="133" customWidth="1"/>
    <col min="6415" max="6415" width="27.140625" style="133" customWidth="1"/>
    <col min="6416" max="6416" width="32.85546875" style="133" customWidth="1"/>
    <col min="6417" max="6417" width="22.42578125" style="133" customWidth="1"/>
    <col min="6418" max="6418" width="28.140625" style="133" customWidth="1"/>
    <col min="6419" max="6419" width="52.42578125" style="133" customWidth="1"/>
    <col min="6420" max="6420" width="32.42578125" style="133" customWidth="1"/>
    <col min="6421" max="6421" width="24.5703125" style="133" customWidth="1"/>
    <col min="6422" max="6422" width="35" style="133" customWidth="1"/>
    <col min="6423" max="6423" width="35.140625" style="133" customWidth="1"/>
    <col min="6424" max="6424" width="41.140625" style="133" customWidth="1"/>
    <col min="6425" max="6425" width="16.42578125" style="133" customWidth="1"/>
    <col min="6426" max="6426" width="21.42578125" style="133" customWidth="1"/>
    <col min="6427" max="6427" width="31.42578125" style="133" customWidth="1"/>
    <col min="6428" max="6428" width="18.140625" style="133" customWidth="1"/>
    <col min="6429" max="6656" width="9.140625" style="133"/>
    <col min="6657" max="6657" width="9.28515625" style="133" customWidth="1"/>
    <col min="6658" max="6658" width="12.85546875" style="133" customWidth="1"/>
    <col min="6659" max="6659" width="167.42578125" style="133" customWidth="1"/>
    <col min="6660" max="6660" width="27.85546875" style="133" customWidth="1"/>
    <col min="6661" max="6661" width="26.140625" style="133" customWidth="1"/>
    <col min="6662" max="6662" width="26.85546875" style="133" customWidth="1"/>
    <col min="6663" max="6663" width="34.5703125" style="133" customWidth="1"/>
    <col min="6664" max="6664" width="23.28515625" style="133" customWidth="1"/>
    <col min="6665" max="6665" width="25.140625" style="133" customWidth="1"/>
    <col min="6666" max="6666" width="24.85546875" style="133" customWidth="1"/>
    <col min="6667" max="6667" width="22" style="133" customWidth="1"/>
    <col min="6668" max="6668" width="25.7109375" style="133" customWidth="1"/>
    <col min="6669" max="6669" width="26.140625" style="133" customWidth="1"/>
    <col min="6670" max="6670" width="27.5703125" style="133" customWidth="1"/>
    <col min="6671" max="6671" width="27.140625" style="133" customWidth="1"/>
    <col min="6672" max="6672" width="32.85546875" style="133" customWidth="1"/>
    <col min="6673" max="6673" width="22.42578125" style="133" customWidth="1"/>
    <col min="6674" max="6674" width="28.140625" style="133" customWidth="1"/>
    <col min="6675" max="6675" width="52.42578125" style="133" customWidth="1"/>
    <col min="6676" max="6676" width="32.42578125" style="133" customWidth="1"/>
    <col min="6677" max="6677" width="24.5703125" style="133" customWidth="1"/>
    <col min="6678" max="6678" width="35" style="133" customWidth="1"/>
    <col min="6679" max="6679" width="35.140625" style="133" customWidth="1"/>
    <col min="6680" max="6680" width="41.140625" style="133" customWidth="1"/>
    <col min="6681" max="6681" width="16.42578125" style="133" customWidth="1"/>
    <col min="6682" max="6682" width="21.42578125" style="133" customWidth="1"/>
    <col min="6683" max="6683" width="31.42578125" style="133" customWidth="1"/>
    <col min="6684" max="6684" width="18.140625" style="133" customWidth="1"/>
    <col min="6685" max="6912" width="9.140625" style="133"/>
    <col min="6913" max="6913" width="9.28515625" style="133" customWidth="1"/>
    <col min="6914" max="6914" width="12.85546875" style="133" customWidth="1"/>
    <col min="6915" max="6915" width="167.42578125" style="133" customWidth="1"/>
    <col min="6916" max="6916" width="27.85546875" style="133" customWidth="1"/>
    <col min="6917" max="6917" width="26.140625" style="133" customWidth="1"/>
    <col min="6918" max="6918" width="26.85546875" style="133" customWidth="1"/>
    <col min="6919" max="6919" width="34.5703125" style="133" customWidth="1"/>
    <col min="6920" max="6920" width="23.28515625" style="133" customWidth="1"/>
    <col min="6921" max="6921" width="25.140625" style="133" customWidth="1"/>
    <col min="6922" max="6922" width="24.85546875" style="133" customWidth="1"/>
    <col min="6923" max="6923" width="22" style="133" customWidth="1"/>
    <col min="6924" max="6924" width="25.7109375" style="133" customWidth="1"/>
    <col min="6925" max="6925" width="26.140625" style="133" customWidth="1"/>
    <col min="6926" max="6926" width="27.5703125" style="133" customWidth="1"/>
    <col min="6927" max="6927" width="27.140625" style="133" customWidth="1"/>
    <col min="6928" max="6928" width="32.85546875" style="133" customWidth="1"/>
    <col min="6929" max="6929" width="22.42578125" style="133" customWidth="1"/>
    <col min="6930" max="6930" width="28.140625" style="133" customWidth="1"/>
    <col min="6931" max="6931" width="52.42578125" style="133" customWidth="1"/>
    <col min="6932" max="6932" width="32.42578125" style="133" customWidth="1"/>
    <col min="6933" max="6933" width="24.5703125" style="133" customWidth="1"/>
    <col min="6934" max="6934" width="35" style="133" customWidth="1"/>
    <col min="6935" max="6935" width="35.140625" style="133" customWidth="1"/>
    <col min="6936" max="6936" width="41.140625" style="133" customWidth="1"/>
    <col min="6937" max="6937" width="16.42578125" style="133" customWidth="1"/>
    <col min="6938" max="6938" width="21.42578125" style="133" customWidth="1"/>
    <col min="6939" max="6939" width="31.42578125" style="133" customWidth="1"/>
    <col min="6940" max="6940" width="18.140625" style="133" customWidth="1"/>
    <col min="6941" max="7168" width="9.140625" style="133"/>
    <col min="7169" max="7169" width="9.28515625" style="133" customWidth="1"/>
    <col min="7170" max="7170" width="12.85546875" style="133" customWidth="1"/>
    <col min="7171" max="7171" width="167.42578125" style="133" customWidth="1"/>
    <col min="7172" max="7172" width="27.85546875" style="133" customWidth="1"/>
    <col min="7173" max="7173" width="26.140625" style="133" customWidth="1"/>
    <col min="7174" max="7174" width="26.85546875" style="133" customWidth="1"/>
    <col min="7175" max="7175" width="34.5703125" style="133" customWidth="1"/>
    <col min="7176" max="7176" width="23.28515625" style="133" customWidth="1"/>
    <col min="7177" max="7177" width="25.140625" style="133" customWidth="1"/>
    <col min="7178" max="7178" width="24.85546875" style="133" customWidth="1"/>
    <col min="7179" max="7179" width="22" style="133" customWidth="1"/>
    <col min="7180" max="7180" width="25.7109375" style="133" customWidth="1"/>
    <col min="7181" max="7181" width="26.140625" style="133" customWidth="1"/>
    <col min="7182" max="7182" width="27.5703125" style="133" customWidth="1"/>
    <col min="7183" max="7183" width="27.140625" style="133" customWidth="1"/>
    <col min="7184" max="7184" width="32.85546875" style="133" customWidth="1"/>
    <col min="7185" max="7185" width="22.42578125" style="133" customWidth="1"/>
    <col min="7186" max="7186" width="28.140625" style="133" customWidth="1"/>
    <col min="7187" max="7187" width="52.42578125" style="133" customWidth="1"/>
    <col min="7188" max="7188" width="32.42578125" style="133" customWidth="1"/>
    <col min="7189" max="7189" width="24.5703125" style="133" customWidth="1"/>
    <col min="7190" max="7190" width="35" style="133" customWidth="1"/>
    <col min="7191" max="7191" width="35.140625" style="133" customWidth="1"/>
    <col min="7192" max="7192" width="41.140625" style="133" customWidth="1"/>
    <col min="7193" max="7193" width="16.42578125" style="133" customWidth="1"/>
    <col min="7194" max="7194" width="21.42578125" style="133" customWidth="1"/>
    <col min="7195" max="7195" width="31.42578125" style="133" customWidth="1"/>
    <col min="7196" max="7196" width="18.140625" style="133" customWidth="1"/>
    <col min="7197" max="7424" width="9.140625" style="133"/>
    <col min="7425" max="7425" width="9.28515625" style="133" customWidth="1"/>
    <col min="7426" max="7426" width="12.85546875" style="133" customWidth="1"/>
    <col min="7427" max="7427" width="167.42578125" style="133" customWidth="1"/>
    <col min="7428" max="7428" width="27.85546875" style="133" customWidth="1"/>
    <col min="7429" max="7429" width="26.140625" style="133" customWidth="1"/>
    <col min="7430" max="7430" width="26.85546875" style="133" customWidth="1"/>
    <col min="7431" max="7431" width="34.5703125" style="133" customWidth="1"/>
    <col min="7432" max="7432" width="23.28515625" style="133" customWidth="1"/>
    <col min="7433" max="7433" width="25.140625" style="133" customWidth="1"/>
    <col min="7434" max="7434" width="24.85546875" style="133" customWidth="1"/>
    <col min="7435" max="7435" width="22" style="133" customWidth="1"/>
    <col min="7436" max="7436" width="25.7109375" style="133" customWidth="1"/>
    <col min="7437" max="7437" width="26.140625" style="133" customWidth="1"/>
    <col min="7438" max="7438" width="27.5703125" style="133" customWidth="1"/>
    <col min="7439" max="7439" width="27.140625" style="133" customWidth="1"/>
    <col min="7440" max="7440" width="32.85546875" style="133" customWidth="1"/>
    <col min="7441" max="7441" width="22.42578125" style="133" customWidth="1"/>
    <col min="7442" max="7442" width="28.140625" style="133" customWidth="1"/>
    <col min="7443" max="7443" width="52.42578125" style="133" customWidth="1"/>
    <col min="7444" max="7444" width="32.42578125" style="133" customWidth="1"/>
    <col min="7445" max="7445" width="24.5703125" style="133" customWidth="1"/>
    <col min="7446" max="7446" width="35" style="133" customWidth="1"/>
    <col min="7447" max="7447" width="35.140625" style="133" customWidth="1"/>
    <col min="7448" max="7448" width="41.140625" style="133" customWidth="1"/>
    <col min="7449" max="7449" width="16.42578125" style="133" customWidth="1"/>
    <col min="7450" max="7450" width="21.42578125" style="133" customWidth="1"/>
    <col min="7451" max="7451" width="31.42578125" style="133" customWidth="1"/>
    <col min="7452" max="7452" width="18.140625" style="133" customWidth="1"/>
    <col min="7453" max="7680" width="9.140625" style="133"/>
    <col min="7681" max="7681" width="9.28515625" style="133" customWidth="1"/>
    <col min="7682" max="7682" width="12.85546875" style="133" customWidth="1"/>
    <col min="7683" max="7683" width="167.42578125" style="133" customWidth="1"/>
    <col min="7684" max="7684" width="27.85546875" style="133" customWidth="1"/>
    <col min="7685" max="7685" width="26.140625" style="133" customWidth="1"/>
    <col min="7686" max="7686" width="26.85546875" style="133" customWidth="1"/>
    <col min="7687" max="7687" width="34.5703125" style="133" customWidth="1"/>
    <col min="7688" max="7688" width="23.28515625" style="133" customWidth="1"/>
    <col min="7689" max="7689" width="25.140625" style="133" customWidth="1"/>
    <col min="7690" max="7690" width="24.85546875" style="133" customWidth="1"/>
    <col min="7691" max="7691" width="22" style="133" customWidth="1"/>
    <col min="7692" max="7692" width="25.7109375" style="133" customWidth="1"/>
    <col min="7693" max="7693" width="26.140625" style="133" customWidth="1"/>
    <col min="7694" max="7694" width="27.5703125" style="133" customWidth="1"/>
    <col min="7695" max="7695" width="27.140625" style="133" customWidth="1"/>
    <col min="7696" max="7696" width="32.85546875" style="133" customWidth="1"/>
    <col min="7697" max="7697" width="22.42578125" style="133" customWidth="1"/>
    <col min="7698" max="7698" width="28.140625" style="133" customWidth="1"/>
    <col min="7699" max="7699" width="52.42578125" style="133" customWidth="1"/>
    <col min="7700" max="7700" width="32.42578125" style="133" customWidth="1"/>
    <col min="7701" max="7701" width="24.5703125" style="133" customWidth="1"/>
    <col min="7702" max="7702" width="35" style="133" customWidth="1"/>
    <col min="7703" max="7703" width="35.140625" style="133" customWidth="1"/>
    <col min="7704" max="7704" width="41.140625" style="133" customWidth="1"/>
    <col min="7705" max="7705" width="16.42578125" style="133" customWidth="1"/>
    <col min="7706" max="7706" width="21.42578125" style="133" customWidth="1"/>
    <col min="7707" max="7707" width="31.42578125" style="133" customWidth="1"/>
    <col min="7708" max="7708" width="18.140625" style="133" customWidth="1"/>
    <col min="7709" max="7936" width="9.140625" style="133"/>
    <col min="7937" max="7937" width="9.28515625" style="133" customWidth="1"/>
    <col min="7938" max="7938" width="12.85546875" style="133" customWidth="1"/>
    <col min="7939" max="7939" width="167.42578125" style="133" customWidth="1"/>
    <col min="7940" max="7940" width="27.85546875" style="133" customWidth="1"/>
    <col min="7941" max="7941" width="26.140625" style="133" customWidth="1"/>
    <col min="7942" max="7942" width="26.85546875" style="133" customWidth="1"/>
    <col min="7943" max="7943" width="34.5703125" style="133" customWidth="1"/>
    <col min="7944" max="7944" width="23.28515625" style="133" customWidth="1"/>
    <col min="7945" max="7945" width="25.140625" style="133" customWidth="1"/>
    <col min="7946" max="7946" width="24.85546875" style="133" customWidth="1"/>
    <col min="7947" max="7947" width="22" style="133" customWidth="1"/>
    <col min="7948" max="7948" width="25.7109375" style="133" customWidth="1"/>
    <col min="7949" max="7949" width="26.140625" style="133" customWidth="1"/>
    <col min="7950" max="7950" width="27.5703125" style="133" customWidth="1"/>
    <col min="7951" max="7951" width="27.140625" style="133" customWidth="1"/>
    <col min="7952" max="7952" width="32.85546875" style="133" customWidth="1"/>
    <col min="7953" max="7953" width="22.42578125" style="133" customWidth="1"/>
    <col min="7954" max="7954" width="28.140625" style="133" customWidth="1"/>
    <col min="7955" max="7955" width="52.42578125" style="133" customWidth="1"/>
    <col min="7956" max="7956" width="32.42578125" style="133" customWidth="1"/>
    <col min="7957" max="7957" width="24.5703125" style="133" customWidth="1"/>
    <col min="7958" max="7958" width="35" style="133" customWidth="1"/>
    <col min="7959" max="7959" width="35.140625" style="133" customWidth="1"/>
    <col min="7960" max="7960" width="41.140625" style="133" customWidth="1"/>
    <col min="7961" max="7961" width="16.42578125" style="133" customWidth="1"/>
    <col min="7962" max="7962" width="21.42578125" style="133" customWidth="1"/>
    <col min="7963" max="7963" width="31.42578125" style="133" customWidth="1"/>
    <col min="7964" max="7964" width="18.140625" style="133" customWidth="1"/>
    <col min="7965" max="8192" width="9.140625" style="133"/>
    <col min="8193" max="8193" width="9.28515625" style="133" customWidth="1"/>
    <col min="8194" max="8194" width="12.85546875" style="133" customWidth="1"/>
    <col min="8195" max="8195" width="167.42578125" style="133" customWidth="1"/>
    <col min="8196" max="8196" width="27.85546875" style="133" customWidth="1"/>
    <col min="8197" max="8197" width="26.140625" style="133" customWidth="1"/>
    <col min="8198" max="8198" width="26.85546875" style="133" customWidth="1"/>
    <col min="8199" max="8199" width="34.5703125" style="133" customWidth="1"/>
    <col min="8200" max="8200" width="23.28515625" style="133" customWidth="1"/>
    <col min="8201" max="8201" width="25.140625" style="133" customWidth="1"/>
    <col min="8202" max="8202" width="24.85546875" style="133" customWidth="1"/>
    <col min="8203" max="8203" width="22" style="133" customWidth="1"/>
    <col min="8204" max="8204" width="25.7109375" style="133" customWidth="1"/>
    <col min="8205" max="8205" width="26.140625" style="133" customWidth="1"/>
    <col min="8206" max="8206" width="27.5703125" style="133" customWidth="1"/>
    <col min="8207" max="8207" width="27.140625" style="133" customWidth="1"/>
    <col min="8208" max="8208" width="32.85546875" style="133" customWidth="1"/>
    <col min="8209" max="8209" width="22.42578125" style="133" customWidth="1"/>
    <col min="8210" max="8210" width="28.140625" style="133" customWidth="1"/>
    <col min="8211" max="8211" width="52.42578125" style="133" customWidth="1"/>
    <col min="8212" max="8212" width="32.42578125" style="133" customWidth="1"/>
    <col min="8213" max="8213" width="24.5703125" style="133" customWidth="1"/>
    <col min="8214" max="8214" width="35" style="133" customWidth="1"/>
    <col min="8215" max="8215" width="35.140625" style="133" customWidth="1"/>
    <col min="8216" max="8216" width="41.140625" style="133" customWidth="1"/>
    <col min="8217" max="8217" width="16.42578125" style="133" customWidth="1"/>
    <col min="8218" max="8218" width="21.42578125" style="133" customWidth="1"/>
    <col min="8219" max="8219" width="31.42578125" style="133" customWidth="1"/>
    <col min="8220" max="8220" width="18.140625" style="133" customWidth="1"/>
    <col min="8221" max="8448" width="9.140625" style="133"/>
    <col min="8449" max="8449" width="9.28515625" style="133" customWidth="1"/>
    <col min="8450" max="8450" width="12.85546875" style="133" customWidth="1"/>
    <col min="8451" max="8451" width="167.42578125" style="133" customWidth="1"/>
    <col min="8452" max="8452" width="27.85546875" style="133" customWidth="1"/>
    <col min="8453" max="8453" width="26.140625" style="133" customWidth="1"/>
    <col min="8454" max="8454" width="26.85546875" style="133" customWidth="1"/>
    <col min="8455" max="8455" width="34.5703125" style="133" customWidth="1"/>
    <col min="8456" max="8456" width="23.28515625" style="133" customWidth="1"/>
    <col min="8457" max="8457" width="25.140625" style="133" customWidth="1"/>
    <col min="8458" max="8458" width="24.85546875" style="133" customWidth="1"/>
    <col min="8459" max="8459" width="22" style="133" customWidth="1"/>
    <col min="8460" max="8460" width="25.7109375" style="133" customWidth="1"/>
    <col min="8461" max="8461" width="26.140625" style="133" customWidth="1"/>
    <col min="8462" max="8462" width="27.5703125" style="133" customWidth="1"/>
    <col min="8463" max="8463" width="27.140625" style="133" customWidth="1"/>
    <col min="8464" max="8464" width="32.85546875" style="133" customWidth="1"/>
    <col min="8465" max="8465" width="22.42578125" style="133" customWidth="1"/>
    <col min="8466" max="8466" width="28.140625" style="133" customWidth="1"/>
    <col min="8467" max="8467" width="52.42578125" style="133" customWidth="1"/>
    <col min="8468" max="8468" width="32.42578125" style="133" customWidth="1"/>
    <col min="8469" max="8469" width="24.5703125" style="133" customWidth="1"/>
    <col min="8470" max="8470" width="35" style="133" customWidth="1"/>
    <col min="8471" max="8471" width="35.140625" style="133" customWidth="1"/>
    <col min="8472" max="8472" width="41.140625" style="133" customWidth="1"/>
    <col min="8473" max="8473" width="16.42578125" style="133" customWidth="1"/>
    <col min="8474" max="8474" width="21.42578125" style="133" customWidth="1"/>
    <col min="8475" max="8475" width="31.42578125" style="133" customWidth="1"/>
    <col min="8476" max="8476" width="18.140625" style="133" customWidth="1"/>
    <col min="8477" max="8704" width="9.140625" style="133"/>
    <col min="8705" max="8705" width="9.28515625" style="133" customWidth="1"/>
    <col min="8706" max="8706" width="12.85546875" style="133" customWidth="1"/>
    <col min="8707" max="8707" width="167.42578125" style="133" customWidth="1"/>
    <col min="8708" max="8708" width="27.85546875" style="133" customWidth="1"/>
    <col min="8709" max="8709" width="26.140625" style="133" customWidth="1"/>
    <col min="8710" max="8710" width="26.85546875" style="133" customWidth="1"/>
    <col min="8711" max="8711" width="34.5703125" style="133" customWidth="1"/>
    <col min="8712" max="8712" width="23.28515625" style="133" customWidth="1"/>
    <col min="8713" max="8713" width="25.140625" style="133" customWidth="1"/>
    <col min="8714" max="8714" width="24.85546875" style="133" customWidth="1"/>
    <col min="8715" max="8715" width="22" style="133" customWidth="1"/>
    <col min="8716" max="8716" width="25.7109375" style="133" customWidth="1"/>
    <col min="8717" max="8717" width="26.140625" style="133" customWidth="1"/>
    <col min="8718" max="8718" width="27.5703125" style="133" customWidth="1"/>
    <col min="8719" max="8719" width="27.140625" style="133" customWidth="1"/>
    <col min="8720" max="8720" width="32.85546875" style="133" customWidth="1"/>
    <col min="8721" max="8721" width="22.42578125" style="133" customWidth="1"/>
    <col min="8722" max="8722" width="28.140625" style="133" customWidth="1"/>
    <col min="8723" max="8723" width="52.42578125" style="133" customWidth="1"/>
    <col min="8724" max="8724" width="32.42578125" style="133" customWidth="1"/>
    <col min="8725" max="8725" width="24.5703125" style="133" customWidth="1"/>
    <col min="8726" max="8726" width="35" style="133" customWidth="1"/>
    <col min="8727" max="8727" width="35.140625" style="133" customWidth="1"/>
    <col min="8728" max="8728" width="41.140625" style="133" customWidth="1"/>
    <col min="8729" max="8729" width="16.42578125" style="133" customWidth="1"/>
    <col min="8730" max="8730" width="21.42578125" style="133" customWidth="1"/>
    <col min="8731" max="8731" width="31.42578125" style="133" customWidth="1"/>
    <col min="8732" max="8732" width="18.140625" style="133" customWidth="1"/>
    <col min="8733" max="8960" width="9.140625" style="133"/>
    <col min="8961" max="8961" width="9.28515625" style="133" customWidth="1"/>
    <col min="8962" max="8962" width="12.85546875" style="133" customWidth="1"/>
    <col min="8963" max="8963" width="167.42578125" style="133" customWidth="1"/>
    <col min="8964" max="8964" width="27.85546875" style="133" customWidth="1"/>
    <col min="8965" max="8965" width="26.140625" style="133" customWidth="1"/>
    <col min="8966" max="8966" width="26.85546875" style="133" customWidth="1"/>
    <col min="8967" max="8967" width="34.5703125" style="133" customWidth="1"/>
    <col min="8968" max="8968" width="23.28515625" style="133" customWidth="1"/>
    <col min="8969" max="8969" width="25.140625" style="133" customWidth="1"/>
    <col min="8970" max="8970" width="24.85546875" style="133" customWidth="1"/>
    <col min="8971" max="8971" width="22" style="133" customWidth="1"/>
    <col min="8972" max="8972" width="25.7109375" style="133" customWidth="1"/>
    <col min="8973" max="8973" width="26.140625" style="133" customWidth="1"/>
    <col min="8974" max="8974" width="27.5703125" style="133" customWidth="1"/>
    <col min="8975" max="8975" width="27.140625" style="133" customWidth="1"/>
    <col min="8976" max="8976" width="32.85546875" style="133" customWidth="1"/>
    <col min="8977" max="8977" width="22.42578125" style="133" customWidth="1"/>
    <col min="8978" max="8978" width="28.140625" style="133" customWidth="1"/>
    <col min="8979" max="8979" width="52.42578125" style="133" customWidth="1"/>
    <col min="8980" max="8980" width="32.42578125" style="133" customWidth="1"/>
    <col min="8981" max="8981" width="24.5703125" style="133" customWidth="1"/>
    <col min="8982" max="8982" width="35" style="133" customWidth="1"/>
    <col min="8983" max="8983" width="35.140625" style="133" customWidth="1"/>
    <col min="8984" max="8984" width="41.140625" style="133" customWidth="1"/>
    <col min="8985" max="8985" width="16.42578125" style="133" customWidth="1"/>
    <col min="8986" max="8986" width="21.42578125" style="133" customWidth="1"/>
    <col min="8987" max="8987" width="31.42578125" style="133" customWidth="1"/>
    <col min="8988" max="8988" width="18.140625" style="133" customWidth="1"/>
    <col min="8989" max="9216" width="9.140625" style="133"/>
    <col min="9217" max="9217" width="9.28515625" style="133" customWidth="1"/>
    <col min="9218" max="9218" width="12.85546875" style="133" customWidth="1"/>
    <col min="9219" max="9219" width="167.42578125" style="133" customWidth="1"/>
    <col min="9220" max="9220" width="27.85546875" style="133" customWidth="1"/>
    <col min="9221" max="9221" width="26.140625" style="133" customWidth="1"/>
    <col min="9222" max="9222" width="26.85546875" style="133" customWidth="1"/>
    <col min="9223" max="9223" width="34.5703125" style="133" customWidth="1"/>
    <col min="9224" max="9224" width="23.28515625" style="133" customWidth="1"/>
    <col min="9225" max="9225" width="25.140625" style="133" customWidth="1"/>
    <col min="9226" max="9226" width="24.85546875" style="133" customWidth="1"/>
    <col min="9227" max="9227" width="22" style="133" customWidth="1"/>
    <col min="9228" max="9228" width="25.7109375" style="133" customWidth="1"/>
    <col min="9229" max="9229" width="26.140625" style="133" customWidth="1"/>
    <col min="9230" max="9230" width="27.5703125" style="133" customWidth="1"/>
    <col min="9231" max="9231" width="27.140625" style="133" customWidth="1"/>
    <col min="9232" max="9232" width="32.85546875" style="133" customWidth="1"/>
    <col min="9233" max="9233" width="22.42578125" style="133" customWidth="1"/>
    <col min="9234" max="9234" width="28.140625" style="133" customWidth="1"/>
    <col min="9235" max="9235" width="52.42578125" style="133" customWidth="1"/>
    <col min="9236" max="9236" width="32.42578125" style="133" customWidth="1"/>
    <col min="9237" max="9237" width="24.5703125" style="133" customWidth="1"/>
    <col min="9238" max="9238" width="35" style="133" customWidth="1"/>
    <col min="9239" max="9239" width="35.140625" style="133" customWidth="1"/>
    <col min="9240" max="9240" width="41.140625" style="133" customWidth="1"/>
    <col min="9241" max="9241" width="16.42578125" style="133" customWidth="1"/>
    <col min="9242" max="9242" width="21.42578125" style="133" customWidth="1"/>
    <col min="9243" max="9243" width="31.42578125" style="133" customWidth="1"/>
    <col min="9244" max="9244" width="18.140625" style="133" customWidth="1"/>
    <col min="9245" max="9472" width="9.140625" style="133"/>
    <col min="9473" max="9473" width="9.28515625" style="133" customWidth="1"/>
    <col min="9474" max="9474" width="12.85546875" style="133" customWidth="1"/>
    <col min="9475" max="9475" width="167.42578125" style="133" customWidth="1"/>
    <col min="9476" max="9476" width="27.85546875" style="133" customWidth="1"/>
    <col min="9477" max="9477" width="26.140625" style="133" customWidth="1"/>
    <col min="9478" max="9478" width="26.85546875" style="133" customWidth="1"/>
    <col min="9479" max="9479" width="34.5703125" style="133" customWidth="1"/>
    <col min="9480" max="9480" width="23.28515625" style="133" customWidth="1"/>
    <col min="9481" max="9481" width="25.140625" style="133" customWidth="1"/>
    <col min="9482" max="9482" width="24.85546875" style="133" customWidth="1"/>
    <col min="9483" max="9483" width="22" style="133" customWidth="1"/>
    <col min="9484" max="9484" width="25.7109375" style="133" customWidth="1"/>
    <col min="9485" max="9485" width="26.140625" style="133" customWidth="1"/>
    <col min="9486" max="9486" width="27.5703125" style="133" customWidth="1"/>
    <col min="9487" max="9487" width="27.140625" style="133" customWidth="1"/>
    <col min="9488" max="9488" width="32.85546875" style="133" customWidth="1"/>
    <col min="9489" max="9489" width="22.42578125" style="133" customWidth="1"/>
    <col min="9490" max="9490" width="28.140625" style="133" customWidth="1"/>
    <col min="9491" max="9491" width="52.42578125" style="133" customWidth="1"/>
    <col min="9492" max="9492" width="32.42578125" style="133" customWidth="1"/>
    <col min="9493" max="9493" width="24.5703125" style="133" customWidth="1"/>
    <col min="9494" max="9494" width="35" style="133" customWidth="1"/>
    <col min="9495" max="9495" width="35.140625" style="133" customWidth="1"/>
    <col min="9496" max="9496" width="41.140625" style="133" customWidth="1"/>
    <col min="9497" max="9497" width="16.42578125" style="133" customWidth="1"/>
    <col min="9498" max="9498" width="21.42578125" style="133" customWidth="1"/>
    <col min="9499" max="9499" width="31.42578125" style="133" customWidth="1"/>
    <col min="9500" max="9500" width="18.140625" style="133" customWidth="1"/>
    <col min="9501" max="9728" width="9.140625" style="133"/>
    <col min="9729" max="9729" width="9.28515625" style="133" customWidth="1"/>
    <col min="9730" max="9730" width="12.85546875" style="133" customWidth="1"/>
    <col min="9731" max="9731" width="167.42578125" style="133" customWidth="1"/>
    <col min="9732" max="9732" width="27.85546875" style="133" customWidth="1"/>
    <col min="9733" max="9733" width="26.140625" style="133" customWidth="1"/>
    <col min="9734" max="9734" width="26.85546875" style="133" customWidth="1"/>
    <col min="9735" max="9735" width="34.5703125" style="133" customWidth="1"/>
    <col min="9736" max="9736" width="23.28515625" style="133" customWidth="1"/>
    <col min="9737" max="9737" width="25.140625" style="133" customWidth="1"/>
    <col min="9738" max="9738" width="24.85546875" style="133" customWidth="1"/>
    <col min="9739" max="9739" width="22" style="133" customWidth="1"/>
    <col min="9740" max="9740" width="25.7109375" style="133" customWidth="1"/>
    <col min="9741" max="9741" width="26.140625" style="133" customWidth="1"/>
    <col min="9742" max="9742" width="27.5703125" style="133" customWidth="1"/>
    <col min="9743" max="9743" width="27.140625" style="133" customWidth="1"/>
    <col min="9744" max="9744" width="32.85546875" style="133" customWidth="1"/>
    <col min="9745" max="9745" width="22.42578125" style="133" customWidth="1"/>
    <col min="9746" max="9746" width="28.140625" style="133" customWidth="1"/>
    <col min="9747" max="9747" width="52.42578125" style="133" customWidth="1"/>
    <col min="9748" max="9748" width="32.42578125" style="133" customWidth="1"/>
    <col min="9749" max="9749" width="24.5703125" style="133" customWidth="1"/>
    <col min="9750" max="9750" width="35" style="133" customWidth="1"/>
    <col min="9751" max="9751" width="35.140625" style="133" customWidth="1"/>
    <col min="9752" max="9752" width="41.140625" style="133" customWidth="1"/>
    <col min="9753" max="9753" width="16.42578125" style="133" customWidth="1"/>
    <col min="9754" max="9754" width="21.42578125" style="133" customWidth="1"/>
    <col min="9755" max="9755" width="31.42578125" style="133" customWidth="1"/>
    <col min="9756" max="9756" width="18.140625" style="133" customWidth="1"/>
    <col min="9757" max="9984" width="9.140625" style="133"/>
    <col min="9985" max="9985" width="9.28515625" style="133" customWidth="1"/>
    <col min="9986" max="9986" width="12.85546875" style="133" customWidth="1"/>
    <col min="9987" max="9987" width="167.42578125" style="133" customWidth="1"/>
    <col min="9988" max="9988" width="27.85546875" style="133" customWidth="1"/>
    <col min="9989" max="9989" width="26.140625" style="133" customWidth="1"/>
    <col min="9990" max="9990" width="26.85546875" style="133" customWidth="1"/>
    <col min="9991" max="9991" width="34.5703125" style="133" customWidth="1"/>
    <col min="9992" max="9992" width="23.28515625" style="133" customWidth="1"/>
    <col min="9993" max="9993" width="25.140625" style="133" customWidth="1"/>
    <col min="9994" max="9994" width="24.85546875" style="133" customWidth="1"/>
    <col min="9995" max="9995" width="22" style="133" customWidth="1"/>
    <col min="9996" max="9996" width="25.7109375" style="133" customWidth="1"/>
    <col min="9997" max="9997" width="26.140625" style="133" customWidth="1"/>
    <col min="9998" max="9998" width="27.5703125" style="133" customWidth="1"/>
    <col min="9999" max="9999" width="27.140625" style="133" customWidth="1"/>
    <col min="10000" max="10000" width="32.85546875" style="133" customWidth="1"/>
    <col min="10001" max="10001" width="22.42578125" style="133" customWidth="1"/>
    <col min="10002" max="10002" width="28.140625" style="133" customWidth="1"/>
    <col min="10003" max="10003" width="52.42578125" style="133" customWidth="1"/>
    <col min="10004" max="10004" width="32.42578125" style="133" customWidth="1"/>
    <col min="10005" max="10005" width="24.5703125" style="133" customWidth="1"/>
    <col min="10006" max="10006" width="35" style="133" customWidth="1"/>
    <col min="10007" max="10007" width="35.140625" style="133" customWidth="1"/>
    <col min="10008" max="10008" width="41.140625" style="133" customWidth="1"/>
    <col min="10009" max="10009" width="16.42578125" style="133" customWidth="1"/>
    <col min="10010" max="10010" width="21.42578125" style="133" customWidth="1"/>
    <col min="10011" max="10011" width="31.42578125" style="133" customWidth="1"/>
    <col min="10012" max="10012" width="18.140625" style="133" customWidth="1"/>
    <col min="10013" max="10240" width="9.140625" style="133"/>
    <col min="10241" max="10241" width="9.28515625" style="133" customWidth="1"/>
    <col min="10242" max="10242" width="12.85546875" style="133" customWidth="1"/>
    <col min="10243" max="10243" width="167.42578125" style="133" customWidth="1"/>
    <col min="10244" max="10244" width="27.85546875" style="133" customWidth="1"/>
    <col min="10245" max="10245" width="26.140625" style="133" customWidth="1"/>
    <col min="10246" max="10246" width="26.85546875" style="133" customWidth="1"/>
    <col min="10247" max="10247" width="34.5703125" style="133" customWidth="1"/>
    <col min="10248" max="10248" width="23.28515625" style="133" customWidth="1"/>
    <col min="10249" max="10249" width="25.140625" style="133" customWidth="1"/>
    <col min="10250" max="10250" width="24.85546875" style="133" customWidth="1"/>
    <col min="10251" max="10251" width="22" style="133" customWidth="1"/>
    <col min="10252" max="10252" width="25.7109375" style="133" customWidth="1"/>
    <col min="10253" max="10253" width="26.140625" style="133" customWidth="1"/>
    <col min="10254" max="10254" width="27.5703125" style="133" customWidth="1"/>
    <col min="10255" max="10255" width="27.140625" style="133" customWidth="1"/>
    <col min="10256" max="10256" width="32.85546875" style="133" customWidth="1"/>
    <col min="10257" max="10257" width="22.42578125" style="133" customWidth="1"/>
    <col min="10258" max="10258" width="28.140625" style="133" customWidth="1"/>
    <col min="10259" max="10259" width="52.42578125" style="133" customWidth="1"/>
    <col min="10260" max="10260" width="32.42578125" style="133" customWidth="1"/>
    <col min="10261" max="10261" width="24.5703125" style="133" customWidth="1"/>
    <col min="10262" max="10262" width="35" style="133" customWidth="1"/>
    <col min="10263" max="10263" width="35.140625" style="133" customWidth="1"/>
    <col min="10264" max="10264" width="41.140625" style="133" customWidth="1"/>
    <col min="10265" max="10265" width="16.42578125" style="133" customWidth="1"/>
    <col min="10266" max="10266" width="21.42578125" style="133" customWidth="1"/>
    <col min="10267" max="10267" width="31.42578125" style="133" customWidth="1"/>
    <col min="10268" max="10268" width="18.140625" style="133" customWidth="1"/>
    <col min="10269" max="10496" width="9.140625" style="133"/>
    <col min="10497" max="10497" width="9.28515625" style="133" customWidth="1"/>
    <col min="10498" max="10498" width="12.85546875" style="133" customWidth="1"/>
    <col min="10499" max="10499" width="167.42578125" style="133" customWidth="1"/>
    <col min="10500" max="10500" width="27.85546875" style="133" customWidth="1"/>
    <col min="10501" max="10501" width="26.140625" style="133" customWidth="1"/>
    <col min="10502" max="10502" width="26.85546875" style="133" customWidth="1"/>
    <col min="10503" max="10503" width="34.5703125" style="133" customWidth="1"/>
    <col min="10504" max="10504" width="23.28515625" style="133" customWidth="1"/>
    <col min="10505" max="10505" width="25.140625" style="133" customWidth="1"/>
    <col min="10506" max="10506" width="24.85546875" style="133" customWidth="1"/>
    <col min="10507" max="10507" width="22" style="133" customWidth="1"/>
    <col min="10508" max="10508" width="25.7109375" style="133" customWidth="1"/>
    <col min="10509" max="10509" width="26.140625" style="133" customWidth="1"/>
    <col min="10510" max="10510" width="27.5703125" style="133" customWidth="1"/>
    <col min="10511" max="10511" width="27.140625" style="133" customWidth="1"/>
    <col min="10512" max="10512" width="32.85546875" style="133" customWidth="1"/>
    <col min="10513" max="10513" width="22.42578125" style="133" customWidth="1"/>
    <col min="10514" max="10514" width="28.140625" style="133" customWidth="1"/>
    <col min="10515" max="10515" width="52.42578125" style="133" customWidth="1"/>
    <col min="10516" max="10516" width="32.42578125" style="133" customWidth="1"/>
    <col min="10517" max="10517" width="24.5703125" style="133" customWidth="1"/>
    <col min="10518" max="10518" width="35" style="133" customWidth="1"/>
    <col min="10519" max="10519" width="35.140625" style="133" customWidth="1"/>
    <col min="10520" max="10520" width="41.140625" style="133" customWidth="1"/>
    <col min="10521" max="10521" width="16.42578125" style="133" customWidth="1"/>
    <col min="10522" max="10522" width="21.42578125" style="133" customWidth="1"/>
    <col min="10523" max="10523" width="31.42578125" style="133" customWidth="1"/>
    <col min="10524" max="10524" width="18.140625" style="133" customWidth="1"/>
    <col min="10525" max="10752" width="9.140625" style="133"/>
    <col min="10753" max="10753" width="9.28515625" style="133" customWidth="1"/>
    <col min="10754" max="10754" width="12.85546875" style="133" customWidth="1"/>
    <col min="10755" max="10755" width="167.42578125" style="133" customWidth="1"/>
    <col min="10756" max="10756" width="27.85546875" style="133" customWidth="1"/>
    <col min="10757" max="10757" width="26.140625" style="133" customWidth="1"/>
    <col min="10758" max="10758" width="26.85546875" style="133" customWidth="1"/>
    <col min="10759" max="10759" width="34.5703125" style="133" customWidth="1"/>
    <col min="10760" max="10760" width="23.28515625" style="133" customWidth="1"/>
    <col min="10761" max="10761" width="25.140625" style="133" customWidth="1"/>
    <col min="10762" max="10762" width="24.85546875" style="133" customWidth="1"/>
    <col min="10763" max="10763" width="22" style="133" customWidth="1"/>
    <col min="10764" max="10764" width="25.7109375" style="133" customWidth="1"/>
    <col min="10765" max="10765" width="26.140625" style="133" customWidth="1"/>
    <col min="10766" max="10766" width="27.5703125" style="133" customWidth="1"/>
    <col min="10767" max="10767" width="27.140625" style="133" customWidth="1"/>
    <col min="10768" max="10768" width="32.85546875" style="133" customWidth="1"/>
    <col min="10769" max="10769" width="22.42578125" style="133" customWidth="1"/>
    <col min="10770" max="10770" width="28.140625" style="133" customWidth="1"/>
    <col min="10771" max="10771" width="52.42578125" style="133" customWidth="1"/>
    <col min="10772" max="10772" width="32.42578125" style="133" customWidth="1"/>
    <col min="10773" max="10773" width="24.5703125" style="133" customWidth="1"/>
    <col min="10774" max="10774" width="35" style="133" customWidth="1"/>
    <col min="10775" max="10775" width="35.140625" style="133" customWidth="1"/>
    <col min="10776" max="10776" width="41.140625" style="133" customWidth="1"/>
    <col min="10777" max="10777" width="16.42578125" style="133" customWidth="1"/>
    <col min="10778" max="10778" width="21.42578125" style="133" customWidth="1"/>
    <col min="10779" max="10779" width="31.42578125" style="133" customWidth="1"/>
    <col min="10780" max="10780" width="18.140625" style="133" customWidth="1"/>
    <col min="10781" max="11008" width="9.140625" style="133"/>
    <col min="11009" max="11009" width="9.28515625" style="133" customWidth="1"/>
    <col min="11010" max="11010" width="12.85546875" style="133" customWidth="1"/>
    <col min="11011" max="11011" width="167.42578125" style="133" customWidth="1"/>
    <col min="11012" max="11012" width="27.85546875" style="133" customWidth="1"/>
    <col min="11013" max="11013" width="26.140625" style="133" customWidth="1"/>
    <col min="11014" max="11014" width="26.85546875" style="133" customWidth="1"/>
    <col min="11015" max="11015" width="34.5703125" style="133" customWidth="1"/>
    <col min="11016" max="11016" width="23.28515625" style="133" customWidth="1"/>
    <col min="11017" max="11017" width="25.140625" style="133" customWidth="1"/>
    <col min="11018" max="11018" width="24.85546875" style="133" customWidth="1"/>
    <col min="11019" max="11019" width="22" style="133" customWidth="1"/>
    <col min="11020" max="11020" width="25.7109375" style="133" customWidth="1"/>
    <col min="11021" max="11021" width="26.140625" style="133" customWidth="1"/>
    <col min="11022" max="11022" width="27.5703125" style="133" customWidth="1"/>
    <col min="11023" max="11023" width="27.140625" style="133" customWidth="1"/>
    <col min="11024" max="11024" width="32.85546875" style="133" customWidth="1"/>
    <col min="11025" max="11025" width="22.42578125" style="133" customWidth="1"/>
    <col min="11026" max="11026" width="28.140625" style="133" customWidth="1"/>
    <col min="11027" max="11027" width="52.42578125" style="133" customWidth="1"/>
    <col min="11028" max="11028" width="32.42578125" style="133" customWidth="1"/>
    <col min="11029" max="11029" width="24.5703125" style="133" customWidth="1"/>
    <col min="11030" max="11030" width="35" style="133" customWidth="1"/>
    <col min="11031" max="11031" width="35.140625" style="133" customWidth="1"/>
    <col min="11032" max="11032" width="41.140625" style="133" customWidth="1"/>
    <col min="11033" max="11033" width="16.42578125" style="133" customWidth="1"/>
    <col min="11034" max="11034" width="21.42578125" style="133" customWidth="1"/>
    <col min="11035" max="11035" width="31.42578125" style="133" customWidth="1"/>
    <col min="11036" max="11036" width="18.140625" style="133" customWidth="1"/>
    <col min="11037" max="11264" width="9.140625" style="133"/>
    <col min="11265" max="11265" width="9.28515625" style="133" customWidth="1"/>
    <col min="11266" max="11266" width="12.85546875" style="133" customWidth="1"/>
    <col min="11267" max="11267" width="167.42578125" style="133" customWidth="1"/>
    <col min="11268" max="11268" width="27.85546875" style="133" customWidth="1"/>
    <col min="11269" max="11269" width="26.140625" style="133" customWidth="1"/>
    <col min="11270" max="11270" width="26.85546875" style="133" customWidth="1"/>
    <col min="11271" max="11271" width="34.5703125" style="133" customWidth="1"/>
    <col min="11272" max="11272" width="23.28515625" style="133" customWidth="1"/>
    <col min="11273" max="11273" width="25.140625" style="133" customWidth="1"/>
    <col min="11274" max="11274" width="24.85546875" style="133" customWidth="1"/>
    <col min="11275" max="11275" width="22" style="133" customWidth="1"/>
    <col min="11276" max="11276" width="25.7109375" style="133" customWidth="1"/>
    <col min="11277" max="11277" width="26.140625" style="133" customWidth="1"/>
    <col min="11278" max="11278" width="27.5703125" style="133" customWidth="1"/>
    <col min="11279" max="11279" width="27.140625" style="133" customWidth="1"/>
    <col min="11280" max="11280" width="32.85546875" style="133" customWidth="1"/>
    <col min="11281" max="11281" width="22.42578125" style="133" customWidth="1"/>
    <col min="11282" max="11282" width="28.140625" style="133" customWidth="1"/>
    <col min="11283" max="11283" width="52.42578125" style="133" customWidth="1"/>
    <col min="11284" max="11284" width="32.42578125" style="133" customWidth="1"/>
    <col min="11285" max="11285" width="24.5703125" style="133" customWidth="1"/>
    <col min="11286" max="11286" width="35" style="133" customWidth="1"/>
    <col min="11287" max="11287" width="35.140625" style="133" customWidth="1"/>
    <col min="11288" max="11288" width="41.140625" style="133" customWidth="1"/>
    <col min="11289" max="11289" width="16.42578125" style="133" customWidth="1"/>
    <col min="11290" max="11290" width="21.42578125" style="133" customWidth="1"/>
    <col min="11291" max="11291" width="31.42578125" style="133" customWidth="1"/>
    <col min="11292" max="11292" width="18.140625" style="133" customWidth="1"/>
    <col min="11293" max="11520" width="9.140625" style="133"/>
    <col min="11521" max="11521" width="9.28515625" style="133" customWidth="1"/>
    <col min="11522" max="11522" width="12.85546875" style="133" customWidth="1"/>
    <col min="11523" max="11523" width="167.42578125" style="133" customWidth="1"/>
    <col min="11524" max="11524" width="27.85546875" style="133" customWidth="1"/>
    <col min="11525" max="11525" width="26.140625" style="133" customWidth="1"/>
    <col min="11526" max="11526" width="26.85546875" style="133" customWidth="1"/>
    <col min="11527" max="11527" width="34.5703125" style="133" customWidth="1"/>
    <col min="11528" max="11528" width="23.28515625" style="133" customWidth="1"/>
    <col min="11529" max="11529" width="25.140625" style="133" customWidth="1"/>
    <col min="11530" max="11530" width="24.85546875" style="133" customWidth="1"/>
    <col min="11531" max="11531" width="22" style="133" customWidth="1"/>
    <col min="11532" max="11532" width="25.7109375" style="133" customWidth="1"/>
    <col min="11533" max="11533" width="26.140625" style="133" customWidth="1"/>
    <col min="11534" max="11534" width="27.5703125" style="133" customWidth="1"/>
    <col min="11535" max="11535" width="27.140625" style="133" customWidth="1"/>
    <col min="11536" max="11536" width="32.85546875" style="133" customWidth="1"/>
    <col min="11537" max="11537" width="22.42578125" style="133" customWidth="1"/>
    <col min="11538" max="11538" width="28.140625" style="133" customWidth="1"/>
    <col min="11539" max="11539" width="52.42578125" style="133" customWidth="1"/>
    <col min="11540" max="11540" width="32.42578125" style="133" customWidth="1"/>
    <col min="11541" max="11541" width="24.5703125" style="133" customWidth="1"/>
    <col min="11542" max="11542" width="35" style="133" customWidth="1"/>
    <col min="11543" max="11543" width="35.140625" style="133" customWidth="1"/>
    <col min="11544" max="11544" width="41.140625" style="133" customWidth="1"/>
    <col min="11545" max="11545" width="16.42578125" style="133" customWidth="1"/>
    <col min="11546" max="11546" width="21.42578125" style="133" customWidth="1"/>
    <col min="11547" max="11547" width="31.42578125" style="133" customWidth="1"/>
    <col min="11548" max="11548" width="18.140625" style="133" customWidth="1"/>
    <col min="11549" max="11776" width="9.140625" style="133"/>
    <col min="11777" max="11777" width="9.28515625" style="133" customWidth="1"/>
    <col min="11778" max="11778" width="12.85546875" style="133" customWidth="1"/>
    <col min="11779" max="11779" width="167.42578125" style="133" customWidth="1"/>
    <col min="11780" max="11780" width="27.85546875" style="133" customWidth="1"/>
    <col min="11781" max="11781" width="26.140625" style="133" customWidth="1"/>
    <col min="11782" max="11782" width="26.85546875" style="133" customWidth="1"/>
    <col min="11783" max="11783" width="34.5703125" style="133" customWidth="1"/>
    <col min="11784" max="11784" width="23.28515625" style="133" customWidth="1"/>
    <col min="11785" max="11785" width="25.140625" style="133" customWidth="1"/>
    <col min="11786" max="11786" width="24.85546875" style="133" customWidth="1"/>
    <col min="11787" max="11787" width="22" style="133" customWidth="1"/>
    <col min="11788" max="11788" width="25.7109375" style="133" customWidth="1"/>
    <col min="11789" max="11789" width="26.140625" style="133" customWidth="1"/>
    <col min="11790" max="11790" width="27.5703125" style="133" customWidth="1"/>
    <col min="11791" max="11791" width="27.140625" style="133" customWidth="1"/>
    <col min="11792" max="11792" width="32.85546875" style="133" customWidth="1"/>
    <col min="11793" max="11793" width="22.42578125" style="133" customWidth="1"/>
    <col min="11794" max="11794" width="28.140625" style="133" customWidth="1"/>
    <col min="11795" max="11795" width="52.42578125" style="133" customWidth="1"/>
    <col min="11796" max="11796" width="32.42578125" style="133" customWidth="1"/>
    <col min="11797" max="11797" width="24.5703125" style="133" customWidth="1"/>
    <col min="11798" max="11798" width="35" style="133" customWidth="1"/>
    <col min="11799" max="11799" width="35.140625" style="133" customWidth="1"/>
    <col min="11800" max="11800" width="41.140625" style="133" customWidth="1"/>
    <col min="11801" max="11801" width="16.42578125" style="133" customWidth="1"/>
    <col min="11802" max="11802" width="21.42578125" style="133" customWidth="1"/>
    <col min="11803" max="11803" width="31.42578125" style="133" customWidth="1"/>
    <col min="11804" max="11804" width="18.140625" style="133" customWidth="1"/>
    <col min="11805" max="12032" width="9.140625" style="133"/>
    <col min="12033" max="12033" width="9.28515625" style="133" customWidth="1"/>
    <col min="12034" max="12034" width="12.85546875" style="133" customWidth="1"/>
    <col min="12035" max="12035" width="167.42578125" style="133" customWidth="1"/>
    <col min="12036" max="12036" width="27.85546875" style="133" customWidth="1"/>
    <col min="12037" max="12037" width="26.140625" style="133" customWidth="1"/>
    <col min="12038" max="12038" width="26.85546875" style="133" customWidth="1"/>
    <col min="12039" max="12039" width="34.5703125" style="133" customWidth="1"/>
    <col min="12040" max="12040" width="23.28515625" style="133" customWidth="1"/>
    <col min="12041" max="12041" width="25.140625" style="133" customWidth="1"/>
    <col min="12042" max="12042" width="24.85546875" style="133" customWidth="1"/>
    <col min="12043" max="12043" width="22" style="133" customWidth="1"/>
    <col min="12044" max="12044" width="25.7109375" style="133" customWidth="1"/>
    <col min="12045" max="12045" width="26.140625" style="133" customWidth="1"/>
    <col min="12046" max="12046" width="27.5703125" style="133" customWidth="1"/>
    <col min="12047" max="12047" width="27.140625" style="133" customWidth="1"/>
    <col min="12048" max="12048" width="32.85546875" style="133" customWidth="1"/>
    <col min="12049" max="12049" width="22.42578125" style="133" customWidth="1"/>
    <col min="12050" max="12050" width="28.140625" style="133" customWidth="1"/>
    <col min="12051" max="12051" width="52.42578125" style="133" customWidth="1"/>
    <col min="12052" max="12052" width="32.42578125" style="133" customWidth="1"/>
    <col min="12053" max="12053" width="24.5703125" style="133" customWidth="1"/>
    <col min="12054" max="12054" width="35" style="133" customWidth="1"/>
    <col min="12055" max="12055" width="35.140625" style="133" customWidth="1"/>
    <col min="12056" max="12056" width="41.140625" style="133" customWidth="1"/>
    <col min="12057" max="12057" width="16.42578125" style="133" customWidth="1"/>
    <col min="12058" max="12058" width="21.42578125" style="133" customWidth="1"/>
    <col min="12059" max="12059" width="31.42578125" style="133" customWidth="1"/>
    <col min="12060" max="12060" width="18.140625" style="133" customWidth="1"/>
    <col min="12061" max="12288" width="9.140625" style="133"/>
    <col min="12289" max="12289" width="9.28515625" style="133" customWidth="1"/>
    <col min="12290" max="12290" width="12.85546875" style="133" customWidth="1"/>
    <col min="12291" max="12291" width="167.42578125" style="133" customWidth="1"/>
    <col min="12292" max="12292" width="27.85546875" style="133" customWidth="1"/>
    <col min="12293" max="12293" width="26.140625" style="133" customWidth="1"/>
    <col min="12294" max="12294" width="26.85546875" style="133" customWidth="1"/>
    <col min="12295" max="12295" width="34.5703125" style="133" customWidth="1"/>
    <col min="12296" max="12296" width="23.28515625" style="133" customWidth="1"/>
    <col min="12297" max="12297" width="25.140625" style="133" customWidth="1"/>
    <col min="12298" max="12298" width="24.85546875" style="133" customWidth="1"/>
    <col min="12299" max="12299" width="22" style="133" customWidth="1"/>
    <col min="12300" max="12300" width="25.7109375" style="133" customWidth="1"/>
    <col min="12301" max="12301" width="26.140625" style="133" customWidth="1"/>
    <col min="12302" max="12302" width="27.5703125" style="133" customWidth="1"/>
    <col min="12303" max="12303" width="27.140625" style="133" customWidth="1"/>
    <col min="12304" max="12304" width="32.85546875" style="133" customWidth="1"/>
    <col min="12305" max="12305" width="22.42578125" style="133" customWidth="1"/>
    <col min="12306" max="12306" width="28.140625" style="133" customWidth="1"/>
    <col min="12307" max="12307" width="52.42578125" style="133" customWidth="1"/>
    <col min="12308" max="12308" width="32.42578125" style="133" customWidth="1"/>
    <col min="12309" max="12309" width="24.5703125" style="133" customWidth="1"/>
    <col min="12310" max="12310" width="35" style="133" customWidth="1"/>
    <col min="12311" max="12311" width="35.140625" style="133" customWidth="1"/>
    <col min="12312" max="12312" width="41.140625" style="133" customWidth="1"/>
    <col min="12313" max="12313" width="16.42578125" style="133" customWidth="1"/>
    <col min="12314" max="12314" width="21.42578125" style="133" customWidth="1"/>
    <col min="12315" max="12315" width="31.42578125" style="133" customWidth="1"/>
    <col min="12316" max="12316" width="18.140625" style="133" customWidth="1"/>
    <col min="12317" max="12544" width="9.140625" style="133"/>
    <col min="12545" max="12545" width="9.28515625" style="133" customWidth="1"/>
    <col min="12546" max="12546" width="12.85546875" style="133" customWidth="1"/>
    <col min="12547" max="12547" width="167.42578125" style="133" customWidth="1"/>
    <col min="12548" max="12548" width="27.85546875" style="133" customWidth="1"/>
    <col min="12549" max="12549" width="26.140625" style="133" customWidth="1"/>
    <col min="12550" max="12550" width="26.85546875" style="133" customWidth="1"/>
    <col min="12551" max="12551" width="34.5703125" style="133" customWidth="1"/>
    <col min="12552" max="12552" width="23.28515625" style="133" customWidth="1"/>
    <col min="12553" max="12553" width="25.140625" style="133" customWidth="1"/>
    <col min="12554" max="12554" width="24.85546875" style="133" customWidth="1"/>
    <col min="12555" max="12555" width="22" style="133" customWidth="1"/>
    <col min="12556" max="12556" width="25.7109375" style="133" customWidth="1"/>
    <col min="12557" max="12557" width="26.140625" style="133" customWidth="1"/>
    <col min="12558" max="12558" width="27.5703125" style="133" customWidth="1"/>
    <col min="12559" max="12559" width="27.140625" style="133" customWidth="1"/>
    <col min="12560" max="12560" width="32.85546875" style="133" customWidth="1"/>
    <col min="12561" max="12561" width="22.42578125" style="133" customWidth="1"/>
    <col min="12562" max="12562" width="28.140625" style="133" customWidth="1"/>
    <col min="12563" max="12563" width="52.42578125" style="133" customWidth="1"/>
    <col min="12564" max="12564" width="32.42578125" style="133" customWidth="1"/>
    <col min="12565" max="12565" width="24.5703125" style="133" customWidth="1"/>
    <col min="12566" max="12566" width="35" style="133" customWidth="1"/>
    <col min="12567" max="12567" width="35.140625" style="133" customWidth="1"/>
    <col min="12568" max="12568" width="41.140625" style="133" customWidth="1"/>
    <col min="12569" max="12569" width="16.42578125" style="133" customWidth="1"/>
    <col min="12570" max="12570" width="21.42578125" style="133" customWidth="1"/>
    <col min="12571" max="12571" width="31.42578125" style="133" customWidth="1"/>
    <col min="12572" max="12572" width="18.140625" style="133" customWidth="1"/>
    <col min="12573" max="12800" width="9.140625" style="133"/>
    <col min="12801" max="12801" width="9.28515625" style="133" customWidth="1"/>
    <col min="12802" max="12802" width="12.85546875" style="133" customWidth="1"/>
    <col min="12803" max="12803" width="167.42578125" style="133" customWidth="1"/>
    <col min="12804" max="12804" width="27.85546875" style="133" customWidth="1"/>
    <col min="12805" max="12805" width="26.140625" style="133" customWidth="1"/>
    <col min="12806" max="12806" width="26.85546875" style="133" customWidth="1"/>
    <col min="12807" max="12807" width="34.5703125" style="133" customWidth="1"/>
    <col min="12808" max="12808" width="23.28515625" style="133" customWidth="1"/>
    <col min="12809" max="12809" width="25.140625" style="133" customWidth="1"/>
    <col min="12810" max="12810" width="24.85546875" style="133" customWidth="1"/>
    <col min="12811" max="12811" width="22" style="133" customWidth="1"/>
    <col min="12812" max="12812" width="25.7109375" style="133" customWidth="1"/>
    <col min="12813" max="12813" width="26.140625" style="133" customWidth="1"/>
    <col min="12814" max="12814" width="27.5703125" style="133" customWidth="1"/>
    <col min="12815" max="12815" width="27.140625" style="133" customWidth="1"/>
    <col min="12816" max="12816" width="32.85546875" style="133" customWidth="1"/>
    <col min="12817" max="12817" width="22.42578125" style="133" customWidth="1"/>
    <col min="12818" max="12818" width="28.140625" style="133" customWidth="1"/>
    <col min="12819" max="12819" width="52.42578125" style="133" customWidth="1"/>
    <col min="12820" max="12820" width="32.42578125" style="133" customWidth="1"/>
    <col min="12821" max="12821" width="24.5703125" style="133" customWidth="1"/>
    <col min="12822" max="12822" width="35" style="133" customWidth="1"/>
    <col min="12823" max="12823" width="35.140625" style="133" customWidth="1"/>
    <col min="12824" max="12824" width="41.140625" style="133" customWidth="1"/>
    <col min="12825" max="12825" width="16.42578125" style="133" customWidth="1"/>
    <col min="12826" max="12826" width="21.42578125" style="133" customWidth="1"/>
    <col min="12827" max="12827" width="31.42578125" style="133" customWidth="1"/>
    <col min="12828" max="12828" width="18.140625" style="133" customWidth="1"/>
    <col min="12829" max="13056" width="9.140625" style="133"/>
    <col min="13057" max="13057" width="9.28515625" style="133" customWidth="1"/>
    <col min="13058" max="13058" width="12.85546875" style="133" customWidth="1"/>
    <col min="13059" max="13059" width="167.42578125" style="133" customWidth="1"/>
    <col min="13060" max="13060" width="27.85546875" style="133" customWidth="1"/>
    <col min="13061" max="13061" width="26.140625" style="133" customWidth="1"/>
    <col min="13062" max="13062" width="26.85546875" style="133" customWidth="1"/>
    <col min="13063" max="13063" width="34.5703125" style="133" customWidth="1"/>
    <col min="13064" max="13064" width="23.28515625" style="133" customWidth="1"/>
    <col min="13065" max="13065" width="25.140625" style="133" customWidth="1"/>
    <col min="13066" max="13066" width="24.85546875" style="133" customWidth="1"/>
    <col min="13067" max="13067" width="22" style="133" customWidth="1"/>
    <col min="13068" max="13068" width="25.7109375" style="133" customWidth="1"/>
    <col min="13069" max="13069" width="26.140625" style="133" customWidth="1"/>
    <col min="13070" max="13070" width="27.5703125" style="133" customWidth="1"/>
    <col min="13071" max="13071" width="27.140625" style="133" customWidth="1"/>
    <col min="13072" max="13072" width="32.85546875" style="133" customWidth="1"/>
    <col min="13073" max="13073" width="22.42578125" style="133" customWidth="1"/>
    <col min="13074" max="13074" width="28.140625" style="133" customWidth="1"/>
    <col min="13075" max="13075" width="52.42578125" style="133" customWidth="1"/>
    <col min="13076" max="13076" width="32.42578125" style="133" customWidth="1"/>
    <col min="13077" max="13077" width="24.5703125" style="133" customWidth="1"/>
    <col min="13078" max="13078" width="35" style="133" customWidth="1"/>
    <col min="13079" max="13079" width="35.140625" style="133" customWidth="1"/>
    <col min="13080" max="13080" width="41.140625" style="133" customWidth="1"/>
    <col min="13081" max="13081" width="16.42578125" style="133" customWidth="1"/>
    <col min="13082" max="13082" width="21.42578125" style="133" customWidth="1"/>
    <col min="13083" max="13083" width="31.42578125" style="133" customWidth="1"/>
    <col min="13084" max="13084" width="18.140625" style="133" customWidth="1"/>
    <col min="13085" max="13312" width="9.140625" style="133"/>
    <col min="13313" max="13313" width="9.28515625" style="133" customWidth="1"/>
    <col min="13314" max="13314" width="12.85546875" style="133" customWidth="1"/>
    <col min="13315" max="13315" width="167.42578125" style="133" customWidth="1"/>
    <col min="13316" max="13316" width="27.85546875" style="133" customWidth="1"/>
    <col min="13317" max="13317" width="26.140625" style="133" customWidth="1"/>
    <col min="13318" max="13318" width="26.85546875" style="133" customWidth="1"/>
    <col min="13319" max="13319" width="34.5703125" style="133" customWidth="1"/>
    <col min="13320" max="13320" width="23.28515625" style="133" customWidth="1"/>
    <col min="13321" max="13321" width="25.140625" style="133" customWidth="1"/>
    <col min="13322" max="13322" width="24.85546875" style="133" customWidth="1"/>
    <col min="13323" max="13323" width="22" style="133" customWidth="1"/>
    <col min="13324" max="13324" width="25.7109375" style="133" customWidth="1"/>
    <col min="13325" max="13325" width="26.140625" style="133" customWidth="1"/>
    <col min="13326" max="13326" width="27.5703125" style="133" customWidth="1"/>
    <col min="13327" max="13327" width="27.140625" style="133" customWidth="1"/>
    <col min="13328" max="13328" width="32.85546875" style="133" customWidth="1"/>
    <col min="13329" max="13329" width="22.42578125" style="133" customWidth="1"/>
    <col min="13330" max="13330" width="28.140625" style="133" customWidth="1"/>
    <col min="13331" max="13331" width="52.42578125" style="133" customWidth="1"/>
    <col min="13332" max="13332" width="32.42578125" style="133" customWidth="1"/>
    <col min="13333" max="13333" width="24.5703125" style="133" customWidth="1"/>
    <col min="13334" max="13334" width="35" style="133" customWidth="1"/>
    <col min="13335" max="13335" width="35.140625" style="133" customWidth="1"/>
    <col min="13336" max="13336" width="41.140625" style="133" customWidth="1"/>
    <col min="13337" max="13337" width="16.42578125" style="133" customWidth="1"/>
    <col min="13338" max="13338" width="21.42578125" style="133" customWidth="1"/>
    <col min="13339" max="13339" width="31.42578125" style="133" customWidth="1"/>
    <col min="13340" max="13340" width="18.140625" style="133" customWidth="1"/>
    <col min="13341" max="13568" width="9.140625" style="133"/>
    <col min="13569" max="13569" width="9.28515625" style="133" customWidth="1"/>
    <col min="13570" max="13570" width="12.85546875" style="133" customWidth="1"/>
    <col min="13571" max="13571" width="167.42578125" style="133" customWidth="1"/>
    <col min="13572" max="13572" width="27.85546875" style="133" customWidth="1"/>
    <col min="13573" max="13573" width="26.140625" style="133" customWidth="1"/>
    <col min="13574" max="13574" width="26.85546875" style="133" customWidth="1"/>
    <col min="13575" max="13575" width="34.5703125" style="133" customWidth="1"/>
    <col min="13576" max="13576" width="23.28515625" style="133" customWidth="1"/>
    <col min="13577" max="13577" width="25.140625" style="133" customWidth="1"/>
    <col min="13578" max="13578" width="24.85546875" style="133" customWidth="1"/>
    <col min="13579" max="13579" width="22" style="133" customWidth="1"/>
    <col min="13580" max="13580" width="25.7109375" style="133" customWidth="1"/>
    <col min="13581" max="13581" width="26.140625" style="133" customWidth="1"/>
    <col min="13582" max="13582" width="27.5703125" style="133" customWidth="1"/>
    <col min="13583" max="13583" width="27.140625" style="133" customWidth="1"/>
    <col min="13584" max="13584" width="32.85546875" style="133" customWidth="1"/>
    <col min="13585" max="13585" width="22.42578125" style="133" customWidth="1"/>
    <col min="13586" max="13586" width="28.140625" style="133" customWidth="1"/>
    <col min="13587" max="13587" width="52.42578125" style="133" customWidth="1"/>
    <col min="13588" max="13588" width="32.42578125" style="133" customWidth="1"/>
    <col min="13589" max="13589" width="24.5703125" style="133" customWidth="1"/>
    <col min="13590" max="13590" width="35" style="133" customWidth="1"/>
    <col min="13591" max="13591" width="35.140625" style="133" customWidth="1"/>
    <col min="13592" max="13592" width="41.140625" style="133" customWidth="1"/>
    <col min="13593" max="13593" width="16.42578125" style="133" customWidth="1"/>
    <col min="13594" max="13594" width="21.42578125" style="133" customWidth="1"/>
    <col min="13595" max="13595" width="31.42578125" style="133" customWidth="1"/>
    <col min="13596" max="13596" width="18.140625" style="133" customWidth="1"/>
    <col min="13597" max="13824" width="9.140625" style="133"/>
    <col min="13825" max="13825" width="9.28515625" style="133" customWidth="1"/>
    <col min="13826" max="13826" width="12.85546875" style="133" customWidth="1"/>
    <col min="13827" max="13827" width="167.42578125" style="133" customWidth="1"/>
    <col min="13828" max="13828" width="27.85546875" style="133" customWidth="1"/>
    <col min="13829" max="13829" width="26.140625" style="133" customWidth="1"/>
    <col min="13830" max="13830" width="26.85546875" style="133" customWidth="1"/>
    <col min="13831" max="13831" width="34.5703125" style="133" customWidth="1"/>
    <col min="13832" max="13832" width="23.28515625" style="133" customWidth="1"/>
    <col min="13833" max="13833" width="25.140625" style="133" customWidth="1"/>
    <col min="13834" max="13834" width="24.85546875" style="133" customWidth="1"/>
    <col min="13835" max="13835" width="22" style="133" customWidth="1"/>
    <col min="13836" max="13836" width="25.7109375" style="133" customWidth="1"/>
    <col min="13837" max="13837" width="26.140625" style="133" customWidth="1"/>
    <col min="13838" max="13838" width="27.5703125" style="133" customWidth="1"/>
    <col min="13839" max="13839" width="27.140625" style="133" customWidth="1"/>
    <col min="13840" max="13840" width="32.85546875" style="133" customWidth="1"/>
    <col min="13841" max="13841" width="22.42578125" style="133" customWidth="1"/>
    <col min="13842" max="13842" width="28.140625" style="133" customWidth="1"/>
    <col min="13843" max="13843" width="52.42578125" style="133" customWidth="1"/>
    <col min="13844" max="13844" width="32.42578125" style="133" customWidth="1"/>
    <col min="13845" max="13845" width="24.5703125" style="133" customWidth="1"/>
    <col min="13846" max="13846" width="35" style="133" customWidth="1"/>
    <col min="13847" max="13847" width="35.140625" style="133" customWidth="1"/>
    <col min="13848" max="13848" width="41.140625" style="133" customWidth="1"/>
    <col min="13849" max="13849" width="16.42578125" style="133" customWidth="1"/>
    <col min="13850" max="13850" width="21.42578125" style="133" customWidth="1"/>
    <col min="13851" max="13851" width="31.42578125" style="133" customWidth="1"/>
    <col min="13852" max="13852" width="18.140625" style="133" customWidth="1"/>
    <col min="13853" max="14080" width="9.140625" style="133"/>
    <col min="14081" max="14081" width="9.28515625" style="133" customWidth="1"/>
    <col min="14082" max="14082" width="12.85546875" style="133" customWidth="1"/>
    <col min="14083" max="14083" width="167.42578125" style="133" customWidth="1"/>
    <col min="14084" max="14084" width="27.85546875" style="133" customWidth="1"/>
    <col min="14085" max="14085" width="26.140625" style="133" customWidth="1"/>
    <col min="14086" max="14086" width="26.85546875" style="133" customWidth="1"/>
    <col min="14087" max="14087" width="34.5703125" style="133" customWidth="1"/>
    <col min="14088" max="14088" width="23.28515625" style="133" customWidth="1"/>
    <col min="14089" max="14089" width="25.140625" style="133" customWidth="1"/>
    <col min="14090" max="14090" width="24.85546875" style="133" customWidth="1"/>
    <col min="14091" max="14091" width="22" style="133" customWidth="1"/>
    <col min="14092" max="14092" width="25.7109375" style="133" customWidth="1"/>
    <col min="14093" max="14093" width="26.140625" style="133" customWidth="1"/>
    <col min="14094" max="14094" width="27.5703125" style="133" customWidth="1"/>
    <col min="14095" max="14095" width="27.140625" style="133" customWidth="1"/>
    <col min="14096" max="14096" width="32.85546875" style="133" customWidth="1"/>
    <col min="14097" max="14097" width="22.42578125" style="133" customWidth="1"/>
    <col min="14098" max="14098" width="28.140625" style="133" customWidth="1"/>
    <col min="14099" max="14099" width="52.42578125" style="133" customWidth="1"/>
    <col min="14100" max="14100" width="32.42578125" style="133" customWidth="1"/>
    <col min="14101" max="14101" width="24.5703125" style="133" customWidth="1"/>
    <col min="14102" max="14102" width="35" style="133" customWidth="1"/>
    <col min="14103" max="14103" width="35.140625" style="133" customWidth="1"/>
    <col min="14104" max="14104" width="41.140625" style="133" customWidth="1"/>
    <col min="14105" max="14105" width="16.42578125" style="133" customWidth="1"/>
    <col min="14106" max="14106" width="21.42578125" style="133" customWidth="1"/>
    <col min="14107" max="14107" width="31.42578125" style="133" customWidth="1"/>
    <col min="14108" max="14108" width="18.140625" style="133" customWidth="1"/>
    <col min="14109" max="14336" width="9.140625" style="133"/>
    <col min="14337" max="14337" width="9.28515625" style="133" customWidth="1"/>
    <col min="14338" max="14338" width="12.85546875" style="133" customWidth="1"/>
    <col min="14339" max="14339" width="167.42578125" style="133" customWidth="1"/>
    <col min="14340" max="14340" width="27.85546875" style="133" customWidth="1"/>
    <col min="14341" max="14341" width="26.140625" style="133" customWidth="1"/>
    <col min="14342" max="14342" width="26.85546875" style="133" customWidth="1"/>
    <col min="14343" max="14343" width="34.5703125" style="133" customWidth="1"/>
    <col min="14344" max="14344" width="23.28515625" style="133" customWidth="1"/>
    <col min="14345" max="14345" width="25.140625" style="133" customWidth="1"/>
    <col min="14346" max="14346" width="24.85546875" style="133" customWidth="1"/>
    <col min="14347" max="14347" width="22" style="133" customWidth="1"/>
    <col min="14348" max="14348" width="25.7109375" style="133" customWidth="1"/>
    <col min="14349" max="14349" width="26.140625" style="133" customWidth="1"/>
    <col min="14350" max="14350" width="27.5703125" style="133" customWidth="1"/>
    <col min="14351" max="14351" width="27.140625" style="133" customWidth="1"/>
    <col min="14352" max="14352" width="32.85546875" style="133" customWidth="1"/>
    <col min="14353" max="14353" width="22.42578125" style="133" customWidth="1"/>
    <col min="14354" max="14354" width="28.140625" style="133" customWidth="1"/>
    <col min="14355" max="14355" width="52.42578125" style="133" customWidth="1"/>
    <col min="14356" max="14356" width="32.42578125" style="133" customWidth="1"/>
    <col min="14357" max="14357" width="24.5703125" style="133" customWidth="1"/>
    <col min="14358" max="14358" width="35" style="133" customWidth="1"/>
    <col min="14359" max="14359" width="35.140625" style="133" customWidth="1"/>
    <col min="14360" max="14360" width="41.140625" style="133" customWidth="1"/>
    <col min="14361" max="14361" width="16.42578125" style="133" customWidth="1"/>
    <col min="14362" max="14362" width="21.42578125" style="133" customWidth="1"/>
    <col min="14363" max="14363" width="31.42578125" style="133" customWidth="1"/>
    <col min="14364" max="14364" width="18.140625" style="133" customWidth="1"/>
    <col min="14365" max="14592" width="9.140625" style="133"/>
    <col min="14593" max="14593" width="9.28515625" style="133" customWidth="1"/>
    <col min="14594" max="14594" width="12.85546875" style="133" customWidth="1"/>
    <col min="14595" max="14595" width="167.42578125" style="133" customWidth="1"/>
    <col min="14596" max="14596" width="27.85546875" style="133" customWidth="1"/>
    <col min="14597" max="14597" width="26.140625" style="133" customWidth="1"/>
    <col min="14598" max="14598" width="26.85546875" style="133" customWidth="1"/>
    <col min="14599" max="14599" width="34.5703125" style="133" customWidth="1"/>
    <col min="14600" max="14600" width="23.28515625" style="133" customWidth="1"/>
    <col min="14601" max="14601" width="25.140625" style="133" customWidth="1"/>
    <col min="14602" max="14602" width="24.85546875" style="133" customWidth="1"/>
    <col min="14603" max="14603" width="22" style="133" customWidth="1"/>
    <col min="14604" max="14604" width="25.7109375" style="133" customWidth="1"/>
    <col min="14605" max="14605" width="26.140625" style="133" customWidth="1"/>
    <col min="14606" max="14606" width="27.5703125" style="133" customWidth="1"/>
    <col min="14607" max="14607" width="27.140625" style="133" customWidth="1"/>
    <col min="14608" max="14608" width="32.85546875" style="133" customWidth="1"/>
    <col min="14609" max="14609" width="22.42578125" style="133" customWidth="1"/>
    <col min="14610" max="14610" width="28.140625" style="133" customWidth="1"/>
    <col min="14611" max="14611" width="52.42578125" style="133" customWidth="1"/>
    <col min="14612" max="14612" width="32.42578125" style="133" customWidth="1"/>
    <col min="14613" max="14613" width="24.5703125" style="133" customWidth="1"/>
    <col min="14614" max="14614" width="35" style="133" customWidth="1"/>
    <col min="14615" max="14615" width="35.140625" style="133" customWidth="1"/>
    <col min="14616" max="14616" width="41.140625" style="133" customWidth="1"/>
    <col min="14617" max="14617" width="16.42578125" style="133" customWidth="1"/>
    <col min="14618" max="14618" width="21.42578125" style="133" customWidth="1"/>
    <col min="14619" max="14619" width="31.42578125" style="133" customWidth="1"/>
    <col min="14620" max="14620" width="18.140625" style="133" customWidth="1"/>
    <col min="14621" max="14848" width="9.140625" style="133"/>
    <col min="14849" max="14849" width="9.28515625" style="133" customWidth="1"/>
    <col min="14850" max="14850" width="12.85546875" style="133" customWidth="1"/>
    <col min="14851" max="14851" width="167.42578125" style="133" customWidth="1"/>
    <col min="14852" max="14852" width="27.85546875" style="133" customWidth="1"/>
    <col min="14853" max="14853" width="26.140625" style="133" customWidth="1"/>
    <col min="14854" max="14854" width="26.85546875" style="133" customWidth="1"/>
    <col min="14855" max="14855" width="34.5703125" style="133" customWidth="1"/>
    <col min="14856" max="14856" width="23.28515625" style="133" customWidth="1"/>
    <col min="14857" max="14857" width="25.140625" style="133" customWidth="1"/>
    <col min="14858" max="14858" width="24.85546875" style="133" customWidth="1"/>
    <col min="14859" max="14859" width="22" style="133" customWidth="1"/>
    <col min="14860" max="14860" width="25.7109375" style="133" customWidth="1"/>
    <col min="14861" max="14861" width="26.140625" style="133" customWidth="1"/>
    <col min="14862" max="14862" width="27.5703125" style="133" customWidth="1"/>
    <col min="14863" max="14863" width="27.140625" style="133" customWidth="1"/>
    <col min="14864" max="14864" width="32.85546875" style="133" customWidth="1"/>
    <col min="14865" max="14865" width="22.42578125" style="133" customWidth="1"/>
    <col min="14866" max="14866" width="28.140625" style="133" customWidth="1"/>
    <col min="14867" max="14867" width="52.42578125" style="133" customWidth="1"/>
    <col min="14868" max="14868" width="32.42578125" style="133" customWidth="1"/>
    <col min="14869" max="14869" width="24.5703125" style="133" customWidth="1"/>
    <col min="14870" max="14870" width="35" style="133" customWidth="1"/>
    <col min="14871" max="14871" width="35.140625" style="133" customWidth="1"/>
    <col min="14872" max="14872" width="41.140625" style="133" customWidth="1"/>
    <col min="14873" max="14873" width="16.42578125" style="133" customWidth="1"/>
    <col min="14874" max="14874" width="21.42578125" style="133" customWidth="1"/>
    <col min="14875" max="14875" width="31.42578125" style="133" customWidth="1"/>
    <col min="14876" max="14876" width="18.140625" style="133" customWidth="1"/>
    <col min="14877" max="15104" width="9.140625" style="133"/>
    <col min="15105" max="15105" width="9.28515625" style="133" customWidth="1"/>
    <col min="15106" max="15106" width="12.85546875" style="133" customWidth="1"/>
    <col min="15107" max="15107" width="167.42578125" style="133" customWidth="1"/>
    <col min="15108" max="15108" width="27.85546875" style="133" customWidth="1"/>
    <col min="15109" max="15109" width="26.140625" style="133" customWidth="1"/>
    <col min="15110" max="15110" width="26.85546875" style="133" customWidth="1"/>
    <col min="15111" max="15111" width="34.5703125" style="133" customWidth="1"/>
    <col min="15112" max="15112" width="23.28515625" style="133" customWidth="1"/>
    <col min="15113" max="15113" width="25.140625" style="133" customWidth="1"/>
    <col min="15114" max="15114" width="24.85546875" style="133" customWidth="1"/>
    <col min="15115" max="15115" width="22" style="133" customWidth="1"/>
    <col min="15116" max="15116" width="25.7109375" style="133" customWidth="1"/>
    <col min="15117" max="15117" width="26.140625" style="133" customWidth="1"/>
    <col min="15118" max="15118" width="27.5703125" style="133" customWidth="1"/>
    <col min="15119" max="15119" width="27.140625" style="133" customWidth="1"/>
    <col min="15120" max="15120" width="32.85546875" style="133" customWidth="1"/>
    <col min="15121" max="15121" width="22.42578125" style="133" customWidth="1"/>
    <col min="15122" max="15122" width="28.140625" style="133" customWidth="1"/>
    <col min="15123" max="15123" width="52.42578125" style="133" customWidth="1"/>
    <col min="15124" max="15124" width="32.42578125" style="133" customWidth="1"/>
    <col min="15125" max="15125" width="24.5703125" style="133" customWidth="1"/>
    <col min="15126" max="15126" width="35" style="133" customWidth="1"/>
    <col min="15127" max="15127" width="35.140625" style="133" customWidth="1"/>
    <col min="15128" max="15128" width="41.140625" style="133" customWidth="1"/>
    <col min="15129" max="15129" width="16.42578125" style="133" customWidth="1"/>
    <col min="15130" max="15130" width="21.42578125" style="133" customWidth="1"/>
    <col min="15131" max="15131" width="31.42578125" style="133" customWidth="1"/>
    <col min="15132" max="15132" width="18.140625" style="133" customWidth="1"/>
    <col min="15133" max="15360" width="9.140625" style="133"/>
    <col min="15361" max="15361" width="9.28515625" style="133" customWidth="1"/>
    <col min="15362" max="15362" width="12.85546875" style="133" customWidth="1"/>
    <col min="15363" max="15363" width="167.42578125" style="133" customWidth="1"/>
    <col min="15364" max="15364" width="27.85546875" style="133" customWidth="1"/>
    <col min="15365" max="15365" width="26.140625" style="133" customWidth="1"/>
    <col min="15366" max="15366" width="26.85546875" style="133" customWidth="1"/>
    <col min="15367" max="15367" width="34.5703125" style="133" customWidth="1"/>
    <col min="15368" max="15368" width="23.28515625" style="133" customWidth="1"/>
    <col min="15369" max="15369" width="25.140625" style="133" customWidth="1"/>
    <col min="15370" max="15370" width="24.85546875" style="133" customWidth="1"/>
    <col min="15371" max="15371" width="22" style="133" customWidth="1"/>
    <col min="15372" max="15372" width="25.7109375" style="133" customWidth="1"/>
    <col min="15373" max="15373" width="26.140625" style="133" customWidth="1"/>
    <col min="15374" max="15374" width="27.5703125" style="133" customWidth="1"/>
    <col min="15375" max="15375" width="27.140625" style="133" customWidth="1"/>
    <col min="15376" max="15376" width="32.85546875" style="133" customWidth="1"/>
    <col min="15377" max="15377" width="22.42578125" style="133" customWidth="1"/>
    <col min="15378" max="15378" width="28.140625" style="133" customWidth="1"/>
    <col min="15379" max="15379" width="52.42578125" style="133" customWidth="1"/>
    <col min="15380" max="15380" width="32.42578125" style="133" customWidth="1"/>
    <col min="15381" max="15381" width="24.5703125" style="133" customWidth="1"/>
    <col min="15382" max="15382" width="35" style="133" customWidth="1"/>
    <col min="15383" max="15383" width="35.140625" style="133" customWidth="1"/>
    <col min="15384" max="15384" width="41.140625" style="133" customWidth="1"/>
    <col min="15385" max="15385" width="16.42578125" style="133" customWidth="1"/>
    <col min="15386" max="15386" width="21.42578125" style="133" customWidth="1"/>
    <col min="15387" max="15387" width="31.42578125" style="133" customWidth="1"/>
    <col min="15388" max="15388" width="18.140625" style="133" customWidth="1"/>
    <col min="15389" max="15616" width="9.140625" style="133"/>
    <col min="15617" max="15617" width="9.28515625" style="133" customWidth="1"/>
    <col min="15618" max="15618" width="12.85546875" style="133" customWidth="1"/>
    <col min="15619" max="15619" width="167.42578125" style="133" customWidth="1"/>
    <col min="15620" max="15620" width="27.85546875" style="133" customWidth="1"/>
    <col min="15621" max="15621" width="26.140625" style="133" customWidth="1"/>
    <col min="15622" max="15622" width="26.85546875" style="133" customWidth="1"/>
    <col min="15623" max="15623" width="34.5703125" style="133" customWidth="1"/>
    <col min="15624" max="15624" width="23.28515625" style="133" customWidth="1"/>
    <col min="15625" max="15625" width="25.140625" style="133" customWidth="1"/>
    <col min="15626" max="15626" width="24.85546875" style="133" customWidth="1"/>
    <col min="15627" max="15627" width="22" style="133" customWidth="1"/>
    <col min="15628" max="15628" width="25.7109375" style="133" customWidth="1"/>
    <col min="15629" max="15629" width="26.140625" style="133" customWidth="1"/>
    <col min="15630" max="15630" width="27.5703125" style="133" customWidth="1"/>
    <col min="15631" max="15631" width="27.140625" style="133" customWidth="1"/>
    <col min="15632" max="15632" width="32.85546875" style="133" customWidth="1"/>
    <col min="15633" max="15633" width="22.42578125" style="133" customWidth="1"/>
    <col min="15634" max="15634" width="28.140625" style="133" customWidth="1"/>
    <col min="15635" max="15635" width="52.42578125" style="133" customWidth="1"/>
    <col min="15636" max="15636" width="32.42578125" style="133" customWidth="1"/>
    <col min="15637" max="15637" width="24.5703125" style="133" customWidth="1"/>
    <col min="15638" max="15638" width="35" style="133" customWidth="1"/>
    <col min="15639" max="15639" width="35.140625" style="133" customWidth="1"/>
    <col min="15640" max="15640" width="41.140625" style="133" customWidth="1"/>
    <col min="15641" max="15641" width="16.42578125" style="133" customWidth="1"/>
    <col min="15642" max="15642" width="21.42578125" style="133" customWidth="1"/>
    <col min="15643" max="15643" width="31.42578125" style="133" customWidth="1"/>
    <col min="15644" max="15644" width="18.140625" style="133" customWidth="1"/>
    <col min="15645" max="15872" width="9.140625" style="133"/>
    <col min="15873" max="15873" width="9.28515625" style="133" customWidth="1"/>
    <col min="15874" max="15874" width="12.85546875" style="133" customWidth="1"/>
    <col min="15875" max="15875" width="167.42578125" style="133" customWidth="1"/>
    <col min="15876" max="15876" width="27.85546875" style="133" customWidth="1"/>
    <col min="15877" max="15877" width="26.140625" style="133" customWidth="1"/>
    <col min="15878" max="15878" width="26.85546875" style="133" customWidth="1"/>
    <col min="15879" max="15879" width="34.5703125" style="133" customWidth="1"/>
    <col min="15880" max="15880" width="23.28515625" style="133" customWidth="1"/>
    <col min="15881" max="15881" width="25.140625" style="133" customWidth="1"/>
    <col min="15882" max="15882" width="24.85546875" style="133" customWidth="1"/>
    <col min="15883" max="15883" width="22" style="133" customWidth="1"/>
    <col min="15884" max="15884" width="25.7109375" style="133" customWidth="1"/>
    <col min="15885" max="15885" width="26.140625" style="133" customWidth="1"/>
    <col min="15886" max="15886" width="27.5703125" style="133" customWidth="1"/>
    <col min="15887" max="15887" width="27.140625" style="133" customWidth="1"/>
    <col min="15888" max="15888" width="32.85546875" style="133" customWidth="1"/>
    <col min="15889" max="15889" width="22.42578125" style="133" customWidth="1"/>
    <col min="15890" max="15890" width="28.140625" style="133" customWidth="1"/>
    <col min="15891" max="15891" width="52.42578125" style="133" customWidth="1"/>
    <col min="15892" max="15892" width="32.42578125" style="133" customWidth="1"/>
    <col min="15893" max="15893" width="24.5703125" style="133" customWidth="1"/>
    <col min="15894" max="15894" width="35" style="133" customWidth="1"/>
    <col min="15895" max="15895" width="35.140625" style="133" customWidth="1"/>
    <col min="15896" max="15896" width="41.140625" style="133" customWidth="1"/>
    <col min="15897" max="15897" width="16.42578125" style="133" customWidth="1"/>
    <col min="15898" max="15898" width="21.42578125" style="133" customWidth="1"/>
    <col min="15899" max="15899" width="31.42578125" style="133" customWidth="1"/>
    <col min="15900" max="15900" width="18.140625" style="133" customWidth="1"/>
    <col min="15901" max="16128" width="9.140625" style="133"/>
    <col min="16129" max="16129" width="9.28515625" style="133" customWidth="1"/>
    <col min="16130" max="16130" width="12.85546875" style="133" customWidth="1"/>
    <col min="16131" max="16131" width="167.42578125" style="133" customWidth="1"/>
    <col min="16132" max="16132" width="27.85546875" style="133" customWidth="1"/>
    <col min="16133" max="16133" width="26.140625" style="133" customWidth="1"/>
    <col min="16134" max="16134" width="26.85546875" style="133" customWidth="1"/>
    <col min="16135" max="16135" width="34.5703125" style="133" customWidth="1"/>
    <col min="16136" max="16136" width="23.28515625" style="133" customWidth="1"/>
    <col min="16137" max="16137" width="25.140625" style="133" customWidth="1"/>
    <col min="16138" max="16138" width="24.85546875" style="133" customWidth="1"/>
    <col min="16139" max="16139" width="22" style="133" customWidth="1"/>
    <col min="16140" max="16140" width="25.7109375" style="133" customWidth="1"/>
    <col min="16141" max="16141" width="26.140625" style="133" customWidth="1"/>
    <col min="16142" max="16142" width="27.5703125" style="133" customWidth="1"/>
    <col min="16143" max="16143" width="27.140625" style="133" customWidth="1"/>
    <col min="16144" max="16144" width="32.85546875" style="133" customWidth="1"/>
    <col min="16145" max="16145" width="22.42578125" style="133" customWidth="1"/>
    <col min="16146" max="16146" width="28.140625" style="133" customWidth="1"/>
    <col min="16147" max="16147" width="52.42578125" style="133" customWidth="1"/>
    <col min="16148" max="16148" width="32.42578125" style="133" customWidth="1"/>
    <col min="16149" max="16149" width="24.5703125" style="133" customWidth="1"/>
    <col min="16150" max="16150" width="35" style="133" customWidth="1"/>
    <col min="16151" max="16151" width="35.140625" style="133" customWidth="1"/>
    <col min="16152" max="16152" width="41.140625" style="133" customWidth="1"/>
    <col min="16153" max="16153" width="16.42578125" style="133" customWidth="1"/>
    <col min="16154" max="16154" width="21.42578125" style="133" customWidth="1"/>
    <col min="16155" max="16155" width="31.42578125" style="133" customWidth="1"/>
    <col min="16156" max="16156" width="18.140625" style="133" customWidth="1"/>
    <col min="16157" max="16384" width="9.140625" style="133"/>
  </cols>
  <sheetData>
    <row r="1" spans="1:30" s="126" customFormat="1" ht="186.75" customHeight="1" x14ac:dyDescent="0.25">
      <c r="A1" s="265" t="s">
        <v>1856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</row>
    <row r="2" spans="1:30" s="127" customFormat="1" ht="63.75" customHeight="1" x14ac:dyDescent="0.4">
      <c r="B2" s="266" t="s">
        <v>6</v>
      </c>
      <c r="C2" s="266" t="s">
        <v>7</v>
      </c>
      <c r="D2" s="267" t="s">
        <v>8</v>
      </c>
      <c r="E2" s="266" t="s">
        <v>976</v>
      </c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70" t="s">
        <v>9</v>
      </c>
      <c r="R2" s="271"/>
      <c r="S2" s="271"/>
      <c r="T2" s="271"/>
      <c r="U2" s="271"/>
      <c r="V2" s="271"/>
      <c r="W2" s="271"/>
      <c r="X2" s="271"/>
      <c r="Y2" s="271"/>
      <c r="Z2" s="271"/>
      <c r="AA2" s="272"/>
      <c r="AB2" s="273" t="s">
        <v>1707</v>
      </c>
    </row>
    <row r="3" spans="1:30" s="127" customFormat="1" ht="40.5" customHeight="1" x14ac:dyDescent="0.4">
      <c r="B3" s="266"/>
      <c r="C3" s="266"/>
      <c r="D3" s="268"/>
      <c r="E3" s="266" t="s">
        <v>13</v>
      </c>
      <c r="F3" s="266"/>
      <c r="G3" s="266"/>
      <c r="H3" s="266"/>
      <c r="I3" s="266"/>
      <c r="J3" s="266"/>
      <c r="K3" s="274" t="s">
        <v>14</v>
      </c>
      <c r="L3" s="274"/>
      <c r="M3" s="274" t="s">
        <v>15</v>
      </c>
      <c r="N3" s="274" t="s">
        <v>16</v>
      </c>
      <c r="O3" s="274" t="s">
        <v>17</v>
      </c>
      <c r="P3" s="274" t="s">
        <v>18</v>
      </c>
      <c r="Q3" s="264" t="s">
        <v>1708</v>
      </c>
      <c r="R3" s="264" t="s">
        <v>20</v>
      </c>
      <c r="S3" s="264" t="s">
        <v>1709</v>
      </c>
      <c r="T3" s="264" t="s">
        <v>22</v>
      </c>
      <c r="U3" s="264" t="s">
        <v>23</v>
      </c>
      <c r="V3" s="264" t="s">
        <v>24</v>
      </c>
      <c r="W3" s="264" t="s">
        <v>1710</v>
      </c>
      <c r="X3" s="264" t="s">
        <v>1711</v>
      </c>
      <c r="Y3" s="264" t="s">
        <v>27</v>
      </c>
      <c r="Z3" s="264" t="s">
        <v>28</v>
      </c>
      <c r="AA3" s="264" t="s">
        <v>1712</v>
      </c>
      <c r="AB3" s="273"/>
    </row>
    <row r="4" spans="1:30" s="127" customFormat="1" ht="409.6" customHeight="1" x14ac:dyDescent="0.4">
      <c r="B4" s="266"/>
      <c r="C4" s="266"/>
      <c r="D4" s="269"/>
      <c r="E4" s="128" t="s">
        <v>30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274"/>
      <c r="L4" s="274"/>
      <c r="M4" s="274"/>
      <c r="N4" s="274"/>
      <c r="O4" s="274"/>
      <c r="P4" s="27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73"/>
    </row>
    <row r="5" spans="1:30" s="129" customFormat="1" ht="39.75" customHeight="1" x14ac:dyDescent="0.25">
      <c r="B5" s="266"/>
      <c r="C5" s="266"/>
      <c r="D5" s="130" t="s">
        <v>36</v>
      </c>
      <c r="E5" s="200" t="s">
        <v>36</v>
      </c>
      <c r="F5" s="200" t="s">
        <v>36</v>
      </c>
      <c r="G5" s="200" t="s">
        <v>36</v>
      </c>
      <c r="H5" s="200" t="s">
        <v>36</v>
      </c>
      <c r="I5" s="200" t="s">
        <v>36</v>
      </c>
      <c r="J5" s="200" t="s">
        <v>36</v>
      </c>
      <c r="K5" s="200" t="s">
        <v>37</v>
      </c>
      <c r="L5" s="200" t="s">
        <v>36</v>
      </c>
      <c r="M5" s="200" t="s">
        <v>36</v>
      </c>
      <c r="N5" s="200" t="s">
        <v>36</v>
      </c>
      <c r="O5" s="200" t="s">
        <v>36</v>
      </c>
      <c r="P5" s="200" t="s">
        <v>36</v>
      </c>
      <c r="Q5" s="200" t="s">
        <v>36</v>
      </c>
      <c r="R5" s="200" t="s">
        <v>36</v>
      </c>
      <c r="S5" s="200" t="s">
        <v>36</v>
      </c>
      <c r="T5" s="200" t="s">
        <v>36</v>
      </c>
      <c r="U5" s="200" t="s">
        <v>36</v>
      </c>
      <c r="V5" s="200" t="s">
        <v>36</v>
      </c>
      <c r="W5" s="200" t="s">
        <v>36</v>
      </c>
      <c r="X5" s="200" t="s">
        <v>36</v>
      </c>
      <c r="Y5" s="200" t="s">
        <v>36</v>
      </c>
      <c r="Z5" s="200" t="s">
        <v>36</v>
      </c>
      <c r="AA5" s="200" t="s">
        <v>36</v>
      </c>
      <c r="AB5" s="273"/>
    </row>
    <row r="6" spans="1:30" s="127" customFormat="1" ht="26.25" x14ac:dyDescent="0.4">
      <c r="B6" s="131">
        <v>1</v>
      </c>
      <c r="C6" s="131">
        <v>2</v>
      </c>
      <c r="D6" s="131">
        <f>C6+1</f>
        <v>3</v>
      </c>
      <c r="E6" s="131">
        <f>D6+1</f>
        <v>4</v>
      </c>
      <c r="F6" s="131">
        <v>5</v>
      </c>
      <c r="G6" s="131">
        <v>6</v>
      </c>
      <c r="H6" s="131">
        <v>7</v>
      </c>
      <c r="I6" s="131">
        <v>8</v>
      </c>
      <c r="J6" s="131">
        <v>9</v>
      </c>
      <c r="K6" s="131">
        <v>10</v>
      </c>
      <c r="L6" s="131">
        <v>11</v>
      </c>
      <c r="M6" s="131">
        <v>12</v>
      </c>
      <c r="N6" s="131">
        <v>13</v>
      </c>
      <c r="O6" s="131">
        <v>14</v>
      </c>
      <c r="P6" s="131">
        <v>15</v>
      </c>
      <c r="Q6" s="131">
        <v>16</v>
      </c>
      <c r="R6" s="131">
        <v>17</v>
      </c>
      <c r="S6" s="131">
        <v>18</v>
      </c>
      <c r="T6" s="131">
        <v>19</v>
      </c>
      <c r="U6" s="131">
        <v>20</v>
      </c>
      <c r="V6" s="131">
        <v>21</v>
      </c>
      <c r="W6" s="131">
        <v>22</v>
      </c>
      <c r="X6" s="131">
        <v>23</v>
      </c>
      <c r="Y6" s="131">
        <v>24</v>
      </c>
      <c r="Z6" s="131">
        <v>25</v>
      </c>
      <c r="AA6" s="131">
        <v>26</v>
      </c>
      <c r="AB6" s="132">
        <v>27</v>
      </c>
    </row>
    <row r="7" spans="1:30" s="322" customFormat="1" ht="33" customHeight="1" x14ac:dyDescent="0.5">
      <c r="B7" s="394" t="s">
        <v>2457</v>
      </c>
      <c r="C7" s="395"/>
      <c r="D7" s="324">
        <f t="shared" ref="D7:AA7" si="0">D8+D738</f>
        <v>609676469.17999995</v>
      </c>
      <c r="E7" s="324">
        <f t="shared" si="0"/>
        <v>9869208.9300000016</v>
      </c>
      <c r="F7" s="324">
        <f t="shared" si="0"/>
        <v>21660927.27</v>
      </c>
      <c r="G7" s="324">
        <f t="shared" si="0"/>
        <v>41698287.199999988</v>
      </c>
      <c r="H7" s="324">
        <f t="shared" si="0"/>
        <v>4820693.95</v>
      </c>
      <c r="I7" s="324">
        <f t="shared" si="0"/>
        <v>23627706.420000002</v>
      </c>
      <c r="J7" s="324">
        <f t="shared" si="0"/>
        <v>88420.66</v>
      </c>
      <c r="K7" s="324">
        <f t="shared" si="0"/>
        <v>129</v>
      </c>
      <c r="L7" s="324">
        <f t="shared" si="0"/>
        <v>195352957.29487106</v>
      </c>
      <c r="M7" s="324">
        <f t="shared" si="0"/>
        <v>184269652.06999999</v>
      </c>
      <c r="N7" s="324">
        <f t="shared" si="0"/>
        <v>15156284.65</v>
      </c>
      <c r="O7" s="324">
        <f t="shared" si="0"/>
        <v>139616010.24000001</v>
      </c>
      <c r="P7" s="324">
        <f t="shared" si="0"/>
        <v>10850762.159999998</v>
      </c>
      <c r="Q7" s="324">
        <f t="shared" si="0"/>
        <v>0</v>
      </c>
      <c r="R7" s="324">
        <f t="shared" si="0"/>
        <v>0</v>
      </c>
      <c r="S7" s="324">
        <f t="shared" si="0"/>
        <v>0</v>
      </c>
      <c r="T7" s="324">
        <f t="shared" si="0"/>
        <v>0</v>
      </c>
      <c r="U7" s="324">
        <f t="shared" si="0"/>
        <v>0</v>
      </c>
      <c r="V7" s="324">
        <f t="shared" si="0"/>
        <v>0</v>
      </c>
      <c r="W7" s="324">
        <f t="shared" si="0"/>
        <v>0</v>
      </c>
      <c r="X7" s="324">
        <f t="shared" si="0"/>
        <v>0</v>
      </c>
      <c r="Y7" s="324">
        <f t="shared" si="0"/>
        <v>0</v>
      </c>
      <c r="Z7" s="324">
        <f t="shared" si="0"/>
        <v>139000</v>
      </c>
      <c r="AA7" s="324">
        <f t="shared" si="0"/>
        <v>0</v>
      </c>
      <c r="AB7" s="396" t="s">
        <v>882</v>
      </c>
      <c r="AC7" s="397"/>
    </row>
    <row r="8" spans="1:30" s="4" customFormat="1" ht="35.25" x14ac:dyDescent="0.5">
      <c r="B8" s="398" t="s">
        <v>1702</v>
      </c>
      <c r="C8" s="323"/>
      <c r="D8" s="324">
        <f>D9+D268+D292+D321+D472+D479+D481+D538+D616+D618+D621+D635+D645+D656+D662+D477+D665+D668+D670+D676+D689+D698+D708+D719+D724+D728+D734+D673+D736</f>
        <v>587339113.30999994</v>
      </c>
      <c r="E8" s="324">
        <f t="shared" ref="E8:AA8" si="1">E9+E268+E292+E321+E472+E479+E481+E538+E616+E618+E621+E635+E645+E656+E662+E477+E665+E668+E670+E676+E689+E698+E708+E719+E724+E728+E734</f>
        <v>9543404.6500000022</v>
      </c>
      <c r="F8" s="324">
        <f t="shared" si="1"/>
        <v>21006486.710000001</v>
      </c>
      <c r="G8" s="324">
        <f t="shared" si="1"/>
        <v>39670844.829999991</v>
      </c>
      <c r="H8" s="324">
        <f t="shared" si="1"/>
        <v>4655854.95</v>
      </c>
      <c r="I8" s="324">
        <f t="shared" si="1"/>
        <v>19118472.650000002</v>
      </c>
      <c r="J8" s="324">
        <f t="shared" si="1"/>
        <v>88420.66</v>
      </c>
      <c r="K8" s="324">
        <f t="shared" si="1"/>
        <v>82</v>
      </c>
      <c r="L8" s="324">
        <f t="shared" si="1"/>
        <v>90140474.659999996</v>
      </c>
      <c r="M8" s="324">
        <f t="shared" si="1"/>
        <v>182073568.06999999</v>
      </c>
      <c r="N8" s="324">
        <f t="shared" si="1"/>
        <v>15156284.65</v>
      </c>
      <c r="O8" s="324">
        <f t="shared" si="1"/>
        <v>137936619.35000002</v>
      </c>
      <c r="P8" s="324">
        <f t="shared" si="1"/>
        <v>10850762.159999998</v>
      </c>
      <c r="Q8" s="324">
        <f t="shared" si="1"/>
        <v>0</v>
      </c>
      <c r="R8" s="324">
        <f t="shared" si="1"/>
        <v>0</v>
      </c>
      <c r="S8" s="324">
        <f t="shared" si="1"/>
        <v>0</v>
      </c>
      <c r="T8" s="324">
        <f t="shared" si="1"/>
        <v>0</v>
      </c>
      <c r="U8" s="324">
        <f t="shared" si="1"/>
        <v>0</v>
      </c>
      <c r="V8" s="324">
        <f t="shared" si="1"/>
        <v>0</v>
      </c>
      <c r="W8" s="324">
        <f t="shared" si="1"/>
        <v>0</v>
      </c>
      <c r="X8" s="324">
        <f t="shared" si="1"/>
        <v>0</v>
      </c>
      <c r="Y8" s="324">
        <f t="shared" si="1"/>
        <v>0</v>
      </c>
      <c r="Z8" s="324">
        <f t="shared" si="1"/>
        <v>139000</v>
      </c>
      <c r="AA8" s="324">
        <f t="shared" si="1"/>
        <v>0</v>
      </c>
      <c r="AB8" s="396" t="s">
        <v>882</v>
      </c>
    </row>
    <row r="9" spans="1:30" s="4" customFormat="1" ht="35.25" customHeight="1" x14ac:dyDescent="0.5">
      <c r="B9" s="398" t="s">
        <v>1035</v>
      </c>
      <c r="C9" s="323"/>
      <c r="D9" s="324">
        <f>SUM(D10:D267)</f>
        <v>225528520.59</v>
      </c>
      <c r="E9" s="324">
        <f t="shared" ref="E9:AA9" si="2">SUM(E10:E208)</f>
        <v>5710754.9800000004</v>
      </c>
      <c r="F9" s="324">
        <f t="shared" si="2"/>
        <v>10581866.309999999</v>
      </c>
      <c r="G9" s="324">
        <f t="shared" si="2"/>
        <v>10041133.67</v>
      </c>
      <c r="H9" s="324">
        <f t="shared" si="2"/>
        <v>1340564.46</v>
      </c>
      <c r="I9" s="324">
        <f t="shared" si="2"/>
        <v>6755795.9700000007</v>
      </c>
      <c r="J9" s="324">
        <f t="shared" si="2"/>
        <v>0</v>
      </c>
      <c r="K9" s="399">
        <f t="shared" si="2"/>
        <v>41</v>
      </c>
      <c r="L9" s="324">
        <f t="shared" si="2"/>
        <v>25166217.100000001</v>
      </c>
      <c r="M9" s="324">
        <f t="shared" si="2"/>
        <v>58997024.969999999</v>
      </c>
      <c r="N9" s="324">
        <f t="shared" si="2"/>
        <v>4155074.25</v>
      </c>
      <c r="O9" s="324">
        <f t="shared" si="2"/>
        <v>34068714.93</v>
      </c>
      <c r="P9" s="324">
        <f t="shared" si="2"/>
        <v>2525221.5999999996</v>
      </c>
      <c r="Q9" s="324">
        <f t="shared" si="2"/>
        <v>0</v>
      </c>
      <c r="R9" s="324">
        <f t="shared" si="2"/>
        <v>0</v>
      </c>
      <c r="S9" s="324">
        <f t="shared" si="2"/>
        <v>0</v>
      </c>
      <c r="T9" s="324">
        <f t="shared" si="2"/>
        <v>0</v>
      </c>
      <c r="U9" s="324">
        <f t="shared" si="2"/>
        <v>0</v>
      </c>
      <c r="V9" s="324">
        <f t="shared" si="2"/>
        <v>0</v>
      </c>
      <c r="W9" s="324">
        <f t="shared" si="2"/>
        <v>0</v>
      </c>
      <c r="X9" s="324">
        <f t="shared" si="2"/>
        <v>0</v>
      </c>
      <c r="Y9" s="324">
        <f t="shared" si="2"/>
        <v>0</v>
      </c>
      <c r="Z9" s="324">
        <f t="shared" si="2"/>
        <v>139000</v>
      </c>
      <c r="AA9" s="324">
        <f t="shared" si="2"/>
        <v>0</v>
      </c>
      <c r="AB9" s="396" t="s">
        <v>882</v>
      </c>
    </row>
    <row r="10" spans="1:30" s="4" customFormat="1" ht="35.25" customHeight="1" x14ac:dyDescent="0.5">
      <c r="A10" s="4">
        <v>1</v>
      </c>
      <c r="B10" s="171">
        <f>SUBTOTAL(103,$A$8:A10)</f>
        <v>1</v>
      </c>
      <c r="C10" s="323" t="s">
        <v>1714</v>
      </c>
      <c r="D10" s="324">
        <f t="shared" ref="D10:D38" si="3">E10+F10+G10+H10+I10+J10+L10+M10+N10+O10+P10+Q10+R10+S10+T10+U10+V10+W10+X10+Y10+Z10+AA10</f>
        <v>259217</v>
      </c>
      <c r="E10" s="325">
        <v>0</v>
      </c>
      <c r="F10" s="325">
        <v>0</v>
      </c>
      <c r="G10" s="325">
        <v>259217</v>
      </c>
      <c r="H10" s="325">
        <v>0</v>
      </c>
      <c r="I10" s="325">
        <v>0</v>
      </c>
      <c r="J10" s="325">
        <v>0</v>
      </c>
      <c r="K10" s="326">
        <v>0</v>
      </c>
      <c r="L10" s="325">
        <v>0</v>
      </c>
      <c r="M10" s="325">
        <v>0</v>
      </c>
      <c r="N10" s="325">
        <v>0</v>
      </c>
      <c r="O10" s="325">
        <v>0</v>
      </c>
      <c r="P10" s="325">
        <v>0</v>
      </c>
      <c r="Q10" s="325">
        <v>0</v>
      </c>
      <c r="R10" s="325">
        <v>0</v>
      </c>
      <c r="S10" s="325">
        <v>0</v>
      </c>
      <c r="T10" s="325">
        <v>0</v>
      </c>
      <c r="U10" s="325">
        <v>0</v>
      </c>
      <c r="V10" s="325">
        <v>0</v>
      </c>
      <c r="W10" s="325">
        <v>0</v>
      </c>
      <c r="X10" s="325">
        <v>0</v>
      </c>
      <c r="Y10" s="325">
        <v>0</v>
      </c>
      <c r="Z10" s="325">
        <v>0</v>
      </c>
      <c r="AA10" s="325">
        <v>0</v>
      </c>
      <c r="AB10" s="327">
        <v>2020</v>
      </c>
      <c r="AD10" s="4" t="e">
        <v>#N/A</v>
      </c>
    </row>
    <row r="11" spans="1:30" s="4" customFormat="1" ht="35.25" customHeight="1" x14ac:dyDescent="0.5">
      <c r="A11" s="4">
        <v>1</v>
      </c>
      <c r="B11" s="171">
        <f>SUBTOTAL(103,$A$8:A11)</f>
        <v>2</v>
      </c>
      <c r="C11" s="323" t="s">
        <v>1715</v>
      </c>
      <c r="D11" s="324">
        <f t="shared" si="3"/>
        <v>389342</v>
      </c>
      <c r="E11" s="400">
        <v>0</v>
      </c>
      <c r="F11" s="400">
        <v>0</v>
      </c>
      <c r="G11" s="400">
        <v>0</v>
      </c>
      <c r="H11" s="400">
        <v>0</v>
      </c>
      <c r="I11" s="400">
        <v>0</v>
      </c>
      <c r="J11" s="400">
        <v>0</v>
      </c>
      <c r="K11" s="401">
        <v>0</v>
      </c>
      <c r="L11" s="400">
        <v>0</v>
      </c>
      <c r="M11" s="400">
        <v>0</v>
      </c>
      <c r="N11" s="400">
        <v>0</v>
      </c>
      <c r="O11" s="400">
        <f>116802.6+272539.4</f>
        <v>389342</v>
      </c>
      <c r="P11" s="400">
        <v>0</v>
      </c>
      <c r="Q11" s="400">
        <v>0</v>
      </c>
      <c r="R11" s="400">
        <v>0</v>
      </c>
      <c r="S11" s="400">
        <v>0</v>
      </c>
      <c r="T11" s="400">
        <v>0</v>
      </c>
      <c r="U11" s="400">
        <v>0</v>
      </c>
      <c r="V11" s="400">
        <v>0</v>
      </c>
      <c r="W11" s="400">
        <v>0</v>
      </c>
      <c r="X11" s="400">
        <v>0</v>
      </c>
      <c r="Y11" s="400">
        <v>0</v>
      </c>
      <c r="Z11" s="400">
        <v>0</v>
      </c>
      <c r="AA11" s="400">
        <v>0</v>
      </c>
      <c r="AB11" s="327">
        <v>2020</v>
      </c>
      <c r="AD11" s="4" t="e">
        <v>#N/A</v>
      </c>
    </row>
    <row r="12" spans="1:30" s="4" customFormat="1" ht="35.25" customHeight="1" x14ac:dyDescent="0.5">
      <c r="A12" s="4">
        <v>1</v>
      </c>
      <c r="B12" s="171">
        <f>SUBTOTAL(103,$A$8:A12)</f>
        <v>3</v>
      </c>
      <c r="C12" s="323" t="s">
        <v>2458</v>
      </c>
      <c r="D12" s="324">
        <f t="shared" si="3"/>
        <v>880727</v>
      </c>
      <c r="E12" s="400">
        <v>0</v>
      </c>
      <c r="F12" s="400">
        <v>0</v>
      </c>
      <c r="G12" s="400">
        <v>0</v>
      </c>
      <c r="H12" s="400">
        <v>0</v>
      </c>
      <c r="I12" s="400">
        <v>0</v>
      </c>
      <c r="J12" s="400">
        <v>0</v>
      </c>
      <c r="K12" s="401">
        <v>2</v>
      </c>
      <c r="L12" s="400">
        <v>375931</v>
      </c>
      <c r="M12" s="400">
        <v>504796</v>
      </c>
      <c r="N12" s="400">
        <v>0</v>
      </c>
      <c r="O12" s="400">
        <v>0</v>
      </c>
      <c r="P12" s="400">
        <v>0</v>
      </c>
      <c r="Q12" s="400">
        <v>0</v>
      </c>
      <c r="R12" s="400">
        <v>0</v>
      </c>
      <c r="S12" s="400">
        <v>0</v>
      </c>
      <c r="T12" s="400">
        <v>0</v>
      </c>
      <c r="U12" s="400">
        <v>0</v>
      </c>
      <c r="V12" s="400">
        <v>0</v>
      </c>
      <c r="W12" s="400">
        <v>0</v>
      </c>
      <c r="X12" s="400">
        <v>0</v>
      </c>
      <c r="Y12" s="400">
        <v>0</v>
      </c>
      <c r="Z12" s="400">
        <v>0</v>
      </c>
      <c r="AA12" s="400">
        <v>0</v>
      </c>
      <c r="AB12" s="327">
        <v>2020</v>
      </c>
      <c r="AD12" s="4">
        <v>0</v>
      </c>
    </row>
    <row r="13" spans="1:30" s="4" customFormat="1" ht="35.25" customHeight="1" x14ac:dyDescent="0.5">
      <c r="A13" s="4">
        <v>1</v>
      </c>
      <c r="B13" s="171">
        <f>SUBTOTAL(103,$A$8:A13)</f>
        <v>4</v>
      </c>
      <c r="C13" s="323" t="s">
        <v>1716</v>
      </c>
      <c r="D13" s="324">
        <f t="shared" si="3"/>
        <v>611403</v>
      </c>
      <c r="E13" s="325">
        <v>0</v>
      </c>
      <c r="F13" s="325">
        <v>0</v>
      </c>
      <c r="G13" s="325">
        <v>0</v>
      </c>
      <c r="H13" s="325">
        <v>0</v>
      </c>
      <c r="I13" s="325">
        <v>0</v>
      </c>
      <c r="J13" s="325">
        <v>0</v>
      </c>
      <c r="K13" s="326">
        <v>0</v>
      </c>
      <c r="L13" s="325">
        <v>0</v>
      </c>
      <c r="M13" s="325">
        <v>0</v>
      </c>
      <c r="N13" s="325">
        <v>0</v>
      </c>
      <c r="O13" s="325">
        <f>90148+521255</f>
        <v>611403</v>
      </c>
      <c r="P13" s="325">
        <v>0</v>
      </c>
      <c r="Q13" s="325">
        <v>0</v>
      </c>
      <c r="R13" s="325">
        <v>0</v>
      </c>
      <c r="S13" s="325">
        <v>0</v>
      </c>
      <c r="T13" s="325">
        <v>0</v>
      </c>
      <c r="U13" s="325">
        <v>0</v>
      </c>
      <c r="V13" s="325">
        <v>0</v>
      </c>
      <c r="W13" s="325">
        <v>0</v>
      </c>
      <c r="X13" s="325">
        <v>0</v>
      </c>
      <c r="Y13" s="325">
        <v>0</v>
      </c>
      <c r="Z13" s="325">
        <v>0</v>
      </c>
      <c r="AA13" s="325">
        <v>0</v>
      </c>
      <c r="AB13" s="327">
        <v>2020</v>
      </c>
      <c r="AD13" s="4" t="e">
        <v>#N/A</v>
      </c>
    </row>
    <row r="14" spans="1:30" s="4" customFormat="1" ht="35.25" customHeight="1" x14ac:dyDescent="0.5">
      <c r="A14" s="4">
        <v>1</v>
      </c>
      <c r="B14" s="171">
        <f>SUBTOTAL(103,$A$8:A14)</f>
        <v>5</v>
      </c>
      <c r="C14" s="323" t="s">
        <v>2459</v>
      </c>
      <c r="D14" s="324">
        <f t="shared" si="3"/>
        <v>414375.91000000003</v>
      </c>
      <c r="E14" s="325">
        <v>138125</v>
      </c>
      <c r="F14" s="325">
        <v>138125</v>
      </c>
      <c r="G14" s="325">
        <v>0</v>
      </c>
      <c r="H14" s="325">
        <v>138125.91</v>
      </c>
      <c r="I14" s="325">
        <v>0</v>
      </c>
      <c r="J14" s="325">
        <v>0</v>
      </c>
      <c r="K14" s="326">
        <v>0</v>
      </c>
      <c r="L14" s="325">
        <v>0</v>
      </c>
      <c r="M14" s="325">
        <v>0</v>
      </c>
      <c r="N14" s="325">
        <v>0</v>
      </c>
      <c r="O14" s="325">
        <v>0</v>
      </c>
      <c r="P14" s="325">
        <v>0</v>
      </c>
      <c r="Q14" s="325">
        <v>0</v>
      </c>
      <c r="R14" s="325">
        <v>0</v>
      </c>
      <c r="S14" s="325">
        <v>0</v>
      </c>
      <c r="T14" s="325">
        <v>0</v>
      </c>
      <c r="U14" s="325">
        <v>0</v>
      </c>
      <c r="V14" s="325">
        <v>0</v>
      </c>
      <c r="W14" s="325">
        <v>0</v>
      </c>
      <c r="X14" s="325">
        <v>0</v>
      </c>
      <c r="Y14" s="325">
        <v>0</v>
      </c>
      <c r="Z14" s="325">
        <v>0</v>
      </c>
      <c r="AA14" s="325">
        <v>0</v>
      </c>
      <c r="AB14" s="327">
        <v>2020</v>
      </c>
      <c r="AD14" s="4">
        <v>0</v>
      </c>
    </row>
    <row r="15" spans="1:30" s="4" customFormat="1" ht="35.25" customHeight="1" x14ac:dyDescent="0.5">
      <c r="A15" s="4">
        <v>1</v>
      </c>
      <c r="B15" s="171">
        <f>SUBTOTAL(103,$A$8:A15)</f>
        <v>6</v>
      </c>
      <c r="C15" s="323" t="s">
        <v>2460</v>
      </c>
      <c r="D15" s="324">
        <f t="shared" si="3"/>
        <v>139199.96</v>
      </c>
      <c r="E15" s="325">
        <v>0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26">
        <v>0</v>
      </c>
      <c r="L15" s="325">
        <v>0</v>
      </c>
      <c r="M15" s="325">
        <v>0</v>
      </c>
      <c r="N15" s="325">
        <v>59199.96</v>
      </c>
      <c r="O15" s="325">
        <v>80000</v>
      </c>
      <c r="P15" s="325">
        <v>0</v>
      </c>
      <c r="Q15" s="325">
        <v>0</v>
      </c>
      <c r="R15" s="325">
        <v>0</v>
      </c>
      <c r="S15" s="325">
        <v>0</v>
      </c>
      <c r="T15" s="325">
        <v>0</v>
      </c>
      <c r="U15" s="325">
        <v>0</v>
      </c>
      <c r="V15" s="325">
        <v>0</v>
      </c>
      <c r="W15" s="325">
        <v>0</v>
      </c>
      <c r="X15" s="325">
        <v>0</v>
      </c>
      <c r="Y15" s="325">
        <v>0</v>
      </c>
      <c r="Z15" s="325">
        <v>0</v>
      </c>
      <c r="AA15" s="325">
        <v>0</v>
      </c>
      <c r="AB15" s="327">
        <v>2020</v>
      </c>
      <c r="AD15" s="4">
        <v>0</v>
      </c>
    </row>
    <row r="16" spans="1:30" s="4" customFormat="1" ht="35.25" customHeight="1" x14ac:dyDescent="0.5">
      <c r="A16" s="4">
        <v>1</v>
      </c>
      <c r="B16" s="171">
        <f>SUBTOTAL(103,$A$8:A16)</f>
        <v>7</v>
      </c>
      <c r="C16" s="323" t="s">
        <v>1717</v>
      </c>
      <c r="D16" s="324">
        <f t="shared" si="3"/>
        <v>238788.19999999998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6">
        <v>0</v>
      </c>
      <c r="L16" s="325">
        <v>0</v>
      </c>
      <c r="M16" s="325">
        <v>0</v>
      </c>
      <c r="N16" s="325">
        <v>150788.79999999999</v>
      </c>
      <c r="O16" s="325">
        <v>87999.4</v>
      </c>
      <c r="P16" s="325">
        <v>0</v>
      </c>
      <c r="Q16" s="325">
        <v>0</v>
      </c>
      <c r="R16" s="325">
        <v>0</v>
      </c>
      <c r="S16" s="325">
        <v>0</v>
      </c>
      <c r="T16" s="325">
        <v>0</v>
      </c>
      <c r="U16" s="325">
        <v>0</v>
      </c>
      <c r="V16" s="325">
        <v>0</v>
      </c>
      <c r="W16" s="325">
        <v>0</v>
      </c>
      <c r="X16" s="325">
        <v>0</v>
      </c>
      <c r="Y16" s="325">
        <v>0</v>
      </c>
      <c r="Z16" s="325">
        <v>0</v>
      </c>
      <c r="AA16" s="325">
        <v>0</v>
      </c>
      <c r="AB16" s="327">
        <v>2020</v>
      </c>
      <c r="AD16" s="4" t="e">
        <v>#N/A</v>
      </c>
    </row>
    <row r="17" spans="1:30" s="4" customFormat="1" ht="35.25" customHeight="1" x14ac:dyDescent="0.5">
      <c r="A17" s="4">
        <v>1</v>
      </c>
      <c r="B17" s="171">
        <f>SUBTOTAL(103,$A$8:A17)</f>
        <v>8</v>
      </c>
      <c r="C17" s="323" t="s">
        <v>1718</v>
      </c>
      <c r="D17" s="324">
        <f t="shared" si="3"/>
        <v>860000</v>
      </c>
      <c r="E17" s="325">
        <v>0</v>
      </c>
      <c r="F17" s="325">
        <v>0</v>
      </c>
      <c r="G17" s="325">
        <v>0</v>
      </c>
      <c r="H17" s="325">
        <v>0</v>
      </c>
      <c r="I17" s="325">
        <v>860000</v>
      </c>
      <c r="J17" s="325">
        <v>0</v>
      </c>
      <c r="K17" s="326">
        <v>0</v>
      </c>
      <c r="L17" s="325">
        <v>0</v>
      </c>
      <c r="M17" s="325">
        <v>0</v>
      </c>
      <c r="N17" s="325">
        <v>0</v>
      </c>
      <c r="O17" s="325">
        <v>0</v>
      </c>
      <c r="P17" s="325">
        <v>0</v>
      </c>
      <c r="Q17" s="325">
        <v>0</v>
      </c>
      <c r="R17" s="325">
        <v>0</v>
      </c>
      <c r="S17" s="325">
        <v>0</v>
      </c>
      <c r="T17" s="325">
        <v>0</v>
      </c>
      <c r="U17" s="325">
        <v>0</v>
      </c>
      <c r="V17" s="325">
        <v>0</v>
      </c>
      <c r="W17" s="325">
        <v>0</v>
      </c>
      <c r="X17" s="325">
        <v>0</v>
      </c>
      <c r="Y17" s="325">
        <v>0</v>
      </c>
      <c r="Z17" s="325">
        <v>0</v>
      </c>
      <c r="AA17" s="325">
        <v>0</v>
      </c>
      <c r="AB17" s="327">
        <v>2020</v>
      </c>
      <c r="AD17" s="4">
        <v>0</v>
      </c>
    </row>
    <row r="18" spans="1:30" s="4" customFormat="1" ht="35.25" customHeight="1" x14ac:dyDescent="0.5">
      <c r="A18" s="4">
        <v>1</v>
      </c>
      <c r="B18" s="171">
        <f>SUBTOTAL(103,$A$8:A18)</f>
        <v>9</v>
      </c>
      <c r="C18" s="323" t="s">
        <v>1719</v>
      </c>
      <c r="D18" s="324">
        <f t="shared" si="3"/>
        <v>120500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6">
        <v>0</v>
      </c>
      <c r="L18" s="325">
        <v>0</v>
      </c>
      <c r="M18" s="325">
        <f>31500+89000</f>
        <v>120500</v>
      </c>
      <c r="N18" s="325">
        <v>0</v>
      </c>
      <c r="O18" s="325">
        <v>0</v>
      </c>
      <c r="P18" s="325">
        <v>0</v>
      </c>
      <c r="Q18" s="325">
        <v>0</v>
      </c>
      <c r="R18" s="325">
        <v>0</v>
      </c>
      <c r="S18" s="325">
        <v>0</v>
      </c>
      <c r="T18" s="325">
        <v>0</v>
      </c>
      <c r="U18" s="325">
        <v>0</v>
      </c>
      <c r="V18" s="325">
        <v>0</v>
      </c>
      <c r="W18" s="325">
        <v>0</v>
      </c>
      <c r="X18" s="325">
        <v>0</v>
      </c>
      <c r="Y18" s="325">
        <v>0</v>
      </c>
      <c r="Z18" s="325">
        <v>0</v>
      </c>
      <c r="AA18" s="325">
        <v>0</v>
      </c>
      <c r="AB18" s="327">
        <v>2020</v>
      </c>
      <c r="AD18" s="4" t="e">
        <v>#N/A</v>
      </c>
    </row>
    <row r="19" spans="1:30" s="4" customFormat="1" ht="35.25" customHeight="1" x14ac:dyDescent="0.5">
      <c r="A19" s="4">
        <v>1</v>
      </c>
      <c r="B19" s="171">
        <f>SUBTOTAL(103,$A$8:A19)</f>
        <v>10</v>
      </c>
      <c r="C19" s="323" t="s">
        <v>1720</v>
      </c>
      <c r="D19" s="324">
        <f t="shared" si="3"/>
        <v>102980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6">
        <v>0</v>
      </c>
      <c r="L19" s="325">
        <v>0</v>
      </c>
      <c r="M19" s="325">
        <v>0</v>
      </c>
      <c r="N19" s="325">
        <v>0</v>
      </c>
      <c r="O19" s="325">
        <v>102980</v>
      </c>
      <c r="P19" s="325">
        <v>0</v>
      </c>
      <c r="Q19" s="325">
        <v>0</v>
      </c>
      <c r="R19" s="325">
        <v>0</v>
      </c>
      <c r="S19" s="325">
        <v>0</v>
      </c>
      <c r="T19" s="325">
        <v>0</v>
      </c>
      <c r="U19" s="325">
        <v>0</v>
      </c>
      <c r="V19" s="325">
        <v>0</v>
      </c>
      <c r="W19" s="325">
        <v>0</v>
      </c>
      <c r="X19" s="325">
        <v>0</v>
      </c>
      <c r="Y19" s="325">
        <v>0</v>
      </c>
      <c r="Z19" s="325">
        <v>0</v>
      </c>
      <c r="AA19" s="325">
        <v>0</v>
      </c>
      <c r="AB19" s="327">
        <v>2020</v>
      </c>
      <c r="AD19" s="4" t="e">
        <v>#N/A</v>
      </c>
    </row>
    <row r="20" spans="1:30" s="4" customFormat="1" ht="35.25" customHeight="1" x14ac:dyDescent="0.5">
      <c r="A20" s="4">
        <v>1</v>
      </c>
      <c r="B20" s="171">
        <f>SUBTOTAL(103,$A$8:A20)</f>
        <v>11</v>
      </c>
      <c r="C20" s="323" t="s">
        <v>1721</v>
      </c>
      <c r="D20" s="324">
        <f t="shared" si="3"/>
        <v>548443</v>
      </c>
      <c r="E20" s="325">
        <v>0</v>
      </c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6">
        <v>0</v>
      </c>
      <c r="L20" s="325">
        <v>0</v>
      </c>
      <c r="M20" s="325">
        <v>0</v>
      </c>
      <c r="N20" s="325">
        <v>0</v>
      </c>
      <c r="O20" s="325">
        <v>548443</v>
      </c>
      <c r="P20" s="325">
        <v>0</v>
      </c>
      <c r="Q20" s="325">
        <v>0</v>
      </c>
      <c r="R20" s="325">
        <v>0</v>
      </c>
      <c r="S20" s="325">
        <v>0</v>
      </c>
      <c r="T20" s="325">
        <v>0</v>
      </c>
      <c r="U20" s="325">
        <v>0</v>
      </c>
      <c r="V20" s="325">
        <v>0</v>
      </c>
      <c r="W20" s="325">
        <v>0</v>
      </c>
      <c r="X20" s="325">
        <v>0</v>
      </c>
      <c r="Y20" s="325">
        <v>0</v>
      </c>
      <c r="Z20" s="325">
        <v>0</v>
      </c>
      <c r="AA20" s="325">
        <v>0</v>
      </c>
      <c r="AB20" s="327">
        <v>2020</v>
      </c>
      <c r="AD20" s="4">
        <v>0</v>
      </c>
    </row>
    <row r="21" spans="1:30" s="4" customFormat="1" ht="35.25" customHeight="1" x14ac:dyDescent="0.5">
      <c r="A21" s="4">
        <v>1</v>
      </c>
      <c r="B21" s="171">
        <f>SUBTOTAL(103,$A$8:A21)</f>
        <v>12</v>
      </c>
      <c r="C21" s="323" t="s">
        <v>1722</v>
      </c>
      <c r="D21" s="324">
        <f t="shared" si="3"/>
        <v>302478.55</v>
      </c>
      <c r="E21" s="325">
        <v>0</v>
      </c>
      <c r="F21" s="325">
        <v>0</v>
      </c>
      <c r="G21" s="325">
        <v>0</v>
      </c>
      <c r="H21" s="325">
        <v>0</v>
      </c>
      <c r="I21" s="325">
        <v>0</v>
      </c>
      <c r="J21" s="325">
        <v>0</v>
      </c>
      <c r="K21" s="326">
        <v>0</v>
      </c>
      <c r="L21" s="325">
        <v>0</v>
      </c>
      <c r="M21" s="325">
        <v>0</v>
      </c>
      <c r="N21" s="325">
        <v>106078.31</v>
      </c>
      <c r="O21" s="325">
        <f>81255.24+34543.5</f>
        <v>115798.74</v>
      </c>
      <c r="P21" s="325">
        <v>80601.5</v>
      </c>
      <c r="Q21" s="325">
        <v>0</v>
      </c>
      <c r="R21" s="325">
        <v>0</v>
      </c>
      <c r="S21" s="325">
        <v>0</v>
      </c>
      <c r="T21" s="325">
        <v>0</v>
      </c>
      <c r="U21" s="325">
        <v>0</v>
      </c>
      <c r="V21" s="325">
        <v>0</v>
      </c>
      <c r="W21" s="325">
        <v>0</v>
      </c>
      <c r="X21" s="325">
        <v>0</v>
      </c>
      <c r="Y21" s="325">
        <v>0</v>
      </c>
      <c r="Z21" s="325">
        <v>0</v>
      </c>
      <c r="AA21" s="325">
        <v>0</v>
      </c>
      <c r="AB21" s="327">
        <v>2020</v>
      </c>
      <c r="AD21" s="4" t="e">
        <v>#N/A</v>
      </c>
    </row>
    <row r="22" spans="1:30" s="4" customFormat="1" ht="35.25" customHeight="1" x14ac:dyDescent="0.5">
      <c r="A22" s="4">
        <v>1</v>
      </c>
      <c r="B22" s="171">
        <f>SUBTOTAL(103,$A$8:A22)</f>
        <v>13</v>
      </c>
      <c r="C22" s="323" t="s">
        <v>1723</v>
      </c>
      <c r="D22" s="324">
        <f t="shared" si="3"/>
        <v>373056.34</v>
      </c>
      <c r="E22" s="325">
        <v>0</v>
      </c>
      <c r="F22" s="325">
        <v>0</v>
      </c>
      <c r="G22" s="325">
        <f>75345.7+175806.64</f>
        <v>251152.34000000003</v>
      </c>
      <c r="H22" s="325">
        <v>0</v>
      </c>
      <c r="I22" s="325">
        <v>0</v>
      </c>
      <c r="J22" s="325">
        <v>0</v>
      </c>
      <c r="K22" s="326">
        <v>1</v>
      </c>
      <c r="L22" s="325">
        <v>50907</v>
      </c>
      <c r="M22" s="325">
        <v>0</v>
      </c>
      <c r="N22" s="325">
        <v>70997</v>
      </c>
      <c r="O22" s="325">
        <v>0</v>
      </c>
      <c r="P22" s="325">
        <v>0</v>
      </c>
      <c r="Q22" s="325">
        <v>0</v>
      </c>
      <c r="R22" s="325">
        <v>0</v>
      </c>
      <c r="S22" s="325">
        <v>0</v>
      </c>
      <c r="T22" s="325">
        <v>0</v>
      </c>
      <c r="U22" s="325">
        <v>0</v>
      </c>
      <c r="V22" s="325">
        <v>0</v>
      </c>
      <c r="W22" s="325">
        <v>0</v>
      </c>
      <c r="X22" s="325">
        <v>0</v>
      </c>
      <c r="Y22" s="325">
        <v>0</v>
      </c>
      <c r="Z22" s="325">
        <v>0</v>
      </c>
      <c r="AA22" s="325">
        <v>0</v>
      </c>
      <c r="AB22" s="327">
        <v>2020</v>
      </c>
      <c r="AD22" s="4">
        <v>0</v>
      </c>
    </row>
    <row r="23" spans="1:30" s="4" customFormat="1" ht="35.25" customHeight="1" x14ac:dyDescent="0.5">
      <c r="A23" s="4">
        <v>1</v>
      </c>
      <c r="B23" s="171">
        <f>SUBTOTAL(103,$A$8:A23)</f>
        <v>14</v>
      </c>
      <c r="C23" s="323" t="s">
        <v>2461</v>
      </c>
      <c r="D23" s="324">
        <f t="shared" si="3"/>
        <v>191000</v>
      </c>
      <c r="E23" s="325">
        <v>0</v>
      </c>
      <c r="F23" s="325">
        <v>0</v>
      </c>
      <c r="G23" s="325">
        <v>191000</v>
      </c>
      <c r="H23" s="325">
        <v>0</v>
      </c>
      <c r="I23" s="325">
        <v>0</v>
      </c>
      <c r="J23" s="325">
        <v>0</v>
      </c>
      <c r="K23" s="326">
        <v>0</v>
      </c>
      <c r="L23" s="325">
        <v>0</v>
      </c>
      <c r="M23" s="325">
        <v>0</v>
      </c>
      <c r="N23" s="325">
        <v>0</v>
      </c>
      <c r="O23" s="325">
        <v>0</v>
      </c>
      <c r="P23" s="325">
        <v>0</v>
      </c>
      <c r="Q23" s="325">
        <v>0</v>
      </c>
      <c r="R23" s="325">
        <v>0</v>
      </c>
      <c r="S23" s="325">
        <v>0</v>
      </c>
      <c r="T23" s="325">
        <v>0</v>
      </c>
      <c r="U23" s="325">
        <v>0</v>
      </c>
      <c r="V23" s="325">
        <v>0</v>
      </c>
      <c r="W23" s="325">
        <v>0</v>
      </c>
      <c r="X23" s="325">
        <v>0</v>
      </c>
      <c r="Y23" s="325">
        <v>0</v>
      </c>
      <c r="Z23" s="325">
        <v>0</v>
      </c>
      <c r="AA23" s="325">
        <v>0</v>
      </c>
      <c r="AB23" s="327">
        <v>2020</v>
      </c>
      <c r="AD23" s="4">
        <v>0</v>
      </c>
    </row>
    <row r="24" spans="1:30" s="4" customFormat="1" ht="35.25" customHeight="1" x14ac:dyDescent="0.5">
      <c r="A24" s="4">
        <v>1</v>
      </c>
      <c r="B24" s="171">
        <f>SUBTOTAL(103,$A$8:A24)</f>
        <v>15</v>
      </c>
      <c r="C24" s="323" t="s">
        <v>2462</v>
      </c>
      <c r="D24" s="324">
        <f t="shared" si="3"/>
        <v>405405</v>
      </c>
      <c r="E24" s="325">
        <v>0</v>
      </c>
      <c r="F24" s="325">
        <v>0</v>
      </c>
      <c r="G24" s="325">
        <v>0</v>
      </c>
      <c r="H24" s="325">
        <v>0</v>
      </c>
      <c r="I24" s="325">
        <v>0</v>
      </c>
      <c r="J24" s="325">
        <v>0</v>
      </c>
      <c r="K24" s="326">
        <v>0</v>
      </c>
      <c r="L24" s="325">
        <v>0</v>
      </c>
      <c r="M24" s="325">
        <v>405405</v>
      </c>
      <c r="N24" s="325">
        <v>0</v>
      </c>
      <c r="O24" s="325">
        <v>0</v>
      </c>
      <c r="P24" s="325">
        <v>0</v>
      </c>
      <c r="Q24" s="325">
        <v>0</v>
      </c>
      <c r="R24" s="325">
        <v>0</v>
      </c>
      <c r="S24" s="325">
        <v>0</v>
      </c>
      <c r="T24" s="325">
        <v>0</v>
      </c>
      <c r="U24" s="325">
        <v>0</v>
      </c>
      <c r="V24" s="325">
        <v>0</v>
      </c>
      <c r="W24" s="325">
        <v>0</v>
      </c>
      <c r="X24" s="325">
        <v>0</v>
      </c>
      <c r="Y24" s="325">
        <v>0</v>
      </c>
      <c r="Z24" s="325">
        <v>0</v>
      </c>
      <c r="AA24" s="325">
        <v>0</v>
      </c>
      <c r="AB24" s="327">
        <v>2020</v>
      </c>
      <c r="AD24" s="4">
        <v>0</v>
      </c>
    </row>
    <row r="25" spans="1:30" s="4" customFormat="1" ht="35.25" customHeight="1" x14ac:dyDescent="0.5">
      <c r="A25" s="4">
        <v>1</v>
      </c>
      <c r="B25" s="171">
        <f>SUBTOTAL(103,$A$8:A25)</f>
        <v>16</v>
      </c>
      <c r="C25" s="323" t="s">
        <v>2463</v>
      </c>
      <c r="D25" s="324">
        <f t="shared" si="3"/>
        <v>291196</v>
      </c>
      <c r="E25" s="325">
        <v>0</v>
      </c>
      <c r="F25" s="325">
        <v>0</v>
      </c>
      <c r="G25" s="325">
        <v>0</v>
      </c>
      <c r="H25" s="325">
        <v>0</v>
      </c>
      <c r="I25" s="325">
        <v>0</v>
      </c>
      <c r="J25" s="325">
        <v>0</v>
      </c>
      <c r="K25" s="326">
        <v>0</v>
      </c>
      <c r="L25" s="325">
        <v>0</v>
      </c>
      <c r="M25" s="325">
        <v>0</v>
      </c>
      <c r="N25" s="325">
        <v>0</v>
      </c>
      <c r="O25" s="325">
        <v>291196</v>
      </c>
      <c r="P25" s="325">
        <v>0</v>
      </c>
      <c r="Q25" s="325">
        <v>0</v>
      </c>
      <c r="R25" s="325">
        <v>0</v>
      </c>
      <c r="S25" s="325">
        <v>0</v>
      </c>
      <c r="T25" s="325">
        <v>0</v>
      </c>
      <c r="U25" s="325">
        <v>0</v>
      </c>
      <c r="V25" s="325">
        <v>0</v>
      </c>
      <c r="W25" s="325">
        <v>0</v>
      </c>
      <c r="X25" s="325">
        <v>0</v>
      </c>
      <c r="Y25" s="325">
        <v>0</v>
      </c>
      <c r="Z25" s="325">
        <v>0</v>
      </c>
      <c r="AA25" s="325">
        <v>0</v>
      </c>
      <c r="AB25" s="327">
        <v>2020</v>
      </c>
      <c r="AD25" s="4">
        <v>0</v>
      </c>
    </row>
    <row r="26" spans="1:30" s="4" customFormat="1" ht="35.25" customHeight="1" x14ac:dyDescent="0.5">
      <c r="A26" s="4">
        <v>1</v>
      </c>
      <c r="B26" s="171">
        <f>SUBTOTAL(103,$A$8:A26)</f>
        <v>17</v>
      </c>
      <c r="C26" s="323" t="s">
        <v>1725</v>
      </c>
      <c r="D26" s="324">
        <f t="shared" si="3"/>
        <v>1208460</v>
      </c>
      <c r="E26" s="325">
        <v>0</v>
      </c>
      <c r="F26" s="325">
        <v>0</v>
      </c>
      <c r="G26" s="325">
        <v>0</v>
      </c>
      <c r="H26" s="325">
        <v>0</v>
      </c>
      <c r="I26" s="325">
        <v>0</v>
      </c>
      <c r="J26" s="325">
        <v>0</v>
      </c>
      <c r="K26" s="326">
        <v>0</v>
      </c>
      <c r="L26" s="325">
        <v>0</v>
      </c>
      <c r="M26" s="325">
        <v>0</v>
      </c>
      <c r="N26" s="325">
        <v>0</v>
      </c>
      <c r="O26" s="325">
        <v>1208460</v>
      </c>
      <c r="P26" s="325">
        <v>0</v>
      </c>
      <c r="Q26" s="325">
        <v>0</v>
      </c>
      <c r="R26" s="325">
        <v>0</v>
      </c>
      <c r="S26" s="325">
        <v>0</v>
      </c>
      <c r="T26" s="325">
        <v>0</v>
      </c>
      <c r="U26" s="325">
        <v>0</v>
      </c>
      <c r="V26" s="325">
        <v>0</v>
      </c>
      <c r="W26" s="325">
        <v>0</v>
      </c>
      <c r="X26" s="325">
        <v>0</v>
      </c>
      <c r="Y26" s="325">
        <v>0</v>
      </c>
      <c r="Z26" s="325">
        <v>0</v>
      </c>
      <c r="AA26" s="325">
        <v>0</v>
      </c>
      <c r="AB26" s="327">
        <v>2020</v>
      </c>
      <c r="AD26" s="4" t="e">
        <v>#N/A</v>
      </c>
    </row>
    <row r="27" spans="1:30" s="4" customFormat="1" ht="35.25" customHeight="1" x14ac:dyDescent="0.5">
      <c r="A27" s="4">
        <v>1</v>
      </c>
      <c r="B27" s="171">
        <f>SUBTOTAL(103,$A$8:A27)</f>
        <v>18</v>
      </c>
      <c r="C27" s="323" t="s">
        <v>1726</v>
      </c>
      <c r="D27" s="324">
        <f t="shared" si="3"/>
        <v>120351</v>
      </c>
      <c r="E27" s="325">
        <v>0</v>
      </c>
      <c r="F27" s="325">
        <v>0</v>
      </c>
      <c r="G27" s="325">
        <v>0</v>
      </c>
      <c r="H27" s="325">
        <v>0</v>
      </c>
      <c r="I27" s="325">
        <v>0</v>
      </c>
      <c r="J27" s="325">
        <v>0</v>
      </c>
      <c r="K27" s="326">
        <v>1</v>
      </c>
      <c r="L27" s="325">
        <f>36105.3+84245.7</f>
        <v>120351</v>
      </c>
      <c r="M27" s="325">
        <v>0</v>
      </c>
      <c r="N27" s="325">
        <v>0</v>
      </c>
      <c r="O27" s="325">
        <v>0</v>
      </c>
      <c r="P27" s="325">
        <v>0</v>
      </c>
      <c r="Q27" s="325">
        <v>0</v>
      </c>
      <c r="R27" s="325">
        <v>0</v>
      </c>
      <c r="S27" s="325">
        <v>0</v>
      </c>
      <c r="T27" s="325">
        <v>0</v>
      </c>
      <c r="U27" s="325">
        <v>0</v>
      </c>
      <c r="V27" s="325">
        <v>0</v>
      </c>
      <c r="W27" s="325">
        <v>0</v>
      </c>
      <c r="X27" s="325">
        <v>0</v>
      </c>
      <c r="Y27" s="325">
        <v>0</v>
      </c>
      <c r="Z27" s="325">
        <v>0</v>
      </c>
      <c r="AA27" s="325">
        <v>0</v>
      </c>
      <c r="AB27" s="327">
        <v>2020</v>
      </c>
      <c r="AD27" s="4" t="e">
        <v>#N/A</v>
      </c>
    </row>
    <row r="28" spans="1:30" s="4" customFormat="1" ht="35.25" customHeight="1" x14ac:dyDescent="0.5">
      <c r="A28" s="4">
        <v>1</v>
      </c>
      <c r="B28" s="171">
        <f>SUBTOTAL(103,$A$8:A28)</f>
        <v>19</v>
      </c>
      <c r="C28" s="323" t="s">
        <v>1727</v>
      </c>
      <c r="D28" s="324">
        <f t="shared" si="3"/>
        <v>224568</v>
      </c>
      <c r="E28" s="325">
        <v>0</v>
      </c>
      <c r="F28" s="325">
        <v>0</v>
      </c>
      <c r="G28" s="325">
        <v>224568</v>
      </c>
      <c r="H28" s="325">
        <v>0</v>
      </c>
      <c r="I28" s="325">
        <v>0</v>
      </c>
      <c r="J28" s="325">
        <v>0</v>
      </c>
      <c r="K28" s="326">
        <v>0</v>
      </c>
      <c r="L28" s="325">
        <v>0</v>
      </c>
      <c r="M28" s="325">
        <v>0</v>
      </c>
      <c r="N28" s="325">
        <v>0</v>
      </c>
      <c r="O28" s="325">
        <v>0</v>
      </c>
      <c r="P28" s="325">
        <v>0</v>
      </c>
      <c r="Q28" s="325">
        <v>0</v>
      </c>
      <c r="R28" s="325">
        <v>0</v>
      </c>
      <c r="S28" s="325">
        <v>0</v>
      </c>
      <c r="T28" s="325">
        <v>0</v>
      </c>
      <c r="U28" s="325">
        <v>0</v>
      </c>
      <c r="V28" s="325">
        <v>0</v>
      </c>
      <c r="W28" s="325">
        <v>0</v>
      </c>
      <c r="X28" s="325">
        <v>0</v>
      </c>
      <c r="Y28" s="325">
        <v>0</v>
      </c>
      <c r="Z28" s="325">
        <v>0</v>
      </c>
      <c r="AA28" s="325">
        <v>0</v>
      </c>
      <c r="AB28" s="327">
        <v>2020</v>
      </c>
      <c r="AD28" s="4" t="e">
        <v>#N/A</v>
      </c>
    </row>
    <row r="29" spans="1:30" s="4" customFormat="1" ht="35.25" customHeight="1" x14ac:dyDescent="0.5">
      <c r="A29" s="4">
        <v>1</v>
      </c>
      <c r="B29" s="171">
        <f>SUBTOTAL(103,$A$8:A29)</f>
        <v>20</v>
      </c>
      <c r="C29" s="323" t="s">
        <v>1728</v>
      </c>
      <c r="D29" s="324">
        <f>E29+F29+G29+H29+I29+J29+L29+M29+N29+O29+P29+Q29+R29+S29+T29+U29+V29+W29+X29+Y29+Z29+AA29</f>
        <v>114203.1</v>
      </c>
      <c r="E29" s="325">
        <v>20000</v>
      </c>
      <c r="F29" s="325">
        <v>38650</v>
      </c>
      <c r="G29" s="325">
        <v>0</v>
      </c>
      <c r="H29" s="325">
        <v>0</v>
      </c>
      <c r="I29" s="325">
        <v>0</v>
      </c>
      <c r="J29" s="325">
        <v>0</v>
      </c>
      <c r="K29" s="326">
        <v>1</v>
      </c>
      <c r="L29" s="325">
        <v>55553.1</v>
      </c>
      <c r="M29" s="325">
        <v>0</v>
      </c>
      <c r="N29" s="325">
        <v>0</v>
      </c>
      <c r="O29" s="325">
        <v>0</v>
      </c>
      <c r="P29" s="325">
        <v>0</v>
      </c>
      <c r="Q29" s="325">
        <v>0</v>
      </c>
      <c r="R29" s="325">
        <v>0</v>
      </c>
      <c r="S29" s="325">
        <v>0</v>
      </c>
      <c r="T29" s="325">
        <v>0</v>
      </c>
      <c r="U29" s="325">
        <v>0</v>
      </c>
      <c r="V29" s="325">
        <v>0</v>
      </c>
      <c r="W29" s="325">
        <v>0</v>
      </c>
      <c r="X29" s="325">
        <v>0</v>
      </c>
      <c r="Y29" s="325">
        <v>0</v>
      </c>
      <c r="Z29" s="325">
        <v>0</v>
      </c>
      <c r="AA29" s="325">
        <v>0</v>
      </c>
      <c r="AB29" s="327">
        <v>2020</v>
      </c>
      <c r="AD29" s="4">
        <v>0</v>
      </c>
    </row>
    <row r="30" spans="1:30" s="4" customFormat="1" ht="35.25" customHeight="1" x14ac:dyDescent="0.5">
      <c r="A30" s="4">
        <v>1</v>
      </c>
      <c r="B30" s="171">
        <f>SUBTOTAL(103,$A$8:A30)</f>
        <v>21</v>
      </c>
      <c r="C30" s="323" t="s">
        <v>1729</v>
      </c>
      <c r="D30" s="324">
        <f t="shared" si="3"/>
        <v>869766.7</v>
      </c>
      <c r="E30" s="325">
        <v>0</v>
      </c>
      <c r="F30" s="325">
        <v>677767</v>
      </c>
      <c r="G30" s="325">
        <v>0</v>
      </c>
      <c r="H30" s="325">
        <v>0</v>
      </c>
      <c r="I30" s="325">
        <v>0</v>
      </c>
      <c r="J30" s="325">
        <v>0</v>
      </c>
      <c r="K30" s="326">
        <v>0</v>
      </c>
      <c r="L30" s="325">
        <v>0</v>
      </c>
      <c r="M30" s="325">
        <v>0</v>
      </c>
      <c r="N30" s="325">
        <v>0</v>
      </c>
      <c r="O30" s="325">
        <v>0</v>
      </c>
      <c r="P30" s="325">
        <v>191999.7</v>
      </c>
      <c r="Q30" s="325">
        <v>0</v>
      </c>
      <c r="R30" s="325">
        <v>0</v>
      </c>
      <c r="S30" s="325">
        <v>0</v>
      </c>
      <c r="T30" s="325">
        <v>0</v>
      </c>
      <c r="U30" s="325">
        <v>0</v>
      </c>
      <c r="V30" s="325">
        <v>0</v>
      </c>
      <c r="W30" s="325">
        <v>0</v>
      </c>
      <c r="X30" s="325">
        <v>0</v>
      </c>
      <c r="Y30" s="325">
        <v>0</v>
      </c>
      <c r="Z30" s="325">
        <v>0</v>
      </c>
      <c r="AA30" s="325">
        <v>0</v>
      </c>
      <c r="AB30" s="327">
        <v>2020</v>
      </c>
      <c r="AD30" s="4" t="e">
        <v>#N/A</v>
      </c>
    </row>
    <row r="31" spans="1:30" s="4" customFormat="1" ht="35.25" customHeight="1" x14ac:dyDescent="0.5">
      <c r="A31" s="4">
        <v>1</v>
      </c>
      <c r="B31" s="171">
        <f>SUBTOTAL(103,$A$8:A31)</f>
        <v>22</v>
      </c>
      <c r="C31" s="323" t="s">
        <v>1730</v>
      </c>
      <c r="D31" s="324">
        <f t="shared" si="3"/>
        <v>255222.3</v>
      </c>
      <c r="E31" s="325">
        <v>0</v>
      </c>
      <c r="F31" s="325">
        <v>0</v>
      </c>
      <c r="G31" s="325">
        <v>0</v>
      </c>
      <c r="H31" s="325">
        <v>0</v>
      </c>
      <c r="I31" s="325">
        <v>0</v>
      </c>
      <c r="J31" s="325">
        <v>0</v>
      </c>
      <c r="K31" s="326">
        <v>1</v>
      </c>
      <c r="L31" s="325">
        <f>11188+43083</f>
        <v>54271</v>
      </c>
      <c r="M31" s="325">
        <v>0</v>
      </c>
      <c r="N31" s="325">
        <v>0</v>
      </c>
      <c r="O31" s="325">
        <v>65890.55</v>
      </c>
      <c r="P31" s="325">
        <v>135060.75</v>
      </c>
      <c r="Q31" s="325">
        <v>0</v>
      </c>
      <c r="R31" s="325">
        <v>0</v>
      </c>
      <c r="S31" s="325">
        <v>0</v>
      </c>
      <c r="T31" s="325">
        <v>0</v>
      </c>
      <c r="U31" s="325">
        <v>0</v>
      </c>
      <c r="V31" s="325">
        <v>0</v>
      </c>
      <c r="W31" s="325">
        <v>0</v>
      </c>
      <c r="X31" s="325">
        <v>0</v>
      </c>
      <c r="Y31" s="325">
        <v>0</v>
      </c>
      <c r="Z31" s="325">
        <v>0</v>
      </c>
      <c r="AA31" s="325">
        <v>0</v>
      </c>
      <c r="AB31" s="327">
        <v>2020</v>
      </c>
      <c r="AD31" s="4">
        <v>0</v>
      </c>
    </row>
    <row r="32" spans="1:30" s="4" customFormat="1" ht="35.25" customHeight="1" x14ac:dyDescent="0.5">
      <c r="A32" s="4">
        <v>1</v>
      </c>
      <c r="B32" s="171">
        <f>SUBTOTAL(103,$A$8:A32)</f>
        <v>23</v>
      </c>
      <c r="C32" s="323" t="s">
        <v>2464</v>
      </c>
      <c r="D32" s="324">
        <f t="shared" si="3"/>
        <v>111000</v>
      </c>
      <c r="E32" s="325">
        <v>0</v>
      </c>
      <c r="F32" s="325">
        <v>0</v>
      </c>
      <c r="G32" s="325">
        <v>0</v>
      </c>
      <c r="H32" s="325">
        <v>0</v>
      </c>
      <c r="I32" s="325">
        <v>0</v>
      </c>
      <c r="J32" s="325">
        <v>0</v>
      </c>
      <c r="K32" s="326">
        <v>1</v>
      </c>
      <c r="L32" s="325">
        <v>111000</v>
      </c>
      <c r="M32" s="325">
        <v>0</v>
      </c>
      <c r="N32" s="325">
        <v>0</v>
      </c>
      <c r="O32" s="325">
        <v>0</v>
      </c>
      <c r="P32" s="325">
        <v>0</v>
      </c>
      <c r="Q32" s="325">
        <v>0</v>
      </c>
      <c r="R32" s="325">
        <v>0</v>
      </c>
      <c r="S32" s="325">
        <v>0</v>
      </c>
      <c r="T32" s="325">
        <v>0</v>
      </c>
      <c r="U32" s="325">
        <v>0</v>
      </c>
      <c r="V32" s="325">
        <v>0</v>
      </c>
      <c r="W32" s="325">
        <v>0</v>
      </c>
      <c r="X32" s="325">
        <v>0</v>
      </c>
      <c r="Y32" s="325">
        <v>0</v>
      </c>
      <c r="Z32" s="325">
        <v>0</v>
      </c>
      <c r="AA32" s="325">
        <v>0</v>
      </c>
      <c r="AB32" s="327">
        <v>2020</v>
      </c>
      <c r="AD32" s="4">
        <v>0</v>
      </c>
    </row>
    <row r="33" spans="1:30" s="4" customFormat="1" ht="35.25" customHeight="1" x14ac:dyDescent="0.5">
      <c r="A33" s="4">
        <v>1</v>
      </c>
      <c r="B33" s="171">
        <f>SUBTOTAL(103,$A$8:A33)</f>
        <v>24</v>
      </c>
      <c r="C33" s="323" t="s">
        <v>2465</v>
      </c>
      <c r="D33" s="324">
        <f t="shared" si="3"/>
        <v>400000</v>
      </c>
      <c r="E33" s="325">
        <v>0</v>
      </c>
      <c r="F33" s="325">
        <v>0</v>
      </c>
      <c r="G33" s="325">
        <v>0</v>
      </c>
      <c r="H33" s="325">
        <v>0</v>
      </c>
      <c r="I33" s="325">
        <v>0</v>
      </c>
      <c r="J33" s="325">
        <v>0</v>
      </c>
      <c r="K33" s="326">
        <v>0</v>
      </c>
      <c r="L33" s="325">
        <v>0</v>
      </c>
      <c r="M33" s="325">
        <v>400000</v>
      </c>
      <c r="N33" s="325">
        <v>0</v>
      </c>
      <c r="O33" s="325">
        <v>0</v>
      </c>
      <c r="P33" s="325">
        <v>0</v>
      </c>
      <c r="Q33" s="325">
        <v>0</v>
      </c>
      <c r="R33" s="325">
        <v>0</v>
      </c>
      <c r="S33" s="325">
        <v>0</v>
      </c>
      <c r="T33" s="325">
        <v>0</v>
      </c>
      <c r="U33" s="325">
        <v>0</v>
      </c>
      <c r="V33" s="325">
        <v>0</v>
      </c>
      <c r="W33" s="325">
        <v>0</v>
      </c>
      <c r="X33" s="325">
        <v>0</v>
      </c>
      <c r="Y33" s="325">
        <v>0</v>
      </c>
      <c r="Z33" s="325">
        <v>0</v>
      </c>
      <c r="AA33" s="325">
        <v>0</v>
      </c>
      <c r="AB33" s="327">
        <v>2020</v>
      </c>
      <c r="AD33" s="4">
        <v>0</v>
      </c>
    </row>
    <row r="34" spans="1:30" s="4" customFormat="1" ht="35.25" customHeight="1" x14ac:dyDescent="0.5">
      <c r="A34" s="4">
        <v>1</v>
      </c>
      <c r="B34" s="171">
        <f>SUBTOTAL(103,$A$8:A34)</f>
        <v>25</v>
      </c>
      <c r="C34" s="323" t="s">
        <v>1732</v>
      </c>
      <c r="D34" s="324">
        <f t="shared" si="3"/>
        <v>922851</v>
      </c>
      <c r="E34" s="325">
        <v>0</v>
      </c>
      <c r="F34" s="325">
        <v>0</v>
      </c>
      <c r="G34" s="325">
        <f>226595.6+581473</f>
        <v>808068.6</v>
      </c>
      <c r="H34" s="325">
        <v>0</v>
      </c>
      <c r="I34" s="325">
        <v>0</v>
      </c>
      <c r="J34" s="325">
        <v>0</v>
      </c>
      <c r="K34" s="326">
        <v>0</v>
      </c>
      <c r="L34" s="325">
        <v>0</v>
      </c>
      <c r="M34" s="325">
        <v>0</v>
      </c>
      <c r="N34" s="325">
        <v>0</v>
      </c>
      <c r="O34" s="325">
        <v>114782.39999999999</v>
      </c>
      <c r="P34" s="325">
        <v>0</v>
      </c>
      <c r="Q34" s="325">
        <v>0</v>
      </c>
      <c r="R34" s="325">
        <v>0</v>
      </c>
      <c r="S34" s="325">
        <v>0</v>
      </c>
      <c r="T34" s="325">
        <v>0</v>
      </c>
      <c r="U34" s="325">
        <v>0</v>
      </c>
      <c r="V34" s="325">
        <v>0</v>
      </c>
      <c r="W34" s="325">
        <v>0</v>
      </c>
      <c r="X34" s="325">
        <v>0</v>
      </c>
      <c r="Y34" s="325">
        <v>0</v>
      </c>
      <c r="Z34" s="325">
        <v>0</v>
      </c>
      <c r="AA34" s="325">
        <v>0</v>
      </c>
      <c r="AB34" s="327">
        <v>2020</v>
      </c>
      <c r="AD34" s="4" t="e">
        <v>#N/A</v>
      </c>
    </row>
    <row r="35" spans="1:30" s="4" customFormat="1" ht="35.25" customHeight="1" x14ac:dyDescent="0.5">
      <c r="A35" s="4">
        <v>1</v>
      </c>
      <c r="B35" s="171">
        <f>SUBTOTAL(103,$A$8:A35)</f>
        <v>26</v>
      </c>
      <c r="C35" s="323" t="s">
        <v>2466</v>
      </c>
      <c r="D35" s="324">
        <f t="shared" si="3"/>
        <v>2451180</v>
      </c>
      <c r="E35" s="325">
        <v>0</v>
      </c>
      <c r="F35" s="325">
        <v>0</v>
      </c>
      <c r="G35" s="325">
        <v>0</v>
      </c>
      <c r="H35" s="325">
        <v>0</v>
      </c>
      <c r="I35" s="325">
        <v>0</v>
      </c>
      <c r="J35" s="325">
        <v>0</v>
      </c>
      <c r="K35" s="326">
        <v>2</v>
      </c>
      <c r="L35" s="325">
        <v>2451180</v>
      </c>
      <c r="M35" s="325">
        <v>0</v>
      </c>
      <c r="N35" s="325">
        <v>0</v>
      </c>
      <c r="O35" s="325">
        <v>0</v>
      </c>
      <c r="P35" s="325">
        <v>0</v>
      </c>
      <c r="Q35" s="325">
        <v>0</v>
      </c>
      <c r="R35" s="325">
        <v>0</v>
      </c>
      <c r="S35" s="325">
        <v>0</v>
      </c>
      <c r="T35" s="325">
        <v>0</v>
      </c>
      <c r="U35" s="325">
        <v>0</v>
      </c>
      <c r="V35" s="325">
        <v>0</v>
      </c>
      <c r="W35" s="325">
        <v>0</v>
      </c>
      <c r="X35" s="325">
        <v>0</v>
      </c>
      <c r="Y35" s="325">
        <v>0</v>
      </c>
      <c r="Z35" s="325">
        <v>0</v>
      </c>
      <c r="AA35" s="325">
        <v>0</v>
      </c>
      <c r="AB35" s="327">
        <v>2020</v>
      </c>
      <c r="AD35" s="4">
        <v>0</v>
      </c>
    </row>
    <row r="36" spans="1:30" s="4" customFormat="1" ht="35.25" customHeight="1" x14ac:dyDescent="0.5">
      <c r="A36" s="4">
        <v>1</v>
      </c>
      <c r="B36" s="171">
        <f>SUBTOTAL(103,$A$8:A36)</f>
        <v>27</v>
      </c>
      <c r="C36" s="323" t="s">
        <v>1733</v>
      </c>
      <c r="D36" s="324">
        <f>E36+F36+G36+H36+I36+J36+L36+M36+N36+O36+P36+Q36+R36+S36+T36+U36+V36+W36+X36+Y36+Z36+AA36</f>
        <v>144000</v>
      </c>
      <c r="E36" s="325">
        <v>0</v>
      </c>
      <c r="F36" s="325">
        <v>0</v>
      </c>
      <c r="G36" s="325">
        <v>0</v>
      </c>
      <c r="H36" s="325">
        <v>0</v>
      </c>
      <c r="I36" s="325">
        <v>0</v>
      </c>
      <c r="J36" s="325">
        <v>0</v>
      </c>
      <c r="K36" s="326">
        <v>3</v>
      </c>
      <c r="L36" s="325">
        <f>43200+100800</f>
        <v>144000</v>
      </c>
      <c r="M36" s="325">
        <v>0</v>
      </c>
      <c r="N36" s="325">
        <v>0</v>
      </c>
      <c r="O36" s="325">
        <v>0</v>
      </c>
      <c r="P36" s="325">
        <v>0</v>
      </c>
      <c r="Q36" s="325">
        <v>0</v>
      </c>
      <c r="R36" s="325">
        <v>0</v>
      </c>
      <c r="S36" s="325">
        <v>0</v>
      </c>
      <c r="T36" s="325">
        <v>0</v>
      </c>
      <c r="U36" s="325">
        <v>0</v>
      </c>
      <c r="V36" s="325">
        <v>0</v>
      </c>
      <c r="W36" s="325">
        <v>0</v>
      </c>
      <c r="X36" s="325">
        <v>0</v>
      </c>
      <c r="Y36" s="325">
        <v>0</v>
      </c>
      <c r="Z36" s="325">
        <v>0</v>
      </c>
      <c r="AA36" s="325">
        <v>0</v>
      </c>
      <c r="AB36" s="327">
        <v>2020</v>
      </c>
      <c r="AD36" s="4" t="e">
        <v>#N/A</v>
      </c>
    </row>
    <row r="37" spans="1:30" s="4" customFormat="1" ht="35.25" customHeight="1" x14ac:dyDescent="0.5">
      <c r="A37" s="4">
        <v>1</v>
      </c>
      <c r="B37" s="171">
        <f>SUBTOTAL(103,$A$8:A37)</f>
        <v>28</v>
      </c>
      <c r="C37" s="323" t="s">
        <v>1734</v>
      </c>
      <c r="D37" s="324">
        <f t="shared" si="3"/>
        <v>1628649.1</v>
      </c>
      <c r="E37" s="325">
        <v>0</v>
      </c>
      <c r="F37" s="325">
        <v>0</v>
      </c>
      <c r="G37" s="325">
        <v>394253</v>
      </c>
      <c r="H37" s="325">
        <v>0</v>
      </c>
      <c r="I37" s="325">
        <v>200096.1</v>
      </c>
      <c r="J37" s="325">
        <v>0</v>
      </c>
      <c r="K37" s="326">
        <v>1</v>
      </c>
      <c r="L37" s="325">
        <v>180000</v>
      </c>
      <c r="M37" s="325">
        <v>854300</v>
      </c>
      <c r="N37" s="325">
        <v>0</v>
      </c>
      <c r="O37" s="325">
        <v>0</v>
      </c>
      <c r="P37" s="325">
        <v>0</v>
      </c>
      <c r="Q37" s="325">
        <v>0</v>
      </c>
      <c r="R37" s="325">
        <v>0</v>
      </c>
      <c r="S37" s="325">
        <v>0</v>
      </c>
      <c r="T37" s="325">
        <v>0</v>
      </c>
      <c r="U37" s="325">
        <v>0</v>
      </c>
      <c r="V37" s="325">
        <v>0</v>
      </c>
      <c r="W37" s="325">
        <v>0</v>
      </c>
      <c r="X37" s="325">
        <v>0</v>
      </c>
      <c r="Y37" s="325">
        <v>0</v>
      </c>
      <c r="Z37" s="325">
        <v>0</v>
      </c>
      <c r="AA37" s="325">
        <v>0</v>
      </c>
      <c r="AB37" s="327">
        <v>2020</v>
      </c>
      <c r="AD37" s="4">
        <v>0</v>
      </c>
    </row>
    <row r="38" spans="1:30" s="4" customFormat="1" ht="35.25" customHeight="1" x14ac:dyDescent="0.5">
      <c r="A38" s="4">
        <v>1</v>
      </c>
      <c r="B38" s="171">
        <f>SUBTOTAL(103,$A$8:A38)</f>
        <v>29</v>
      </c>
      <c r="C38" s="323" t="s">
        <v>1735</v>
      </c>
      <c r="D38" s="324">
        <f t="shared" si="3"/>
        <v>1151223.6000000001</v>
      </c>
      <c r="E38" s="325">
        <v>0</v>
      </c>
      <c r="F38" s="325">
        <v>0</v>
      </c>
      <c r="G38" s="325">
        <v>0</v>
      </c>
      <c r="H38" s="325">
        <v>0</v>
      </c>
      <c r="I38" s="325">
        <v>0</v>
      </c>
      <c r="J38" s="325">
        <v>0</v>
      </c>
      <c r="K38" s="326">
        <v>1</v>
      </c>
      <c r="L38" s="325">
        <v>357151.2</v>
      </c>
      <c r="M38" s="325">
        <v>0</v>
      </c>
      <c r="N38" s="325">
        <v>240306</v>
      </c>
      <c r="O38" s="325">
        <v>553766.40000000002</v>
      </c>
      <c r="P38" s="325">
        <v>0</v>
      </c>
      <c r="Q38" s="325">
        <v>0</v>
      </c>
      <c r="R38" s="325">
        <v>0</v>
      </c>
      <c r="S38" s="325">
        <v>0</v>
      </c>
      <c r="T38" s="325">
        <v>0</v>
      </c>
      <c r="U38" s="325">
        <v>0</v>
      </c>
      <c r="V38" s="325">
        <v>0</v>
      </c>
      <c r="W38" s="325">
        <v>0</v>
      </c>
      <c r="X38" s="325">
        <v>0</v>
      </c>
      <c r="Y38" s="325">
        <v>0</v>
      </c>
      <c r="Z38" s="325">
        <v>0</v>
      </c>
      <c r="AA38" s="325">
        <v>0</v>
      </c>
      <c r="AB38" s="327">
        <v>2020</v>
      </c>
      <c r="AD38" s="4">
        <v>0</v>
      </c>
    </row>
    <row r="39" spans="1:30" s="4" customFormat="1" ht="35.25" customHeight="1" x14ac:dyDescent="0.5">
      <c r="A39" s="4">
        <v>1</v>
      </c>
      <c r="B39" s="171">
        <f>SUBTOTAL(103,$A$8:A39)</f>
        <v>30</v>
      </c>
      <c r="C39" s="323" t="s">
        <v>1736</v>
      </c>
      <c r="D39" s="324">
        <f>E39+F39+G39+H39+I39+J39+L39+M39+N39+O39+P39+Q39+R39+S39+T39+U39+V39+W39+X39+Y39+Z39+AA39</f>
        <v>5100000</v>
      </c>
      <c r="E39" s="325">
        <v>0</v>
      </c>
      <c r="F39" s="325">
        <v>0</v>
      </c>
      <c r="G39" s="325">
        <v>0</v>
      </c>
      <c r="H39" s="325">
        <v>0</v>
      </c>
      <c r="I39" s="325">
        <v>0</v>
      </c>
      <c r="J39" s="325">
        <v>0</v>
      </c>
      <c r="K39" s="326">
        <v>3</v>
      </c>
      <c r="L39" s="325">
        <v>5100000</v>
      </c>
      <c r="M39" s="325">
        <v>0</v>
      </c>
      <c r="N39" s="325">
        <v>0</v>
      </c>
      <c r="O39" s="325">
        <v>0</v>
      </c>
      <c r="P39" s="325">
        <v>0</v>
      </c>
      <c r="Q39" s="325">
        <v>0</v>
      </c>
      <c r="R39" s="325">
        <v>0</v>
      </c>
      <c r="S39" s="325">
        <v>0</v>
      </c>
      <c r="T39" s="325">
        <v>0</v>
      </c>
      <c r="U39" s="325">
        <v>0</v>
      </c>
      <c r="V39" s="325">
        <v>0</v>
      </c>
      <c r="W39" s="325">
        <v>0</v>
      </c>
      <c r="X39" s="325">
        <v>0</v>
      </c>
      <c r="Y39" s="325">
        <v>0</v>
      </c>
      <c r="Z39" s="325">
        <v>0</v>
      </c>
      <c r="AA39" s="325">
        <v>0</v>
      </c>
      <c r="AB39" s="327">
        <v>2020</v>
      </c>
      <c r="AD39" s="4" t="e">
        <v>#N/A</v>
      </c>
    </row>
    <row r="40" spans="1:30" s="4" customFormat="1" ht="35.25" customHeight="1" x14ac:dyDescent="0.5">
      <c r="A40" s="4">
        <v>1</v>
      </c>
      <c r="B40" s="171">
        <f>SUBTOTAL(103,$A$8:A40)</f>
        <v>31</v>
      </c>
      <c r="C40" s="323" t="s">
        <v>1737</v>
      </c>
      <c r="D40" s="324">
        <f t="shared" ref="D40:D103" si="4">E40+F40+G40+H40+I40+J40+L40+M40+N40+O40+P40+Q40+R40+S40+T40+U40+V40+W40+X40+Y40+Z40+AA40</f>
        <v>333729</v>
      </c>
      <c r="E40" s="325">
        <v>0</v>
      </c>
      <c r="F40" s="325">
        <v>0</v>
      </c>
      <c r="G40" s="325">
        <v>333729</v>
      </c>
      <c r="H40" s="325">
        <v>0</v>
      </c>
      <c r="I40" s="325">
        <v>0</v>
      </c>
      <c r="J40" s="325">
        <v>0</v>
      </c>
      <c r="K40" s="326">
        <v>0</v>
      </c>
      <c r="L40" s="325">
        <v>0</v>
      </c>
      <c r="M40" s="325">
        <v>0</v>
      </c>
      <c r="N40" s="325">
        <v>0</v>
      </c>
      <c r="O40" s="325">
        <v>0</v>
      </c>
      <c r="P40" s="325">
        <v>0</v>
      </c>
      <c r="Q40" s="325">
        <v>0</v>
      </c>
      <c r="R40" s="325">
        <v>0</v>
      </c>
      <c r="S40" s="325">
        <v>0</v>
      </c>
      <c r="T40" s="325">
        <v>0</v>
      </c>
      <c r="U40" s="325">
        <v>0</v>
      </c>
      <c r="V40" s="325">
        <v>0</v>
      </c>
      <c r="W40" s="325">
        <v>0</v>
      </c>
      <c r="X40" s="325">
        <v>0</v>
      </c>
      <c r="Y40" s="325">
        <v>0</v>
      </c>
      <c r="Z40" s="325">
        <v>0</v>
      </c>
      <c r="AA40" s="325">
        <v>0</v>
      </c>
      <c r="AB40" s="327">
        <v>2020</v>
      </c>
      <c r="AD40" s="4" t="e">
        <v>#N/A</v>
      </c>
    </row>
    <row r="41" spans="1:30" s="4" customFormat="1" ht="35.25" customHeight="1" x14ac:dyDescent="0.5">
      <c r="A41" s="4">
        <v>1</v>
      </c>
      <c r="B41" s="171">
        <f>SUBTOTAL(103,$A$8:A41)</f>
        <v>32</v>
      </c>
      <c r="C41" s="323" t="s">
        <v>1738</v>
      </c>
      <c r="D41" s="324">
        <f t="shared" si="4"/>
        <v>1881894</v>
      </c>
      <c r="E41" s="325">
        <v>195422.5</v>
      </c>
      <c r="F41" s="325">
        <v>111467.7</v>
      </c>
      <c r="G41" s="325">
        <v>322000</v>
      </c>
      <c r="H41" s="325">
        <v>213000</v>
      </c>
      <c r="I41" s="325">
        <v>330000</v>
      </c>
      <c r="J41" s="325">
        <v>0</v>
      </c>
      <c r="K41" s="326">
        <v>0</v>
      </c>
      <c r="L41" s="325">
        <v>0</v>
      </c>
      <c r="M41" s="325">
        <v>0</v>
      </c>
      <c r="N41" s="325">
        <v>0</v>
      </c>
      <c r="O41" s="325">
        <v>710003.8</v>
      </c>
      <c r="P41" s="325">
        <v>0</v>
      </c>
      <c r="Q41" s="325">
        <v>0</v>
      </c>
      <c r="R41" s="325">
        <v>0</v>
      </c>
      <c r="S41" s="325">
        <v>0</v>
      </c>
      <c r="T41" s="325">
        <v>0</v>
      </c>
      <c r="U41" s="325">
        <v>0</v>
      </c>
      <c r="V41" s="325">
        <v>0</v>
      </c>
      <c r="W41" s="325">
        <v>0</v>
      </c>
      <c r="X41" s="325">
        <v>0</v>
      </c>
      <c r="Y41" s="325">
        <v>0</v>
      </c>
      <c r="Z41" s="325">
        <v>0</v>
      </c>
      <c r="AA41" s="325">
        <v>0</v>
      </c>
      <c r="AB41" s="327">
        <v>2020</v>
      </c>
      <c r="AD41" s="4">
        <v>0</v>
      </c>
    </row>
    <row r="42" spans="1:30" s="4" customFormat="1" ht="35.25" customHeight="1" x14ac:dyDescent="0.5">
      <c r="A42" s="4">
        <v>1</v>
      </c>
      <c r="B42" s="171">
        <f>SUBTOTAL(103,$A$8:A42)</f>
        <v>33</v>
      </c>
      <c r="C42" s="323" t="s">
        <v>1739</v>
      </c>
      <c r="D42" s="324">
        <f t="shared" si="4"/>
        <v>162333.46</v>
      </c>
      <c r="E42" s="325">
        <f>119000+7516.64</f>
        <v>126516.64</v>
      </c>
      <c r="F42" s="325">
        <v>0</v>
      </c>
      <c r="G42" s="325">
        <v>0</v>
      </c>
      <c r="H42" s="325">
        <v>21109.82</v>
      </c>
      <c r="I42" s="325">
        <v>0</v>
      </c>
      <c r="J42" s="325">
        <v>0</v>
      </c>
      <c r="K42" s="326">
        <v>1</v>
      </c>
      <c r="L42" s="325">
        <v>14707</v>
      </c>
      <c r="M42" s="325">
        <v>0</v>
      </c>
      <c r="N42" s="325">
        <v>0</v>
      </c>
      <c r="O42" s="325">
        <v>0</v>
      </c>
      <c r="P42" s="325">
        <v>0</v>
      </c>
      <c r="Q42" s="325">
        <v>0</v>
      </c>
      <c r="R42" s="325">
        <v>0</v>
      </c>
      <c r="S42" s="325">
        <v>0</v>
      </c>
      <c r="T42" s="325">
        <v>0</v>
      </c>
      <c r="U42" s="325">
        <v>0</v>
      </c>
      <c r="V42" s="325">
        <v>0</v>
      </c>
      <c r="W42" s="325">
        <v>0</v>
      </c>
      <c r="X42" s="325">
        <v>0</v>
      </c>
      <c r="Y42" s="325">
        <v>0</v>
      </c>
      <c r="Z42" s="325">
        <v>0</v>
      </c>
      <c r="AA42" s="325">
        <v>0</v>
      </c>
      <c r="AB42" s="327">
        <v>2020</v>
      </c>
      <c r="AD42" s="4">
        <v>0</v>
      </c>
    </row>
    <row r="43" spans="1:30" s="4" customFormat="1" ht="35.25" customHeight="1" x14ac:dyDescent="0.5">
      <c r="A43" s="4">
        <v>1</v>
      </c>
      <c r="B43" s="171">
        <f>SUBTOTAL(103,$A$8:A43)</f>
        <v>34</v>
      </c>
      <c r="C43" s="323" t="s">
        <v>1740</v>
      </c>
      <c r="D43" s="324">
        <f t="shared" si="4"/>
        <v>375942</v>
      </c>
      <c r="E43" s="325">
        <v>0</v>
      </c>
      <c r="F43" s="325">
        <v>0</v>
      </c>
      <c r="G43" s="325">
        <v>375942</v>
      </c>
      <c r="H43" s="325">
        <v>0</v>
      </c>
      <c r="I43" s="325">
        <v>0</v>
      </c>
      <c r="J43" s="325">
        <v>0</v>
      </c>
      <c r="K43" s="326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0</v>
      </c>
      <c r="Q43" s="325">
        <v>0</v>
      </c>
      <c r="R43" s="325">
        <v>0</v>
      </c>
      <c r="S43" s="325">
        <v>0</v>
      </c>
      <c r="T43" s="325">
        <v>0</v>
      </c>
      <c r="U43" s="325">
        <v>0</v>
      </c>
      <c r="V43" s="325">
        <v>0</v>
      </c>
      <c r="W43" s="325">
        <v>0</v>
      </c>
      <c r="X43" s="325">
        <v>0</v>
      </c>
      <c r="Y43" s="325">
        <v>0</v>
      </c>
      <c r="Z43" s="325">
        <v>0</v>
      </c>
      <c r="AA43" s="325">
        <v>0</v>
      </c>
      <c r="AB43" s="327">
        <v>2020</v>
      </c>
      <c r="AD43" s="4" t="e">
        <v>#N/A</v>
      </c>
    </row>
    <row r="44" spans="1:30" s="4" customFormat="1" ht="35.25" customHeight="1" x14ac:dyDescent="0.5">
      <c r="A44" s="4">
        <v>1</v>
      </c>
      <c r="B44" s="171">
        <f>SUBTOTAL(103,$A$8:A44)</f>
        <v>35</v>
      </c>
      <c r="C44" s="323" t="s">
        <v>1741</v>
      </c>
      <c r="D44" s="324">
        <f t="shared" si="4"/>
        <v>116700.38</v>
      </c>
      <c r="E44" s="325">
        <v>0</v>
      </c>
      <c r="F44" s="325">
        <v>0</v>
      </c>
      <c r="G44" s="325">
        <v>0</v>
      </c>
      <c r="H44" s="325">
        <v>0</v>
      </c>
      <c r="I44" s="325">
        <v>0</v>
      </c>
      <c r="J44" s="325">
        <v>0</v>
      </c>
      <c r="K44" s="326">
        <v>0</v>
      </c>
      <c r="L44" s="325">
        <v>0</v>
      </c>
      <c r="M44" s="325">
        <v>0</v>
      </c>
      <c r="N44" s="325">
        <v>0</v>
      </c>
      <c r="O44" s="325">
        <v>116700.38</v>
      </c>
      <c r="P44" s="325">
        <v>0</v>
      </c>
      <c r="Q44" s="325">
        <v>0</v>
      </c>
      <c r="R44" s="325">
        <v>0</v>
      </c>
      <c r="S44" s="325">
        <v>0</v>
      </c>
      <c r="T44" s="325">
        <v>0</v>
      </c>
      <c r="U44" s="325">
        <v>0</v>
      </c>
      <c r="V44" s="325">
        <v>0</v>
      </c>
      <c r="W44" s="325">
        <v>0</v>
      </c>
      <c r="X44" s="325">
        <v>0</v>
      </c>
      <c r="Y44" s="325">
        <v>0</v>
      </c>
      <c r="Z44" s="325">
        <v>0</v>
      </c>
      <c r="AA44" s="325">
        <v>0</v>
      </c>
      <c r="AB44" s="327">
        <v>2020</v>
      </c>
      <c r="AD44" s="4" t="e">
        <v>#N/A</v>
      </c>
    </row>
    <row r="45" spans="1:30" s="4" customFormat="1" ht="35.25" customHeight="1" x14ac:dyDescent="0.5">
      <c r="A45" s="4">
        <v>1</v>
      </c>
      <c r="B45" s="171">
        <f>SUBTOTAL(103,$A$8:A45)</f>
        <v>36</v>
      </c>
      <c r="C45" s="323" t="s">
        <v>1743</v>
      </c>
      <c r="D45" s="324">
        <f t="shared" si="4"/>
        <v>821518</v>
      </c>
      <c r="E45" s="325">
        <v>0</v>
      </c>
      <c r="F45" s="325">
        <v>0</v>
      </c>
      <c r="G45" s="325">
        <v>0</v>
      </c>
      <c r="H45" s="325">
        <v>0</v>
      </c>
      <c r="I45" s="325">
        <v>0</v>
      </c>
      <c r="J45" s="325">
        <v>0</v>
      </c>
      <c r="K45" s="326">
        <v>0</v>
      </c>
      <c r="L45" s="325">
        <v>0</v>
      </c>
      <c r="M45" s="325">
        <v>821518</v>
      </c>
      <c r="N45" s="325">
        <v>0</v>
      </c>
      <c r="O45" s="325">
        <v>0</v>
      </c>
      <c r="P45" s="325">
        <v>0</v>
      </c>
      <c r="Q45" s="325">
        <v>0</v>
      </c>
      <c r="R45" s="325">
        <v>0</v>
      </c>
      <c r="S45" s="325">
        <v>0</v>
      </c>
      <c r="T45" s="325">
        <v>0</v>
      </c>
      <c r="U45" s="325">
        <v>0</v>
      </c>
      <c r="V45" s="325">
        <v>0</v>
      </c>
      <c r="W45" s="325">
        <v>0</v>
      </c>
      <c r="X45" s="325">
        <v>0</v>
      </c>
      <c r="Y45" s="325">
        <v>0</v>
      </c>
      <c r="Z45" s="325">
        <v>0</v>
      </c>
      <c r="AA45" s="325">
        <v>0</v>
      </c>
      <c r="AB45" s="327">
        <v>2020</v>
      </c>
      <c r="AD45" s="4">
        <v>0</v>
      </c>
    </row>
    <row r="46" spans="1:30" s="4" customFormat="1" ht="35.25" customHeight="1" x14ac:dyDescent="0.5">
      <c r="A46" s="4">
        <v>1</v>
      </c>
      <c r="B46" s="171">
        <f>SUBTOTAL(103,$A$8:A46)</f>
        <v>37</v>
      </c>
      <c r="C46" s="323" t="s">
        <v>1744</v>
      </c>
      <c r="D46" s="324">
        <f t="shared" si="4"/>
        <v>177700</v>
      </c>
      <c r="E46" s="325">
        <v>0</v>
      </c>
      <c r="F46" s="325">
        <v>0</v>
      </c>
      <c r="G46" s="325">
        <v>0</v>
      </c>
      <c r="H46" s="325">
        <v>0</v>
      </c>
      <c r="I46" s="325">
        <v>0</v>
      </c>
      <c r="J46" s="325">
        <v>0</v>
      </c>
      <c r="K46" s="326">
        <v>1</v>
      </c>
      <c r="L46" s="325">
        <v>177700</v>
      </c>
      <c r="M46" s="325">
        <v>0</v>
      </c>
      <c r="N46" s="325">
        <v>0</v>
      </c>
      <c r="O46" s="325">
        <v>0</v>
      </c>
      <c r="P46" s="325">
        <v>0</v>
      </c>
      <c r="Q46" s="325">
        <v>0</v>
      </c>
      <c r="R46" s="325">
        <v>0</v>
      </c>
      <c r="S46" s="325">
        <v>0</v>
      </c>
      <c r="T46" s="325">
        <v>0</v>
      </c>
      <c r="U46" s="325">
        <v>0</v>
      </c>
      <c r="V46" s="325">
        <v>0</v>
      </c>
      <c r="W46" s="325">
        <v>0</v>
      </c>
      <c r="X46" s="325">
        <v>0</v>
      </c>
      <c r="Y46" s="325">
        <v>0</v>
      </c>
      <c r="Z46" s="325">
        <v>0</v>
      </c>
      <c r="AA46" s="325">
        <v>0</v>
      </c>
      <c r="AB46" s="327">
        <v>2020</v>
      </c>
      <c r="AD46" s="4" t="e">
        <v>#N/A</v>
      </c>
    </row>
    <row r="47" spans="1:30" s="4" customFormat="1" ht="35.25" customHeight="1" x14ac:dyDescent="0.5">
      <c r="A47" s="4">
        <v>1</v>
      </c>
      <c r="B47" s="171">
        <f>SUBTOTAL(103,$A$8:A47)</f>
        <v>38</v>
      </c>
      <c r="C47" s="323" t="s">
        <v>1745</v>
      </c>
      <c r="D47" s="324">
        <f t="shared" si="4"/>
        <v>3600000</v>
      </c>
      <c r="E47" s="325">
        <v>0</v>
      </c>
      <c r="F47" s="325">
        <v>0</v>
      </c>
      <c r="G47" s="325">
        <v>0</v>
      </c>
      <c r="H47" s="325">
        <v>0</v>
      </c>
      <c r="I47" s="325">
        <v>0</v>
      </c>
      <c r="J47" s="325">
        <v>0</v>
      </c>
      <c r="K47" s="326">
        <v>2</v>
      </c>
      <c r="L47" s="325">
        <v>3600000</v>
      </c>
      <c r="M47" s="325">
        <v>0</v>
      </c>
      <c r="N47" s="325">
        <v>0</v>
      </c>
      <c r="O47" s="325">
        <v>0</v>
      </c>
      <c r="P47" s="325">
        <v>0</v>
      </c>
      <c r="Q47" s="325">
        <v>0</v>
      </c>
      <c r="R47" s="325">
        <v>0</v>
      </c>
      <c r="S47" s="325">
        <v>0</v>
      </c>
      <c r="T47" s="325">
        <v>0</v>
      </c>
      <c r="U47" s="325">
        <v>0</v>
      </c>
      <c r="V47" s="325">
        <v>0</v>
      </c>
      <c r="W47" s="325">
        <v>0</v>
      </c>
      <c r="X47" s="325">
        <v>0</v>
      </c>
      <c r="Y47" s="325">
        <v>0</v>
      </c>
      <c r="Z47" s="325">
        <v>0</v>
      </c>
      <c r="AA47" s="325">
        <v>0</v>
      </c>
      <c r="AB47" s="327">
        <v>2020</v>
      </c>
      <c r="AD47" s="4" t="e">
        <v>#N/A</v>
      </c>
    </row>
    <row r="48" spans="1:30" s="4" customFormat="1" ht="35.25" customHeight="1" x14ac:dyDescent="0.5">
      <c r="A48" s="4">
        <v>1</v>
      </c>
      <c r="B48" s="171">
        <f>SUBTOTAL(103,$A$8:A48)</f>
        <v>39</v>
      </c>
      <c r="C48" s="323" t="s">
        <v>1746</v>
      </c>
      <c r="D48" s="324">
        <f t="shared" si="4"/>
        <v>132450</v>
      </c>
      <c r="E48" s="325">
        <v>0</v>
      </c>
      <c r="F48" s="325">
        <v>0</v>
      </c>
      <c r="G48" s="325">
        <v>0</v>
      </c>
      <c r="H48" s="325">
        <v>0</v>
      </c>
      <c r="I48" s="325">
        <v>0</v>
      </c>
      <c r="J48" s="325">
        <v>0</v>
      </c>
      <c r="K48" s="326">
        <v>0</v>
      </c>
      <c r="L48" s="325">
        <v>0</v>
      </c>
      <c r="M48" s="325">
        <v>132450</v>
      </c>
      <c r="N48" s="325">
        <v>0</v>
      </c>
      <c r="O48" s="325">
        <v>0</v>
      </c>
      <c r="P48" s="325">
        <v>0</v>
      </c>
      <c r="Q48" s="325">
        <v>0</v>
      </c>
      <c r="R48" s="325">
        <v>0</v>
      </c>
      <c r="S48" s="325">
        <v>0</v>
      </c>
      <c r="T48" s="325">
        <v>0</v>
      </c>
      <c r="U48" s="325">
        <v>0</v>
      </c>
      <c r="V48" s="325">
        <v>0</v>
      </c>
      <c r="W48" s="325">
        <v>0</v>
      </c>
      <c r="X48" s="325">
        <v>0</v>
      </c>
      <c r="Y48" s="325">
        <v>0</v>
      </c>
      <c r="Z48" s="325">
        <v>0</v>
      </c>
      <c r="AA48" s="325">
        <v>0</v>
      </c>
      <c r="AB48" s="327">
        <v>2020</v>
      </c>
      <c r="AD48" s="4">
        <v>0</v>
      </c>
    </row>
    <row r="49" spans="1:30" s="4" customFormat="1" ht="35.25" customHeight="1" x14ac:dyDescent="0.5">
      <c r="A49" s="4">
        <v>1</v>
      </c>
      <c r="B49" s="171">
        <f>SUBTOTAL(103,$A$8:A49)</f>
        <v>40</v>
      </c>
      <c r="C49" s="323" t="s">
        <v>2467</v>
      </c>
      <c r="D49" s="324">
        <f t="shared" si="4"/>
        <v>469667</v>
      </c>
      <c r="E49" s="325">
        <v>0</v>
      </c>
      <c r="F49" s="325">
        <v>469667</v>
      </c>
      <c r="G49" s="325">
        <v>0</v>
      </c>
      <c r="H49" s="325">
        <v>0</v>
      </c>
      <c r="I49" s="325">
        <v>0</v>
      </c>
      <c r="J49" s="325">
        <v>0</v>
      </c>
      <c r="K49" s="325">
        <v>0</v>
      </c>
      <c r="L49" s="325">
        <v>0</v>
      </c>
      <c r="M49" s="325">
        <v>0</v>
      </c>
      <c r="N49" s="325">
        <v>0</v>
      </c>
      <c r="O49" s="325">
        <v>0</v>
      </c>
      <c r="P49" s="325">
        <v>0</v>
      </c>
      <c r="Q49" s="325">
        <v>0</v>
      </c>
      <c r="R49" s="325">
        <v>0</v>
      </c>
      <c r="S49" s="325">
        <v>0</v>
      </c>
      <c r="T49" s="325">
        <v>0</v>
      </c>
      <c r="U49" s="325">
        <v>0</v>
      </c>
      <c r="V49" s="325">
        <v>0</v>
      </c>
      <c r="W49" s="325">
        <v>0</v>
      </c>
      <c r="X49" s="325">
        <v>0</v>
      </c>
      <c r="Y49" s="325">
        <v>0</v>
      </c>
      <c r="Z49" s="325">
        <v>0</v>
      </c>
      <c r="AA49" s="325">
        <v>0</v>
      </c>
      <c r="AB49" s="327">
        <v>2020</v>
      </c>
      <c r="AD49" s="4">
        <v>0</v>
      </c>
    </row>
    <row r="50" spans="1:30" s="4" customFormat="1" ht="35.25" customHeight="1" x14ac:dyDescent="0.5">
      <c r="A50" s="4">
        <v>1</v>
      </c>
      <c r="B50" s="171">
        <f>SUBTOTAL(103,$A$8:A50)</f>
        <v>41</v>
      </c>
      <c r="C50" s="323" t="s">
        <v>1748</v>
      </c>
      <c r="D50" s="324">
        <f t="shared" si="4"/>
        <v>1039214</v>
      </c>
      <c r="E50" s="325">
        <v>0</v>
      </c>
      <c r="F50" s="325">
        <v>0</v>
      </c>
      <c r="G50" s="325">
        <f>20464.2+47749.8</f>
        <v>68214</v>
      </c>
      <c r="H50" s="325">
        <v>0</v>
      </c>
      <c r="I50" s="325">
        <v>0</v>
      </c>
      <c r="J50" s="325">
        <v>0</v>
      </c>
      <c r="K50" s="326">
        <v>0</v>
      </c>
      <c r="L50" s="325">
        <v>0</v>
      </c>
      <c r="M50" s="325">
        <f>172650+402850</f>
        <v>575500</v>
      </c>
      <c r="N50" s="325">
        <f>118650+276850</f>
        <v>395500</v>
      </c>
      <c r="O50" s="325">
        <v>0</v>
      </c>
      <c r="P50" s="325">
        <v>0</v>
      </c>
      <c r="Q50" s="325">
        <v>0</v>
      </c>
      <c r="R50" s="325">
        <v>0</v>
      </c>
      <c r="S50" s="325">
        <v>0</v>
      </c>
      <c r="T50" s="325">
        <v>0</v>
      </c>
      <c r="U50" s="325">
        <v>0</v>
      </c>
      <c r="V50" s="325">
        <v>0</v>
      </c>
      <c r="W50" s="325">
        <v>0</v>
      </c>
      <c r="X50" s="325">
        <v>0</v>
      </c>
      <c r="Y50" s="325">
        <v>0</v>
      </c>
      <c r="Z50" s="325">
        <v>0</v>
      </c>
      <c r="AA50" s="325">
        <v>0</v>
      </c>
      <c r="AB50" s="327">
        <v>2020</v>
      </c>
      <c r="AD50" s="4" t="e">
        <v>#N/A</v>
      </c>
    </row>
    <row r="51" spans="1:30" s="4" customFormat="1" ht="35.25" customHeight="1" x14ac:dyDescent="0.5">
      <c r="A51" s="4">
        <v>1</v>
      </c>
      <c r="B51" s="171">
        <f>SUBTOTAL(103,$A$8:A51)</f>
        <v>42</v>
      </c>
      <c r="C51" s="323" t="s">
        <v>1749</v>
      </c>
      <c r="D51" s="324">
        <f>E51+F51+G51+H51+I51+J51+L51+M51+N51+O51+P51+Q51+R51+S51+T51+U51+V51+W51+X51+Y51+Z51+AA51</f>
        <v>580372</v>
      </c>
      <c r="E51" s="325">
        <v>0</v>
      </c>
      <c r="F51" s="325">
        <v>0</v>
      </c>
      <c r="G51" s="325">
        <v>0</v>
      </c>
      <c r="H51" s="325">
        <v>0</v>
      </c>
      <c r="I51" s="325">
        <v>0</v>
      </c>
      <c r="J51" s="325">
        <v>0</v>
      </c>
      <c r="K51" s="326">
        <v>1</v>
      </c>
      <c r="L51" s="325">
        <v>174530</v>
      </c>
      <c r="M51" s="325">
        <v>0</v>
      </c>
      <c r="N51" s="325">
        <v>0</v>
      </c>
      <c r="O51" s="325">
        <v>405842</v>
      </c>
      <c r="P51" s="325">
        <v>0</v>
      </c>
      <c r="Q51" s="325">
        <v>0</v>
      </c>
      <c r="R51" s="325">
        <v>0</v>
      </c>
      <c r="S51" s="325">
        <v>0</v>
      </c>
      <c r="T51" s="325">
        <v>0</v>
      </c>
      <c r="U51" s="325">
        <v>0</v>
      </c>
      <c r="V51" s="325">
        <v>0</v>
      </c>
      <c r="W51" s="325">
        <v>0</v>
      </c>
      <c r="X51" s="325">
        <v>0</v>
      </c>
      <c r="Y51" s="325">
        <v>0</v>
      </c>
      <c r="Z51" s="325">
        <v>0</v>
      </c>
      <c r="AA51" s="325">
        <v>0</v>
      </c>
      <c r="AB51" s="327">
        <v>2020</v>
      </c>
      <c r="AD51" s="4" t="e">
        <v>#N/A</v>
      </c>
    </row>
    <row r="52" spans="1:30" s="4" customFormat="1" ht="35.25" customHeight="1" x14ac:dyDescent="0.5">
      <c r="A52" s="4">
        <v>1</v>
      </c>
      <c r="B52" s="171">
        <f>SUBTOTAL(103,$A$8:A52)</f>
        <v>43</v>
      </c>
      <c r="C52" s="323" t="s">
        <v>1750</v>
      </c>
      <c r="D52" s="324">
        <f t="shared" si="4"/>
        <v>1750000</v>
      </c>
      <c r="E52" s="325">
        <v>0</v>
      </c>
      <c r="F52" s="325">
        <v>0</v>
      </c>
      <c r="G52" s="325">
        <v>0</v>
      </c>
      <c r="H52" s="325">
        <v>0</v>
      </c>
      <c r="I52" s="325">
        <v>0</v>
      </c>
      <c r="J52" s="325">
        <v>0</v>
      </c>
      <c r="K52" s="326">
        <v>1</v>
      </c>
      <c r="L52" s="325">
        <v>1750000</v>
      </c>
      <c r="M52" s="325">
        <v>0</v>
      </c>
      <c r="N52" s="325">
        <v>0</v>
      </c>
      <c r="O52" s="325">
        <v>0</v>
      </c>
      <c r="P52" s="325">
        <v>0</v>
      </c>
      <c r="Q52" s="325">
        <v>0</v>
      </c>
      <c r="R52" s="325">
        <v>0</v>
      </c>
      <c r="S52" s="325">
        <v>0</v>
      </c>
      <c r="T52" s="325">
        <v>0</v>
      </c>
      <c r="U52" s="325">
        <v>0</v>
      </c>
      <c r="V52" s="325">
        <v>0</v>
      </c>
      <c r="W52" s="325">
        <v>0</v>
      </c>
      <c r="X52" s="325">
        <v>0</v>
      </c>
      <c r="Y52" s="325">
        <v>0</v>
      </c>
      <c r="Z52" s="325">
        <v>0</v>
      </c>
      <c r="AA52" s="325">
        <v>0</v>
      </c>
      <c r="AB52" s="327">
        <v>2020</v>
      </c>
      <c r="AD52" s="4" t="e">
        <v>#N/A</v>
      </c>
    </row>
    <row r="53" spans="1:30" s="4" customFormat="1" ht="35.25" customHeight="1" x14ac:dyDescent="0.5">
      <c r="A53" s="4">
        <v>1</v>
      </c>
      <c r="B53" s="171">
        <f>SUBTOTAL(103,$A$8:A53)</f>
        <v>44</v>
      </c>
      <c r="C53" s="323" t="s">
        <v>1754</v>
      </c>
      <c r="D53" s="324">
        <f t="shared" si="4"/>
        <v>550000</v>
      </c>
      <c r="E53" s="325">
        <v>0</v>
      </c>
      <c r="F53" s="325">
        <v>0</v>
      </c>
      <c r="G53" s="325">
        <v>0</v>
      </c>
      <c r="H53" s="325">
        <v>0</v>
      </c>
      <c r="I53" s="325">
        <v>0</v>
      </c>
      <c r="J53" s="325">
        <v>0</v>
      </c>
      <c r="K53" s="326">
        <v>0</v>
      </c>
      <c r="L53" s="325">
        <v>0</v>
      </c>
      <c r="M53" s="325">
        <v>0</v>
      </c>
      <c r="N53" s="325">
        <v>0</v>
      </c>
      <c r="O53" s="325">
        <v>550000</v>
      </c>
      <c r="P53" s="325">
        <v>0</v>
      </c>
      <c r="Q53" s="325">
        <v>0</v>
      </c>
      <c r="R53" s="325">
        <v>0</v>
      </c>
      <c r="S53" s="325">
        <v>0</v>
      </c>
      <c r="T53" s="325">
        <v>0</v>
      </c>
      <c r="U53" s="325">
        <v>0</v>
      </c>
      <c r="V53" s="325">
        <v>0</v>
      </c>
      <c r="W53" s="325">
        <v>0</v>
      </c>
      <c r="X53" s="325">
        <v>0</v>
      </c>
      <c r="Y53" s="325">
        <v>0</v>
      </c>
      <c r="Z53" s="325">
        <v>0</v>
      </c>
      <c r="AA53" s="325">
        <v>0</v>
      </c>
      <c r="AB53" s="327">
        <v>2020</v>
      </c>
      <c r="AD53" s="4" t="e">
        <v>#N/A</v>
      </c>
    </row>
    <row r="54" spans="1:30" s="4" customFormat="1" ht="35.25" customHeight="1" x14ac:dyDescent="0.5">
      <c r="A54" s="4">
        <v>1</v>
      </c>
      <c r="B54" s="171">
        <f>SUBTOTAL(103,$A$8:A54)</f>
        <v>45</v>
      </c>
      <c r="C54" s="323" t="s">
        <v>1755</v>
      </c>
      <c r="D54" s="324">
        <f t="shared" si="4"/>
        <v>767597.9</v>
      </c>
      <c r="E54" s="325">
        <v>261568.6</v>
      </c>
      <c r="F54" s="325">
        <v>353140.57</v>
      </c>
      <c r="G54" s="325">
        <v>0</v>
      </c>
      <c r="H54" s="325">
        <v>152888.73000000001</v>
      </c>
      <c r="I54" s="325">
        <v>0</v>
      </c>
      <c r="J54" s="325">
        <v>0</v>
      </c>
      <c r="K54" s="326">
        <v>0</v>
      </c>
      <c r="L54" s="325">
        <v>0</v>
      </c>
      <c r="M54" s="325">
        <v>0</v>
      </c>
      <c r="N54" s="325">
        <v>0</v>
      </c>
      <c r="O54" s="325">
        <v>0</v>
      </c>
      <c r="P54" s="325">
        <v>0</v>
      </c>
      <c r="Q54" s="325">
        <v>0</v>
      </c>
      <c r="R54" s="325">
        <v>0</v>
      </c>
      <c r="S54" s="325">
        <v>0</v>
      </c>
      <c r="T54" s="325">
        <v>0</v>
      </c>
      <c r="U54" s="325">
        <v>0</v>
      </c>
      <c r="V54" s="325">
        <v>0</v>
      </c>
      <c r="W54" s="325">
        <v>0</v>
      </c>
      <c r="X54" s="325">
        <v>0</v>
      </c>
      <c r="Y54" s="325">
        <v>0</v>
      </c>
      <c r="Z54" s="325">
        <v>0</v>
      </c>
      <c r="AA54" s="325">
        <v>0</v>
      </c>
      <c r="AB54" s="327">
        <v>2020</v>
      </c>
      <c r="AD54" s="4" t="e">
        <v>#N/A</v>
      </c>
    </row>
    <row r="55" spans="1:30" s="4" customFormat="1" ht="35.25" customHeight="1" x14ac:dyDescent="0.5">
      <c r="A55" s="4">
        <v>1</v>
      </c>
      <c r="B55" s="171">
        <f>SUBTOTAL(103,$A$8:A55)</f>
        <v>46</v>
      </c>
      <c r="C55" s="323" t="s">
        <v>1756</v>
      </c>
      <c r="D55" s="324">
        <f t="shared" si="4"/>
        <v>1459045.55</v>
      </c>
      <c r="E55" s="325">
        <v>0</v>
      </c>
      <c r="F55" s="325">
        <v>0</v>
      </c>
      <c r="G55" s="325">
        <v>0</v>
      </c>
      <c r="H55" s="325">
        <v>0</v>
      </c>
      <c r="I55" s="325">
        <v>0</v>
      </c>
      <c r="J55" s="325">
        <v>0</v>
      </c>
      <c r="K55" s="326">
        <v>0</v>
      </c>
      <c r="L55" s="325">
        <v>0</v>
      </c>
      <c r="M55" s="325">
        <v>1459045.55</v>
      </c>
      <c r="N55" s="325">
        <v>0</v>
      </c>
      <c r="O55" s="325">
        <v>0</v>
      </c>
      <c r="P55" s="325">
        <v>0</v>
      </c>
      <c r="Q55" s="325">
        <v>0</v>
      </c>
      <c r="R55" s="325">
        <v>0</v>
      </c>
      <c r="S55" s="325">
        <v>0</v>
      </c>
      <c r="T55" s="325">
        <v>0</v>
      </c>
      <c r="U55" s="325">
        <v>0</v>
      </c>
      <c r="V55" s="325">
        <v>0</v>
      </c>
      <c r="W55" s="325">
        <v>0</v>
      </c>
      <c r="X55" s="325">
        <v>0</v>
      </c>
      <c r="Y55" s="325">
        <v>0</v>
      </c>
      <c r="Z55" s="325">
        <v>0</v>
      </c>
      <c r="AA55" s="325">
        <v>0</v>
      </c>
      <c r="AB55" s="327">
        <v>2020</v>
      </c>
      <c r="AD55" s="4" t="e">
        <v>#N/A</v>
      </c>
    </row>
    <row r="56" spans="1:30" s="4" customFormat="1" ht="35.25" customHeight="1" x14ac:dyDescent="0.5">
      <c r="A56" s="4">
        <v>1</v>
      </c>
      <c r="B56" s="171">
        <f>SUBTOTAL(103,$A$8:A56)</f>
        <v>47</v>
      </c>
      <c r="C56" s="323" t="s">
        <v>1757</v>
      </c>
      <c r="D56" s="324">
        <f t="shared" si="4"/>
        <v>293676</v>
      </c>
      <c r="E56" s="325">
        <v>0</v>
      </c>
      <c r="F56" s="325">
        <v>0</v>
      </c>
      <c r="G56" s="325">
        <v>0</v>
      </c>
      <c r="H56" s="325">
        <v>0</v>
      </c>
      <c r="I56" s="325">
        <v>0</v>
      </c>
      <c r="J56" s="325">
        <v>0</v>
      </c>
      <c r="K56" s="326">
        <v>1</v>
      </c>
      <c r="L56" s="325">
        <v>293676</v>
      </c>
      <c r="M56" s="325">
        <v>0</v>
      </c>
      <c r="N56" s="325">
        <v>0</v>
      </c>
      <c r="O56" s="325">
        <v>0</v>
      </c>
      <c r="P56" s="325">
        <v>0</v>
      </c>
      <c r="Q56" s="325">
        <v>0</v>
      </c>
      <c r="R56" s="325">
        <v>0</v>
      </c>
      <c r="S56" s="325">
        <v>0</v>
      </c>
      <c r="T56" s="325">
        <v>0</v>
      </c>
      <c r="U56" s="325">
        <v>0</v>
      </c>
      <c r="V56" s="325">
        <v>0</v>
      </c>
      <c r="W56" s="325">
        <v>0</v>
      </c>
      <c r="X56" s="325">
        <v>0</v>
      </c>
      <c r="Y56" s="325">
        <v>0</v>
      </c>
      <c r="Z56" s="325">
        <v>0</v>
      </c>
      <c r="AA56" s="325">
        <v>0</v>
      </c>
      <c r="AB56" s="327">
        <v>2020</v>
      </c>
      <c r="AD56" s="4" t="e">
        <v>#N/A</v>
      </c>
    </row>
    <row r="57" spans="1:30" s="4" customFormat="1" ht="35.25" customHeight="1" x14ac:dyDescent="0.5">
      <c r="A57" s="4">
        <v>1</v>
      </c>
      <c r="B57" s="171">
        <f>SUBTOTAL(103,$A$8:A57)</f>
        <v>48</v>
      </c>
      <c r="C57" s="323" t="s">
        <v>2468</v>
      </c>
      <c r="D57" s="324">
        <f t="shared" si="4"/>
        <v>141800</v>
      </c>
      <c r="E57" s="325">
        <v>141800</v>
      </c>
      <c r="F57" s="325">
        <v>0</v>
      </c>
      <c r="G57" s="325">
        <v>0</v>
      </c>
      <c r="H57" s="325">
        <v>0</v>
      </c>
      <c r="I57" s="325">
        <v>0</v>
      </c>
      <c r="J57" s="325">
        <v>0</v>
      </c>
      <c r="K57" s="325">
        <v>0</v>
      </c>
      <c r="L57" s="325">
        <v>0</v>
      </c>
      <c r="M57" s="325">
        <v>0</v>
      </c>
      <c r="N57" s="325">
        <v>0</v>
      </c>
      <c r="O57" s="325">
        <v>0</v>
      </c>
      <c r="P57" s="325">
        <v>0</v>
      </c>
      <c r="Q57" s="325">
        <v>0</v>
      </c>
      <c r="R57" s="325">
        <v>0</v>
      </c>
      <c r="S57" s="325">
        <v>0</v>
      </c>
      <c r="T57" s="325">
        <v>0</v>
      </c>
      <c r="U57" s="325">
        <v>0</v>
      </c>
      <c r="V57" s="325">
        <v>0</v>
      </c>
      <c r="W57" s="325">
        <v>0</v>
      </c>
      <c r="X57" s="325">
        <v>0</v>
      </c>
      <c r="Y57" s="325">
        <v>0</v>
      </c>
      <c r="Z57" s="325">
        <v>0</v>
      </c>
      <c r="AA57" s="325">
        <v>0</v>
      </c>
      <c r="AB57" s="327">
        <v>2020</v>
      </c>
      <c r="AD57" s="4">
        <v>0</v>
      </c>
    </row>
    <row r="58" spans="1:30" s="4" customFormat="1" ht="35.25" customHeight="1" x14ac:dyDescent="0.5">
      <c r="A58" s="4">
        <v>1</v>
      </c>
      <c r="B58" s="171">
        <f>SUBTOTAL(103,$A$8:A58)</f>
        <v>49</v>
      </c>
      <c r="C58" s="323" t="s">
        <v>1758</v>
      </c>
      <c r="D58" s="324">
        <f t="shared" si="4"/>
        <v>2123411</v>
      </c>
      <c r="E58" s="325">
        <v>0</v>
      </c>
      <c r="F58" s="325">
        <v>0</v>
      </c>
      <c r="G58" s="325">
        <v>0</v>
      </c>
      <c r="H58" s="325">
        <v>0</v>
      </c>
      <c r="I58" s="325">
        <v>0</v>
      </c>
      <c r="J58" s="325">
        <v>0</v>
      </c>
      <c r="K58" s="326">
        <v>0</v>
      </c>
      <c r="L58" s="325">
        <v>0</v>
      </c>
      <c r="M58" s="325">
        <v>2123411</v>
      </c>
      <c r="N58" s="325">
        <v>0</v>
      </c>
      <c r="O58" s="325">
        <v>0</v>
      </c>
      <c r="P58" s="325">
        <v>0</v>
      </c>
      <c r="Q58" s="325">
        <v>0</v>
      </c>
      <c r="R58" s="325">
        <v>0</v>
      </c>
      <c r="S58" s="325">
        <v>0</v>
      </c>
      <c r="T58" s="325">
        <v>0</v>
      </c>
      <c r="U58" s="325">
        <v>0</v>
      </c>
      <c r="V58" s="325">
        <v>0</v>
      </c>
      <c r="W58" s="325">
        <v>0</v>
      </c>
      <c r="X58" s="325">
        <v>0</v>
      </c>
      <c r="Y58" s="325">
        <v>0</v>
      </c>
      <c r="Z58" s="325">
        <v>0</v>
      </c>
      <c r="AA58" s="325">
        <v>0</v>
      </c>
      <c r="AB58" s="327">
        <v>2020</v>
      </c>
      <c r="AD58" s="4" t="e">
        <v>#N/A</v>
      </c>
    </row>
    <row r="59" spans="1:30" s="4" customFormat="1" ht="35.25" customHeight="1" x14ac:dyDescent="0.5">
      <c r="A59" s="4">
        <v>1</v>
      </c>
      <c r="B59" s="171">
        <f>SUBTOTAL(103,$A$8:A59)</f>
        <v>50</v>
      </c>
      <c r="C59" s="323" t="s">
        <v>1759</v>
      </c>
      <c r="D59" s="324">
        <f t="shared" si="4"/>
        <v>363447</v>
      </c>
      <c r="E59" s="325">
        <v>0</v>
      </c>
      <c r="F59" s="325">
        <v>0</v>
      </c>
      <c r="G59" s="325">
        <v>133000</v>
      </c>
      <c r="H59" s="325">
        <v>0</v>
      </c>
      <c r="I59" s="325">
        <v>0</v>
      </c>
      <c r="J59" s="325">
        <v>0</v>
      </c>
      <c r="K59" s="326">
        <v>0</v>
      </c>
      <c r="L59" s="325">
        <v>0</v>
      </c>
      <c r="M59" s="325">
        <v>0</v>
      </c>
      <c r="N59" s="325">
        <v>0</v>
      </c>
      <c r="O59" s="325">
        <v>230447</v>
      </c>
      <c r="P59" s="325">
        <v>0</v>
      </c>
      <c r="Q59" s="325">
        <v>0</v>
      </c>
      <c r="R59" s="325">
        <v>0</v>
      </c>
      <c r="S59" s="325">
        <v>0</v>
      </c>
      <c r="T59" s="325">
        <v>0</v>
      </c>
      <c r="U59" s="325">
        <v>0</v>
      </c>
      <c r="V59" s="325">
        <v>0</v>
      </c>
      <c r="W59" s="325">
        <v>0</v>
      </c>
      <c r="X59" s="325">
        <v>0</v>
      </c>
      <c r="Y59" s="325">
        <v>0</v>
      </c>
      <c r="Z59" s="325">
        <v>0</v>
      </c>
      <c r="AA59" s="325">
        <v>0</v>
      </c>
      <c r="AB59" s="327">
        <v>2020</v>
      </c>
      <c r="AD59" s="4">
        <v>0</v>
      </c>
    </row>
    <row r="60" spans="1:30" s="4" customFormat="1" ht="35.25" customHeight="1" x14ac:dyDescent="0.5">
      <c r="A60" s="4">
        <v>1</v>
      </c>
      <c r="B60" s="171">
        <f>SUBTOTAL(103,$A$8:A60)</f>
        <v>51</v>
      </c>
      <c r="C60" s="323" t="s">
        <v>1760</v>
      </c>
      <c r="D60" s="324">
        <f t="shared" si="4"/>
        <v>532382.57999999996</v>
      </c>
      <c r="E60" s="325">
        <v>0</v>
      </c>
      <c r="F60" s="325">
        <v>0</v>
      </c>
      <c r="G60" s="325">
        <v>0</v>
      </c>
      <c r="H60" s="325">
        <v>0</v>
      </c>
      <c r="I60" s="325">
        <v>532382.57999999996</v>
      </c>
      <c r="J60" s="325">
        <v>0</v>
      </c>
      <c r="K60" s="326">
        <v>0</v>
      </c>
      <c r="L60" s="325">
        <v>0</v>
      </c>
      <c r="M60" s="325">
        <v>0</v>
      </c>
      <c r="N60" s="325">
        <v>0</v>
      </c>
      <c r="O60" s="325">
        <v>0</v>
      </c>
      <c r="P60" s="325">
        <v>0</v>
      </c>
      <c r="Q60" s="325">
        <v>0</v>
      </c>
      <c r="R60" s="325">
        <v>0</v>
      </c>
      <c r="S60" s="325">
        <v>0</v>
      </c>
      <c r="T60" s="325">
        <v>0</v>
      </c>
      <c r="U60" s="325">
        <v>0</v>
      </c>
      <c r="V60" s="325">
        <v>0</v>
      </c>
      <c r="W60" s="325">
        <v>0</v>
      </c>
      <c r="X60" s="325">
        <v>0</v>
      </c>
      <c r="Y60" s="325">
        <v>0</v>
      </c>
      <c r="Z60" s="325">
        <v>0</v>
      </c>
      <c r="AA60" s="325">
        <v>0</v>
      </c>
      <c r="AB60" s="327">
        <v>2020</v>
      </c>
      <c r="AD60" s="4" t="e">
        <v>#N/A</v>
      </c>
    </row>
    <row r="61" spans="1:30" s="4" customFormat="1" ht="35.25" customHeight="1" x14ac:dyDescent="0.5">
      <c r="A61" s="4">
        <v>1</v>
      </c>
      <c r="B61" s="171">
        <f>SUBTOTAL(103,$A$8:A61)</f>
        <v>52</v>
      </c>
      <c r="C61" s="323" t="s">
        <v>1761</v>
      </c>
      <c r="D61" s="324">
        <f t="shared" si="4"/>
        <v>368373.54000000004</v>
      </c>
      <c r="E61" s="325">
        <v>175244.79</v>
      </c>
      <c r="F61" s="325">
        <v>193128.75</v>
      </c>
      <c r="G61" s="325">
        <v>0</v>
      </c>
      <c r="H61" s="325">
        <v>0</v>
      </c>
      <c r="I61" s="325">
        <v>0</v>
      </c>
      <c r="J61" s="325">
        <v>0</v>
      </c>
      <c r="K61" s="326">
        <v>0</v>
      </c>
      <c r="L61" s="325">
        <v>0</v>
      </c>
      <c r="M61" s="325">
        <v>0</v>
      </c>
      <c r="N61" s="325">
        <v>0</v>
      </c>
      <c r="O61" s="325">
        <v>0</v>
      </c>
      <c r="P61" s="325">
        <v>0</v>
      </c>
      <c r="Q61" s="325">
        <v>0</v>
      </c>
      <c r="R61" s="325">
        <v>0</v>
      </c>
      <c r="S61" s="325">
        <v>0</v>
      </c>
      <c r="T61" s="325">
        <v>0</v>
      </c>
      <c r="U61" s="325">
        <v>0</v>
      </c>
      <c r="V61" s="325">
        <v>0</v>
      </c>
      <c r="W61" s="325">
        <v>0</v>
      </c>
      <c r="X61" s="325">
        <v>0</v>
      </c>
      <c r="Y61" s="325">
        <v>0</v>
      </c>
      <c r="Z61" s="325">
        <v>0</v>
      </c>
      <c r="AA61" s="325">
        <v>0</v>
      </c>
      <c r="AB61" s="327">
        <v>2020</v>
      </c>
      <c r="AD61" s="4" t="e">
        <v>#N/A</v>
      </c>
    </row>
    <row r="62" spans="1:30" s="4" customFormat="1" ht="35.25" customHeight="1" x14ac:dyDescent="0.5">
      <c r="A62" s="4">
        <v>1</v>
      </c>
      <c r="B62" s="171">
        <f>SUBTOTAL(103,$A$8:A62)</f>
        <v>53</v>
      </c>
      <c r="C62" s="323" t="s">
        <v>1762</v>
      </c>
      <c r="D62" s="324">
        <f t="shared" si="4"/>
        <v>1008901</v>
      </c>
      <c r="E62" s="325">
        <v>0</v>
      </c>
      <c r="F62" s="325">
        <v>0</v>
      </c>
      <c r="G62" s="325">
        <v>404448</v>
      </c>
      <c r="H62" s="325">
        <v>0</v>
      </c>
      <c r="I62" s="325">
        <v>0</v>
      </c>
      <c r="J62" s="325">
        <v>0</v>
      </c>
      <c r="K62" s="326">
        <v>0</v>
      </c>
      <c r="L62" s="325">
        <v>0</v>
      </c>
      <c r="M62" s="325">
        <v>0</v>
      </c>
      <c r="N62" s="325">
        <v>554453</v>
      </c>
      <c r="O62" s="325">
        <v>0</v>
      </c>
      <c r="P62" s="325">
        <v>0</v>
      </c>
      <c r="Q62" s="325">
        <v>0</v>
      </c>
      <c r="R62" s="325">
        <v>0</v>
      </c>
      <c r="S62" s="325">
        <v>0</v>
      </c>
      <c r="T62" s="325">
        <v>0</v>
      </c>
      <c r="U62" s="325">
        <v>0</v>
      </c>
      <c r="V62" s="325">
        <v>0</v>
      </c>
      <c r="W62" s="325">
        <v>0</v>
      </c>
      <c r="X62" s="325">
        <v>0</v>
      </c>
      <c r="Y62" s="325">
        <v>0</v>
      </c>
      <c r="Z62" s="325">
        <v>50000</v>
      </c>
      <c r="AA62" s="325">
        <v>0</v>
      </c>
      <c r="AB62" s="327">
        <v>2020</v>
      </c>
      <c r="AD62" s="4" t="e">
        <v>#N/A</v>
      </c>
    </row>
    <row r="63" spans="1:30" s="4" customFormat="1" ht="35.25" customHeight="1" x14ac:dyDescent="0.5">
      <c r="A63" s="4">
        <v>1</v>
      </c>
      <c r="B63" s="171">
        <f>SUBTOTAL(103,$A$8:A63)</f>
        <v>54</v>
      </c>
      <c r="C63" s="323" t="s">
        <v>1763</v>
      </c>
      <c r="D63" s="324">
        <f t="shared" si="4"/>
        <v>1164297</v>
      </c>
      <c r="E63" s="325">
        <v>0</v>
      </c>
      <c r="F63" s="325">
        <v>0</v>
      </c>
      <c r="G63" s="325">
        <v>0</v>
      </c>
      <c r="H63" s="325">
        <v>0</v>
      </c>
      <c r="I63" s="325">
        <v>0</v>
      </c>
      <c r="J63" s="325">
        <v>0</v>
      </c>
      <c r="K63" s="326">
        <v>0</v>
      </c>
      <c r="L63" s="325">
        <v>0</v>
      </c>
      <c r="M63" s="325">
        <v>1164297</v>
      </c>
      <c r="N63" s="325">
        <v>0</v>
      </c>
      <c r="O63" s="325">
        <v>0</v>
      </c>
      <c r="P63" s="325">
        <v>0</v>
      </c>
      <c r="Q63" s="325">
        <v>0</v>
      </c>
      <c r="R63" s="325">
        <v>0</v>
      </c>
      <c r="S63" s="325">
        <v>0</v>
      </c>
      <c r="T63" s="325">
        <v>0</v>
      </c>
      <c r="U63" s="325">
        <v>0</v>
      </c>
      <c r="V63" s="325">
        <v>0</v>
      </c>
      <c r="W63" s="325">
        <v>0</v>
      </c>
      <c r="X63" s="325">
        <v>0</v>
      </c>
      <c r="Y63" s="325">
        <v>0</v>
      </c>
      <c r="Z63" s="325">
        <v>0</v>
      </c>
      <c r="AA63" s="325">
        <v>0</v>
      </c>
      <c r="AB63" s="327">
        <v>2020</v>
      </c>
      <c r="AD63" s="4" t="e">
        <v>#N/A</v>
      </c>
    </row>
    <row r="64" spans="1:30" s="4" customFormat="1" ht="35.25" customHeight="1" x14ac:dyDescent="0.5">
      <c r="A64" s="4">
        <v>1</v>
      </c>
      <c r="B64" s="171">
        <f>SUBTOTAL(103,$A$8:A64)</f>
        <v>55</v>
      </c>
      <c r="C64" s="323" t="s">
        <v>1764</v>
      </c>
      <c r="D64" s="324">
        <f t="shared" si="4"/>
        <v>2377591.96</v>
      </c>
      <c r="E64" s="325">
        <v>877591.96</v>
      </c>
      <c r="F64" s="325">
        <v>1500000</v>
      </c>
      <c r="G64" s="325">
        <v>0</v>
      </c>
      <c r="H64" s="325">
        <v>0</v>
      </c>
      <c r="I64" s="325">
        <v>0</v>
      </c>
      <c r="J64" s="325">
        <v>0</v>
      </c>
      <c r="K64" s="326">
        <v>0</v>
      </c>
      <c r="L64" s="325">
        <v>0</v>
      </c>
      <c r="M64" s="325">
        <v>0</v>
      </c>
      <c r="N64" s="325">
        <v>0</v>
      </c>
      <c r="O64" s="325">
        <v>0</v>
      </c>
      <c r="P64" s="325">
        <v>0</v>
      </c>
      <c r="Q64" s="325">
        <v>0</v>
      </c>
      <c r="R64" s="325">
        <v>0</v>
      </c>
      <c r="S64" s="325">
        <v>0</v>
      </c>
      <c r="T64" s="325">
        <v>0</v>
      </c>
      <c r="U64" s="325">
        <v>0</v>
      </c>
      <c r="V64" s="325">
        <v>0</v>
      </c>
      <c r="W64" s="325">
        <v>0</v>
      </c>
      <c r="X64" s="325">
        <v>0</v>
      </c>
      <c r="Y64" s="325">
        <v>0</v>
      </c>
      <c r="Z64" s="325">
        <v>0</v>
      </c>
      <c r="AA64" s="325">
        <v>0</v>
      </c>
      <c r="AB64" s="327">
        <v>2020</v>
      </c>
      <c r="AD64" s="4">
        <v>0</v>
      </c>
    </row>
    <row r="65" spans="1:30" s="4" customFormat="1" ht="35.25" customHeight="1" x14ac:dyDescent="0.5">
      <c r="A65" s="4">
        <v>1</v>
      </c>
      <c r="B65" s="171">
        <f>SUBTOTAL(103,$A$8:A65)</f>
        <v>56</v>
      </c>
      <c r="C65" s="323" t="s">
        <v>1765</v>
      </c>
      <c r="D65" s="324">
        <f t="shared" si="4"/>
        <v>659346.14</v>
      </c>
      <c r="E65" s="325">
        <v>0</v>
      </c>
      <c r="F65" s="325">
        <v>659346.14</v>
      </c>
      <c r="G65" s="325">
        <v>0</v>
      </c>
      <c r="H65" s="325">
        <v>0</v>
      </c>
      <c r="I65" s="325">
        <v>0</v>
      </c>
      <c r="J65" s="325">
        <v>0</v>
      </c>
      <c r="K65" s="326">
        <v>0</v>
      </c>
      <c r="L65" s="325">
        <v>0</v>
      </c>
      <c r="M65" s="325">
        <v>0</v>
      </c>
      <c r="N65" s="325">
        <v>0</v>
      </c>
      <c r="O65" s="325">
        <v>0</v>
      </c>
      <c r="P65" s="325">
        <v>0</v>
      </c>
      <c r="Q65" s="325">
        <v>0</v>
      </c>
      <c r="R65" s="325">
        <v>0</v>
      </c>
      <c r="S65" s="325">
        <v>0</v>
      </c>
      <c r="T65" s="325">
        <v>0</v>
      </c>
      <c r="U65" s="325">
        <v>0</v>
      </c>
      <c r="V65" s="325">
        <v>0</v>
      </c>
      <c r="W65" s="325">
        <v>0</v>
      </c>
      <c r="X65" s="325">
        <v>0</v>
      </c>
      <c r="Y65" s="325">
        <v>0</v>
      </c>
      <c r="Z65" s="325">
        <v>0</v>
      </c>
      <c r="AA65" s="325">
        <v>0</v>
      </c>
      <c r="AB65" s="327">
        <v>2020</v>
      </c>
      <c r="AD65" s="4" t="e">
        <v>#N/A</v>
      </c>
    </row>
    <row r="66" spans="1:30" s="4" customFormat="1" ht="35.25" customHeight="1" x14ac:dyDescent="0.5">
      <c r="A66" s="4">
        <v>1</v>
      </c>
      <c r="B66" s="171">
        <f>SUBTOTAL(103,$A$8:A66)</f>
        <v>57</v>
      </c>
      <c r="C66" s="323" t="s">
        <v>1766</v>
      </c>
      <c r="D66" s="324">
        <f t="shared" si="4"/>
        <v>441089</v>
      </c>
      <c r="E66" s="325">
        <v>0</v>
      </c>
      <c r="F66" s="325">
        <v>441089</v>
      </c>
      <c r="G66" s="325">
        <v>0</v>
      </c>
      <c r="H66" s="325">
        <v>0</v>
      </c>
      <c r="I66" s="325">
        <v>0</v>
      </c>
      <c r="J66" s="325">
        <v>0</v>
      </c>
      <c r="K66" s="326">
        <v>0</v>
      </c>
      <c r="L66" s="325">
        <v>0</v>
      </c>
      <c r="M66" s="325">
        <v>0</v>
      </c>
      <c r="N66" s="325">
        <v>0</v>
      </c>
      <c r="O66" s="325">
        <v>0</v>
      </c>
      <c r="P66" s="325">
        <v>0</v>
      </c>
      <c r="Q66" s="325">
        <v>0</v>
      </c>
      <c r="R66" s="325">
        <v>0</v>
      </c>
      <c r="S66" s="325">
        <v>0</v>
      </c>
      <c r="T66" s="325">
        <v>0</v>
      </c>
      <c r="U66" s="325">
        <v>0</v>
      </c>
      <c r="V66" s="325">
        <v>0</v>
      </c>
      <c r="W66" s="325">
        <v>0</v>
      </c>
      <c r="X66" s="325">
        <v>0</v>
      </c>
      <c r="Y66" s="325">
        <v>0</v>
      </c>
      <c r="Z66" s="325">
        <v>0</v>
      </c>
      <c r="AA66" s="325">
        <v>0</v>
      </c>
      <c r="AB66" s="327">
        <v>2020</v>
      </c>
      <c r="AD66" s="4" t="e">
        <v>#N/A</v>
      </c>
    </row>
    <row r="67" spans="1:30" s="4" customFormat="1" ht="35.25" customHeight="1" x14ac:dyDescent="0.5">
      <c r="A67" s="4">
        <v>1</v>
      </c>
      <c r="B67" s="171">
        <f>SUBTOTAL(103,$A$8:A67)</f>
        <v>58</v>
      </c>
      <c r="C67" s="323" t="s">
        <v>1767</v>
      </c>
      <c r="D67" s="324">
        <f t="shared" si="4"/>
        <v>190756</v>
      </c>
      <c r="E67" s="325">
        <v>0</v>
      </c>
      <c r="F67" s="325">
        <v>0</v>
      </c>
      <c r="G67" s="325">
        <v>0</v>
      </c>
      <c r="H67" s="325">
        <v>0</v>
      </c>
      <c r="I67" s="325">
        <v>0</v>
      </c>
      <c r="J67" s="325">
        <v>0</v>
      </c>
      <c r="K67" s="326">
        <v>1</v>
      </c>
      <c r="L67" s="325">
        <v>190756</v>
      </c>
      <c r="M67" s="325">
        <v>0</v>
      </c>
      <c r="N67" s="325">
        <v>0</v>
      </c>
      <c r="O67" s="325">
        <v>0</v>
      </c>
      <c r="P67" s="325">
        <v>0</v>
      </c>
      <c r="Q67" s="325">
        <v>0</v>
      </c>
      <c r="R67" s="325">
        <v>0</v>
      </c>
      <c r="S67" s="325">
        <v>0</v>
      </c>
      <c r="T67" s="325">
        <v>0</v>
      </c>
      <c r="U67" s="325">
        <v>0</v>
      </c>
      <c r="V67" s="325">
        <v>0</v>
      </c>
      <c r="W67" s="325">
        <v>0</v>
      </c>
      <c r="X67" s="325">
        <v>0</v>
      </c>
      <c r="Y67" s="325">
        <v>0</v>
      </c>
      <c r="Z67" s="325">
        <v>0</v>
      </c>
      <c r="AA67" s="325">
        <v>0</v>
      </c>
      <c r="AB67" s="327">
        <v>2020</v>
      </c>
      <c r="AD67" s="4" t="e">
        <v>#N/A</v>
      </c>
    </row>
    <row r="68" spans="1:30" s="4" customFormat="1" ht="35.25" customHeight="1" x14ac:dyDescent="0.5">
      <c r="A68" s="4">
        <v>1</v>
      </c>
      <c r="B68" s="171">
        <f>SUBTOTAL(103,$A$8:A68)</f>
        <v>59</v>
      </c>
      <c r="C68" s="323" t="s">
        <v>1768</v>
      </c>
      <c r="D68" s="324">
        <f t="shared" si="4"/>
        <v>141772</v>
      </c>
      <c r="E68" s="325">
        <v>0</v>
      </c>
      <c r="F68" s="325">
        <v>0</v>
      </c>
      <c r="G68" s="325">
        <v>0</v>
      </c>
      <c r="H68" s="325">
        <v>0</v>
      </c>
      <c r="I68" s="325">
        <v>0</v>
      </c>
      <c r="J68" s="325">
        <v>0</v>
      </c>
      <c r="K68" s="326">
        <v>0</v>
      </c>
      <c r="L68" s="325">
        <v>0</v>
      </c>
      <c r="M68" s="325">
        <v>0</v>
      </c>
      <c r="N68" s="325">
        <v>0</v>
      </c>
      <c r="O68" s="325">
        <v>141772</v>
      </c>
      <c r="P68" s="325">
        <v>0</v>
      </c>
      <c r="Q68" s="325">
        <v>0</v>
      </c>
      <c r="R68" s="325">
        <v>0</v>
      </c>
      <c r="S68" s="325">
        <v>0</v>
      </c>
      <c r="T68" s="325">
        <v>0</v>
      </c>
      <c r="U68" s="325">
        <v>0</v>
      </c>
      <c r="V68" s="325">
        <v>0</v>
      </c>
      <c r="W68" s="325">
        <v>0</v>
      </c>
      <c r="X68" s="325">
        <v>0</v>
      </c>
      <c r="Y68" s="325">
        <v>0</v>
      </c>
      <c r="Z68" s="325">
        <v>0</v>
      </c>
      <c r="AA68" s="325">
        <v>0</v>
      </c>
      <c r="AB68" s="327">
        <v>2020</v>
      </c>
      <c r="AD68" s="4" t="e">
        <v>#N/A</v>
      </c>
    </row>
    <row r="69" spans="1:30" s="4" customFormat="1" ht="35.25" customHeight="1" x14ac:dyDescent="0.5">
      <c r="A69" s="4">
        <v>1</v>
      </c>
      <c r="B69" s="171">
        <f>SUBTOTAL(103,$A$8:A69)</f>
        <v>60</v>
      </c>
      <c r="C69" s="323" t="s">
        <v>1769</v>
      </c>
      <c r="D69" s="324">
        <f t="shared" si="4"/>
        <v>32843</v>
      </c>
      <c r="E69" s="325">
        <v>0</v>
      </c>
      <c r="F69" s="325">
        <v>0</v>
      </c>
      <c r="G69" s="325">
        <v>0</v>
      </c>
      <c r="H69" s="325">
        <v>0</v>
      </c>
      <c r="I69" s="325">
        <v>0</v>
      </c>
      <c r="J69" s="325">
        <v>0</v>
      </c>
      <c r="K69" s="326">
        <v>0</v>
      </c>
      <c r="L69" s="325">
        <v>0</v>
      </c>
      <c r="M69" s="325">
        <v>0</v>
      </c>
      <c r="N69" s="325">
        <v>32843</v>
      </c>
      <c r="O69" s="325">
        <v>0</v>
      </c>
      <c r="P69" s="325">
        <v>0</v>
      </c>
      <c r="Q69" s="325">
        <v>0</v>
      </c>
      <c r="R69" s="325">
        <v>0</v>
      </c>
      <c r="S69" s="325">
        <v>0</v>
      </c>
      <c r="T69" s="325">
        <v>0</v>
      </c>
      <c r="U69" s="325">
        <v>0</v>
      </c>
      <c r="V69" s="325">
        <v>0</v>
      </c>
      <c r="W69" s="325">
        <v>0</v>
      </c>
      <c r="X69" s="325">
        <v>0</v>
      </c>
      <c r="Y69" s="325">
        <v>0</v>
      </c>
      <c r="Z69" s="325">
        <v>0</v>
      </c>
      <c r="AA69" s="325">
        <v>0</v>
      </c>
      <c r="AB69" s="327">
        <v>2020</v>
      </c>
      <c r="AD69" s="4" t="e">
        <v>#N/A</v>
      </c>
    </row>
    <row r="70" spans="1:30" s="4" customFormat="1" ht="35.25" customHeight="1" x14ac:dyDescent="0.5">
      <c r="A70" s="4">
        <v>1</v>
      </c>
      <c r="B70" s="171">
        <f>SUBTOTAL(103,$A$8:A70)</f>
        <v>61</v>
      </c>
      <c r="C70" s="323" t="s">
        <v>1770</v>
      </c>
      <c r="D70" s="324">
        <f t="shared" si="4"/>
        <v>69666</v>
      </c>
      <c r="E70" s="325">
        <v>0</v>
      </c>
      <c r="F70" s="325">
        <v>0</v>
      </c>
      <c r="G70" s="325">
        <v>0</v>
      </c>
      <c r="H70" s="325">
        <v>0</v>
      </c>
      <c r="I70" s="325">
        <v>0</v>
      </c>
      <c r="J70" s="325">
        <v>0</v>
      </c>
      <c r="K70" s="326">
        <v>0</v>
      </c>
      <c r="L70" s="325">
        <v>0</v>
      </c>
      <c r="M70" s="325">
        <v>0</v>
      </c>
      <c r="N70" s="325">
        <v>69666</v>
      </c>
      <c r="O70" s="325">
        <v>0</v>
      </c>
      <c r="P70" s="325">
        <v>0</v>
      </c>
      <c r="Q70" s="325">
        <v>0</v>
      </c>
      <c r="R70" s="325">
        <v>0</v>
      </c>
      <c r="S70" s="325">
        <v>0</v>
      </c>
      <c r="T70" s="325">
        <v>0</v>
      </c>
      <c r="U70" s="325">
        <v>0</v>
      </c>
      <c r="V70" s="325">
        <v>0</v>
      </c>
      <c r="W70" s="325">
        <v>0</v>
      </c>
      <c r="X70" s="325">
        <v>0</v>
      </c>
      <c r="Y70" s="325">
        <v>0</v>
      </c>
      <c r="Z70" s="325">
        <v>0</v>
      </c>
      <c r="AA70" s="325">
        <v>0</v>
      </c>
      <c r="AB70" s="327">
        <v>2020</v>
      </c>
      <c r="AD70" s="4" t="e">
        <v>#N/A</v>
      </c>
    </row>
    <row r="71" spans="1:30" s="4" customFormat="1" ht="35.25" customHeight="1" x14ac:dyDescent="0.5">
      <c r="A71" s="4">
        <v>1</v>
      </c>
      <c r="B71" s="171">
        <f>SUBTOTAL(103,$A$8:A71)</f>
        <v>62</v>
      </c>
      <c r="C71" s="323" t="s">
        <v>1771</v>
      </c>
      <c r="D71" s="324">
        <f t="shared" si="4"/>
        <v>452575.38</v>
      </c>
      <c r="E71" s="325">
        <v>222826.38</v>
      </c>
      <c r="F71" s="325">
        <v>0</v>
      </c>
      <c r="G71" s="325">
        <v>0</v>
      </c>
      <c r="H71" s="325">
        <v>0</v>
      </c>
      <c r="I71" s="325">
        <v>0</v>
      </c>
      <c r="J71" s="325">
        <v>0</v>
      </c>
      <c r="K71" s="326">
        <v>0</v>
      </c>
      <c r="L71" s="325">
        <v>0</v>
      </c>
      <c r="M71" s="325">
        <v>0</v>
      </c>
      <c r="N71" s="325">
        <v>152567</v>
      </c>
      <c r="O71" s="325">
        <v>77182</v>
      </c>
      <c r="P71" s="325">
        <v>0</v>
      </c>
      <c r="Q71" s="325">
        <v>0</v>
      </c>
      <c r="R71" s="325">
        <v>0</v>
      </c>
      <c r="S71" s="325">
        <v>0</v>
      </c>
      <c r="T71" s="325">
        <v>0</v>
      </c>
      <c r="U71" s="325">
        <v>0</v>
      </c>
      <c r="V71" s="325">
        <v>0</v>
      </c>
      <c r="W71" s="325">
        <v>0</v>
      </c>
      <c r="X71" s="325">
        <v>0</v>
      </c>
      <c r="Y71" s="325">
        <v>0</v>
      </c>
      <c r="Z71" s="325">
        <v>0</v>
      </c>
      <c r="AA71" s="325">
        <v>0</v>
      </c>
      <c r="AB71" s="327">
        <v>2020</v>
      </c>
      <c r="AD71" s="4" t="e">
        <v>#N/A</v>
      </c>
    </row>
    <row r="72" spans="1:30" s="4" customFormat="1" ht="35.25" customHeight="1" x14ac:dyDescent="0.5">
      <c r="A72" s="4">
        <v>1</v>
      </c>
      <c r="B72" s="171">
        <f>SUBTOTAL(103,$A$8:A72)</f>
        <v>63</v>
      </c>
      <c r="C72" s="323" t="s">
        <v>1772</v>
      </c>
      <c r="D72" s="324">
        <f t="shared" si="4"/>
        <v>1654683.92</v>
      </c>
      <c r="E72" s="325">
        <v>0</v>
      </c>
      <c r="F72" s="325">
        <v>0</v>
      </c>
      <c r="G72" s="325">
        <v>0</v>
      </c>
      <c r="H72" s="325">
        <v>0</v>
      </c>
      <c r="I72" s="325">
        <v>0</v>
      </c>
      <c r="J72" s="325">
        <v>0</v>
      </c>
      <c r="K72" s="326">
        <v>0</v>
      </c>
      <c r="L72" s="325">
        <v>0</v>
      </c>
      <c r="M72" s="325">
        <v>1624695.92</v>
      </c>
      <c r="N72" s="325">
        <v>29988</v>
      </c>
      <c r="O72" s="325">
        <v>0</v>
      </c>
      <c r="P72" s="325">
        <v>0</v>
      </c>
      <c r="Q72" s="325">
        <v>0</v>
      </c>
      <c r="R72" s="325">
        <v>0</v>
      </c>
      <c r="S72" s="325">
        <v>0</v>
      </c>
      <c r="T72" s="325">
        <v>0</v>
      </c>
      <c r="U72" s="325">
        <v>0</v>
      </c>
      <c r="V72" s="325">
        <v>0</v>
      </c>
      <c r="W72" s="325">
        <v>0</v>
      </c>
      <c r="X72" s="325">
        <v>0</v>
      </c>
      <c r="Y72" s="325">
        <v>0</v>
      </c>
      <c r="Z72" s="325">
        <v>0</v>
      </c>
      <c r="AA72" s="325">
        <v>0</v>
      </c>
      <c r="AB72" s="327">
        <v>2020</v>
      </c>
      <c r="AD72" s="4" t="e">
        <v>#N/A</v>
      </c>
    </row>
    <row r="73" spans="1:30" s="4" customFormat="1" ht="35.25" customHeight="1" x14ac:dyDescent="0.5">
      <c r="A73" s="4">
        <v>1</v>
      </c>
      <c r="B73" s="171">
        <f>SUBTOTAL(103,$A$8:A73)</f>
        <v>64</v>
      </c>
      <c r="C73" s="323" t="s">
        <v>1773</v>
      </c>
      <c r="D73" s="324">
        <f t="shared" si="4"/>
        <v>131422</v>
      </c>
      <c r="E73" s="325">
        <v>0</v>
      </c>
      <c r="F73" s="325">
        <v>0</v>
      </c>
      <c r="G73" s="325">
        <v>0</v>
      </c>
      <c r="H73" s="325">
        <v>0</v>
      </c>
      <c r="I73" s="325">
        <v>0</v>
      </c>
      <c r="J73" s="325">
        <v>0</v>
      </c>
      <c r="K73" s="326">
        <v>0</v>
      </c>
      <c r="L73" s="325">
        <v>0</v>
      </c>
      <c r="M73" s="325">
        <v>0</v>
      </c>
      <c r="N73" s="325">
        <v>0</v>
      </c>
      <c r="O73" s="325">
        <v>131422</v>
      </c>
      <c r="P73" s="325">
        <v>0</v>
      </c>
      <c r="Q73" s="325">
        <v>0</v>
      </c>
      <c r="R73" s="325">
        <v>0</v>
      </c>
      <c r="S73" s="325">
        <v>0</v>
      </c>
      <c r="T73" s="325">
        <v>0</v>
      </c>
      <c r="U73" s="325">
        <v>0</v>
      </c>
      <c r="V73" s="325">
        <v>0</v>
      </c>
      <c r="W73" s="325">
        <v>0</v>
      </c>
      <c r="X73" s="325">
        <v>0</v>
      </c>
      <c r="Y73" s="325">
        <v>0</v>
      </c>
      <c r="Z73" s="325">
        <v>0</v>
      </c>
      <c r="AA73" s="325">
        <v>0</v>
      </c>
      <c r="AB73" s="327">
        <v>2020</v>
      </c>
      <c r="AD73" s="4" t="e">
        <v>#N/A</v>
      </c>
    </row>
    <row r="74" spans="1:30" s="4" customFormat="1" ht="35.25" customHeight="1" x14ac:dyDescent="0.5">
      <c r="A74" s="4">
        <v>1</v>
      </c>
      <c r="B74" s="171">
        <f>SUBTOTAL(103,$A$8:A74)</f>
        <v>65</v>
      </c>
      <c r="C74" s="323" t="s">
        <v>1774</v>
      </c>
      <c r="D74" s="324">
        <f t="shared" si="4"/>
        <v>232205.73</v>
      </c>
      <c r="E74" s="325">
        <v>0</v>
      </c>
      <c r="F74" s="325">
        <v>0</v>
      </c>
      <c r="G74" s="325">
        <v>0</v>
      </c>
      <c r="H74" s="325">
        <v>0</v>
      </c>
      <c r="I74" s="325">
        <v>0</v>
      </c>
      <c r="J74" s="325">
        <v>0</v>
      </c>
      <c r="K74" s="326">
        <v>0</v>
      </c>
      <c r="L74" s="325">
        <v>0</v>
      </c>
      <c r="M74" s="325">
        <v>0</v>
      </c>
      <c r="N74" s="325">
        <v>0</v>
      </c>
      <c r="O74" s="325">
        <v>232205.73</v>
      </c>
      <c r="P74" s="325">
        <v>0</v>
      </c>
      <c r="Q74" s="325">
        <v>0</v>
      </c>
      <c r="R74" s="325">
        <v>0</v>
      </c>
      <c r="S74" s="325">
        <v>0</v>
      </c>
      <c r="T74" s="325">
        <v>0</v>
      </c>
      <c r="U74" s="325">
        <v>0</v>
      </c>
      <c r="V74" s="325">
        <v>0</v>
      </c>
      <c r="W74" s="325">
        <v>0</v>
      </c>
      <c r="X74" s="325">
        <v>0</v>
      </c>
      <c r="Y74" s="325">
        <v>0</v>
      </c>
      <c r="Z74" s="325">
        <v>0</v>
      </c>
      <c r="AA74" s="325">
        <v>0</v>
      </c>
      <c r="AB74" s="327">
        <v>2020</v>
      </c>
      <c r="AD74" s="4" t="e">
        <v>#N/A</v>
      </c>
    </row>
    <row r="75" spans="1:30" s="4" customFormat="1" ht="35.25" customHeight="1" x14ac:dyDescent="0.5">
      <c r="A75" s="4">
        <v>1</v>
      </c>
      <c r="B75" s="171">
        <f>SUBTOTAL(103,$A$8:A75)</f>
        <v>66</v>
      </c>
      <c r="C75" s="323" t="s">
        <v>1775</v>
      </c>
      <c r="D75" s="324">
        <f t="shared" si="4"/>
        <v>664946.64</v>
      </c>
      <c r="E75" s="325">
        <v>281247.58</v>
      </c>
      <c r="F75" s="325">
        <v>383699.06</v>
      </c>
      <c r="G75" s="325">
        <v>0</v>
      </c>
      <c r="H75" s="325">
        <v>0</v>
      </c>
      <c r="I75" s="325">
        <v>0</v>
      </c>
      <c r="J75" s="325">
        <v>0</v>
      </c>
      <c r="K75" s="326">
        <v>0</v>
      </c>
      <c r="L75" s="325">
        <v>0</v>
      </c>
      <c r="M75" s="325">
        <v>0</v>
      </c>
      <c r="N75" s="325">
        <v>0</v>
      </c>
      <c r="O75" s="325">
        <v>0</v>
      </c>
      <c r="P75" s="325">
        <v>0</v>
      </c>
      <c r="Q75" s="325">
        <v>0</v>
      </c>
      <c r="R75" s="325">
        <v>0</v>
      </c>
      <c r="S75" s="325">
        <v>0</v>
      </c>
      <c r="T75" s="325">
        <v>0</v>
      </c>
      <c r="U75" s="325">
        <v>0</v>
      </c>
      <c r="V75" s="325">
        <v>0</v>
      </c>
      <c r="W75" s="325">
        <v>0</v>
      </c>
      <c r="X75" s="325">
        <v>0</v>
      </c>
      <c r="Y75" s="325">
        <v>0</v>
      </c>
      <c r="Z75" s="325">
        <v>0</v>
      </c>
      <c r="AA75" s="325">
        <v>0</v>
      </c>
      <c r="AB75" s="327">
        <v>2020</v>
      </c>
      <c r="AD75" s="4" t="e">
        <v>#N/A</v>
      </c>
    </row>
    <row r="76" spans="1:30" s="4" customFormat="1" ht="35.25" customHeight="1" x14ac:dyDescent="0.5">
      <c r="A76" s="4">
        <v>1</v>
      </c>
      <c r="B76" s="171">
        <f>SUBTOTAL(103,$A$8:A76)</f>
        <v>67</v>
      </c>
      <c r="C76" s="323" t="s">
        <v>1776</v>
      </c>
      <c r="D76" s="324">
        <f t="shared" si="4"/>
        <v>967198</v>
      </c>
      <c r="E76" s="325">
        <v>0</v>
      </c>
      <c r="F76" s="325">
        <v>0</v>
      </c>
      <c r="G76" s="325">
        <v>0</v>
      </c>
      <c r="H76" s="325">
        <v>0</v>
      </c>
      <c r="I76" s="325">
        <v>0</v>
      </c>
      <c r="J76" s="325">
        <v>0</v>
      </c>
      <c r="K76" s="326">
        <v>0</v>
      </c>
      <c r="L76" s="325">
        <v>0</v>
      </c>
      <c r="M76" s="325">
        <v>967198</v>
      </c>
      <c r="N76" s="325">
        <v>0</v>
      </c>
      <c r="O76" s="325">
        <v>0</v>
      </c>
      <c r="P76" s="325">
        <v>0</v>
      </c>
      <c r="Q76" s="325">
        <v>0</v>
      </c>
      <c r="R76" s="325">
        <v>0</v>
      </c>
      <c r="S76" s="325">
        <v>0</v>
      </c>
      <c r="T76" s="325">
        <v>0</v>
      </c>
      <c r="U76" s="325">
        <v>0</v>
      </c>
      <c r="V76" s="325">
        <v>0</v>
      </c>
      <c r="W76" s="325">
        <v>0</v>
      </c>
      <c r="X76" s="325">
        <v>0</v>
      </c>
      <c r="Y76" s="325">
        <v>0</v>
      </c>
      <c r="Z76" s="325">
        <v>0</v>
      </c>
      <c r="AA76" s="325">
        <v>0</v>
      </c>
      <c r="AB76" s="327">
        <v>2020</v>
      </c>
      <c r="AD76" s="4" t="e">
        <v>#N/A</v>
      </c>
    </row>
    <row r="77" spans="1:30" s="4" customFormat="1" ht="35.25" customHeight="1" x14ac:dyDescent="0.5">
      <c r="A77" s="4">
        <v>1</v>
      </c>
      <c r="B77" s="171">
        <f>SUBTOTAL(103,$A$8:A77)</f>
        <v>68</v>
      </c>
      <c r="C77" s="323" t="s">
        <v>1777</v>
      </c>
      <c r="D77" s="324">
        <f t="shared" si="4"/>
        <v>1503268</v>
      </c>
      <c r="E77" s="325">
        <v>0</v>
      </c>
      <c r="F77" s="325">
        <v>0</v>
      </c>
      <c r="G77" s="325">
        <v>0</v>
      </c>
      <c r="H77" s="325">
        <v>0</v>
      </c>
      <c r="I77" s="325">
        <v>0</v>
      </c>
      <c r="J77" s="325">
        <v>0</v>
      </c>
      <c r="K77" s="326">
        <v>0</v>
      </c>
      <c r="L77" s="325">
        <v>0</v>
      </c>
      <c r="M77" s="325">
        <v>1503268</v>
      </c>
      <c r="N77" s="325">
        <v>0</v>
      </c>
      <c r="O77" s="325">
        <v>0</v>
      </c>
      <c r="P77" s="325">
        <v>0</v>
      </c>
      <c r="Q77" s="325">
        <v>0</v>
      </c>
      <c r="R77" s="325">
        <v>0</v>
      </c>
      <c r="S77" s="325">
        <v>0</v>
      </c>
      <c r="T77" s="325">
        <v>0</v>
      </c>
      <c r="U77" s="325">
        <v>0</v>
      </c>
      <c r="V77" s="325">
        <v>0</v>
      </c>
      <c r="W77" s="325">
        <v>0</v>
      </c>
      <c r="X77" s="325">
        <v>0</v>
      </c>
      <c r="Y77" s="325">
        <v>0</v>
      </c>
      <c r="Z77" s="325">
        <v>0</v>
      </c>
      <c r="AA77" s="325">
        <v>0</v>
      </c>
      <c r="AB77" s="327">
        <v>2020</v>
      </c>
      <c r="AD77" s="4" t="e">
        <v>#N/A</v>
      </c>
    </row>
    <row r="78" spans="1:30" s="4" customFormat="1" ht="35.25" customHeight="1" x14ac:dyDescent="0.5">
      <c r="A78" s="4">
        <v>1</v>
      </c>
      <c r="B78" s="171">
        <f>SUBTOTAL(103,$A$8:A78)</f>
        <v>69</v>
      </c>
      <c r="C78" s="323" t="s">
        <v>1778</v>
      </c>
      <c r="D78" s="324">
        <f t="shared" si="4"/>
        <v>493206.56</v>
      </c>
      <c r="E78" s="325">
        <v>0</v>
      </c>
      <c r="F78" s="325">
        <v>0</v>
      </c>
      <c r="G78" s="325">
        <v>493206.56</v>
      </c>
      <c r="H78" s="325">
        <v>0</v>
      </c>
      <c r="I78" s="325">
        <v>0</v>
      </c>
      <c r="J78" s="325">
        <v>0</v>
      </c>
      <c r="K78" s="326">
        <v>0</v>
      </c>
      <c r="L78" s="325">
        <v>0</v>
      </c>
      <c r="M78" s="325">
        <v>0</v>
      </c>
      <c r="N78" s="325">
        <v>0</v>
      </c>
      <c r="O78" s="325">
        <v>0</v>
      </c>
      <c r="P78" s="325">
        <v>0</v>
      </c>
      <c r="Q78" s="325">
        <v>0</v>
      </c>
      <c r="R78" s="325">
        <v>0</v>
      </c>
      <c r="S78" s="325">
        <v>0</v>
      </c>
      <c r="T78" s="325">
        <v>0</v>
      </c>
      <c r="U78" s="325">
        <v>0</v>
      </c>
      <c r="V78" s="325">
        <v>0</v>
      </c>
      <c r="W78" s="325">
        <v>0</v>
      </c>
      <c r="X78" s="325">
        <v>0</v>
      </c>
      <c r="Y78" s="325">
        <v>0</v>
      </c>
      <c r="Z78" s="325">
        <v>0</v>
      </c>
      <c r="AA78" s="325">
        <v>0</v>
      </c>
      <c r="AB78" s="327">
        <v>2020</v>
      </c>
      <c r="AD78" s="4">
        <v>0</v>
      </c>
    </row>
    <row r="79" spans="1:30" s="4" customFormat="1" ht="35.25" customHeight="1" x14ac:dyDescent="0.5">
      <c r="A79" s="4">
        <v>1</v>
      </c>
      <c r="B79" s="171">
        <f>SUBTOTAL(103,$A$8:A79)</f>
        <v>70</v>
      </c>
      <c r="C79" s="323" t="s">
        <v>1779</v>
      </c>
      <c r="D79" s="324">
        <f t="shared" si="4"/>
        <v>1822887.23</v>
      </c>
      <c r="E79" s="325">
        <v>0</v>
      </c>
      <c r="F79" s="325">
        <v>1137641</v>
      </c>
      <c r="G79" s="325">
        <v>0</v>
      </c>
      <c r="H79" s="325">
        <v>0</v>
      </c>
      <c r="I79" s="325">
        <v>0</v>
      </c>
      <c r="J79" s="325">
        <v>0</v>
      </c>
      <c r="K79" s="326">
        <v>0</v>
      </c>
      <c r="L79" s="325">
        <v>0</v>
      </c>
      <c r="M79" s="325">
        <v>0</v>
      </c>
      <c r="N79" s="325">
        <v>0</v>
      </c>
      <c r="O79" s="325">
        <f>265246.23+420000</f>
        <v>685246.23</v>
      </c>
      <c r="P79" s="325">
        <v>0</v>
      </c>
      <c r="Q79" s="325">
        <v>0</v>
      </c>
      <c r="R79" s="325">
        <v>0</v>
      </c>
      <c r="S79" s="325">
        <v>0</v>
      </c>
      <c r="T79" s="325">
        <v>0</v>
      </c>
      <c r="U79" s="325">
        <v>0</v>
      </c>
      <c r="V79" s="325">
        <v>0</v>
      </c>
      <c r="W79" s="325">
        <v>0</v>
      </c>
      <c r="X79" s="325">
        <v>0</v>
      </c>
      <c r="Y79" s="325">
        <v>0</v>
      </c>
      <c r="Z79" s="325">
        <v>0</v>
      </c>
      <c r="AA79" s="325">
        <v>0</v>
      </c>
      <c r="AB79" s="327">
        <v>2020</v>
      </c>
      <c r="AD79" s="4">
        <v>0</v>
      </c>
    </row>
    <row r="80" spans="1:30" s="4" customFormat="1" ht="35.25" customHeight="1" x14ac:dyDescent="0.5">
      <c r="A80" s="4">
        <v>1</v>
      </c>
      <c r="B80" s="171">
        <f>SUBTOTAL(103,$A$8:A80)</f>
        <v>71</v>
      </c>
      <c r="C80" s="323" t="s">
        <v>1780</v>
      </c>
      <c r="D80" s="324">
        <f t="shared" si="4"/>
        <v>1312347.23</v>
      </c>
      <c r="E80" s="325">
        <v>0</v>
      </c>
      <c r="F80" s="325">
        <v>0</v>
      </c>
      <c r="G80" s="325">
        <v>0</v>
      </c>
      <c r="H80" s="325">
        <v>0</v>
      </c>
      <c r="I80" s="325">
        <v>0</v>
      </c>
      <c r="J80" s="325">
        <v>0</v>
      </c>
      <c r="K80" s="326">
        <v>0</v>
      </c>
      <c r="L80" s="325">
        <v>0</v>
      </c>
      <c r="M80" s="325">
        <v>1312347.23</v>
      </c>
      <c r="N80" s="325">
        <v>0</v>
      </c>
      <c r="O80" s="325">
        <v>0</v>
      </c>
      <c r="P80" s="325">
        <v>0</v>
      </c>
      <c r="Q80" s="325">
        <v>0</v>
      </c>
      <c r="R80" s="325">
        <v>0</v>
      </c>
      <c r="S80" s="325">
        <v>0</v>
      </c>
      <c r="T80" s="325">
        <v>0</v>
      </c>
      <c r="U80" s="325">
        <v>0</v>
      </c>
      <c r="V80" s="325">
        <v>0</v>
      </c>
      <c r="W80" s="325">
        <v>0</v>
      </c>
      <c r="X80" s="325">
        <v>0</v>
      </c>
      <c r="Y80" s="325">
        <v>0</v>
      </c>
      <c r="Z80" s="325">
        <v>0</v>
      </c>
      <c r="AA80" s="325">
        <v>0</v>
      </c>
      <c r="AB80" s="327">
        <v>2020</v>
      </c>
      <c r="AD80" s="4" t="e">
        <v>#N/A</v>
      </c>
    </row>
    <row r="81" spans="1:30" s="4" customFormat="1" ht="35.25" customHeight="1" x14ac:dyDescent="0.5">
      <c r="A81" s="4">
        <v>1</v>
      </c>
      <c r="B81" s="171">
        <f>SUBTOTAL(103,$A$8:A81)</f>
        <v>72</v>
      </c>
      <c r="C81" s="323" t="s">
        <v>1781</v>
      </c>
      <c r="D81" s="324">
        <f t="shared" si="4"/>
        <v>823785</v>
      </c>
      <c r="E81" s="325">
        <v>240259</v>
      </c>
      <c r="F81" s="325">
        <v>340000</v>
      </c>
      <c r="G81" s="325">
        <v>0</v>
      </c>
      <c r="H81" s="325">
        <v>243526</v>
      </c>
      <c r="I81" s="325">
        <v>0</v>
      </c>
      <c r="J81" s="325">
        <v>0</v>
      </c>
      <c r="K81" s="326">
        <v>0</v>
      </c>
      <c r="L81" s="325">
        <v>0</v>
      </c>
      <c r="M81" s="325">
        <v>0</v>
      </c>
      <c r="N81" s="325">
        <v>0</v>
      </c>
      <c r="O81" s="325">
        <v>0</v>
      </c>
      <c r="P81" s="325">
        <v>0</v>
      </c>
      <c r="Q81" s="325">
        <v>0</v>
      </c>
      <c r="R81" s="325">
        <v>0</v>
      </c>
      <c r="S81" s="325">
        <v>0</v>
      </c>
      <c r="T81" s="325">
        <v>0</v>
      </c>
      <c r="U81" s="325">
        <v>0</v>
      </c>
      <c r="V81" s="325">
        <v>0</v>
      </c>
      <c r="W81" s="325">
        <v>0</v>
      </c>
      <c r="X81" s="325">
        <v>0</v>
      </c>
      <c r="Y81" s="325">
        <v>0</v>
      </c>
      <c r="Z81" s="325">
        <v>0</v>
      </c>
      <c r="AA81" s="325">
        <v>0</v>
      </c>
      <c r="AB81" s="327">
        <v>2020</v>
      </c>
      <c r="AD81" s="4" t="e">
        <v>#N/A</v>
      </c>
    </row>
    <row r="82" spans="1:30" s="4" customFormat="1" ht="35.25" customHeight="1" x14ac:dyDescent="0.5">
      <c r="A82" s="4">
        <v>1</v>
      </c>
      <c r="B82" s="171">
        <f>SUBTOTAL(103,$A$8:A82)</f>
        <v>73</v>
      </c>
      <c r="C82" s="323" t="s">
        <v>1782</v>
      </c>
      <c r="D82" s="324">
        <f t="shared" si="4"/>
        <v>1088631</v>
      </c>
      <c r="E82" s="325">
        <v>403161</v>
      </c>
      <c r="F82" s="325">
        <v>685470</v>
      </c>
      <c r="G82" s="325">
        <v>0</v>
      </c>
      <c r="H82" s="325">
        <v>0</v>
      </c>
      <c r="I82" s="325">
        <v>0</v>
      </c>
      <c r="J82" s="325">
        <v>0</v>
      </c>
      <c r="K82" s="326">
        <v>0</v>
      </c>
      <c r="L82" s="325">
        <v>0</v>
      </c>
      <c r="M82" s="325">
        <v>0</v>
      </c>
      <c r="N82" s="325">
        <v>0</v>
      </c>
      <c r="O82" s="325">
        <v>0</v>
      </c>
      <c r="P82" s="325">
        <v>0</v>
      </c>
      <c r="Q82" s="325">
        <v>0</v>
      </c>
      <c r="R82" s="325">
        <v>0</v>
      </c>
      <c r="S82" s="325">
        <v>0</v>
      </c>
      <c r="T82" s="325">
        <v>0</v>
      </c>
      <c r="U82" s="325">
        <v>0</v>
      </c>
      <c r="V82" s="325">
        <v>0</v>
      </c>
      <c r="W82" s="325">
        <v>0</v>
      </c>
      <c r="X82" s="325">
        <v>0</v>
      </c>
      <c r="Y82" s="325">
        <v>0</v>
      </c>
      <c r="Z82" s="325">
        <v>0</v>
      </c>
      <c r="AA82" s="325">
        <v>0</v>
      </c>
      <c r="AB82" s="327">
        <v>2020</v>
      </c>
      <c r="AD82" s="4" t="e">
        <v>#N/A</v>
      </c>
    </row>
    <row r="83" spans="1:30" s="4" customFormat="1" ht="35.25" customHeight="1" x14ac:dyDescent="0.5">
      <c r="A83" s="4">
        <v>1</v>
      </c>
      <c r="B83" s="171">
        <f>SUBTOTAL(103,$A$8:A83)</f>
        <v>74</v>
      </c>
      <c r="C83" s="323" t="s">
        <v>2469</v>
      </c>
      <c r="D83" s="324">
        <f t="shared" si="4"/>
        <v>110220</v>
      </c>
      <c r="E83" s="325">
        <v>0</v>
      </c>
      <c r="F83" s="325">
        <v>0</v>
      </c>
      <c r="G83" s="325">
        <v>0</v>
      </c>
      <c r="H83" s="325">
        <v>0</v>
      </c>
      <c r="I83" s="325">
        <v>0</v>
      </c>
      <c r="J83" s="325">
        <v>0</v>
      </c>
      <c r="K83" s="326">
        <v>0</v>
      </c>
      <c r="L83" s="325">
        <v>0</v>
      </c>
      <c r="M83" s="325">
        <v>0</v>
      </c>
      <c r="N83" s="325">
        <v>0</v>
      </c>
      <c r="O83" s="325">
        <v>110220</v>
      </c>
      <c r="P83" s="325">
        <v>0</v>
      </c>
      <c r="Q83" s="325">
        <v>0</v>
      </c>
      <c r="R83" s="325">
        <v>0</v>
      </c>
      <c r="S83" s="325">
        <v>0</v>
      </c>
      <c r="T83" s="325">
        <v>0</v>
      </c>
      <c r="U83" s="325">
        <v>0</v>
      </c>
      <c r="V83" s="325">
        <v>0</v>
      </c>
      <c r="W83" s="325">
        <v>0</v>
      </c>
      <c r="X83" s="325">
        <v>0</v>
      </c>
      <c r="Y83" s="325">
        <v>0</v>
      </c>
      <c r="Z83" s="325">
        <v>0</v>
      </c>
      <c r="AA83" s="325">
        <v>0</v>
      </c>
      <c r="AB83" s="327">
        <v>2020</v>
      </c>
      <c r="AD83" s="4">
        <v>0</v>
      </c>
    </row>
    <row r="84" spans="1:30" s="4" customFormat="1" ht="35.25" customHeight="1" x14ac:dyDescent="0.5">
      <c r="A84" s="4">
        <v>1</v>
      </c>
      <c r="B84" s="171">
        <f>SUBTOTAL(103,$A$8:A84)</f>
        <v>75</v>
      </c>
      <c r="C84" s="323" t="s">
        <v>1783</v>
      </c>
      <c r="D84" s="324">
        <f t="shared" si="4"/>
        <v>246963</v>
      </c>
      <c r="E84" s="325">
        <v>0</v>
      </c>
      <c r="F84" s="325">
        <v>246963</v>
      </c>
      <c r="G84" s="325">
        <v>0</v>
      </c>
      <c r="H84" s="325">
        <v>0</v>
      </c>
      <c r="I84" s="325">
        <v>0</v>
      </c>
      <c r="J84" s="325">
        <v>0</v>
      </c>
      <c r="K84" s="326">
        <v>0</v>
      </c>
      <c r="L84" s="325">
        <v>0</v>
      </c>
      <c r="M84" s="325">
        <v>0</v>
      </c>
      <c r="N84" s="325">
        <v>0</v>
      </c>
      <c r="O84" s="325">
        <v>0</v>
      </c>
      <c r="P84" s="325">
        <v>0</v>
      </c>
      <c r="Q84" s="325">
        <v>0</v>
      </c>
      <c r="R84" s="325">
        <v>0</v>
      </c>
      <c r="S84" s="325">
        <v>0</v>
      </c>
      <c r="T84" s="325">
        <v>0</v>
      </c>
      <c r="U84" s="325">
        <v>0</v>
      </c>
      <c r="V84" s="325">
        <v>0</v>
      </c>
      <c r="W84" s="325">
        <v>0</v>
      </c>
      <c r="X84" s="325">
        <v>0</v>
      </c>
      <c r="Y84" s="325">
        <v>0</v>
      </c>
      <c r="Z84" s="325">
        <v>0</v>
      </c>
      <c r="AA84" s="325">
        <v>0</v>
      </c>
      <c r="AB84" s="327">
        <v>2020</v>
      </c>
      <c r="AD84" s="4" t="e">
        <v>#N/A</v>
      </c>
    </row>
    <row r="85" spans="1:30" s="4" customFormat="1" ht="35.25" customHeight="1" x14ac:dyDescent="0.5">
      <c r="A85" s="4">
        <v>1</v>
      </c>
      <c r="B85" s="171">
        <f>SUBTOTAL(103,$A$8:A85)</f>
        <v>76</v>
      </c>
      <c r="C85" s="323" t="s">
        <v>1784</v>
      </c>
      <c r="D85" s="324">
        <f t="shared" si="4"/>
        <v>1291286</v>
      </c>
      <c r="E85" s="325">
        <v>0</v>
      </c>
      <c r="F85" s="325">
        <v>0</v>
      </c>
      <c r="G85" s="325">
        <v>0</v>
      </c>
      <c r="H85" s="325">
        <v>0</v>
      </c>
      <c r="I85" s="325">
        <v>0</v>
      </c>
      <c r="J85" s="325">
        <v>0</v>
      </c>
      <c r="K85" s="326">
        <v>0</v>
      </c>
      <c r="L85" s="325">
        <v>0</v>
      </c>
      <c r="M85" s="325">
        <v>1291286</v>
      </c>
      <c r="N85" s="325">
        <v>0</v>
      </c>
      <c r="O85" s="325">
        <v>0</v>
      </c>
      <c r="P85" s="325">
        <v>0</v>
      </c>
      <c r="Q85" s="325">
        <v>0</v>
      </c>
      <c r="R85" s="325">
        <v>0</v>
      </c>
      <c r="S85" s="325">
        <v>0</v>
      </c>
      <c r="T85" s="325">
        <v>0</v>
      </c>
      <c r="U85" s="325">
        <v>0</v>
      </c>
      <c r="V85" s="325">
        <v>0</v>
      </c>
      <c r="W85" s="325">
        <v>0</v>
      </c>
      <c r="X85" s="325">
        <v>0</v>
      </c>
      <c r="Y85" s="325">
        <v>0</v>
      </c>
      <c r="Z85" s="325">
        <v>0</v>
      </c>
      <c r="AA85" s="325">
        <v>0</v>
      </c>
      <c r="AB85" s="327">
        <v>2020</v>
      </c>
      <c r="AD85" s="4" t="e">
        <v>#N/A</v>
      </c>
    </row>
    <row r="86" spans="1:30" s="4" customFormat="1" ht="35.25" customHeight="1" x14ac:dyDescent="0.5">
      <c r="A86" s="4">
        <v>1</v>
      </c>
      <c r="B86" s="171">
        <f>SUBTOTAL(103,$A$8:A86)</f>
        <v>77</v>
      </c>
      <c r="C86" s="323" t="s">
        <v>1785</v>
      </c>
      <c r="D86" s="324">
        <f t="shared" si="4"/>
        <v>543017.86</v>
      </c>
      <c r="E86" s="325">
        <v>0</v>
      </c>
      <c r="F86" s="325">
        <v>0</v>
      </c>
      <c r="G86" s="325">
        <v>0</v>
      </c>
      <c r="H86" s="325">
        <v>0</v>
      </c>
      <c r="I86" s="325">
        <v>0</v>
      </c>
      <c r="J86" s="325">
        <v>0</v>
      </c>
      <c r="K86" s="326">
        <v>0</v>
      </c>
      <c r="L86" s="325">
        <v>0</v>
      </c>
      <c r="M86" s="325">
        <v>0</v>
      </c>
      <c r="N86" s="325">
        <v>0</v>
      </c>
      <c r="O86" s="325">
        <v>543017.86</v>
      </c>
      <c r="P86" s="325">
        <v>0</v>
      </c>
      <c r="Q86" s="325">
        <v>0</v>
      </c>
      <c r="R86" s="325">
        <v>0</v>
      </c>
      <c r="S86" s="325">
        <v>0</v>
      </c>
      <c r="T86" s="325">
        <v>0</v>
      </c>
      <c r="U86" s="325">
        <v>0</v>
      </c>
      <c r="V86" s="325">
        <v>0</v>
      </c>
      <c r="W86" s="325">
        <v>0</v>
      </c>
      <c r="X86" s="325">
        <v>0</v>
      </c>
      <c r="Y86" s="325">
        <v>0</v>
      </c>
      <c r="Z86" s="325">
        <v>0</v>
      </c>
      <c r="AA86" s="325">
        <v>0</v>
      </c>
      <c r="AB86" s="327">
        <v>2020</v>
      </c>
      <c r="AD86" s="4" t="e">
        <v>#N/A</v>
      </c>
    </row>
    <row r="87" spans="1:30" s="4" customFormat="1" ht="35.25" customHeight="1" x14ac:dyDescent="0.5">
      <c r="A87" s="4">
        <v>1</v>
      </c>
      <c r="B87" s="171">
        <f>SUBTOTAL(103,$A$8:A87)</f>
        <v>78</v>
      </c>
      <c r="C87" s="323" t="s">
        <v>1786</v>
      </c>
      <c r="D87" s="324">
        <f t="shared" si="4"/>
        <v>866755.67</v>
      </c>
      <c r="E87" s="325">
        <v>179437.21</v>
      </c>
      <c r="F87" s="325">
        <v>297679.21000000002</v>
      </c>
      <c r="G87" s="325">
        <v>0</v>
      </c>
      <c r="H87" s="325">
        <v>0</v>
      </c>
      <c r="I87" s="325">
        <v>0</v>
      </c>
      <c r="J87" s="325">
        <v>0</v>
      </c>
      <c r="K87" s="326">
        <v>0</v>
      </c>
      <c r="L87" s="325">
        <v>0</v>
      </c>
      <c r="M87" s="325">
        <v>0</v>
      </c>
      <c r="N87" s="325">
        <v>0</v>
      </c>
      <c r="O87" s="325">
        <v>389639.25</v>
      </c>
      <c r="P87" s="325">
        <v>0</v>
      </c>
      <c r="Q87" s="325">
        <v>0</v>
      </c>
      <c r="R87" s="325">
        <v>0</v>
      </c>
      <c r="S87" s="325">
        <v>0</v>
      </c>
      <c r="T87" s="325">
        <v>0</v>
      </c>
      <c r="U87" s="325">
        <v>0</v>
      </c>
      <c r="V87" s="325">
        <v>0</v>
      </c>
      <c r="W87" s="325">
        <v>0</v>
      </c>
      <c r="X87" s="325">
        <v>0</v>
      </c>
      <c r="Y87" s="325">
        <v>0</v>
      </c>
      <c r="Z87" s="325">
        <v>0</v>
      </c>
      <c r="AA87" s="325">
        <v>0</v>
      </c>
      <c r="AB87" s="327">
        <v>2020</v>
      </c>
      <c r="AD87" s="4" t="e">
        <v>#N/A</v>
      </c>
    </row>
    <row r="88" spans="1:30" s="4" customFormat="1" ht="35.25" customHeight="1" x14ac:dyDescent="0.5">
      <c r="A88" s="4">
        <v>1</v>
      </c>
      <c r="B88" s="171">
        <f>SUBTOTAL(103,$A$8:A88)</f>
        <v>79</v>
      </c>
      <c r="C88" s="402" t="s">
        <v>1944</v>
      </c>
      <c r="D88" s="324">
        <f t="shared" si="4"/>
        <v>1468076</v>
      </c>
      <c r="E88" s="400">
        <v>0</v>
      </c>
      <c r="F88" s="400">
        <v>0</v>
      </c>
      <c r="G88" s="400">
        <v>0</v>
      </c>
      <c r="H88" s="400">
        <v>0</v>
      </c>
      <c r="I88" s="400">
        <v>0</v>
      </c>
      <c r="J88" s="400">
        <v>0</v>
      </c>
      <c r="K88" s="401">
        <v>0</v>
      </c>
      <c r="L88" s="400">
        <v>0</v>
      </c>
      <c r="M88" s="400">
        <v>1468076</v>
      </c>
      <c r="N88" s="400">
        <v>0</v>
      </c>
      <c r="O88" s="400">
        <v>0</v>
      </c>
      <c r="P88" s="400">
        <v>0</v>
      </c>
      <c r="Q88" s="400">
        <v>0</v>
      </c>
      <c r="R88" s="400">
        <v>0</v>
      </c>
      <c r="S88" s="400">
        <v>0</v>
      </c>
      <c r="T88" s="400">
        <v>0</v>
      </c>
      <c r="U88" s="400">
        <v>0</v>
      </c>
      <c r="V88" s="400">
        <v>0</v>
      </c>
      <c r="W88" s="400">
        <v>0</v>
      </c>
      <c r="X88" s="400">
        <v>0</v>
      </c>
      <c r="Y88" s="400">
        <v>0</v>
      </c>
      <c r="Z88" s="400">
        <v>0</v>
      </c>
      <c r="AA88" s="400">
        <v>0</v>
      </c>
      <c r="AB88" s="327">
        <v>2020</v>
      </c>
      <c r="AD88" s="4" t="e">
        <v>#N/A</v>
      </c>
    </row>
    <row r="89" spans="1:30" s="4" customFormat="1" ht="35.25" customHeight="1" x14ac:dyDescent="0.5">
      <c r="A89" s="4">
        <v>1</v>
      </c>
      <c r="B89" s="171">
        <f>SUBTOTAL(103,$A$8:A89)</f>
        <v>80</v>
      </c>
      <c r="C89" s="402" t="s">
        <v>1945</v>
      </c>
      <c r="D89" s="324">
        <f t="shared" si="4"/>
        <v>364586</v>
      </c>
      <c r="E89" s="400">
        <v>0</v>
      </c>
      <c r="F89" s="400">
        <v>0</v>
      </c>
      <c r="G89" s="400">
        <v>0</v>
      </c>
      <c r="H89" s="400">
        <v>0</v>
      </c>
      <c r="I89" s="400">
        <v>0</v>
      </c>
      <c r="J89" s="400">
        <v>0</v>
      </c>
      <c r="K89" s="401">
        <v>0</v>
      </c>
      <c r="L89" s="400">
        <v>0</v>
      </c>
      <c r="M89" s="400">
        <v>0</v>
      </c>
      <c r="N89" s="400">
        <v>0</v>
      </c>
      <c r="O89" s="400">
        <v>364586</v>
      </c>
      <c r="P89" s="400">
        <v>0</v>
      </c>
      <c r="Q89" s="400">
        <v>0</v>
      </c>
      <c r="R89" s="400">
        <v>0</v>
      </c>
      <c r="S89" s="400">
        <v>0</v>
      </c>
      <c r="T89" s="400">
        <v>0</v>
      </c>
      <c r="U89" s="400">
        <v>0</v>
      </c>
      <c r="V89" s="400">
        <v>0</v>
      </c>
      <c r="W89" s="400">
        <v>0</v>
      </c>
      <c r="X89" s="400">
        <v>0</v>
      </c>
      <c r="Y89" s="400">
        <v>0</v>
      </c>
      <c r="Z89" s="400">
        <v>0</v>
      </c>
      <c r="AA89" s="400">
        <v>0</v>
      </c>
      <c r="AB89" s="327">
        <v>2020</v>
      </c>
      <c r="AD89" s="4" t="e">
        <v>#N/A</v>
      </c>
    </row>
    <row r="90" spans="1:30" s="4" customFormat="1" ht="35.25" customHeight="1" x14ac:dyDescent="0.5">
      <c r="A90" s="4">
        <v>1</v>
      </c>
      <c r="B90" s="171">
        <f>SUBTOTAL(103,$A$8:A90)</f>
        <v>81</v>
      </c>
      <c r="C90" s="402" t="s">
        <v>1946</v>
      </c>
      <c r="D90" s="324">
        <f t="shared" si="4"/>
        <v>371366.51</v>
      </c>
      <c r="E90" s="400">
        <v>0</v>
      </c>
      <c r="F90" s="400">
        <v>216731.11</v>
      </c>
      <c r="G90" s="400">
        <v>0</v>
      </c>
      <c r="H90" s="400">
        <v>154635.4</v>
      </c>
      <c r="I90" s="400">
        <v>0</v>
      </c>
      <c r="J90" s="400">
        <v>0</v>
      </c>
      <c r="K90" s="401">
        <v>0</v>
      </c>
      <c r="L90" s="400">
        <v>0</v>
      </c>
      <c r="M90" s="400">
        <v>0</v>
      </c>
      <c r="N90" s="400">
        <v>0</v>
      </c>
      <c r="O90" s="400">
        <v>0</v>
      </c>
      <c r="P90" s="400">
        <v>0</v>
      </c>
      <c r="Q90" s="400">
        <v>0</v>
      </c>
      <c r="R90" s="400">
        <v>0</v>
      </c>
      <c r="S90" s="400">
        <v>0</v>
      </c>
      <c r="T90" s="400">
        <v>0</v>
      </c>
      <c r="U90" s="400">
        <v>0</v>
      </c>
      <c r="V90" s="400">
        <v>0</v>
      </c>
      <c r="W90" s="400">
        <v>0</v>
      </c>
      <c r="X90" s="400">
        <v>0</v>
      </c>
      <c r="Y90" s="400">
        <v>0</v>
      </c>
      <c r="Z90" s="400">
        <v>0</v>
      </c>
      <c r="AA90" s="400">
        <v>0</v>
      </c>
      <c r="AB90" s="327">
        <v>2020</v>
      </c>
      <c r="AD90" s="4" t="e">
        <v>#N/A</v>
      </c>
    </row>
    <row r="91" spans="1:30" s="4" customFormat="1" ht="35.25" customHeight="1" x14ac:dyDescent="0.5">
      <c r="A91" s="4">
        <v>1</v>
      </c>
      <c r="B91" s="171">
        <f>SUBTOTAL(103,$A$8:A91)</f>
        <v>82</v>
      </c>
      <c r="C91" s="402" t="s">
        <v>2470</v>
      </c>
      <c r="D91" s="324">
        <f t="shared" si="4"/>
        <v>116208</v>
      </c>
      <c r="E91" s="400">
        <v>0</v>
      </c>
      <c r="F91" s="400">
        <v>0</v>
      </c>
      <c r="G91" s="400">
        <v>0</v>
      </c>
      <c r="H91" s="400">
        <v>0</v>
      </c>
      <c r="I91" s="400">
        <v>0</v>
      </c>
      <c r="J91" s="400">
        <v>0</v>
      </c>
      <c r="K91" s="401">
        <v>0</v>
      </c>
      <c r="L91" s="400">
        <v>80776</v>
      </c>
      <c r="M91" s="400">
        <v>0</v>
      </c>
      <c r="N91" s="400">
        <v>0</v>
      </c>
      <c r="O91" s="400">
        <v>35432</v>
      </c>
      <c r="P91" s="400">
        <v>0</v>
      </c>
      <c r="Q91" s="400">
        <v>0</v>
      </c>
      <c r="R91" s="400">
        <v>0</v>
      </c>
      <c r="S91" s="400">
        <v>0</v>
      </c>
      <c r="T91" s="400">
        <v>0</v>
      </c>
      <c r="U91" s="400">
        <v>0</v>
      </c>
      <c r="V91" s="400">
        <v>0</v>
      </c>
      <c r="W91" s="400">
        <v>0</v>
      </c>
      <c r="X91" s="400">
        <v>0</v>
      </c>
      <c r="Y91" s="400">
        <v>0</v>
      </c>
      <c r="Z91" s="400">
        <v>0</v>
      </c>
      <c r="AA91" s="400">
        <v>0</v>
      </c>
      <c r="AB91" s="327">
        <v>2020</v>
      </c>
      <c r="AD91" s="4">
        <v>0</v>
      </c>
    </row>
    <row r="92" spans="1:30" s="4" customFormat="1" ht="35.25" customHeight="1" x14ac:dyDescent="0.5">
      <c r="A92" s="4">
        <v>1</v>
      </c>
      <c r="B92" s="171">
        <f>SUBTOTAL(103,$A$8:A92)</f>
        <v>83</v>
      </c>
      <c r="C92" s="402" t="s">
        <v>1947</v>
      </c>
      <c r="D92" s="324">
        <f t="shared" si="4"/>
        <v>610300</v>
      </c>
      <c r="E92" s="400">
        <v>0</v>
      </c>
      <c r="F92" s="400">
        <v>0</v>
      </c>
      <c r="G92" s="400">
        <v>0</v>
      </c>
      <c r="H92" s="400">
        <v>0</v>
      </c>
      <c r="I92" s="400">
        <v>0</v>
      </c>
      <c r="J92" s="400">
        <v>0</v>
      </c>
      <c r="K92" s="401">
        <v>0</v>
      </c>
      <c r="L92" s="400">
        <v>0</v>
      </c>
      <c r="M92" s="400">
        <v>0</v>
      </c>
      <c r="N92" s="400">
        <v>0</v>
      </c>
      <c r="O92" s="400">
        <v>610300</v>
      </c>
      <c r="P92" s="400">
        <v>0</v>
      </c>
      <c r="Q92" s="400">
        <v>0</v>
      </c>
      <c r="R92" s="400">
        <v>0</v>
      </c>
      <c r="S92" s="400">
        <v>0</v>
      </c>
      <c r="T92" s="400">
        <v>0</v>
      </c>
      <c r="U92" s="400">
        <v>0</v>
      </c>
      <c r="V92" s="400">
        <v>0</v>
      </c>
      <c r="W92" s="400">
        <v>0</v>
      </c>
      <c r="X92" s="400">
        <v>0</v>
      </c>
      <c r="Y92" s="400">
        <v>0</v>
      </c>
      <c r="Z92" s="400">
        <v>0</v>
      </c>
      <c r="AA92" s="400">
        <v>0</v>
      </c>
      <c r="AB92" s="327">
        <v>2020</v>
      </c>
      <c r="AD92" s="4" t="e">
        <v>#N/A</v>
      </c>
    </row>
    <row r="93" spans="1:30" s="4" customFormat="1" ht="35.25" customHeight="1" x14ac:dyDescent="0.5">
      <c r="A93" s="4">
        <v>1</v>
      </c>
      <c r="B93" s="171">
        <f>SUBTOTAL(103,$A$8:A93)</f>
        <v>84</v>
      </c>
      <c r="C93" s="402" t="s">
        <v>1948</v>
      </c>
      <c r="D93" s="324">
        <f t="shared" si="4"/>
        <v>478757.53</v>
      </c>
      <c r="E93" s="400">
        <v>0</v>
      </c>
      <c r="F93" s="400">
        <v>57079.75</v>
      </c>
      <c r="G93" s="400">
        <v>0</v>
      </c>
      <c r="H93" s="400">
        <v>0</v>
      </c>
      <c r="I93" s="400">
        <v>0</v>
      </c>
      <c r="J93" s="400">
        <v>0</v>
      </c>
      <c r="K93" s="401">
        <v>0</v>
      </c>
      <c r="L93" s="400">
        <v>0</v>
      </c>
      <c r="M93" s="400">
        <v>344154</v>
      </c>
      <c r="N93" s="400">
        <v>0</v>
      </c>
      <c r="O93" s="400">
        <v>77523.78</v>
      </c>
      <c r="P93" s="400">
        <v>0</v>
      </c>
      <c r="Q93" s="400">
        <v>0</v>
      </c>
      <c r="R93" s="400">
        <v>0</v>
      </c>
      <c r="S93" s="400">
        <v>0</v>
      </c>
      <c r="T93" s="400">
        <v>0</v>
      </c>
      <c r="U93" s="400">
        <v>0</v>
      </c>
      <c r="V93" s="400">
        <v>0</v>
      </c>
      <c r="W93" s="400">
        <v>0</v>
      </c>
      <c r="X93" s="400">
        <v>0</v>
      </c>
      <c r="Y93" s="400">
        <v>0</v>
      </c>
      <c r="Z93" s="400">
        <v>0</v>
      </c>
      <c r="AA93" s="400">
        <v>0</v>
      </c>
      <c r="AB93" s="327">
        <v>2020</v>
      </c>
      <c r="AD93" s="4">
        <v>0</v>
      </c>
    </row>
    <row r="94" spans="1:30" s="4" customFormat="1" ht="35.25" customHeight="1" x14ac:dyDescent="0.5">
      <c r="A94" s="4">
        <v>1</v>
      </c>
      <c r="B94" s="171">
        <f>SUBTOTAL(103,$A$8:A94)</f>
        <v>85</v>
      </c>
      <c r="C94" s="402" t="s">
        <v>1949</v>
      </c>
      <c r="D94" s="324">
        <f t="shared" si="4"/>
        <v>1394395.75</v>
      </c>
      <c r="E94" s="400">
        <v>0</v>
      </c>
      <c r="F94" s="400">
        <v>0</v>
      </c>
      <c r="G94" s="400">
        <v>0</v>
      </c>
      <c r="H94" s="400">
        <v>0</v>
      </c>
      <c r="I94" s="400">
        <v>0</v>
      </c>
      <c r="J94" s="400">
        <v>0</v>
      </c>
      <c r="K94" s="401">
        <v>0</v>
      </c>
      <c r="L94" s="400">
        <v>0</v>
      </c>
      <c r="M94" s="400">
        <v>1394395.75</v>
      </c>
      <c r="N94" s="400">
        <v>0</v>
      </c>
      <c r="O94" s="400">
        <v>0</v>
      </c>
      <c r="P94" s="400">
        <v>0</v>
      </c>
      <c r="Q94" s="400">
        <v>0</v>
      </c>
      <c r="R94" s="400">
        <v>0</v>
      </c>
      <c r="S94" s="400">
        <v>0</v>
      </c>
      <c r="T94" s="400">
        <v>0</v>
      </c>
      <c r="U94" s="400">
        <v>0</v>
      </c>
      <c r="V94" s="400">
        <v>0</v>
      </c>
      <c r="W94" s="400">
        <v>0</v>
      </c>
      <c r="X94" s="400">
        <v>0</v>
      </c>
      <c r="Y94" s="400">
        <v>0</v>
      </c>
      <c r="Z94" s="400">
        <v>0</v>
      </c>
      <c r="AA94" s="400">
        <v>0</v>
      </c>
      <c r="AB94" s="327">
        <v>2020</v>
      </c>
      <c r="AD94" s="4" t="e">
        <v>#N/A</v>
      </c>
    </row>
    <row r="95" spans="1:30" s="4" customFormat="1" ht="35.25" customHeight="1" x14ac:dyDescent="0.5">
      <c r="A95" s="4">
        <v>1</v>
      </c>
      <c r="B95" s="171">
        <f>SUBTOTAL(103,$A$8:A95)</f>
        <v>86</v>
      </c>
      <c r="C95" s="402" t="s">
        <v>1950</v>
      </c>
      <c r="D95" s="324">
        <f t="shared" si="4"/>
        <v>592148.92000000004</v>
      </c>
      <c r="E95" s="400">
        <v>592148.92000000004</v>
      </c>
      <c r="F95" s="400">
        <v>0</v>
      </c>
      <c r="G95" s="400">
        <v>0</v>
      </c>
      <c r="H95" s="400">
        <v>0</v>
      </c>
      <c r="I95" s="400">
        <v>0</v>
      </c>
      <c r="J95" s="400">
        <v>0</v>
      </c>
      <c r="K95" s="401">
        <v>0</v>
      </c>
      <c r="L95" s="400">
        <v>0</v>
      </c>
      <c r="M95" s="400">
        <v>0</v>
      </c>
      <c r="N95" s="400">
        <v>0</v>
      </c>
      <c r="O95" s="400">
        <v>0</v>
      </c>
      <c r="P95" s="400">
        <v>0</v>
      </c>
      <c r="Q95" s="400">
        <v>0</v>
      </c>
      <c r="R95" s="400">
        <v>0</v>
      </c>
      <c r="S95" s="400">
        <v>0</v>
      </c>
      <c r="T95" s="400">
        <v>0</v>
      </c>
      <c r="U95" s="400">
        <v>0</v>
      </c>
      <c r="V95" s="400">
        <v>0</v>
      </c>
      <c r="W95" s="400">
        <v>0</v>
      </c>
      <c r="X95" s="400">
        <v>0</v>
      </c>
      <c r="Y95" s="400">
        <v>0</v>
      </c>
      <c r="Z95" s="400">
        <v>0</v>
      </c>
      <c r="AA95" s="400">
        <v>0</v>
      </c>
      <c r="AB95" s="327">
        <v>2020</v>
      </c>
      <c r="AD95" s="4" t="e">
        <v>#N/A</v>
      </c>
    </row>
    <row r="96" spans="1:30" s="4" customFormat="1" ht="35.25" customHeight="1" x14ac:dyDescent="0.5">
      <c r="A96" s="4">
        <v>1</v>
      </c>
      <c r="B96" s="171">
        <f>SUBTOTAL(103,$A$8:A96)</f>
        <v>87</v>
      </c>
      <c r="C96" s="402" t="s">
        <v>1951</v>
      </c>
      <c r="D96" s="324">
        <f t="shared" si="4"/>
        <v>3000000</v>
      </c>
      <c r="E96" s="400">
        <v>0</v>
      </c>
      <c r="F96" s="400">
        <v>0</v>
      </c>
      <c r="G96" s="400">
        <v>0</v>
      </c>
      <c r="H96" s="400">
        <v>0</v>
      </c>
      <c r="I96" s="400">
        <v>0</v>
      </c>
      <c r="J96" s="400">
        <v>0</v>
      </c>
      <c r="K96" s="401">
        <v>0</v>
      </c>
      <c r="L96" s="400">
        <v>0</v>
      </c>
      <c r="M96" s="400">
        <v>3000000</v>
      </c>
      <c r="N96" s="400">
        <v>0</v>
      </c>
      <c r="O96" s="400">
        <v>0</v>
      </c>
      <c r="P96" s="400">
        <v>0</v>
      </c>
      <c r="Q96" s="400">
        <v>0</v>
      </c>
      <c r="R96" s="400">
        <v>0</v>
      </c>
      <c r="S96" s="400">
        <v>0</v>
      </c>
      <c r="T96" s="400">
        <v>0</v>
      </c>
      <c r="U96" s="400">
        <v>0</v>
      </c>
      <c r="V96" s="400">
        <v>0</v>
      </c>
      <c r="W96" s="400">
        <v>0</v>
      </c>
      <c r="X96" s="400">
        <v>0</v>
      </c>
      <c r="Y96" s="400">
        <v>0</v>
      </c>
      <c r="Z96" s="400">
        <v>0</v>
      </c>
      <c r="AA96" s="400">
        <v>0</v>
      </c>
      <c r="AB96" s="327">
        <v>2020</v>
      </c>
      <c r="AD96" s="4" t="e">
        <v>#N/A</v>
      </c>
    </row>
    <row r="97" spans="1:30" s="4" customFormat="1" ht="35.25" customHeight="1" x14ac:dyDescent="0.5">
      <c r="A97" s="4">
        <v>1</v>
      </c>
      <c r="B97" s="171">
        <f>SUBTOTAL(103,$A$8:A97)</f>
        <v>88</v>
      </c>
      <c r="C97" s="402" t="s">
        <v>1952</v>
      </c>
      <c r="D97" s="324">
        <f t="shared" si="4"/>
        <v>1004458</v>
      </c>
      <c r="E97" s="400">
        <v>0</v>
      </c>
      <c r="F97" s="400">
        <v>0</v>
      </c>
      <c r="G97" s="400">
        <v>0</v>
      </c>
      <c r="H97" s="400">
        <v>0</v>
      </c>
      <c r="I97" s="400">
        <v>0</v>
      </c>
      <c r="J97" s="400">
        <v>0</v>
      </c>
      <c r="K97" s="401">
        <v>0</v>
      </c>
      <c r="L97" s="400">
        <v>0</v>
      </c>
      <c r="M97" s="400">
        <v>1004458</v>
      </c>
      <c r="N97" s="400">
        <v>0</v>
      </c>
      <c r="O97" s="400">
        <v>0</v>
      </c>
      <c r="P97" s="400">
        <v>0</v>
      </c>
      <c r="Q97" s="400">
        <v>0</v>
      </c>
      <c r="R97" s="400">
        <v>0</v>
      </c>
      <c r="S97" s="400">
        <v>0</v>
      </c>
      <c r="T97" s="400">
        <v>0</v>
      </c>
      <c r="U97" s="400">
        <v>0</v>
      </c>
      <c r="V97" s="400">
        <v>0</v>
      </c>
      <c r="W97" s="400">
        <v>0</v>
      </c>
      <c r="X97" s="400">
        <v>0</v>
      </c>
      <c r="Y97" s="400">
        <v>0</v>
      </c>
      <c r="Z97" s="400">
        <v>0</v>
      </c>
      <c r="AA97" s="400">
        <v>0</v>
      </c>
      <c r="AB97" s="327">
        <v>2020</v>
      </c>
      <c r="AD97" s="4" t="e">
        <v>#N/A</v>
      </c>
    </row>
    <row r="98" spans="1:30" s="4" customFormat="1" ht="35.25" customHeight="1" x14ac:dyDescent="0.5">
      <c r="A98" s="4">
        <v>1</v>
      </c>
      <c r="B98" s="171">
        <f>SUBTOTAL(103,$A$8:A98)</f>
        <v>89</v>
      </c>
      <c r="C98" s="402" t="s">
        <v>1953</v>
      </c>
      <c r="D98" s="324">
        <f t="shared" si="4"/>
        <v>897668.63</v>
      </c>
      <c r="E98" s="400">
        <v>0</v>
      </c>
      <c r="F98" s="400">
        <v>0</v>
      </c>
      <c r="G98" s="400">
        <v>0</v>
      </c>
      <c r="H98" s="400">
        <v>0</v>
      </c>
      <c r="I98" s="400">
        <v>0</v>
      </c>
      <c r="J98" s="400">
        <v>0</v>
      </c>
      <c r="K98" s="401">
        <v>0</v>
      </c>
      <c r="L98" s="400">
        <v>0</v>
      </c>
      <c r="M98" s="400">
        <v>811166.63</v>
      </c>
      <c r="N98" s="400">
        <v>0</v>
      </c>
      <c r="O98" s="400">
        <v>86502</v>
      </c>
      <c r="P98" s="400">
        <v>0</v>
      </c>
      <c r="Q98" s="400">
        <v>0</v>
      </c>
      <c r="R98" s="400">
        <v>0</v>
      </c>
      <c r="S98" s="400">
        <v>0</v>
      </c>
      <c r="T98" s="400">
        <v>0</v>
      </c>
      <c r="U98" s="400">
        <v>0</v>
      </c>
      <c r="V98" s="400">
        <v>0</v>
      </c>
      <c r="W98" s="400">
        <v>0</v>
      </c>
      <c r="X98" s="400">
        <v>0</v>
      </c>
      <c r="Y98" s="400">
        <v>0</v>
      </c>
      <c r="Z98" s="400">
        <v>0</v>
      </c>
      <c r="AA98" s="400">
        <v>0</v>
      </c>
      <c r="AB98" s="327">
        <v>2020</v>
      </c>
      <c r="AD98" s="4" t="e">
        <v>#N/A</v>
      </c>
    </row>
    <row r="99" spans="1:30" s="4" customFormat="1" ht="35.25" customHeight="1" x14ac:dyDescent="0.5">
      <c r="A99" s="4">
        <v>1</v>
      </c>
      <c r="B99" s="171">
        <f>SUBTOTAL(103,$A$8:A99)</f>
        <v>90</v>
      </c>
      <c r="C99" s="402" t="s">
        <v>1954</v>
      </c>
      <c r="D99" s="324">
        <f t="shared" si="4"/>
        <v>1450004</v>
      </c>
      <c r="E99" s="400">
        <v>0</v>
      </c>
      <c r="F99" s="400">
        <v>0</v>
      </c>
      <c r="G99" s="400">
        <v>0</v>
      </c>
      <c r="H99" s="400">
        <v>0</v>
      </c>
      <c r="I99" s="400">
        <v>0</v>
      </c>
      <c r="J99" s="400">
        <v>0</v>
      </c>
      <c r="K99" s="401">
        <v>0</v>
      </c>
      <c r="L99" s="400">
        <v>0</v>
      </c>
      <c r="M99" s="400">
        <v>1450004</v>
      </c>
      <c r="N99" s="400">
        <v>0</v>
      </c>
      <c r="O99" s="400">
        <v>0</v>
      </c>
      <c r="P99" s="400">
        <v>0</v>
      </c>
      <c r="Q99" s="400">
        <v>0</v>
      </c>
      <c r="R99" s="400">
        <v>0</v>
      </c>
      <c r="S99" s="400">
        <v>0</v>
      </c>
      <c r="T99" s="400">
        <v>0</v>
      </c>
      <c r="U99" s="400">
        <v>0</v>
      </c>
      <c r="V99" s="400">
        <v>0</v>
      </c>
      <c r="W99" s="400">
        <v>0</v>
      </c>
      <c r="X99" s="400">
        <v>0</v>
      </c>
      <c r="Y99" s="400">
        <v>0</v>
      </c>
      <c r="Z99" s="400">
        <v>0</v>
      </c>
      <c r="AA99" s="400">
        <v>0</v>
      </c>
      <c r="AB99" s="327">
        <v>2020</v>
      </c>
      <c r="AD99" s="4" t="e">
        <v>#N/A</v>
      </c>
    </row>
    <row r="100" spans="1:30" s="4" customFormat="1" ht="35.25" customHeight="1" x14ac:dyDescent="0.5">
      <c r="A100" s="4">
        <v>1</v>
      </c>
      <c r="B100" s="171">
        <f>SUBTOTAL(103,$A$8:A100)</f>
        <v>91</v>
      </c>
      <c r="C100" s="402" t="s">
        <v>1955</v>
      </c>
      <c r="D100" s="324">
        <f t="shared" si="4"/>
        <v>448868</v>
      </c>
      <c r="E100" s="400">
        <v>130822</v>
      </c>
      <c r="F100" s="400">
        <v>130822</v>
      </c>
      <c r="G100" s="400">
        <v>0</v>
      </c>
      <c r="H100" s="400">
        <v>0</v>
      </c>
      <c r="I100" s="400">
        <v>0</v>
      </c>
      <c r="J100" s="400">
        <v>0</v>
      </c>
      <c r="K100" s="401">
        <v>0</v>
      </c>
      <c r="L100" s="400">
        <v>0</v>
      </c>
      <c r="M100" s="400">
        <v>0</v>
      </c>
      <c r="N100" s="400">
        <v>0</v>
      </c>
      <c r="O100" s="400">
        <v>187224</v>
      </c>
      <c r="P100" s="400">
        <v>0</v>
      </c>
      <c r="Q100" s="400">
        <v>0</v>
      </c>
      <c r="R100" s="400">
        <v>0</v>
      </c>
      <c r="S100" s="400">
        <v>0</v>
      </c>
      <c r="T100" s="400">
        <v>0</v>
      </c>
      <c r="U100" s="400">
        <v>0</v>
      </c>
      <c r="V100" s="400">
        <v>0</v>
      </c>
      <c r="W100" s="400">
        <v>0</v>
      </c>
      <c r="X100" s="400">
        <v>0</v>
      </c>
      <c r="Y100" s="400">
        <v>0</v>
      </c>
      <c r="Z100" s="400">
        <v>0</v>
      </c>
      <c r="AA100" s="400">
        <v>0</v>
      </c>
      <c r="AB100" s="327">
        <v>2020</v>
      </c>
      <c r="AD100" s="4" t="e">
        <v>#N/A</v>
      </c>
    </row>
    <row r="101" spans="1:30" s="4" customFormat="1" ht="35.25" customHeight="1" x14ac:dyDescent="0.5">
      <c r="A101" s="4">
        <v>1</v>
      </c>
      <c r="B101" s="171">
        <f>SUBTOTAL(103,$A$8:A101)</f>
        <v>92</v>
      </c>
      <c r="C101" s="402" t="s">
        <v>1956</v>
      </c>
      <c r="D101" s="324">
        <f t="shared" si="4"/>
        <v>1111226.33</v>
      </c>
      <c r="E101" s="400">
        <v>0</v>
      </c>
      <c r="F101" s="400">
        <v>0</v>
      </c>
      <c r="G101" s="400">
        <v>0</v>
      </c>
      <c r="H101" s="400">
        <v>0</v>
      </c>
      <c r="I101" s="400">
        <v>0</v>
      </c>
      <c r="J101" s="400">
        <v>0</v>
      </c>
      <c r="K101" s="401">
        <v>0</v>
      </c>
      <c r="L101" s="400">
        <v>0</v>
      </c>
      <c r="M101" s="400">
        <v>1111226.33</v>
      </c>
      <c r="N101" s="400">
        <v>0</v>
      </c>
      <c r="O101" s="400">
        <v>0</v>
      </c>
      <c r="P101" s="400">
        <v>0</v>
      </c>
      <c r="Q101" s="400">
        <v>0</v>
      </c>
      <c r="R101" s="400">
        <v>0</v>
      </c>
      <c r="S101" s="400">
        <v>0</v>
      </c>
      <c r="T101" s="400">
        <v>0</v>
      </c>
      <c r="U101" s="400">
        <v>0</v>
      </c>
      <c r="V101" s="400">
        <v>0</v>
      </c>
      <c r="W101" s="400">
        <v>0</v>
      </c>
      <c r="X101" s="400">
        <v>0</v>
      </c>
      <c r="Y101" s="400">
        <v>0</v>
      </c>
      <c r="Z101" s="400">
        <v>0</v>
      </c>
      <c r="AA101" s="400">
        <v>0</v>
      </c>
      <c r="AB101" s="327">
        <v>2020</v>
      </c>
      <c r="AD101" s="4" t="e">
        <v>#N/A</v>
      </c>
    </row>
    <row r="102" spans="1:30" s="4" customFormat="1" ht="35.25" customHeight="1" x14ac:dyDescent="0.5">
      <c r="A102" s="4">
        <v>1</v>
      </c>
      <c r="B102" s="171">
        <f>SUBTOTAL(103,$A$8:A102)</f>
        <v>93</v>
      </c>
      <c r="C102" s="402" t="s">
        <v>1957</v>
      </c>
      <c r="D102" s="324">
        <f t="shared" si="4"/>
        <v>252000</v>
      </c>
      <c r="E102" s="400">
        <v>0</v>
      </c>
      <c r="F102" s="400">
        <v>0</v>
      </c>
      <c r="G102" s="400">
        <v>0</v>
      </c>
      <c r="H102" s="400">
        <v>0</v>
      </c>
      <c r="I102" s="400">
        <v>0</v>
      </c>
      <c r="J102" s="400">
        <v>0</v>
      </c>
      <c r="K102" s="401">
        <v>0</v>
      </c>
      <c r="L102" s="400">
        <v>0</v>
      </c>
      <c r="M102" s="400">
        <v>0</v>
      </c>
      <c r="N102" s="400">
        <v>0</v>
      </c>
      <c r="O102" s="400">
        <v>252000</v>
      </c>
      <c r="P102" s="400">
        <v>0</v>
      </c>
      <c r="Q102" s="400">
        <v>0</v>
      </c>
      <c r="R102" s="400">
        <v>0</v>
      </c>
      <c r="S102" s="400">
        <v>0</v>
      </c>
      <c r="T102" s="400">
        <v>0</v>
      </c>
      <c r="U102" s="400">
        <v>0</v>
      </c>
      <c r="V102" s="400">
        <v>0</v>
      </c>
      <c r="W102" s="400">
        <v>0</v>
      </c>
      <c r="X102" s="400">
        <v>0</v>
      </c>
      <c r="Y102" s="400">
        <v>0</v>
      </c>
      <c r="Z102" s="400">
        <v>0</v>
      </c>
      <c r="AA102" s="400">
        <v>0</v>
      </c>
      <c r="AB102" s="327">
        <v>2020</v>
      </c>
      <c r="AD102" s="4" t="e">
        <v>#N/A</v>
      </c>
    </row>
    <row r="103" spans="1:30" s="4" customFormat="1" ht="35.25" customHeight="1" x14ac:dyDescent="0.5">
      <c r="A103" s="4">
        <v>1</v>
      </c>
      <c r="B103" s="171">
        <f>SUBTOTAL(103,$A$8:A103)</f>
        <v>94</v>
      </c>
      <c r="C103" s="402" t="s">
        <v>1958</v>
      </c>
      <c r="D103" s="324">
        <f t="shared" si="4"/>
        <v>1736821</v>
      </c>
      <c r="E103" s="400">
        <v>0</v>
      </c>
      <c r="F103" s="400">
        <v>0</v>
      </c>
      <c r="G103" s="400">
        <v>0</v>
      </c>
      <c r="H103" s="400">
        <v>0</v>
      </c>
      <c r="I103" s="400">
        <v>0</v>
      </c>
      <c r="J103" s="400">
        <v>0</v>
      </c>
      <c r="K103" s="401">
        <v>0</v>
      </c>
      <c r="L103" s="400">
        <v>0</v>
      </c>
      <c r="M103" s="400">
        <v>1736821</v>
      </c>
      <c r="N103" s="400">
        <v>0</v>
      </c>
      <c r="O103" s="400">
        <v>0</v>
      </c>
      <c r="P103" s="400">
        <v>0</v>
      </c>
      <c r="Q103" s="400">
        <v>0</v>
      </c>
      <c r="R103" s="400">
        <v>0</v>
      </c>
      <c r="S103" s="400">
        <v>0</v>
      </c>
      <c r="T103" s="400">
        <v>0</v>
      </c>
      <c r="U103" s="400">
        <v>0</v>
      </c>
      <c r="V103" s="400">
        <v>0</v>
      </c>
      <c r="W103" s="400">
        <v>0</v>
      </c>
      <c r="X103" s="400">
        <v>0</v>
      </c>
      <c r="Y103" s="400">
        <v>0</v>
      </c>
      <c r="Z103" s="400">
        <v>0</v>
      </c>
      <c r="AA103" s="400">
        <v>0</v>
      </c>
      <c r="AB103" s="327">
        <v>2020</v>
      </c>
      <c r="AD103" s="4" t="e">
        <v>#N/A</v>
      </c>
    </row>
    <row r="104" spans="1:30" s="4" customFormat="1" ht="35.25" customHeight="1" x14ac:dyDescent="0.5">
      <c r="A104" s="4">
        <v>1</v>
      </c>
      <c r="B104" s="171">
        <f>SUBTOTAL(103,$A$8:A104)</f>
        <v>95</v>
      </c>
      <c r="C104" s="402" t="s">
        <v>1959</v>
      </c>
      <c r="D104" s="324">
        <f t="shared" ref="D104:D167" si="5">E104+F104+G104+H104+I104+J104+L104+M104+N104+O104+P104+Q104+R104+S104+T104+U104+V104+W104+X104+Y104+Z104+AA104</f>
        <v>1164297</v>
      </c>
      <c r="E104" s="400">
        <v>0</v>
      </c>
      <c r="F104" s="400">
        <v>0</v>
      </c>
      <c r="G104" s="400">
        <v>0</v>
      </c>
      <c r="H104" s="400">
        <v>0</v>
      </c>
      <c r="I104" s="400">
        <v>0</v>
      </c>
      <c r="J104" s="400">
        <v>0</v>
      </c>
      <c r="K104" s="401">
        <v>0</v>
      </c>
      <c r="L104" s="400">
        <v>0</v>
      </c>
      <c r="M104" s="400">
        <v>1164297</v>
      </c>
      <c r="N104" s="400">
        <v>0</v>
      </c>
      <c r="O104" s="400">
        <v>0</v>
      </c>
      <c r="P104" s="400">
        <v>0</v>
      </c>
      <c r="Q104" s="400">
        <v>0</v>
      </c>
      <c r="R104" s="400">
        <v>0</v>
      </c>
      <c r="S104" s="400">
        <v>0</v>
      </c>
      <c r="T104" s="400">
        <v>0</v>
      </c>
      <c r="U104" s="400">
        <v>0</v>
      </c>
      <c r="V104" s="400">
        <v>0</v>
      </c>
      <c r="W104" s="400">
        <v>0</v>
      </c>
      <c r="X104" s="400">
        <v>0</v>
      </c>
      <c r="Y104" s="400">
        <v>0</v>
      </c>
      <c r="Z104" s="400">
        <v>0</v>
      </c>
      <c r="AA104" s="400">
        <v>0</v>
      </c>
      <c r="AB104" s="327">
        <v>2020</v>
      </c>
      <c r="AD104" s="4" t="e">
        <v>#N/A</v>
      </c>
    </row>
    <row r="105" spans="1:30" s="4" customFormat="1" ht="35.25" customHeight="1" x14ac:dyDescent="0.5">
      <c r="A105" s="4">
        <v>1</v>
      </c>
      <c r="B105" s="171">
        <f>SUBTOTAL(103,$A$8:A105)</f>
        <v>96</v>
      </c>
      <c r="C105" s="402" t="s">
        <v>1960</v>
      </c>
      <c r="D105" s="324">
        <f t="shared" si="5"/>
        <v>1475513.91</v>
      </c>
      <c r="E105" s="400">
        <v>0</v>
      </c>
      <c r="F105" s="400">
        <v>0</v>
      </c>
      <c r="G105" s="400">
        <v>0</v>
      </c>
      <c r="H105" s="400">
        <v>0</v>
      </c>
      <c r="I105" s="400">
        <v>0</v>
      </c>
      <c r="J105" s="400">
        <v>0</v>
      </c>
      <c r="K105" s="401">
        <v>0</v>
      </c>
      <c r="L105" s="400">
        <v>0</v>
      </c>
      <c r="M105" s="400">
        <v>1475513.91</v>
      </c>
      <c r="N105" s="400">
        <v>0</v>
      </c>
      <c r="O105" s="400">
        <v>0</v>
      </c>
      <c r="P105" s="400">
        <v>0</v>
      </c>
      <c r="Q105" s="400">
        <v>0</v>
      </c>
      <c r="R105" s="400">
        <v>0</v>
      </c>
      <c r="S105" s="400">
        <v>0</v>
      </c>
      <c r="T105" s="400">
        <v>0</v>
      </c>
      <c r="U105" s="400">
        <v>0</v>
      </c>
      <c r="V105" s="400">
        <v>0</v>
      </c>
      <c r="W105" s="400">
        <v>0</v>
      </c>
      <c r="X105" s="400">
        <v>0</v>
      </c>
      <c r="Y105" s="400">
        <v>0</v>
      </c>
      <c r="Z105" s="400">
        <v>0</v>
      </c>
      <c r="AA105" s="400">
        <v>0</v>
      </c>
      <c r="AB105" s="327">
        <v>2020</v>
      </c>
      <c r="AD105" s="4" t="e">
        <v>#N/A</v>
      </c>
    </row>
    <row r="106" spans="1:30" s="4" customFormat="1" ht="35.25" customHeight="1" x14ac:dyDescent="0.5">
      <c r="A106" s="4">
        <v>1</v>
      </c>
      <c r="B106" s="171">
        <f>SUBTOTAL(103,$A$8:A106)</f>
        <v>97</v>
      </c>
      <c r="C106" s="402" t="s">
        <v>1961</v>
      </c>
      <c r="D106" s="324">
        <f t="shared" si="5"/>
        <v>256701.14</v>
      </c>
      <c r="E106" s="400">
        <v>0</v>
      </c>
      <c r="F106" s="400">
        <v>0</v>
      </c>
      <c r="G106" s="400">
        <v>0</v>
      </c>
      <c r="H106" s="400">
        <v>0</v>
      </c>
      <c r="I106" s="400">
        <v>0</v>
      </c>
      <c r="J106" s="400">
        <v>0</v>
      </c>
      <c r="K106" s="401">
        <v>0</v>
      </c>
      <c r="L106" s="400">
        <v>0</v>
      </c>
      <c r="M106" s="400">
        <v>0</v>
      </c>
      <c r="N106" s="400">
        <v>0</v>
      </c>
      <c r="O106" s="400">
        <v>256701.14</v>
      </c>
      <c r="P106" s="400">
        <v>0</v>
      </c>
      <c r="Q106" s="400">
        <v>0</v>
      </c>
      <c r="R106" s="400">
        <v>0</v>
      </c>
      <c r="S106" s="400">
        <v>0</v>
      </c>
      <c r="T106" s="400">
        <v>0</v>
      </c>
      <c r="U106" s="400">
        <v>0</v>
      </c>
      <c r="V106" s="400">
        <v>0</v>
      </c>
      <c r="W106" s="400">
        <v>0</v>
      </c>
      <c r="X106" s="400">
        <v>0</v>
      </c>
      <c r="Y106" s="400">
        <v>0</v>
      </c>
      <c r="Z106" s="400">
        <v>0</v>
      </c>
      <c r="AA106" s="400">
        <v>0</v>
      </c>
      <c r="AB106" s="327">
        <v>2020</v>
      </c>
      <c r="AD106" s="4" t="e">
        <v>#N/A</v>
      </c>
    </row>
    <row r="107" spans="1:30" s="4" customFormat="1" ht="35.25" customHeight="1" x14ac:dyDescent="0.5">
      <c r="A107" s="4">
        <v>1</v>
      </c>
      <c r="B107" s="171">
        <f>SUBTOTAL(103,$A$8:A107)</f>
        <v>98</v>
      </c>
      <c r="C107" s="402" t="s">
        <v>1962</v>
      </c>
      <c r="D107" s="324">
        <f t="shared" si="5"/>
        <v>428327</v>
      </c>
      <c r="E107" s="400">
        <v>0</v>
      </c>
      <c r="F107" s="400">
        <v>0</v>
      </c>
      <c r="G107" s="400">
        <v>0</v>
      </c>
      <c r="H107" s="400">
        <v>0</v>
      </c>
      <c r="I107" s="400">
        <v>0</v>
      </c>
      <c r="J107" s="400">
        <v>0</v>
      </c>
      <c r="K107" s="401">
        <v>0</v>
      </c>
      <c r="L107" s="400">
        <v>0</v>
      </c>
      <c r="M107" s="400">
        <v>0</v>
      </c>
      <c r="N107" s="400">
        <v>35600</v>
      </c>
      <c r="O107" s="400">
        <v>392727</v>
      </c>
      <c r="P107" s="400">
        <v>0</v>
      </c>
      <c r="Q107" s="400">
        <v>0</v>
      </c>
      <c r="R107" s="400">
        <v>0</v>
      </c>
      <c r="S107" s="400">
        <v>0</v>
      </c>
      <c r="T107" s="400">
        <v>0</v>
      </c>
      <c r="U107" s="400">
        <v>0</v>
      </c>
      <c r="V107" s="400">
        <v>0</v>
      </c>
      <c r="W107" s="400">
        <v>0</v>
      </c>
      <c r="X107" s="400">
        <v>0</v>
      </c>
      <c r="Y107" s="400">
        <v>0</v>
      </c>
      <c r="Z107" s="400">
        <v>0</v>
      </c>
      <c r="AA107" s="400">
        <v>0</v>
      </c>
      <c r="AB107" s="327">
        <v>2020</v>
      </c>
      <c r="AD107" s="4" t="e">
        <v>#N/A</v>
      </c>
    </row>
    <row r="108" spans="1:30" s="4" customFormat="1" ht="35.25" customHeight="1" x14ac:dyDescent="0.5">
      <c r="A108" s="4">
        <v>1</v>
      </c>
      <c r="B108" s="171">
        <f>SUBTOTAL(103,$A$8:A108)</f>
        <v>99</v>
      </c>
      <c r="C108" s="402" t="s">
        <v>1963</v>
      </c>
      <c r="D108" s="324">
        <f t="shared" si="5"/>
        <v>351887.78</v>
      </c>
      <c r="E108" s="400">
        <v>0</v>
      </c>
      <c r="F108" s="400">
        <v>0</v>
      </c>
      <c r="G108" s="400">
        <v>351887.78</v>
      </c>
      <c r="H108" s="400">
        <v>0</v>
      </c>
      <c r="I108" s="400">
        <v>0</v>
      </c>
      <c r="J108" s="400">
        <v>0</v>
      </c>
      <c r="K108" s="401">
        <v>0</v>
      </c>
      <c r="L108" s="400">
        <v>0</v>
      </c>
      <c r="M108" s="400">
        <v>0</v>
      </c>
      <c r="N108" s="400">
        <v>0</v>
      </c>
      <c r="O108" s="400">
        <v>0</v>
      </c>
      <c r="P108" s="400">
        <v>0</v>
      </c>
      <c r="Q108" s="400">
        <v>0</v>
      </c>
      <c r="R108" s="400">
        <v>0</v>
      </c>
      <c r="S108" s="400">
        <v>0</v>
      </c>
      <c r="T108" s="400">
        <v>0</v>
      </c>
      <c r="U108" s="400">
        <v>0</v>
      </c>
      <c r="V108" s="400">
        <v>0</v>
      </c>
      <c r="W108" s="400">
        <v>0</v>
      </c>
      <c r="X108" s="400">
        <v>0</v>
      </c>
      <c r="Y108" s="400">
        <v>0</v>
      </c>
      <c r="Z108" s="400">
        <v>0</v>
      </c>
      <c r="AA108" s="400">
        <v>0</v>
      </c>
      <c r="AB108" s="327">
        <v>2020</v>
      </c>
      <c r="AD108" s="4" t="e">
        <v>#N/A</v>
      </c>
    </row>
    <row r="109" spans="1:30" s="4" customFormat="1" ht="35.25" customHeight="1" x14ac:dyDescent="0.5">
      <c r="A109" s="4">
        <v>1</v>
      </c>
      <c r="B109" s="171">
        <f>SUBTOTAL(103,$A$8:A109)</f>
        <v>100</v>
      </c>
      <c r="C109" s="402" t="s">
        <v>1964</v>
      </c>
      <c r="D109" s="324">
        <f t="shared" si="5"/>
        <v>459499</v>
      </c>
      <c r="E109" s="400">
        <v>0</v>
      </c>
      <c r="F109" s="400">
        <v>370499</v>
      </c>
      <c r="G109" s="400">
        <v>0</v>
      </c>
      <c r="H109" s="400">
        <v>0</v>
      </c>
      <c r="I109" s="400">
        <v>0</v>
      </c>
      <c r="J109" s="400">
        <v>0</v>
      </c>
      <c r="K109" s="401">
        <v>0</v>
      </c>
      <c r="L109" s="400">
        <v>0</v>
      </c>
      <c r="M109" s="400">
        <v>0</v>
      </c>
      <c r="N109" s="400">
        <v>0</v>
      </c>
      <c r="O109" s="400">
        <v>0</v>
      </c>
      <c r="P109" s="400">
        <v>0</v>
      </c>
      <c r="Q109" s="400">
        <v>0</v>
      </c>
      <c r="R109" s="400">
        <v>0</v>
      </c>
      <c r="S109" s="400">
        <v>0</v>
      </c>
      <c r="T109" s="400">
        <v>0</v>
      </c>
      <c r="U109" s="400">
        <v>0</v>
      </c>
      <c r="V109" s="400">
        <v>0</v>
      </c>
      <c r="W109" s="400">
        <v>0</v>
      </c>
      <c r="X109" s="400">
        <v>0</v>
      </c>
      <c r="Y109" s="400">
        <v>0</v>
      </c>
      <c r="Z109" s="400">
        <v>89000</v>
      </c>
      <c r="AA109" s="400">
        <v>0</v>
      </c>
      <c r="AB109" s="327">
        <v>2020</v>
      </c>
      <c r="AD109" s="4" t="e">
        <v>#N/A</v>
      </c>
    </row>
    <row r="110" spans="1:30" s="4" customFormat="1" ht="35.25" customHeight="1" x14ac:dyDescent="0.5">
      <c r="A110" s="4">
        <v>1</v>
      </c>
      <c r="B110" s="171">
        <f>SUBTOTAL(103,$A$8:A110)</f>
        <v>101</v>
      </c>
      <c r="C110" s="402" t="s">
        <v>1965</v>
      </c>
      <c r="D110" s="324">
        <f t="shared" si="5"/>
        <v>349658</v>
      </c>
      <c r="E110" s="400">
        <v>0</v>
      </c>
      <c r="F110" s="400">
        <v>0</v>
      </c>
      <c r="G110" s="400">
        <v>0</v>
      </c>
      <c r="H110" s="400">
        <v>0</v>
      </c>
      <c r="I110" s="400">
        <v>0</v>
      </c>
      <c r="J110" s="400">
        <v>0</v>
      </c>
      <c r="K110" s="401">
        <v>0</v>
      </c>
      <c r="L110" s="400">
        <v>0</v>
      </c>
      <c r="M110" s="400">
        <v>349658</v>
      </c>
      <c r="N110" s="400">
        <v>0</v>
      </c>
      <c r="O110" s="400">
        <v>0</v>
      </c>
      <c r="P110" s="400">
        <v>0</v>
      </c>
      <c r="Q110" s="400">
        <v>0</v>
      </c>
      <c r="R110" s="400">
        <v>0</v>
      </c>
      <c r="S110" s="400">
        <v>0</v>
      </c>
      <c r="T110" s="400">
        <v>0</v>
      </c>
      <c r="U110" s="400">
        <v>0</v>
      </c>
      <c r="V110" s="400">
        <v>0</v>
      </c>
      <c r="W110" s="400">
        <v>0</v>
      </c>
      <c r="X110" s="400">
        <v>0</v>
      </c>
      <c r="Y110" s="400">
        <v>0</v>
      </c>
      <c r="Z110" s="400">
        <v>0</v>
      </c>
      <c r="AA110" s="400">
        <v>0</v>
      </c>
      <c r="AB110" s="327">
        <v>2020</v>
      </c>
      <c r="AD110" s="4" t="e">
        <v>#N/A</v>
      </c>
    </row>
    <row r="111" spans="1:30" s="4" customFormat="1" ht="35.25" customHeight="1" x14ac:dyDescent="0.5">
      <c r="A111" s="4">
        <v>1</v>
      </c>
      <c r="B111" s="171">
        <f>SUBTOTAL(103,$A$8:A111)</f>
        <v>102</v>
      </c>
      <c r="C111" s="402" t="s">
        <v>1966</v>
      </c>
      <c r="D111" s="324">
        <f t="shared" si="5"/>
        <v>883385</v>
      </c>
      <c r="E111" s="400">
        <v>0</v>
      </c>
      <c r="F111" s="400">
        <v>0</v>
      </c>
      <c r="G111" s="400">
        <v>0</v>
      </c>
      <c r="H111" s="400">
        <v>0</v>
      </c>
      <c r="I111" s="400">
        <v>883385</v>
      </c>
      <c r="J111" s="400">
        <v>0</v>
      </c>
      <c r="K111" s="401">
        <v>0</v>
      </c>
      <c r="L111" s="400">
        <v>0</v>
      </c>
      <c r="M111" s="400">
        <v>0</v>
      </c>
      <c r="N111" s="400">
        <v>0</v>
      </c>
      <c r="O111" s="400">
        <v>0</v>
      </c>
      <c r="P111" s="400">
        <v>0</v>
      </c>
      <c r="Q111" s="400">
        <v>0</v>
      </c>
      <c r="R111" s="400">
        <v>0</v>
      </c>
      <c r="S111" s="400">
        <v>0</v>
      </c>
      <c r="T111" s="400">
        <v>0</v>
      </c>
      <c r="U111" s="400">
        <v>0</v>
      </c>
      <c r="V111" s="400">
        <v>0</v>
      </c>
      <c r="W111" s="400">
        <v>0</v>
      </c>
      <c r="X111" s="400">
        <v>0</v>
      </c>
      <c r="Y111" s="400">
        <v>0</v>
      </c>
      <c r="Z111" s="400">
        <v>0</v>
      </c>
      <c r="AA111" s="400">
        <v>0</v>
      </c>
      <c r="AB111" s="327">
        <v>2020</v>
      </c>
      <c r="AD111" s="4" t="e">
        <v>#N/A</v>
      </c>
    </row>
    <row r="112" spans="1:30" s="4" customFormat="1" ht="35.25" customHeight="1" x14ac:dyDescent="0.5">
      <c r="A112" s="4">
        <v>1</v>
      </c>
      <c r="B112" s="171">
        <f>SUBTOTAL(103,$A$8:A112)</f>
        <v>103</v>
      </c>
      <c r="C112" s="402" t="s">
        <v>1967</v>
      </c>
      <c r="D112" s="324">
        <f t="shared" si="5"/>
        <v>1287000</v>
      </c>
      <c r="E112" s="400">
        <v>0</v>
      </c>
      <c r="F112" s="400">
        <v>0</v>
      </c>
      <c r="G112" s="400">
        <v>0</v>
      </c>
      <c r="H112" s="400">
        <v>0</v>
      </c>
      <c r="I112" s="400">
        <v>0</v>
      </c>
      <c r="J112" s="400">
        <v>0</v>
      </c>
      <c r="K112" s="401">
        <v>0</v>
      </c>
      <c r="L112" s="400">
        <v>0</v>
      </c>
      <c r="M112" s="400">
        <v>1287000</v>
      </c>
      <c r="N112" s="400">
        <v>0</v>
      </c>
      <c r="O112" s="400">
        <v>0</v>
      </c>
      <c r="P112" s="400">
        <v>0</v>
      </c>
      <c r="Q112" s="400">
        <v>0</v>
      </c>
      <c r="R112" s="400">
        <v>0</v>
      </c>
      <c r="S112" s="400">
        <v>0</v>
      </c>
      <c r="T112" s="400">
        <v>0</v>
      </c>
      <c r="U112" s="400">
        <v>0</v>
      </c>
      <c r="V112" s="400">
        <v>0</v>
      </c>
      <c r="W112" s="400">
        <v>0</v>
      </c>
      <c r="X112" s="400">
        <v>0</v>
      </c>
      <c r="Y112" s="400">
        <v>0</v>
      </c>
      <c r="Z112" s="400">
        <v>0</v>
      </c>
      <c r="AA112" s="400">
        <v>0</v>
      </c>
      <c r="AB112" s="327">
        <v>2020</v>
      </c>
      <c r="AD112" s="4" t="e">
        <v>#N/A</v>
      </c>
    </row>
    <row r="113" spans="1:30" s="4" customFormat="1" ht="35.25" customHeight="1" x14ac:dyDescent="0.5">
      <c r="A113" s="4">
        <v>1</v>
      </c>
      <c r="B113" s="171">
        <f>SUBTOTAL(103,$A$8:A113)</f>
        <v>104</v>
      </c>
      <c r="C113" s="402" t="s">
        <v>1968</v>
      </c>
      <c r="D113" s="324">
        <f t="shared" si="5"/>
        <v>1372008</v>
      </c>
      <c r="E113" s="400">
        <v>0</v>
      </c>
      <c r="F113" s="400">
        <v>0</v>
      </c>
      <c r="G113" s="400">
        <v>0</v>
      </c>
      <c r="H113" s="400">
        <v>0</v>
      </c>
      <c r="I113" s="400">
        <v>0</v>
      </c>
      <c r="J113" s="400">
        <v>0</v>
      </c>
      <c r="K113" s="401">
        <v>0</v>
      </c>
      <c r="L113" s="400">
        <v>0</v>
      </c>
      <c r="M113" s="400">
        <v>0</v>
      </c>
      <c r="N113" s="400">
        <v>0</v>
      </c>
      <c r="O113" s="400">
        <v>1372008</v>
      </c>
      <c r="P113" s="400">
        <v>0</v>
      </c>
      <c r="Q113" s="400">
        <v>0</v>
      </c>
      <c r="R113" s="400">
        <v>0</v>
      </c>
      <c r="S113" s="400">
        <v>0</v>
      </c>
      <c r="T113" s="400">
        <v>0</v>
      </c>
      <c r="U113" s="400">
        <v>0</v>
      </c>
      <c r="V113" s="400">
        <v>0</v>
      </c>
      <c r="W113" s="400">
        <v>0</v>
      </c>
      <c r="X113" s="400">
        <v>0</v>
      </c>
      <c r="Y113" s="400">
        <v>0</v>
      </c>
      <c r="Z113" s="400">
        <v>0</v>
      </c>
      <c r="AA113" s="400">
        <v>0</v>
      </c>
      <c r="AB113" s="327">
        <v>2020</v>
      </c>
      <c r="AD113" s="4" t="e">
        <v>#N/A</v>
      </c>
    </row>
    <row r="114" spans="1:30" s="4" customFormat="1" ht="35.25" customHeight="1" x14ac:dyDescent="0.5">
      <c r="A114" s="4">
        <v>1</v>
      </c>
      <c r="B114" s="171">
        <f>SUBTOTAL(103,$A$8:A114)</f>
        <v>105</v>
      </c>
      <c r="C114" s="402" t="s">
        <v>1969</v>
      </c>
      <c r="D114" s="324">
        <f t="shared" si="5"/>
        <v>478936.86</v>
      </c>
      <c r="E114" s="400">
        <v>0</v>
      </c>
      <c r="F114" s="400">
        <v>0</v>
      </c>
      <c r="G114" s="400">
        <v>0</v>
      </c>
      <c r="H114" s="400">
        <v>0</v>
      </c>
      <c r="I114" s="400">
        <v>0</v>
      </c>
      <c r="J114" s="400">
        <v>0</v>
      </c>
      <c r="K114" s="401">
        <v>0</v>
      </c>
      <c r="L114" s="400">
        <v>0</v>
      </c>
      <c r="M114" s="400">
        <v>0</v>
      </c>
      <c r="N114" s="400">
        <v>0</v>
      </c>
      <c r="O114" s="400">
        <v>478936.86</v>
      </c>
      <c r="P114" s="400">
        <v>0</v>
      </c>
      <c r="Q114" s="400">
        <v>0</v>
      </c>
      <c r="R114" s="400">
        <v>0</v>
      </c>
      <c r="S114" s="400">
        <v>0</v>
      </c>
      <c r="T114" s="400">
        <v>0</v>
      </c>
      <c r="U114" s="400">
        <v>0</v>
      </c>
      <c r="V114" s="400">
        <v>0</v>
      </c>
      <c r="W114" s="400">
        <v>0</v>
      </c>
      <c r="X114" s="400">
        <v>0</v>
      </c>
      <c r="Y114" s="400">
        <v>0</v>
      </c>
      <c r="Z114" s="400">
        <v>0</v>
      </c>
      <c r="AA114" s="400">
        <v>0</v>
      </c>
      <c r="AB114" s="327">
        <v>2020</v>
      </c>
      <c r="AD114" s="4" t="e">
        <v>#N/A</v>
      </c>
    </row>
    <row r="115" spans="1:30" s="4" customFormat="1" ht="35.25" customHeight="1" x14ac:dyDescent="0.5">
      <c r="A115" s="4">
        <v>1</v>
      </c>
      <c r="B115" s="171">
        <f>SUBTOTAL(103,$A$8:A115)</f>
        <v>106</v>
      </c>
      <c r="C115" s="402" t="s">
        <v>1970</v>
      </c>
      <c r="D115" s="324">
        <f t="shared" si="5"/>
        <v>2071816</v>
      </c>
      <c r="E115" s="400">
        <v>0</v>
      </c>
      <c r="F115" s="400">
        <v>0</v>
      </c>
      <c r="G115" s="400">
        <v>0</v>
      </c>
      <c r="H115" s="400">
        <v>0</v>
      </c>
      <c r="I115" s="400">
        <v>0</v>
      </c>
      <c r="J115" s="400">
        <v>0</v>
      </c>
      <c r="K115" s="401">
        <v>1</v>
      </c>
      <c r="L115" s="400">
        <v>2071816</v>
      </c>
      <c r="M115" s="400">
        <v>0</v>
      </c>
      <c r="N115" s="400">
        <v>0</v>
      </c>
      <c r="O115" s="400">
        <v>0</v>
      </c>
      <c r="P115" s="400">
        <v>0</v>
      </c>
      <c r="Q115" s="400">
        <v>0</v>
      </c>
      <c r="R115" s="400">
        <v>0</v>
      </c>
      <c r="S115" s="400">
        <v>0</v>
      </c>
      <c r="T115" s="400">
        <v>0</v>
      </c>
      <c r="U115" s="400">
        <v>0</v>
      </c>
      <c r="V115" s="400">
        <v>0</v>
      </c>
      <c r="W115" s="400">
        <v>0</v>
      </c>
      <c r="X115" s="400">
        <v>0</v>
      </c>
      <c r="Y115" s="400">
        <v>0</v>
      </c>
      <c r="Z115" s="400">
        <v>0</v>
      </c>
      <c r="AA115" s="400">
        <v>0</v>
      </c>
      <c r="AB115" s="327">
        <v>2020</v>
      </c>
      <c r="AD115" s="4" t="e">
        <v>#N/A</v>
      </c>
    </row>
    <row r="116" spans="1:30" s="4" customFormat="1" ht="35.25" customHeight="1" x14ac:dyDescent="0.5">
      <c r="A116" s="4">
        <v>1</v>
      </c>
      <c r="B116" s="171">
        <f>SUBTOTAL(103,$A$8:A116)</f>
        <v>107</v>
      </c>
      <c r="C116" s="402" t="s">
        <v>1971</v>
      </c>
      <c r="D116" s="324">
        <f t="shared" si="5"/>
        <v>537756.66999999993</v>
      </c>
      <c r="E116" s="400">
        <v>0</v>
      </c>
      <c r="F116" s="400">
        <v>0</v>
      </c>
      <c r="G116" s="400">
        <v>0</v>
      </c>
      <c r="H116" s="400">
        <v>0</v>
      </c>
      <c r="I116" s="400">
        <v>0</v>
      </c>
      <c r="J116" s="400">
        <v>0</v>
      </c>
      <c r="K116" s="401">
        <v>0</v>
      </c>
      <c r="L116" s="400">
        <v>0</v>
      </c>
      <c r="M116" s="400">
        <v>0</v>
      </c>
      <c r="N116" s="400">
        <v>0</v>
      </c>
      <c r="O116" s="400">
        <f>137165.94+400590.73</f>
        <v>537756.66999999993</v>
      </c>
      <c r="P116" s="400">
        <v>0</v>
      </c>
      <c r="Q116" s="400">
        <v>0</v>
      </c>
      <c r="R116" s="400">
        <v>0</v>
      </c>
      <c r="S116" s="400">
        <v>0</v>
      </c>
      <c r="T116" s="400">
        <v>0</v>
      </c>
      <c r="U116" s="400">
        <v>0</v>
      </c>
      <c r="V116" s="400">
        <v>0</v>
      </c>
      <c r="W116" s="400">
        <v>0</v>
      </c>
      <c r="X116" s="400">
        <v>0</v>
      </c>
      <c r="Y116" s="400">
        <v>0</v>
      </c>
      <c r="Z116" s="400">
        <v>0</v>
      </c>
      <c r="AA116" s="400">
        <v>0</v>
      </c>
      <c r="AB116" s="327">
        <v>2020</v>
      </c>
      <c r="AD116" s="4" t="e">
        <v>#N/A</v>
      </c>
    </row>
    <row r="117" spans="1:30" s="4" customFormat="1" ht="35.25" customHeight="1" x14ac:dyDescent="0.5">
      <c r="A117" s="4">
        <v>1</v>
      </c>
      <c r="B117" s="171">
        <f>SUBTOTAL(103,$A$8:A117)</f>
        <v>108</v>
      </c>
      <c r="C117" s="402" t="s">
        <v>2471</v>
      </c>
      <c r="D117" s="324">
        <f t="shared" si="5"/>
        <v>32281.66</v>
      </c>
      <c r="E117" s="400">
        <v>0</v>
      </c>
      <c r="F117" s="400">
        <v>0</v>
      </c>
      <c r="G117" s="400">
        <v>0</v>
      </c>
      <c r="H117" s="400">
        <v>0</v>
      </c>
      <c r="I117" s="400">
        <v>0</v>
      </c>
      <c r="J117" s="400">
        <v>0</v>
      </c>
      <c r="K117" s="401">
        <v>0</v>
      </c>
      <c r="L117" s="400">
        <v>0</v>
      </c>
      <c r="M117" s="400">
        <v>0</v>
      </c>
      <c r="N117" s="400">
        <v>0</v>
      </c>
      <c r="O117" s="400">
        <v>32281.66</v>
      </c>
      <c r="P117" s="400">
        <v>0</v>
      </c>
      <c r="Q117" s="400">
        <v>0</v>
      </c>
      <c r="R117" s="400">
        <v>0</v>
      </c>
      <c r="S117" s="400">
        <v>0</v>
      </c>
      <c r="T117" s="400">
        <v>0</v>
      </c>
      <c r="U117" s="400">
        <v>0</v>
      </c>
      <c r="V117" s="400">
        <v>0</v>
      </c>
      <c r="W117" s="400">
        <v>0</v>
      </c>
      <c r="X117" s="400">
        <v>0</v>
      </c>
      <c r="Y117" s="400">
        <v>0</v>
      </c>
      <c r="Z117" s="400">
        <v>0</v>
      </c>
      <c r="AA117" s="400">
        <v>0</v>
      </c>
      <c r="AB117" s="327">
        <v>2020</v>
      </c>
      <c r="AD117" s="4">
        <v>0</v>
      </c>
    </row>
    <row r="118" spans="1:30" s="4" customFormat="1" ht="35.25" customHeight="1" x14ac:dyDescent="0.5">
      <c r="A118" s="4">
        <v>1</v>
      </c>
      <c r="B118" s="171">
        <f>SUBTOTAL(103,$A$8:A118)</f>
        <v>109</v>
      </c>
      <c r="C118" s="402" t="s">
        <v>1972</v>
      </c>
      <c r="D118" s="324">
        <f t="shared" si="5"/>
        <v>455847</v>
      </c>
      <c r="E118" s="400">
        <v>0</v>
      </c>
      <c r="F118" s="400">
        <v>0</v>
      </c>
      <c r="G118" s="400">
        <v>0</v>
      </c>
      <c r="H118" s="400">
        <v>0</v>
      </c>
      <c r="I118" s="400">
        <v>0</v>
      </c>
      <c r="J118" s="400">
        <v>0</v>
      </c>
      <c r="K118" s="401">
        <v>0</v>
      </c>
      <c r="L118" s="400">
        <v>0</v>
      </c>
      <c r="M118" s="400">
        <v>0</v>
      </c>
      <c r="N118" s="400">
        <v>455847</v>
      </c>
      <c r="O118" s="400">
        <v>0</v>
      </c>
      <c r="P118" s="400">
        <v>0</v>
      </c>
      <c r="Q118" s="400">
        <v>0</v>
      </c>
      <c r="R118" s="400">
        <v>0</v>
      </c>
      <c r="S118" s="400">
        <v>0</v>
      </c>
      <c r="T118" s="400">
        <v>0</v>
      </c>
      <c r="U118" s="400">
        <v>0</v>
      </c>
      <c r="V118" s="400">
        <v>0</v>
      </c>
      <c r="W118" s="400">
        <v>0</v>
      </c>
      <c r="X118" s="400">
        <v>0</v>
      </c>
      <c r="Y118" s="400">
        <v>0</v>
      </c>
      <c r="Z118" s="400">
        <v>0</v>
      </c>
      <c r="AA118" s="400">
        <v>0</v>
      </c>
      <c r="AB118" s="327">
        <v>2020</v>
      </c>
      <c r="AD118" s="4" t="e">
        <v>#N/A</v>
      </c>
    </row>
    <row r="119" spans="1:30" s="4" customFormat="1" ht="35.25" customHeight="1" x14ac:dyDescent="0.5">
      <c r="A119" s="4">
        <v>1</v>
      </c>
      <c r="B119" s="171">
        <f>SUBTOTAL(103,$A$8:A119)</f>
        <v>110</v>
      </c>
      <c r="C119" s="402" t="s">
        <v>1973</v>
      </c>
      <c r="D119" s="324">
        <f t="shared" si="5"/>
        <v>1902802</v>
      </c>
      <c r="E119" s="400">
        <v>0</v>
      </c>
      <c r="F119" s="400">
        <v>0</v>
      </c>
      <c r="G119" s="400">
        <v>0</v>
      </c>
      <c r="H119" s="400">
        <v>0</v>
      </c>
      <c r="I119" s="400">
        <v>0</v>
      </c>
      <c r="J119" s="400">
        <v>0</v>
      </c>
      <c r="K119" s="401">
        <v>0</v>
      </c>
      <c r="L119" s="400">
        <v>0</v>
      </c>
      <c r="M119" s="400">
        <v>0</v>
      </c>
      <c r="N119" s="400">
        <v>0</v>
      </c>
      <c r="O119" s="400">
        <v>1902802</v>
      </c>
      <c r="P119" s="400">
        <v>0</v>
      </c>
      <c r="Q119" s="400">
        <v>0</v>
      </c>
      <c r="R119" s="400">
        <v>0</v>
      </c>
      <c r="S119" s="400">
        <v>0</v>
      </c>
      <c r="T119" s="400">
        <v>0</v>
      </c>
      <c r="U119" s="400">
        <v>0</v>
      </c>
      <c r="V119" s="400">
        <v>0</v>
      </c>
      <c r="W119" s="400">
        <v>0</v>
      </c>
      <c r="X119" s="400">
        <v>0</v>
      </c>
      <c r="Y119" s="400">
        <v>0</v>
      </c>
      <c r="Z119" s="400">
        <v>0</v>
      </c>
      <c r="AA119" s="400">
        <v>0</v>
      </c>
      <c r="AB119" s="327">
        <v>2020</v>
      </c>
      <c r="AD119" s="4" t="e">
        <v>#N/A</v>
      </c>
    </row>
    <row r="120" spans="1:30" s="4" customFormat="1" ht="35.25" customHeight="1" x14ac:dyDescent="0.5">
      <c r="A120" s="4">
        <v>1</v>
      </c>
      <c r="B120" s="171">
        <f>SUBTOTAL(103,$A$8:A120)</f>
        <v>111</v>
      </c>
      <c r="C120" s="323" t="s">
        <v>1974</v>
      </c>
      <c r="D120" s="324">
        <f t="shared" si="5"/>
        <v>625651.6</v>
      </c>
      <c r="E120" s="325">
        <v>0</v>
      </c>
      <c r="F120" s="325">
        <v>0</v>
      </c>
      <c r="G120" s="325">
        <v>0</v>
      </c>
      <c r="H120" s="325">
        <v>0</v>
      </c>
      <c r="I120" s="325">
        <v>0</v>
      </c>
      <c r="J120" s="325">
        <v>0</v>
      </c>
      <c r="K120" s="326">
        <v>0</v>
      </c>
      <c r="L120" s="325">
        <v>0</v>
      </c>
      <c r="M120" s="325">
        <v>625651.6</v>
      </c>
      <c r="N120" s="325">
        <v>0</v>
      </c>
      <c r="O120" s="325">
        <v>0</v>
      </c>
      <c r="P120" s="325">
        <v>0</v>
      </c>
      <c r="Q120" s="325">
        <v>0</v>
      </c>
      <c r="R120" s="325">
        <v>0</v>
      </c>
      <c r="S120" s="325">
        <v>0</v>
      </c>
      <c r="T120" s="325">
        <v>0</v>
      </c>
      <c r="U120" s="325">
        <v>0</v>
      </c>
      <c r="V120" s="325">
        <v>0</v>
      </c>
      <c r="W120" s="325">
        <v>0</v>
      </c>
      <c r="X120" s="325">
        <v>0</v>
      </c>
      <c r="Y120" s="325">
        <v>0</v>
      </c>
      <c r="Z120" s="325">
        <v>0</v>
      </c>
      <c r="AA120" s="325">
        <v>0</v>
      </c>
      <c r="AB120" s="327">
        <v>2020</v>
      </c>
      <c r="AD120" s="4" t="e">
        <v>#N/A</v>
      </c>
    </row>
    <row r="121" spans="1:30" s="4" customFormat="1" ht="35.25" customHeight="1" x14ac:dyDescent="0.5">
      <c r="A121" s="4">
        <v>1</v>
      </c>
      <c r="B121" s="171">
        <f>SUBTOTAL(103,$A$8:A121)</f>
        <v>112</v>
      </c>
      <c r="C121" s="323" t="s">
        <v>1975</v>
      </c>
      <c r="D121" s="324">
        <f t="shared" si="5"/>
        <v>1732658.14</v>
      </c>
      <c r="E121" s="325">
        <v>322129.44</v>
      </c>
      <c r="F121" s="325">
        <v>0</v>
      </c>
      <c r="G121" s="325">
        <v>152312</v>
      </c>
      <c r="H121" s="325">
        <v>0</v>
      </c>
      <c r="I121" s="325">
        <v>0</v>
      </c>
      <c r="J121" s="325">
        <v>0</v>
      </c>
      <c r="K121" s="326">
        <v>1</v>
      </c>
      <c r="L121" s="325">
        <v>81177</v>
      </c>
      <c r="M121" s="325">
        <v>0</v>
      </c>
      <c r="N121" s="325">
        <v>0</v>
      </c>
      <c r="O121" s="325">
        <v>1177039.7</v>
      </c>
      <c r="P121" s="325">
        <v>0</v>
      </c>
      <c r="Q121" s="325">
        <v>0</v>
      </c>
      <c r="R121" s="325">
        <v>0</v>
      </c>
      <c r="S121" s="325">
        <v>0</v>
      </c>
      <c r="T121" s="325">
        <v>0</v>
      </c>
      <c r="U121" s="325">
        <v>0</v>
      </c>
      <c r="V121" s="325">
        <v>0</v>
      </c>
      <c r="W121" s="325">
        <v>0</v>
      </c>
      <c r="X121" s="325">
        <v>0</v>
      </c>
      <c r="Y121" s="325">
        <v>0</v>
      </c>
      <c r="Z121" s="325">
        <v>0</v>
      </c>
      <c r="AA121" s="325">
        <v>0</v>
      </c>
      <c r="AB121" s="327">
        <v>2020</v>
      </c>
      <c r="AD121" s="4">
        <v>0</v>
      </c>
    </row>
    <row r="122" spans="1:30" s="4" customFormat="1" ht="35.25" customHeight="1" x14ac:dyDescent="0.5">
      <c r="A122" s="4">
        <v>1</v>
      </c>
      <c r="B122" s="171">
        <f>SUBTOTAL(103,$A$8:A122)</f>
        <v>113</v>
      </c>
      <c r="C122" s="323" t="s">
        <v>1976</v>
      </c>
      <c r="D122" s="324">
        <f t="shared" si="5"/>
        <v>279192.32000000001</v>
      </c>
      <c r="E122" s="325">
        <v>0</v>
      </c>
      <c r="F122" s="325">
        <v>0</v>
      </c>
      <c r="G122" s="325">
        <v>0</v>
      </c>
      <c r="H122" s="325">
        <v>0</v>
      </c>
      <c r="I122" s="325">
        <v>0</v>
      </c>
      <c r="J122" s="325">
        <v>0</v>
      </c>
      <c r="K122" s="326">
        <v>0</v>
      </c>
      <c r="L122" s="325">
        <v>0</v>
      </c>
      <c r="M122" s="325">
        <v>0</v>
      </c>
      <c r="N122" s="325">
        <v>0</v>
      </c>
      <c r="O122" s="325">
        <v>279192.32000000001</v>
      </c>
      <c r="P122" s="325">
        <v>0</v>
      </c>
      <c r="Q122" s="325">
        <v>0</v>
      </c>
      <c r="R122" s="325">
        <v>0</v>
      </c>
      <c r="S122" s="325">
        <v>0</v>
      </c>
      <c r="T122" s="325">
        <v>0</v>
      </c>
      <c r="U122" s="325">
        <v>0</v>
      </c>
      <c r="V122" s="325">
        <v>0</v>
      </c>
      <c r="W122" s="325">
        <v>0</v>
      </c>
      <c r="X122" s="325">
        <v>0</v>
      </c>
      <c r="Y122" s="325">
        <v>0</v>
      </c>
      <c r="Z122" s="325">
        <v>0</v>
      </c>
      <c r="AA122" s="325">
        <v>0</v>
      </c>
      <c r="AB122" s="327">
        <v>2020</v>
      </c>
      <c r="AD122" s="4" t="e">
        <v>#N/A</v>
      </c>
    </row>
    <row r="123" spans="1:30" s="4" customFormat="1" ht="35.25" customHeight="1" x14ac:dyDescent="0.5">
      <c r="A123" s="4">
        <v>1</v>
      </c>
      <c r="B123" s="171">
        <f>SUBTOTAL(103,$A$8:A123)</f>
        <v>114</v>
      </c>
      <c r="C123" s="323" t="s">
        <v>1977</v>
      </c>
      <c r="D123" s="324">
        <f t="shared" si="5"/>
        <v>170090</v>
      </c>
      <c r="E123" s="325">
        <v>0</v>
      </c>
      <c r="F123" s="325">
        <v>0</v>
      </c>
      <c r="G123" s="325">
        <v>0</v>
      </c>
      <c r="H123" s="325">
        <v>0</v>
      </c>
      <c r="I123" s="325">
        <v>0</v>
      </c>
      <c r="J123" s="325">
        <v>0</v>
      </c>
      <c r="K123" s="326">
        <v>0</v>
      </c>
      <c r="L123" s="325">
        <v>0</v>
      </c>
      <c r="M123" s="325">
        <v>0</v>
      </c>
      <c r="N123" s="325">
        <v>170090</v>
      </c>
      <c r="O123" s="325">
        <v>0</v>
      </c>
      <c r="P123" s="325">
        <v>0</v>
      </c>
      <c r="Q123" s="325">
        <v>0</v>
      </c>
      <c r="R123" s="325">
        <v>0</v>
      </c>
      <c r="S123" s="325">
        <v>0</v>
      </c>
      <c r="T123" s="325">
        <v>0</v>
      </c>
      <c r="U123" s="325">
        <v>0</v>
      </c>
      <c r="V123" s="325">
        <v>0</v>
      </c>
      <c r="W123" s="325">
        <v>0</v>
      </c>
      <c r="X123" s="325">
        <v>0</v>
      </c>
      <c r="Y123" s="325">
        <v>0</v>
      </c>
      <c r="Z123" s="325">
        <v>0</v>
      </c>
      <c r="AA123" s="325">
        <v>0</v>
      </c>
      <c r="AB123" s="327">
        <v>2020</v>
      </c>
      <c r="AD123" s="4" t="e">
        <v>#N/A</v>
      </c>
    </row>
    <row r="124" spans="1:30" s="4" customFormat="1" ht="35.25" customHeight="1" x14ac:dyDescent="0.5">
      <c r="A124" s="4">
        <v>1</v>
      </c>
      <c r="B124" s="171">
        <f>SUBTOTAL(103,$A$8:A124)</f>
        <v>115</v>
      </c>
      <c r="C124" s="323" t="s">
        <v>1978</v>
      </c>
      <c r="D124" s="324">
        <f t="shared" si="5"/>
        <v>992921</v>
      </c>
      <c r="E124" s="325">
        <v>0</v>
      </c>
      <c r="F124" s="325">
        <v>0</v>
      </c>
      <c r="G124" s="325">
        <v>0</v>
      </c>
      <c r="H124" s="325">
        <v>0</v>
      </c>
      <c r="I124" s="325">
        <v>0</v>
      </c>
      <c r="J124" s="325">
        <v>0</v>
      </c>
      <c r="K124" s="326">
        <v>0</v>
      </c>
      <c r="L124" s="325">
        <v>0</v>
      </c>
      <c r="M124" s="325">
        <v>954136</v>
      </c>
      <c r="N124" s="325">
        <v>0</v>
      </c>
      <c r="O124" s="325">
        <v>38785</v>
      </c>
      <c r="P124" s="325">
        <v>0</v>
      </c>
      <c r="Q124" s="325">
        <v>0</v>
      </c>
      <c r="R124" s="325">
        <v>0</v>
      </c>
      <c r="S124" s="325">
        <v>0</v>
      </c>
      <c r="T124" s="325">
        <v>0</v>
      </c>
      <c r="U124" s="325">
        <v>0</v>
      </c>
      <c r="V124" s="325">
        <v>0</v>
      </c>
      <c r="W124" s="325">
        <v>0</v>
      </c>
      <c r="X124" s="325">
        <v>0</v>
      </c>
      <c r="Y124" s="325">
        <v>0</v>
      </c>
      <c r="Z124" s="325">
        <v>0</v>
      </c>
      <c r="AA124" s="325">
        <v>0</v>
      </c>
      <c r="AB124" s="327">
        <v>2020</v>
      </c>
      <c r="AD124" s="4">
        <v>0</v>
      </c>
    </row>
    <row r="125" spans="1:30" s="4" customFormat="1" ht="35.25" customHeight="1" x14ac:dyDescent="0.5">
      <c r="A125" s="4">
        <v>1</v>
      </c>
      <c r="B125" s="171">
        <f>SUBTOTAL(103,$A$8:A125)</f>
        <v>116</v>
      </c>
      <c r="C125" s="323" t="s">
        <v>1979</v>
      </c>
      <c r="D125" s="324">
        <f t="shared" si="5"/>
        <v>277962</v>
      </c>
      <c r="E125" s="325">
        <v>0</v>
      </c>
      <c r="F125" s="325">
        <v>0</v>
      </c>
      <c r="G125" s="325">
        <v>0</v>
      </c>
      <c r="H125" s="325">
        <v>0</v>
      </c>
      <c r="I125" s="325">
        <v>0</v>
      </c>
      <c r="J125" s="325">
        <v>0</v>
      </c>
      <c r="K125" s="326">
        <v>0</v>
      </c>
      <c r="L125" s="325">
        <v>0</v>
      </c>
      <c r="M125" s="325">
        <v>0</v>
      </c>
      <c r="N125" s="325">
        <v>0</v>
      </c>
      <c r="O125" s="325">
        <v>277962</v>
      </c>
      <c r="P125" s="325">
        <v>0</v>
      </c>
      <c r="Q125" s="325">
        <v>0</v>
      </c>
      <c r="R125" s="325">
        <v>0</v>
      </c>
      <c r="S125" s="325">
        <v>0</v>
      </c>
      <c r="T125" s="325">
        <v>0</v>
      </c>
      <c r="U125" s="325">
        <v>0</v>
      </c>
      <c r="V125" s="325">
        <v>0</v>
      </c>
      <c r="W125" s="325">
        <v>0</v>
      </c>
      <c r="X125" s="325">
        <v>0</v>
      </c>
      <c r="Y125" s="325">
        <v>0</v>
      </c>
      <c r="Z125" s="325">
        <v>0</v>
      </c>
      <c r="AA125" s="325">
        <v>0</v>
      </c>
      <c r="AB125" s="327">
        <v>2020</v>
      </c>
      <c r="AD125" s="4" t="e">
        <v>#N/A</v>
      </c>
    </row>
    <row r="126" spans="1:30" s="4" customFormat="1" ht="35.25" customHeight="1" x14ac:dyDescent="0.5">
      <c r="A126" s="4">
        <v>1</v>
      </c>
      <c r="B126" s="171">
        <f>SUBTOTAL(103,$A$8:A126)</f>
        <v>117</v>
      </c>
      <c r="C126" s="323" t="s">
        <v>1980</v>
      </c>
      <c r="D126" s="324">
        <f t="shared" si="5"/>
        <v>610544</v>
      </c>
      <c r="E126" s="325">
        <v>0</v>
      </c>
      <c r="F126" s="325">
        <v>0</v>
      </c>
      <c r="G126" s="325">
        <v>0</v>
      </c>
      <c r="H126" s="325">
        <v>0</v>
      </c>
      <c r="I126" s="325">
        <v>0</v>
      </c>
      <c r="J126" s="325">
        <v>0</v>
      </c>
      <c r="K126" s="326">
        <v>0</v>
      </c>
      <c r="L126" s="325">
        <v>0</v>
      </c>
      <c r="M126" s="325">
        <v>610544</v>
      </c>
      <c r="N126" s="325">
        <v>0</v>
      </c>
      <c r="O126" s="325">
        <v>0</v>
      </c>
      <c r="P126" s="325">
        <v>0</v>
      </c>
      <c r="Q126" s="325">
        <v>0</v>
      </c>
      <c r="R126" s="325">
        <v>0</v>
      </c>
      <c r="S126" s="325">
        <v>0</v>
      </c>
      <c r="T126" s="325">
        <v>0</v>
      </c>
      <c r="U126" s="325">
        <v>0</v>
      </c>
      <c r="V126" s="325">
        <v>0</v>
      </c>
      <c r="W126" s="325">
        <v>0</v>
      </c>
      <c r="X126" s="325">
        <v>0</v>
      </c>
      <c r="Y126" s="325">
        <v>0</v>
      </c>
      <c r="Z126" s="325">
        <v>0</v>
      </c>
      <c r="AA126" s="325">
        <v>0</v>
      </c>
      <c r="AB126" s="327">
        <v>2020</v>
      </c>
      <c r="AD126" s="4">
        <v>0</v>
      </c>
    </row>
    <row r="127" spans="1:30" s="4" customFormat="1" ht="35.25" customHeight="1" x14ac:dyDescent="0.5">
      <c r="A127" s="4">
        <v>1</v>
      </c>
      <c r="B127" s="171">
        <f>SUBTOTAL(103,$A$8:A127)</f>
        <v>118</v>
      </c>
      <c r="C127" s="323" t="s">
        <v>1981</v>
      </c>
      <c r="D127" s="324">
        <f t="shared" si="5"/>
        <v>2009254.69</v>
      </c>
      <c r="E127" s="325">
        <v>0</v>
      </c>
      <c r="F127" s="325">
        <v>0</v>
      </c>
      <c r="G127" s="325">
        <v>0</v>
      </c>
      <c r="H127" s="325">
        <v>105390</v>
      </c>
      <c r="I127" s="325">
        <v>0</v>
      </c>
      <c r="J127" s="325">
        <v>0</v>
      </c>
      <c r="K127" s="326">
        <v>0</v>
      </c>
      <c r="L127" s="325">
        <v>0</v>
      </c>
      <c r="M127" s="325">
        <v>1903864.69</v>
      </c>
      <c r="N127" s="325">
        <v>0</v>
      </c>
      <c r="O127" s="325">
        <v>0</v>
      </c>
      <c r="P127" s="325">
        <v>0</v>
      </c>
      <c r="Q127" s="325">
        <v>0</v>
      </c>
      <c r="R127" s="325">
        <v>0</v>
      </c>
      <c r="S127" s="325">
        <v>0</v>
      </c>
      <c r="T127" s="325">
        <v>0</v>
      </c>
      <c r="U127" s="325">
        <v>0</v>
      </c>
      <c r="V127" s="325">
        <v>0</v>
      </c>
      <c r="W127" s="325">
        <v>0</v>
      </c>
      <c r="X127" s="325">
        <v>0</v>
      </c>
      <c r="Y127" s="325">
        <v>0</v>
      </c>
      <c r="Z127" s="325">
        <v>0</v>
      </c>
      <c r="AA127" s="325">
        <v>0</v>
      </c>
      <c r="AB127" s="327">
        <v>2020</v>
      </c>
      <c r="AD127" s="4">
        <v>0</v>
      </c>
    </row>
    <row r="128" spans="1:30" s="4" customFormat="1" ht="35.25" customHeight="1" x14ac:dyDescent="0.5">
      <c r="A128" s="4">
        <v>1</v>
      </c>
      <c r="B128" s="171">
        <f>SUBTOTAL(103,$A$8:A128)</f>
        <v>119</v>
      </c>
      <c r="C128" s="323" t="s">
        <v>2472</v>
      </c>
      <c r="D128" s="324">
        <f t="shared" si="5"/>
        <v>875842</v>
      </c>
      <c r="E128" s="325">
        <v>0</v>
      </c>
      <c r="F128" s="325">
        <v>0</v>
      </c>
      <c r="G128" s="325">
        <v>0</v>
      </c>
      <c r="H128" s="325">
        <v>0</v>
      </c>
      <c r="I128" s="325">
        <v>0</v>
      </c>
      <c r="J128" s="325">
        <v>0</v>
      </c>
      <c r="K128" s="326">
        <v>0</v>
      </c>
      <c r="L128" s="325">
        <v>0</v>
      </c>
      <c r="M128" s="325">
        <v>875842</v>
      </c>
      <c r="N128" s="325">
        <v>0</v>
      </c>
      <c r="O128" s="325">
        <v>0</v>
      </c>
      <c r="P128" s="325">
        <v>0</v>
      </c>
      <c r="Q128" s="325">
        <v>0</v>
      </c>
      <c r="R128" s="325">
        <v>0</v>
      </c>
      <c r="S128" s="325">
        <v>0</v>
      </c>
      <c r="T128" s="325">
        <v>0</v>
      </c>
      <c r="U128" s="325">
        <v>0</v>
      </c>
      <c r="V128" s="325">
        <v>0</v>
      </c>
      <c r="W128" s="325">
        <v>0</v>
      </c>
      <c r="X128" s="325">
        <v>0</v>
      </c>
      <c r="Y128" s="325">
        <v>0</v>
      </c>
      <c r="Z128" s="325">
        <v>0</v>
      </c>
      <c r="AA128" s="325">
        <v>0</v>
      </c>
      <c r="AB128" s="327">
        <v>2020</v>
      </c>
      <c r="AD128" s="4">
        <v>0</v>
      </c>
    </row>
    <row r="129" spans="1:30" s="4" customFormat="1" ht="35.25" customHeight="1" x14ac:dyDescent="0.5">
      <c r="A129" s="4">
        <v>1</v>
      </c>
      <c r="B129" s="171">
        <f>SUBTOTAL(103,$A$8:A129)</f>
        <v>120</v>
      </c>
      <c r="C129" s="323" t="s">
        <v>1982</v>
      </c>
      <c r="D129" s="324">
        <f t="shared" si="5"/>
        <v>169304</v>
      </c>
      <c r="E129" s="325">
        <v>0</v>
      </c>
      <c r="F129" s="325">
        <v>0</v>
      </c>
      <c r="G129" s="325">
        <v>0</v>
      </c>
      <c r="H129" s="325">
        <v>0</v>
      </c>
      <c r="I129" s="325">
        <v>0</v>
      </c>
      <c r="J129" s="325">
        <v>0</v>
      </c>
      <c r="K129" s="326">
        <v>0</v>
      </c>
      <c r="L129" s="325">
        <v>0</v>
      </c>
      <c r="M129" s="325">
        <v>0</v>
      </c>
      <c r="N129" s="325">
        <v>0</v>
      </c>
      <c r="O129" s="325">
        <v>169304</v>
      </c>
      <c r="P129" s="325">
        <v>0</v>
      </c>
      <c r="Q129" s="325">
        <v>0</v>
      </c>
      <c r="R129" s="325">
        <v>0</v>
      </c>
      <c r="S129" s="325">
        <v>0</v>
      </c>
      <c r="T129" s="325">
        <v>0</v>
      </c>
      <c r="U129" s="325">
        <v>0</v>
      </c>
      <c r="V129" s="325">
        <v>0</v>
      </c>
      <c r="W129" s="325">
        <v>0</v>
      </c>
      <c r="X129" s="325">
        <v>0</v>
      </c>
      <c r="Y129" s="325">
        <v>0</v>
      </c>
      <c r="Z129" s="325">
        <v>0</v>
      </c>
      <c r="AA129" s="325">
        <v>0</v>
      </c>
      <c r="AB129" s="327">
        <v>2020</v>
      </c>
      <c r="AD129" s="4" t="e">
        <v>#N/A</v>
      </c>
    </row>
    <row r="130" spans="1:30" s="4" customFormat="1" ht="35.25" customHeight="1" x14ac:dyDescent="0.5">
      <c r="A130" s="4">
        <v>1</v>
      </c>
      <c r="B130" s="171">
        <f>SUBTOTAL(103,$A$8:A130)</f>
        <v>121</v>
      </c>
      <c r="C130" s="323" t="s">
        <v>2473</v>
      </c>
      <c r="D130" s="324">
        <f t="shared" si="5"/>
        <v>250000</v>
      </c>
      <c r="E130" s="325">
        <v>0</v>
      </c>
      <c r="F130" s="325">
        <v>0</v>
      </c>
      <c r="G130" s="325">
        <v>0</v>
      </c>
      <c r="H130" s="325">
        <v>0</v>
      </c>
      <c r="I130" s="325">
        <v>0</v>
      </c>
      <c r="J130" s="325">
        <v>0</v>
      </c>
      <c r="K130" s="326">
        <v>1</v>
      </c>
      <c r="L130" s="325">
        <v>250000</v>
      </c>
      <c r="M130" s="325">
        <v>0</v>
      </c>
      <c r="N130" s="325">
        <v>0</v>
      </c>
      <c r="O130" s="325">
        <v>0</v>
      </c>
      <c r="P130" s="325">
        <v>0</v>
      </c>
      <c r="Q130" s="325">
        <v>0</v>
      </c>
      <c r="R130" s="325">
        <v>0</v>
      </c>
      <c r="S130" s="325">
        <v>0</v>
      </c>
      <c r="T130" s="325">
        <v>0</v>
      </c>
      <c r="U130" s="325">
        <v>0</v>
      </c>
      <c r="V130" s="325">
        <v>0</v>
      </c>
      <c r="W130" s="325">
        <v>0</v>
      </c>
      <c r="X130" s="325">
        <v>0</v>
      </c>
      <c r="Y130" s="325">
        <v>0</v>
      </c>
      <c r="Z130" s="325">
        <v>0</v>
      </c>
      <c r="AA130" s="325">
        <v>0</v>
      </c>
      <c r="AB130" s="327">
        <v>2020</v>
      </c>
      <c r="AD130" s="4">
        <v>0</v>
      </c>
    </row>
    <row r="131" spans="1:30" s="4" customFormat="1" ht="35.25" customHeight="1" x14ac:dyDescent="0.5">
      <c r="A131" s="4">
        <v>1</v>
      </c>
      <c r="B131" s="171">
        <f>SUBTOTAL(103,$A$8:A131)</f>
        <v>122</v>
      </c>
      <c r="C131" s="323" t="s">
        <v>1983</v>
      </c>
      <c r="D131" s="324">
        <f t="shared" si="5"/>
        <v>312022</v>
      </c>
      <c r="E131" s="325">
        <v>0</v>
      </c>
      <c r="F131" s="325">
        <v>0</v>
      </c>
      <c r="G131" s="325">
        <v>0</v>
      </c>
      <c r="H131" s="325">
        <v>0</v>
      </c>
      <c r="I131" s="325">
        <v>0</v>
      </c>
      <c r="J131" s="325">
        <v>0</v>
      </c>
      <c r="K131" s="326">
        <v>0</v>
      </c>
      <c r="L131" s="325">
        <v>0</v>
      </c>
      <c r="M131" s="325">
        <v>0</v>
      </c>
      <c r="N131" s="325">
        <v>0</v>
      </c>
      <c r="O131" s="325">
        <v>312022</v>
      </c>
      <c r="P131" s="325">
        <v>0</v>
      </c>
      <c r="Q131" s="325">
        <v>0</v>
      </c>
      <c r="R131" s="325">
        <v>0</v>
      </c>
      <c r="S131" s="325">
        <v>0</v>
      </c>
      <c r="T131" s="325">
        <v>0</v>
      </c>
      <c r="U131" s="325">
        <v>0</v>
      </c>
      <c r="V131" s="325">
        <v>0</v>
      </c>
      <c r="W131" s="325">
        <v>0</v>
      </c>
      <c r="X131" s="325">
        <v>0</v>
      </c>
      <c r="Y131" s="325">
        <v>0</v>
      </c>
      <c r="Z131" s="325">
        <v>0</v>
      </c>
      <c r="AA131" s="325">
        <v>0</v>
      </c>
      <c r="AB131" s="327">
        <v>2020</v>
      </c>
      <c r="AD131" s="4" t="e">
        <v>#N/A</v>
      </c>
    </row>
    <row r="132" spans="1:30" s="4" customFormat="1" ht="35.25" customHeight="1" x14ac:dyDescent="0.5">
      <c r="A132" s="4">
        <v>1</v>
      </c>
      <c r="B132" s="171">
        <f>SUBTOTAL(103,$A$8:A132)</f>
        <v>123</v>
      </c>
      <c r="C132" s="323" t="s">
        <v>2474</v>
      </c>
      <c r="D132" s="324">
        <f t="shared" si="5"/>
        <v>85484.76</v>
      </c>
      <c r="E132" s="325">
        <v>0</v>
      </c>
      <c r="F132" s="325">
        <v>0</v>
      </c>
      <c r="G132" s="325">
        <v>0</v>
      </c>
      <c r="H132" s="325">
        <v>10990</v>
      </c>
      <c r="I132" s="325">
        <v>0</v>
      </c>
      <c r="J132" s="325">
        <v>0</v>
      </c>
      <c r="K132" s="325">
        <v>0</v>
      </c>
      <c r="L132" s="325">
        <v>0</v>
      </c>
      <c r="M132" s="325">
        <v>0</v>
      </c>
      <c r="N132" s="325">
        <v>0</v>
      </c>
      <c r="O132" s="325">
        <v>0</v>
      </c>
      <c r="P132" s="325">
        <v>74494.759999999995</v>
      </c>
      <c r="Q132" s="325">
        <v>0</v>
      </c>
      <c r="R132" s="325">
        <v>0</v>
      </c>
      <c r="S132" s="325">
        <v>0</v>
      </c>
      <c r="T132" s="325">
        <v>0</v>
      </c>
      <c r="U132" s="325">
        <v>0</v>
      </c>
      <c r="V132" s="325">
        <v>0</v>
      </c>
      <c r="W132" s="325">
        <v>0</v>
      </c>
      <c r="X132" s="325">
        <v>0</v>
      </c>
      <c r="Y132" s="325">
        <v>0</v>
      </c>
      <c r="Z132" s="325">
        <v>0</v>
      </c>
      <c r="AA132" s="325">
        <v>0</v>
      </c>
      <c r="AB132" s="327">
        <v>2020</v>
      </c>
      <c r="AD132" s="4">
        <v>0</v>
      </c>
    </row>
    <row r="133" spans="1:30" s="4" customFormat="1" ht="35.25" customHeight="1" x14ac:dyDescent="0.5">
      <c r="A133" s="4">
        <v>1</v>
      </c>
      <c r="B133" s="171">
        <f>SUBTOTAL(103,$A$8:A133)</f>
        <v>124</v>
      </c>
      <c r="C133" s="323" t="s">
        <v>1984</v>
      </c>
      <c r="D133" s="324">
        <f t="shared" si="5"/>
        <v>259061</v>
      </c>
      <c r="E133" s="325">
        <v>0</v>
      </c>
      <c r="F133" s="325">
        <v>0</v>
      </c>
      <c r="G133" s="325">
        <v>0</v>
      </c>
      <c r="H133" s="325">
        <v>0</v>
      </c>
      <c r="I133" s="325">
        <v>0</v>
      </c>
      <c r="J133" s="325">
        <v>0</v>
      </c>
      <c r="K133" s="326">
        <v>0</v>
      </c>
      <c r="L133" s="325">
        <v>0</v>
      </c>
      <c r="M133" s="325">
        <v>0</v>
      </c>
      <c r="N133" s="325">
        <v>259061</v>
      </c>
      <c r="O133" s="325">
        <v>0</v>
      </c>
      <c r="P133" s="325">
        <v>0</v>
      </c>
      <c r="Q133" s="325">
        <v>0</v>
      </c>
      <c r="R133" s="325">
        <v>0</v>
      </c>
      <c r="S133" s="325">
        <v>0</v>
      </c>
      <c r="T133" s="325">
        <v>0</v>
      </c>
      <c r="U133" s="325">
        <v>0</v>
      </c>
      <c r="V133" s="325">
        <v>0</v>
      </c>
      <c r="W133" s="325">
        <v>0</v>
      </c>
      <c r="X133" s="325">
        <v>0</v>
      </c>
      <c r="Y133" s="325">
        <v>0</v>
      </c>
      <c r="Z133" s="325">
        <v>0</v>
      </c>
      <c r="AA133" s="325">
        <v>0</v>
      </c>
      <c r="AB133" s="327">
        <v>2020</v>
      </c>
      <c r="AD133" s="4">
        <v>0</v>
      </c>
    </row>
    <row r="134" spans="1:30" s="4" customFormat="1" ht="35.25" customHeight="1" x14ac:dyDescent="0.5">
      <c r="A134" s="4">
        <v>1</v>
      </c>
      <c r="B134" s="171">
        <f>SUBTOTAL(103,$A$8:A134)</f>
        <v>125</v>
      </c>
      <c r="C134" s="323" t="s">
        <v>1724</v>
      </c>
      <c r="D134" s="324">
        <f t="shared" si="5"/>
        <v>1850000</v>
      </c>
      <c r="E134" s="325">
        <v>0</v>
      </c>
      <c r="F134" s="325">
        <v>0</v>
      </c>
      <c r="G134" s="325">
        <v>0</v>
      </c>
      <c r="H134" s="325">
        <v>0</v>
      </c>
      <c r="I134" s="325">
        <v>0</v>
      </c>
      <c r="J134" s="325">
        <v>0</v>
      </c>
      <c r="K134" s="326">
        <v>1</v>
      </c>
      <c r="L134" s="325">
        <v>1850000</v>
      </c>
      <c r="M134" s="325">
        <v>0</v>
      </c>
      <c r="N134" s="325">
        <v>0</v>
      </c>
      <c r="O134" s="325">
        <v>0</v>
      </c>
      <c r="P134" s="325">
        <v>0</v>
      </c>
      <c r="Q134" s="325">
        <v>0</v>
      </c>
      <c r="R134" s="325">
        <v>0</v>
      </c>
      <c r="S134" s="325">
        <v>0</v>
      </c>
      <c r="T134" s="325">
        <v>0</v>
      </c>
      <c r="U134" s="325">
        <v>0</v>
      </c>
      <c r="V134" s="325">
        <v>0</v>
      </c>
      <c r="W134" s="325">
        <v>0</v>
      </c>
      <c r="X134" s="325">
        <v>0</v>
      </c>
      <c r="Y134" s="325">
        <v>0</v>
      </c>
      <c r="Z134" s="325">
        <v>0</v>
      </c>
      <c r="AA134" s="325">
        <v>0</v>
      </c>
      <c r="AB134" s="327">
        <v>2020</v>
      </c>
      <c r="AD134" s="4" t="e">
        <v>#N/A</v>
      </c>
    </row>
    <row r="135" spans="1:30" s="4" customFormat="1" ht="35.25" customHeight="1" x14ac:dyDescent="0.5">
      <c r="A135" s="4">
        <v>1</v>
      </c>
      <c r="B135" s="171">
        <f>SUBTOTAL(103,$A$8:A135)</f>
        <v>126</v>
      </c>
      <c r="C135" s="323" t="s">
        <v>1985</v>
      </c>
      <c r="D135" s="324">
        <f t="shared" si="5"/>
        <v>689694.49</v>
      </c>
      <c r="E135" s="325">
        <v>0</v>
      </c>
      <c r="F135" s="325">
        <v>0</v>
      </c>
      <c r="G135" s="325">
        <v>0</v>
      </c>
      <c r="H135" s="325">
        <v>0</v>
      </c>
      <c r="I135" s="325">
        <v>0</v>
      </c>
      <c r="J135" s="325">
        <v>0</v>
      </c>
      <c r="K135" s="326">
        <v>0</v>
      </c>
      <c r="L135" s="325">
        <v>0</v>
      </c>
      <c r="M135" s="325">
        <v>0</v>
      </c>
      <c r="N135" s="325">
        <v>0</v>
      </c>
      <c r="O135" s="325">
        <v>239435.8</v>
      </c>
      <c r="P135" s="325">
        <v>450258.68999999994</v>
      </c>
      <c r="Q135" s="325">
        <v>0</v>
      </c>
      <c r="R135" s="325">
        <v>0</v>
      </c>
      <c r="S135" s="325">
        <v>0</v>
      </c>
      <c r="T135" s="325">
        <v>0</v>
      </c>
      <c r="U135" s="325">
        <v>0</v>
      </c>
      <c r="V135" s="325">
        <v>0</v>
      </c>
      <c r="W135" s="325">
        <v>0</v>
      </c>
      <c r="X135" s="325">
        <v>0</v>
      </c>
      <c r="Y135" s="325">
        <v>0</v>
      </c>
      <c r="Z135" s="325">
        <v>0</v>
      </c>
      <c r="AA135" s="325">
        <v>0</v>
      </c>
      <c r="AB135" s="327">
        <v>2020</v>
      </c>
      <c r="AD135" s="4">
        <v>0</v>
      </c>
    </row>
    <row r="136" spans="1:30" s="4" customFormat="1" ht="35.25" customHeight="1" x14ac:dyDescent="0.5">
      <c r="A136" s="4">
        <v>1</v>
      </c>
      <c r="B136" s="171">
        <f>SUBTOTAL(103,$A$8:A136)</f>
        <v>127</v>
      </c>
      <c r="C136" s="323" t="s">
        <v>1986</v>
      </c>
      <c r="D136" s="324">
        <f t="shared" si="5"/>
        <v>382402.8</v>
      </c>
      <c r="E136" s="325">
        <v>0</v>
      </c>
      <c r="F136" s="325">
        <v>0</v>
      </c>
      <c r="G136" s="325">
        <v>0</v>
      </c>
      <c r="H136" s="325">
        <v>0</v>
      </c>
      <c r="I136" s="325">
        <v>0</v>
      </c>
      <c r="J136" s="325">
        <v>0</v>
      </c>
      <c r="K136" s="326">
        <v>0</v>
      </c>
      <c r="L136" s="325">
        <v>0</v>
      </c>
      <c r="M136" s="325">
        <v>185479.3</v>
      </c>
      <c r="N136" s="325">
        <v>0</v>
      </c>
      <c r="O136" s="325">
        <v>196923.5</v>
      </c>
      <c r="P136" s="325">
        <v>0</v>
      </c>
      <c r="Q136" s="325">
        <v>0</v>
      </c>
      <c r="R136" s="325">
        <v>0</v>
      </c>
      <c r="S136" s="325">
        <v>0</v>
      </c>
      <c r="T136" s="325">
        <v>0</v>
      </c>
      <c r="U136" s="325">
        <v>0</v>
      </c>
      <c r="V136" s="325">
        <v>0</v>
      </c>
      <c r="W136" s="325">
        <v>0</v>
      </c>
      <c r="X136" s="325">
        <v>0</v>
      </c>
      <c r="Y136" s="325">
        <v>0</v>
      </c>
      <c r="Z136" s="325">
        <v>0</v>
      </c>
      <c r="AA136" s="325">
        <v>0</v>
      </c>
      <c r="AB136" s="327">
        <v>2020</v>
      </c>
      <c r="AD136" s="4" t="e">
        <v>#N/A</v>
      </c>
    </row>
    <row r="137" spans="1:30" s="4" customFormat="1" ht="35.25" customHeight="1" x14ac:dyDescent="0.5">
      <c r="A137" s="4">
        <v>1</v>
      </c>
      <c r="B137" s="171">
        <f>SUBTOTAL(103,$A$8:A137)</f>
        <v>128</v>
      </c>
      <c r="C137" s="323" t="s">
        <v>1987</v>
      </c>
      <c r="D137" s="324">
        <f t="shared" si="5"/>
        <v>1134646</v>
      </c>
      <c r="E137" s="325">
        <v>0</v>
      </c>
      <c r="F137" s="325">
        <v>0</v>
      </c>
      <c r="G137" s="325">
        <v>0</v>
      </c>
      <c r="H137" s="325">
        <v>0</v>
      </c>
      <c r="I137" s="325">
        <v>0</v>
      </c>
      <c r="J137" s="325">
        <v>0</v>
      </c>
      <c r="K137" s="326">
        <v>0</v>
      </c>
      <c r="L137" s="325">
        <v>0</v>
      </c>
      <c r="M137" s="325">
        <v>1134646</v>
      </c>
      <c r="N137" s="325">
        <v>0</v>
      </c>
      <c r="O137" s="325">
        <v>0</v>
      </c>
      <c r="P137" s="325">
        <v>0</v>
      </c>
      <c r="Q137" s="325">
        <v>0</v>
      </c>
      <c r="R137" s="325">
        <v>0</v>
      </c>
      <c r="S137" s="325">
        <v>0</v>
      </c>
      <c r="T137" s="325">
        <v>0</v>
      </c>
      <c r="U137" s="325">
        <v>0</v>
      </c>
      <c r="V137" s="325">
        <v>0</v>
      </c>
      <c r="W137" s="325">
        <v>0</v>
      </c>
      <c r="X137" s="325">
        <v>0</v>
      </c>
      <c r="Y137" s="325">
        <v>0</v>
      </c>
      <c r="Z137" s="325">
        <v>0</v>
      </c>
      <c r="AA137" s="325">
        <v>0</v>
      </c>
      <c r="AB137" s="327">
        <v>2020</v>
      </c>
      <c r="AD137" s="4" t="e">
        <v>#N/A</v>
      </c>
    </row>
    <row r="138" spans="1:30" s="4" customFormat="1" ht="35.25" customHeight="1" x14ac:dyDescent="0.5">
      <c r="A138" s="4">
        <v>1</v>
      </c>
      <c r="B138" s="171">
        <f>SUBTOTAL(103,$A$8:A138)</f>
        <v>129</v>
      </c>
      <c r="C138" s="323" t="s">
        <v>1988</v>
      </c>
      <c r="D138" s="324">
        <f t="shared" si="5"/>
        <v>437000</v>
      </c>
      <c r="E138" s="325">
        <v>0</v>
      </c>
      <c r="F138" s="325">
        <v>0</v>
      </c>
      <c r="G138" s="325">
        <v>0</v>
      </c>
      <c r="H138" s="325">
        <v>0</v>
      </c>
      <c r="I138" s="325">
        <v>0</v>
      </c>
      <c r="J138" s="325">
        <v>0</v>
      </c>
      <c r="K138" s="326">
        <v>0</v>
      </c>
      <c r="L138" s="325">
        <v>0</v>
      </c>
      <c r="M138" s="325">
        <v>0</v>
      </c>
      <c r="N138" s="325">
        <v>0</v>
      </c>
      <c r="O138" s="325">
        <v>437000</v>
      </c>
      <c r="P138" s="325">
        <v>0</v>
      </c>
      <c r="Q138" s="325">
        <v>0</v>
      </c>
      <c r="R138" s="325">
        <v>0</v>
      </c>
      <c r="S138" s="325">
        <v>0</v>
      </c>
      <c r="T138" s="325">
        <v>0</v>
      </c>
      <c r="U138" s="325">
        <v>0</v>
      </c>
      <c r="V138" s="325">
        <v>0</v>
      </c>
      <c r="W138" s="325">
        <v>0</v>
      </c>
      <c r="X138" s="325">
        <v>0</v>
      </c>
      <c r="Y138" s="325">
        <v>0</v>
      </c>
      <c r="Z138" s="325">
        <v>0</v>
      </c>
      <c r="AA138" s="325">
        <v>0</v>
      </c>
      <c r="AB138" s="327">
        <v>2020</v>
      </c>
      <c r="AD138" s="4">
        <v>0</v>
      </c>
    </row>
    <row r="139" spans="1:30" s="4" customFormat="1" ht="35.25" customHeight="1" x14ac:dyDescent="0.5">
      <c r="A139" s="4">
        <v>1</v>
      </c>
      <c r="B139" s="171">
        <f>SUBTOTAL(103,$A$8:A139)</f>
        <v>130</v>
      </c>
      <c r="C139" s="323" t="s">
        <v>1989</v>
      </c>
      <c r="D139" s="324">
        <f t="shared" si="5"/>
        <v>128771.87</v>
      </c>
      <c r="E139" s="325">
        <v>0</v>
      </c>
      <c r="F139" s="325">
        <v>0</v>
      </c>
      <c r="G139" s="325">
        <v>128771.87</v>
      </c>
      <c r="H139" s="325">
        <v>0</v>
      </c>
      <c r="I139" s="325">
        <v>0</v>
      </c>
      <c r="J139" s="325">
        <v>0</v>
      </c>
      <c r="K139" s="326">
        <v>0</v>
      </c>
      <c r="L139" s="325">
        <v>0</v>
      </c>
      <c r="M139" s="325">
        <v>0</v>
      </c>
      <c r="N139" s="325">
        <v>0</v>
      </c>
      <c r="O139" s="325">
        <v>0</v>
      </c>
      <c r="P139" s="325">
        <v>0</v>
      </c>
      <c r="Q139" s="325">
        <v>0</v>
      </c>
      <c r="R139" s="325">
        <v>0</v>
      </c>
      <c r="S139" s="325">
        <v>0</v>
      </c>
      <c r="T139" s="325">
        <v>0</v>
      </c>
      <c r="U139" s="325">
        <v>0</v>
      </c>
      <c r="V139" s="325">
        <v>0</v>
      </c>
      <c r="W139" s="325">
        <v>0</v>
      </c>
      <c r="X139" s="325">
        <v>0</v>
      </c>
      <c r="Y139" s="325">
        <v>0</v>
      </c>
      <c r="Z139" s="325">
        <v>0</v>
      </c>
      <c r="AA139" s="325">
        <v>0</v>
      </c>
      <c r="AB139" s="327">
        <v>2020</v>
      </c>
      <c r="AD139" s="4">
        <v>0</v>
      </c>
    </row>
    <row r="140" spans="1:30" s="4" customFormat="1" ht="35.25" customHeight="1" x14ac:dyDescent="0.5">
      <c r="A140" s="4">
        <v>1</v>
      </c>
      <c r="B140" s="171">
        <f>SUBTOTAL(103,$A$8:A140)</f>
        <v>131</v>
      </c>
      <c r="C140" s="323" t="s">
        <v>1990</v>
      </c>
      <c r="D140" s="324">
        <f t="shared" si="5"/>
        <v>317712.78000000003</v>
      </c>
      <c r="E140" s="325">
        <v>317712.78000000003</v>
      </c>
      <c r="F140" s="325">
        <v>0</v>
      </c>
      <c r="G140" s="325">
        <v>0</v>
      </c>
      <c r="H140" s="325">
        <v>0</v>
      </c>
      <c r="I140" s="325">
        <v>0</v>
      </c>
      <c r="J140" s="325">
        <v>0</v>
      </c>
      <c r="K140" s="326">
        <v>0</v>
      </c>
      <c r="L140" s="325">
        <v>0</v>
      </c>
      <c r="M140" s="325">
        <v>0</v>
      </c>
      <c r="N140" s="325">
        <v>0</v>
      </c>
      <c r="O140" s="325">
        <v>0</v>
      </c>
      <c r="P140" s="325">
        <v>0</v>
      </c>
      <c r="Q140" s="325">
        <v>0</v>
      </c>
      <c r="R140" s="325">
        <v>0</v>
      </c>
      <c r="S140" s="325">
        <v>0</v>
      </c>
      <c r="T140" s="325">
        <v>0</v>
      </c>
      <c r="U140" s="325">
        <v>0</v>
      </c>
      <c r="V140" s="325">
        <v>0</v>
      </c>
      <c r="W140" s="325">
        <v>0</v>
      </c>
      <c r="X140" s="325">
        <v>0</v>
      </c>
      <c r="Y140" s="325">
        <v>0</v>
      </c>
      <c r="Z140" s="325">
        <v>0</v>
      </c>
      <c r="AA140" s="325">
        <v>0</v>
      </c>
      <c r="AB140" s="327">
        <v>2020</v>
      </c>
      <c r="AD140" s="4">
        <v>0</v>
      </c>
    </row>
    <row r="141" spans="1:30" s="4" customFormat="1" ht="35.25" customHeight="1" x14ac:dyDescent="0.5">
      <c r="A141" s="4">
        <v>1</v>
      </c>
      <c r="B141" s="171">
        <f>SUBTOTAL(103,$A$8:A141)</f>
        <v>132</v>
      </c>
      <c r="C141" s="323" t="s">
        <v>1991</v>
      </c>
      <c r="D141" s="324">
        <f t="shared" si="5"/>
        <v>723801.52</v>
      </c>
      <c r="E141" s="325">
        <v>0</v>
      </c>
      <c r="F141" s="325">
        <v>0</v>
      </c>
      <c r="G141" s="325">
        <v>174204</v>
      </c>
      <c r="H141" s="325">
        <v>0</v>
      </c>
      <c r="I141" s="325">
        <v>0</v>
      </c>
      <c r="J141" s="325">
        <v>0</v>
      </c>
      <c r="K141" s="326">
        <v>0</v>
      </c>
      <c r="L141" s="325">
        <v>0</v>
      </c>
      <c r="M141" s="325">
        <v>549597.52</v>
      </c>
      <c r="N141" s="325">
        <v>0</v>
      </c>
      <c r="O141" s="325">
        <v>0</v>
      </c>
      <c r="P141" s="325">
        <v>0</v>
      </c>
      <c r="Q141" s="325">
        <v>0</v>
      </c>
      <c r="R141" s="325">
        <v>0</v>
      </c>
      <c r="S141" s="325">
        <v>0</v>
      </c>
      <c r="T141" s="325">
        <v>0</v>
      </c>
      <c r="U141" s="325">
        <v>0</v>
      </c>
      <c r="V141" s="325">
        <v>0</v>
      </c>
      <c r="W141" s="325">
        <v>0</v>
      </c>
      <c r="X141" s="325">
        <v>0</v>
      </c>
      <c r="Y141" s="325">
        <v>0</v>
      </c>
      <c r="Z141" s="325">
        <v>0</v>
      </c>
      <c r="AA141" s="325">
        <v>0</v>
      </c>
      <c r="AB141" s="327">
        <v>2020</v>
      </c>
      <c r="AD141" s="4" t="e">
        <v>#N/A</v>
      </c>
    </row>
    <row r="142" spans="1:30" s="4" customFormat="1" ht="35.25" customHeight="1" x14ac:dyDescent="0.5">
      <c r="A142" s="4">
        <v>1</v>
      </c>
      <c r="B142" s="171">
        <f>SUBTOTAL(103,$A$8:A142)</f>
        <v>133</v>
      </c>
      <c r="C142" s="323" t="s">
        <v>1992</v>
      </c>
      <c r="D142" s="324">
        <f t="shared" si="5"/>
        <v>460900</v>
      </c>
      <c r="E142" s="325">
        <v>0</v>
      </c>
      <c r="F142" s="325">
        <v>0</v>
      </c>
      <c r="G142" s="325">
        <v>0</v>
      </c>
      <c r="H142" s="325">
        <v>0</v>
      </c>
      <c r="I142" s="325">
        <v>0</v>
      </c>
      <c r="J142" s="325">
        <v>0</v>
      </c>
      <c r="K142" s="326">
        <v>0</v>
      </c>
      <c r="L142" s="325">
        <v>0</v>
      </c>
      <c r="M142" s="325">
        <v>0</v>
      </c>
      <c r="N142" s="325">
        <v>0</v>
      </c>
      <c r="O142" s="325">
        <v>460900</v>
      </c>
      <c r="P142" s="325">
        <v>0</v>
      </c>
      <c r="Q142" s="325">
        <v>0</v>
      </c>
      <c r="R142" s="325">
        <v>0</v>
      </c>
      <c r="S142" s="325">
        <v>0</v>
      </c>
      <c r="T142" s="325">
        <v>0</v>
      </c>
      <c r="U142" s="325">
        <v>0</v>
      </c>
      <c r="V142" s="325">
        <v>0</v>
      </c>
      <c r="W142" s="325">
        <v>0</v>
      </c>
      <c r="X142" s="325">
        <v>0</v>
      </c>
      <c r="Y142" s="325">
        <v>0</v>
      </c>
      <c r="Z142" s="325">
        <v>0</v>
      </c>
      <c r="AA142" s="325">
        <v>0</v>
      </c>
      <c r="AB142" s="327">
        <v>2020</v>
      </c>
      <c r="AD142" s="4" t="e">
        <v>#N/A</v>
      </c>
    </row>
    <row r="143" spans="1:30" s="4" customFormat="1" ht="35.25" customHeight="1" x14ac:dyDescent="0.5">
      <c r="A143" s="4">
        <v>1</v>
      </c>
      <c r="B143" s="171">
        <f>SUBTOTAL(103,$A$8:A143)</f>
        <v>134</v>
      </c>
      <c r="C143" s="323" t="s">
        <v>1993</v>
      </c>
      <c r="D143" s="324">
        <f t="shared" si="5"/>
        <v>251475</v>
      </c>
      <c r="E143" s="325">
        <v>0</v>
      </c>
      <c r="F143" s="325">
        <v>0</v>
      </c>
      <c r="G143" s="325">
        <v>97440</v>
      </c>
      <c r="H143" s="325">
        <v>0</v>
      </c>
      <c r="I143" s="325">
        <v>15485</v>
      </c>
      <c r="J143" s="325">
        <v>0</v>
      </c>
      <c r="K143" s="326">
        <v>0</v>
      </c>
      <c r="L143" s="325">
        <v>0</v>
      </c>
      <c r="M143" s="325">
        <v>138550</v>
      </c>
      <c r="N143" s="325">
        <v>0</v>
      </c>
      <c r="O143" s="325">
        <v>0</v>
      </c>
      <c r="P143" s="325">
        <v>0</v>
      </c>
      <c r="Q143" s="325">
        <v>0</v>
      </c>
      <c r="R143" s="325">
        <v>0</v>
      </c>
      <c r="S143" s="325">
        <v>0</v>
      </c>
      <c r="T143" s="325">
        <v>0</v>
      </c>
      <c r="U143" s="325">
        <v>0</v>
      </c>
      <c r="V143" s="325">
        <v>0</v>
      </c>
      <c r="W143" s="325">
        <v>0</v>
      </c>
      <c r="X143" s="325">
        <v>0</v>
      </c>
      <c r="Y143" s="325">
        <v>0</v>
      </c>
      <c r="Z143" s="325">
        <v>0</v>
      </c>
      <c r="AA143" s="325">
        <v>0</v>
      </c>
      <c r="AB143" s="327">
        <v>2020</v>
      </c>
      <c r="AD143" s="4">
        <v>0</v>
      </c>
    </row>
    <row r="144" spans="1:30" s="4" customFormat="1" ht="35.25" customHeight="1" x14ac:dyDescent="0.5">
      <c r="A144" s="4">
        <v>1</v>
      </c>
      <c r="B144" s="171">
        <f>SUBTOTAL(103,$A$8:A144)</f>
        <v>135</v>
      </c>
      <c r="C144" s="323" t="s">
        <v>1994</v>
      </c>
      <c r="D144" s="324">
        <f t="shared" si="5"/>
        <v>329973</v>
      </c>
      <c r="E144" s="325">
        <v>0</v>
      </c>
      <c r="F144" s="325">
        <v>0</v>
      </c>
      <c r="G144" s="325">
        <v>0</v>
      </c>
      <c r="H144" s="325">
        <v>0</v>
      </c>
      <c r="I144" s="325">
        <v>0</v>
      </c>
      <c r="J144" s="325">
        <v>0</v>
      </c>
      <c r="K144" s="326">
        <v>0</v>
      </c>
      <c r="L144" s="325">
        <v>0</v>
      </c>
      <c r="M144" s="325">
        <v>0</v>
      </c>
      <c r="N144" s="325">
        <v>0</v>
      </c>
      <c r="O144" s="325">
        <v>329973</v>
      </c>
      <c r="P144" s="325">
        <v>0</v>
      </c>
      <c r="Q144" s="325">
        <v>0</v>
      </c>
      <c r="R144" s="325">
        <v>0</v>
      </c>
      <c r="S144" s="325">
        <v>0</v>
      </c>
      <c r="T144" s="325">
        <v>0</v>
      </c>
      <c r="U144" s="325">
        <v>0</v>
      </c>
      <c r="V144" s="325">
        <v>0</v>
      </c>
      <c r="W144" s="325">
        <v>0</v>
      </c>
      <c r="X144" s="325">
        <v>0</v>
      </c>
      <c r="Y144" s="325">
        <v>0</v>
      </c>
      <c r="Z144" s="325">
        <v>0</v>
      </c>
      <c r="AA144" s="325">
        <v>0</v>
      </c>
      <c r="AB144" s="327">
        <v>2020</v>
      </c>
      <c r="AD144" s="4" t="e">
        <v>#N/A</v>
      </c>
    </row>
    <row r="145" spans="1:30" s="4" customFormat="1" ht="35.25" customHeight="1" x14ac:dyDescent="0.5">
      <c r="A145" s="4">
        <v>1</v>
      </c>
      <c r="B145" s="171">
        <f>SUBTOTAL(103,$A$8:A145)</f>
        <v>136</v>
      </c>
      <c r="C145" s="323" t="s">
        <v>1995</v>
      </c>
      <c r="D145" s="324">
        <f t="shared" si="5"/>
        <v>500731.2</v>
      </c>
      <c r="E145" s="325">
        <v>0</v>
      </c>
      <c r="F145" s="325">
        <v>0</v>
      </c>
      <c r="G145" s="325">
        <v>0</v>
      </c>
      <c r="H145" s="325">
        <v>0</v>
      </c>
      <c r="I145" s="325">
        <v>0</v>
      </c>
      <c r="J145" s="325">
        <v>0</v>
      </c>
      <c r="K145" s="326">
        <v>0</v>
      </c>
      <c r="L145" s="325">
        <v>0</v>
      </c>
      <c r="M145" s="325">
        <v>0</v>
      </c>
      <c r="N145" s="325">
        <v>0</v>
      </c>
      <c r="O145" s="325">
        <v>0</v>
      </c>
      <c r="P145" s="325">
        <v>500731.2</v>
      </c>
      <c r="Q145" s="325">
        <v>0</v>
      </c>
      <c r="R145" s="325">
        <v>0</v>
      </c>
      <c r="S145" s="325">
        <v>0</v>
      </c>
      <c r="T145" s="325">
        <v>0</v>
      </c>
      <c r="U145" s="325">
        <v>0</v>
      </c>
      <c r="V145" s="325">
        <v>0</v>
      </c>
      <c r="W145" s="325">
        <v>0</v>
      </c>
      <c r="X145" s="325">
        <v>0</v>
      </c>
      <c r="Y145" s="325">
        <v>0</v>
      </c>
      <c r="Z145" s="325">
        <v>0</v>
      </c>
      <c r="AA145" s="325">
        <v>0</v>
      </c>
      <c r="AB145" s="327">
        <v>2020</v>
      </c>
      <c r="AD145" s="4" t="e">
        <v>#N/A</v>
      </c>
    </row>
    <row r="146" spans="1:30" s="4" customFormat="1" ht="35.25" customHeight="1" x14ac:dyDescent="0.5">
      <c r="A146" s="4">
        <v>1</v>
      </c>
      <c r="B146" s="171">
        <f>SUBTOTAL(103,$A$8:A146)</f>
        <v>137</v>
      </c>
      <c r="C146" s="323" t="s">
        <v>1996</v>
      </c>
      <c r="D146" s="324">
        <f t="shared" si="5"/>
        <v>169106</v>
      </c>
      <c r="E146" s="325">
        <v>0</v>
      </c>
      <c r="F146" s="325">
        <v>0</v>
      </c>
      <c r="G146" s="325">
        <v>0</v>
      </c>
      <c r="H146" s="325">
        <v>0</v>
      </c>
      <c r="I146" s="325">
        <v>0</v>
      </c>
      <c r="J146" s="325">
        <v>0</v>
      </c>
      <c r="K146" s="326">
        <v>0</v>
      </c>
      <c r="L146" s="325">
        <v>0</v>
      </c>
      <c r="M146" s="325">
        <v>169106</v>
      </c>
      <c r="N146" s="325">
        <v>0</v>
      </c>
      <c r="O146" s="325">
        <v>0</v>
      </c>
      <c r="P146" s="325">
        <v>0</v>
      </c>
      <c r="Q146" s="325">
        <v>0</v>
      </c>
      <c r="R146" s="325">
        <v>0</v>
      </c>
      <c r="S146" s="325">
        <v>0</v>
      </c>
      <c r="T146" s="325">
        <v>0</v>
      </c>
      <c r="U146" s="325">
        <v>0</v>
      </c>
      <c r="V146" s="325">
        <v>0</v>
      </c>
      <c r="W146" s="325">
        <v>0</v>
      </c>
      <c r="X146" s="325">
        <v>0</v>
      </c>
      <c r="Y146" s="325">
        <v>0</v>
      </c>
      <c r="Z146" s="325">
        <v>0</v>
      </c>
      <c r="AA146" s="325">
        <v>0</v>
      </c>
      <c r="AB146" s="327">
        <v>2020</v>
      </c>
      <c r="AD146" s="4" t="e">
        <v>#N/A</v>
      </c>
    </row>
    <row r="147" spans="1:30" s="4" customFormat="1" ht="35.25" customHeight="1" x14ac:dyDescent="0.5">
      <c r="A147" s="4">
        <v>1</v>
      </c>
      <c r="B147" s="171">
        <f>SUBTOTAL(103,$A$8:A147)</f>
        <v>138</v>
      </c>
      <c r="C147" s="323" t="s">
        <v>1753</v>
      </c>
      <c r="D147" s="324">
        <f t="shared" si="5"/>
        <v>221206.97</v>
      </c>
      <c r="E147" s="325">
        <v>0</v>
      </c>
      <c r="F147" s="325">
        <v>159320.97</v>
      </c>
      <c r="G147" s="325">
        <v>0</v>
      </c>
      <c r="H147" s="325">
        <v>0</v>
      </c>
      <c r="I147" s="325">
        <v>0</v>
      </c>
      <c r="J147" s="325">
        <v>0</v>
      </c>
      <c r="K147" s="326">
        <v>2</v>
      </c>
      <c r="L147" s="325">
        <v>61886</v>
      </c>
      <c r="M147" s="325">
        <v>0</v>
      </c>
      <c r="N147" s="325">
        <v>0</v>
      </c>
      <c r="O147" s="325">
        <v>0</v>
      </c>
      <c r="P147" s="325">
        <v>0</v>
      </c>
      <c r="Q147" s="325">
        <v>0</v>
      </c>
      <c r="R147" s="325">
        <v>0</v>
      </c>
      <c r="S147" s="325">
        <v>0</v>
      </c>
      <c r="T147" s="325">
        <v>0</v>
      </c>
      <c r="U147" s="325">
        <v>0</v>
      </c>
      <c r="V147" s="325">
        <v>0</v>
      </c>
      <c r="W147" s="325">
        <v>0</v>
      </c>
      <c r="X147" s="325">
        <v>0</v>
      </c>
      <c r="Y147" s="325">
        <v>0</v>
      </c>
      <c r="Z147" s="325">
        <v>0</v>
      </c>
      <c r="AA147" s="325">
        <v>0</v>
      </c>
      <c r="AB147" s="327">
        <v>2020</v>
      </c>
      <c r="AD147" s="4" t="e">
        <v>#N/A</v>
      </c>
    </row>
    <row r="148" spans="1:30" s="4" customFormat="1" ht="35.25" customHeight="1" x14ac:dyDescent="0.5">
      <c r="A148" s="4">
        <v>1</v>
      </c>
      <c r="B148" s="171">
        <f>SUBTOTAL(103,$A$8:A148)</f>
        <v>139</v>
      </c>
      <c r="C148" s="323" t="s">
        <v>1997</v>
      </c>
      <c r="D148" s="324">
        <f t="shared" si="5"/>
        <v>827847.37</v>
      </c>
      <c r="E148" s="325">
        <v>0</v>
      </c>
      <c r="F148" s="325">
        <v>0</v>
      </c>
      <c r="G148" s="325">
        <v>329415.37</v>
      </c>
      <c r="H148" s="325">
        <v>0</v>
      </c>
      <c r="I148" s="325">
        <v>0</v>
      </c>
      <c r="J148" s="325">
        <v>0</v>
      </c>
      <c r="K148" s="326">
        <v>0</v>
      </c>
      <c r="L148" s="325">
        <v>0</v>
      </c>
      <c r="M148" s="325">
        <v>498432</v>
      </c>
      <c r="N148" s="325">
        <v>0</v>
      </c>
      <c r="O148" s="325">
        <v>0</v>
      </c>
      <c r="P148" s="325">
        <v>0</v>
      </c>
      <c r="Q148" s="325">
        <v>0</v>
      </c>
      <c r="R148" s="325">
        <v>0</v>
      </c>
      <c r="S148" s="325">
        <v>0</v>
      </c>
      <c r="T148" s="325">
        <v>0</v>
      </c>
      <c r="U148" s="325">
        <v>0</v>
      </c>
      <c r="V148" s="325">
        <v>0</v>
      </c>
      <c r="W148" s="325">
        <v>0</v>
      </c>
      <c r="X148" s="325">
        <v>0</v>
      </c>
      <c r="Y148" s="325">
        <v>0</v>
      </c>
      <c r="Z148" s="325">
        <v>0</v>
      </c>
      <c r="AA148" s="325">
        <v>0</v>
      </c>
      <c r="AB148" s="327">
        <v>2020</v>
      </c>
      <c r="AD148" s="4">
        <v>0</v>
      </c>
    </row>
    <row r="149" spans="1:30" s="4" customFormat="1" ht="35.25" customHeight="1" x14ac:dyDescent="0.5">
      <c r="A149" s="4">
        <v>1</v>
      </c>
      <c r="B149" s="171">
        <f>SUBTOTAL(103,$A$8:A149)</f>
        <v>140</v>
      </c>
      <c r="C149" s="323" t="s">
        <v>1998</v>
      </c>
      <c r="D149" s="324">
        <f t="shared" si="5"/>
        <v>354653</v>
      </c>
      <c r="E149" s="325">
        <v>177326.5</v>
      </c>
      <c r="F149" s="325">
        <v>177326.5</v>
      </c>
      <c r="G149" s="325">
        <v>0</v>
      </c>
      <c r="H149" s="325">
        <v>0</v>
      </c>
      <c r="I149" s="325">
        <v>0</v>
      </c>
      <c r="J149" s="325">
        <v>0</v>
      </c>
      <c r="K149" s="326">
        <v>0</v>
      </c>
      <c r="L149" s="325">
        <v>0</v>
      </c>
      <c r="M149" s="325">
        <v>0</v>
      </c>
      <c r="N149" s="325">
        <v>0</v>
      </c>
      <c r="O149" s="325">
        <v>0</v>
      </c>
      <c r="P149" s="325">
        <v>0</v>
      </c>
      <c r="Q149" s="325">
        <v>0</v>
      </c>
      <c r="R149" s="325">
        <v>0</v>
      </c>
      <c r="S149" s="325">
        <v>0</v>
      </c>
      <c r="T149" s="325">
        <v>0</v>
      </c>
      <c r="U149" s="325">
        <v>0</v>
      </c>
      <c r="V149" s="325">
        <v>0</v>
      </c>
      <c r="W149" s="325">
        <v>0</v>
      </c>
      <c r="X149" s="325">
        <v>0</v>
      </c>
      <c r="Y149" s="325">
        <v>0</v>
      </c>
      <c r="Z149" s="325">
        <v>0</v>
      </c>
      <c r="AA149" s="325">
        <v>0</v>
      </c>
      <c r="AB149" s="327">
        <v>2020</v>
      </c>
      <c r="AD149" s="4" t="e">
        <v>#N/A</v>
      </c>
    </row>
    <row r="150" spans="1:30" s="4" customFormat="1" ht="35.25" customHeight="1" x14ac:dyDescent="0.5">
      <c r="A150" s="4">
        <v>1</v>
      </c>
      <c r="B150" s="171">
        <f>SUBTOTAL(103,$A$8:A150)</f>
        <v>141</v>
      </c>
      <c r="C150" s="323" t="s">
        <v>1999</v>
      </c>
      <c r="D150" s="324">
        <f t="shared" si="5"/>
        <v>202672.4</v>
      </c>
      <c r="E150" s="325">
        <v>0</v>
      </c>
      <c r="F150" s="325">
        <v>0</v>
      </c>
      <c r="G150" s="325">
        <v>0</v>
      </c>
      <c r="H150" s="325">
        <v>0</v>
      </c>
      <c r="I150" s="325">
        <v>202672.4</v>
      </c>
      <c r="J150" s="325">
        <v>0</v>
      </c>
      <c r="K150" s="326">
        <v>0</v>
      </c>
      <c r="L150" s="325">
        <v>0</v>
      </c>
      <c r="M150" s="325">
        <v>0</v>
      </c>
      <c r="N150" s="325">
        <v>0</v>
      </c>
      <c r="O150" s="325">
        <v>0</v>
      </c>
      <c r="P150" s="325">
        <v>0</v>
      </c>
      <c r="Q150" s="325">
        <v>0</v>
      </c>
      <c r="R150" s="325">
        <v>0</v>
      </c>
      <c r="S150" s="325">
        <v>0</v>
      </c>
      <c r="T150" s="325">
        <v>0</v>
      </c>
      <c r="U150" s="325">
        <v>0</v>
      </c>
      <c r="V150" s="325">
        <v>0</v>
      </c>
      <c r="W150" s="325">
        <v>0</v>
      </c>
      <c r="X150" s="325">
        <v>0</v>
      </c>
      <c r="Y150" s="325">
        <v>0</v>
      </c>
      <c r="Z150" s="325">
        <v>0</v>
      </c>
      <c r="AA150" s="325">
        <v>0</v>
      </c>
      <c r="AB150" s="327">
        <v>2020</v>
      </c>
      <c r="AD150" s="4">
        <v>0</v>
      </c>
    </row>
    <row r="151" spans="1:30" s="4" customFormat="1" ht="35.25" customHeight="1" x14ac:dyDescent="0.5">
      <c r="A151" s="4">
        <v>1</v>
      </c>
      <c r="B151" s="171">
        <f>SUBTOTAL(103,$A$8:A151)</f>
        <v>142</v>
      </c>
      <c r="C151" s="323" t="s">
        <v>2000</v>
      </c>
      <c r="D151" s="324">
        <f t="shared" si="5"/>
        <v>694266.46</v>
      </c>
      <c r="E151" s="325">
        <v>0</v>
      </c>
      <c r="F151" s="325">
        <v>0</v>
      </c>
      <c r="G151" s="325">
        <v>0</v>
      </c>
      <c r="H151" s="325">
        <v>0</v>
      </c>
      <c r="I151" s="325">
        <v>62413.85</v>
      </c>
      <c r="J151" s="325">
        <v>0</v>
      </c>
      <c r="K151" s="326">
        <v>0</v>
      </c>
      <c r="L151" s="325">
        <v>0</v>
      </c>
      <c r="M151" s="325">
        <v>631852.61</v>
      </c>
      <c r="N151" s="325">
        <v>0</v>
      </c>
      <c r="O151" s="325">
        <v>0</v>
      </c>
      <c r="P151" s="325">
        <v>0</v>
      </c>
      <c r="Q151" s="325">
        <v>0</v>
      </c>
      <c r="R151" s="325">
        <v>0</v>
      </c>
      <c r="S151" s="325">
        <v>0</v>
      </c>
      <c r="T151" s="325">
        <v>0</v>
      </c>
      <c r="U151" s="325">
        <v>0</v>
      </c>
      <c r="V151" s="325">
        <v>0</v>
      </c>
      <c r="W151" s="325">
        <v>0</v>
      </c>
      <c r="X151" s="325">
        <v>0</v>
      </c>
      <c r="Y151" s="325">
        <v>0</v>
      </c>
      <c r="Z151" s="325">
        <v>0</v>
      </c>
      <c r="AA151" s="325">
        <v>0</v>
      </c>
      <c r="AB151" s="327">
        <v>2020</v>
      </c>
      <c r="AD151" s="4">
        <v>0</v>
      </c>
    </row>
    <row r="152" spans="1:30" s="4" customFormat="1" ht="35.25" customHeight="1" x14ac:dyDescent="0.5">
      <c r="A152" s="4">
        <v>1</v>
      </c>
      <c r="B152" s="171">
        <f>SUBTOTAL(103,$A$8:A152)</f>
        <v>143</v>
      </c>
      <c r="C152" s="323" t="s">
        <v>2001</v>
      </c>
      <c r="D152" s="324">
        <f t="shared" si="5"/>
        <v>254624</v>
      </c>
      <c r="E152" s="325">
        <v>0</v>
      </c>
      <c r="F152" s="325">
        <v>0</v>
      </c>
      <c r="G152" s="325">
        <v>254624</v>
      </c>
      <c r="H152" s="325">
        <v>0</v>
      </c>
      <c r="I152" s="325">
        <v>0</v>
      </c>
      <c r="J152" s="325">
        <v>0</v>
      </c>
      <c r="K152" s="326">
        <v>0</v>
      </c>
      <c r="L152" s="325">
        <v>0</v>
      </c>
      <c r="M152" s="325">
        <v>0</v>
      </c>
      <c r="N152" s="325">
        <v>0</v>
      </c>
      <c r="O152" s="325">
        <v>0</v>
      </c>
      <c r="P152" s="325">
        <v>0</v>
      </c>
      <c r="Q152" s="325">
        <v>0</v>
      </c>
      <c r="R152" s="325">
        <v>0</v>
      </c>
      <c r="S152" s="325">
        <v>0</v>
      </c>
      <c r="T152" s="325">
        <v>0</v>
      </c>
      <c r="U152" s="325">
        <v>0</v>
      </c>
      <c r="V152" s="325">
        <v>0</v>
      </c>
      <c r="W152" s="325">
        <v>0</v>
      </c>
      <c r="X152" s="325">
        <v>0</v>
      </c>
      <c r="Y152" s="325">
        <v>0</v>
      </c>
      <c r="Z152" s="325">
        <v>0</v>
      </c>
      <c r="AA152" s="325">
        <v>0</v>
      </c>
      <c r="AB152" s="327">
        <v>2020</v>
      </c>
      <c r="AD152" s="4" t="e">
        <v>#N/A</v>
      </c>
    </row>
    <row r="153" spans="1:30" s="4" customFormat="1" ht="35.25" customHeight="1" x14ac:dyDescent="0.5">
      <c r="A153" s="4">
        <v>1</v>
      </c>
      <c r="B153" s="171">
        <f>SUBTOTAL(103,$A$8:A153)</f>
        <v>144</v>
      </c>
      <c r="C153" s="323" t="s">
        <v>2002</v>
      </c>
      <c r="D153" s="324">
        <f t="shared" si="5"/>
        <v>259971</v>
      </c>
      <c r="E153" s="325">
        <v>0</v>
      </c>
      <c r="F153" s="325">
        <v>0</v>
      </c>
      <c r="G153" s="325">
        <v>0</v>
      </c>
      <c r="H153" s="325">
        <v>0</v>
      </c>
      <c r="I153" s="325">
        <v>0</v>
      </c>
      <c r="J153" s="325">
        <v>0</v>
      </c>
      <c r="K153" s="326">
        <v>0</v>
      </c>
      <c r="L153" s="325">
        <v>0</v>
      </c>
      <c r="M153" s="325">
        <v>0</v>
      </c>
      <c r="N153" s="325">
        <v>0</v>
      </c>
      <c r="O153" s="325">
        <v>259971</v>
      </c>
      <c r="P153" s="325">
        <v>0</v>
      </c>
      <c r="Q153" s="325">
        <v>0</v>
      </c>
      <c r="R153" s="325">
        <v>0</v>
      </c>
      <c r="S153" s="325">
        <v>0</v>
      </c>
      <c r="T153" s="325">
        <v>0</v>
      </c>
      <c r="U153" s="325">
        <v>0</v>
      </c>
      <c r="V153" s="325">
        <v>0</v>
      </c>
      <c r="W153" s="325">
        <v>0</v>
      </c>
      <c r="X153" s="325">
        <v>0</v>
      </c>
      <c r="Y153" s="325">
        <v>0</v>
      </c>
      <c r="Z153" s="325">
        <v>0</v>
      </c>
      <c r="AA153" s="325">
        <v>0</v>
      </c>
      <c r="AB153" s="327">
        <v>2020</v>
      </c>
      <c r="AD153" s="4" t="e">
        <v>#N/A</v>
      </c>
    </row>
    <row r="154" spans="1:30" s="4" customFormat="1" ht="35.25" customHeight="1" x14ac:dyDescent="0.5">
      <c r="A154" s="4">
        <v>1</v>
      </c>
      <c r="B154" s="171">
        <f>SUBTOTAL(103,$A$8:A154)</f>
        <v>145</v>
      </c>
      <c r="C154" s="323" t="s">
        <v>2003</v>
      </c>
      <c r="D154" s="324">
        <f t="shared" si="5"/>
        <v>1403305.8</v>
      </c>
      <c r="E154" s="325">
        <v>0</v>
      </c>
      <c r="F154" s="325">
        <v>0</v>
      </c>
      <c r="G154" s="325">
        <v>0</v>
      </c>
      <c r="H154" s="325">
        <v>0</v>
      </c>
      <c r="I154" s="325">
        <v>0</v>
      </c>
      <c r="J154" s="325">
        <v>0</v>
      </c>
      <c r="K154" s="326">
        <v>0</v>
      </c>
      <c r="L154" s="325">
        <v>0</v>
      </c>
      <c r="M154" s="325">
        <v>0</v>
      </c>
      <c r="N154" s="325">
        <v>0</v>
      </c>
      <c r="O154" s="325">
        <v>1403305.8</v>
      </c>
      <c r="P154" s="325">
        <v>0</v>
      </c>
      <c r="Q154" s="325">
        <v>0</v>
      </c>
      <c r="R154" s="325">
        <v>0</v>
      </c>
      <c r="S154" s="325">
        <v>0</v>
      </c>
      <c r="T154" s="325">
        <v>0</v>
      </c>
      <c r="U154" s="325">
        <v>0</v>
      </c>
      <c r="V154" s="325">
        <v>0</v>
      </c>
      <c r="W154" s="325">
        <v>0</v>
      </c>
      <c r="X154" s="325">
        <v>0</v>
      </c>
      <c r="Y154" s="325">
        <v>0</v>
      </c>
      <c r="Z154" s="325">
        <v>0</v>
      </c>
      <c r="AA154" s="325">
        <v>0</v>
      </c>
      <c r="AB154" s="327">
        <v>2020</v>
      </c>
      <c r="AD154" s="4">
        <v>0</v>
      </c>
    </row>
    <row r="155" spans="1:30" s="4" customFormat="1" ht="35.25" customHeight="1" x14ac:dyDescent="0.5">
      <c r="A155" s="4">
        <v>1</v>
      </c>
      <c r="B155" s="171">
        <f>SUBTOTAL(103,$A$8:A155)</f>
        <v>146</v>
      </c>
      <c r="C155" s="323" t="s">
        <v>1731</v>
      </c>
      <c r="D155" s="324">
        <f t="shared" si="5"/>
        <v>7398819</v>
      </c>
      <c r="E155" s="325">
        <v>0</v>
      </c>
      <c r="F155" s="325">
        <v>0</v>
      </c>
      <c r="G155" s="325">
        <v>0</v>
      </c>
      <c r="H155" s="325">
        <v>0</v>
      </c>
      <c r="I155" s="325">
        <v>0</v>
      </c>
      <c r="J155" s="325">
        <v>0</v>
      </c>
      <c r="K155" s="326">
        <v>7</v>
      </c>
      <c r="L155" s="325">
        <v>1200000</v>
      </c>
      <c r="M155" s="325">
        <v>4954168</v>
      </c>
      <c r="N155" s="325">
        <v>0</v>
      </c>
      <c r="O155" s="325">
        <v>1244651</v>
      </c>
      <c r="P155" s="325">
        <v>0</v>
      </c>
      <c r="Q155" s="325">
        <v>0</v>
      </c>
      <c r="R155" s="325">
        <v>0</v>
      </c>
      <c r="S155" s="325">
        <v>0</v>
      </c>
      <c r="T155" s="325">
        <v>0</v>
      </c>
      <c r="U155" s="325">
        <v>0</v>
      </c>
      <c r="V155" s="325">
        <v>0</v>
      </c>
      <c r="W155" s="325">
        <v>0</v>
      </c>
      <c r="X155" s="325">
        <v>0</v>
      </c>
      <c r="Y155" s="325">
        <v>0</v>
      </c>
      <c r="Z155" s="325">
        <v>0</v>
      </c>
      <c r="AA155" s="325">
        <v>0</v>
      </c>
      <c r="AB155" s="327">
        <v>2020</v>
      </c>
      <c r="AD155" s="4" t="e">
        <v>#N/A</v>
      </c>
    </row>
    <row r="156" spans="1:30" s="4" customFormat="1" ht="35.25" customHeight="1" x14ac:dyDescent="0.5">
      <c r="A156" s="4">
        <v>1</v>
      </c>
      <c r="B156" s="171">
        <f>SUBTOTAL(103,$A$8:A156)</f>
        <v>147</v>
      </c>
      <c r="C156" s="323" t="s">
        <v>2004</v>
      </c>
      <c r="D156" s="324">
        <f t="shared" si="5"/>
        <v>1079600</v>
      </c>
      <c r="E156" s="325">
        <v>0</v>
      </c>
      <c r="F156" s="325">
        <v>0</v>
      </c>
      <c r="G156" s="325">
        <v>0</v>
      </c>
      <c r="H156" s="325">
        <v>0</v>
      </c>
      <c r="I156" s="325">
        <v>0</v>
      </c>
      <c r="J156" s="325">
        <v>0</v>
      </c>
      <c r="K156" s="326">
        <v>0</v>
      </c>
      <c r="L156" s="325">
        <v>0</v>
      </c>
      <c r="M156" s="325">
        <v>1079600</v>
      </c>
      <c r="N156" s="325">
        <v>0</v>
      </c>
      <c r="O156" s="325">
        <v>0</v>
      </c>
      <c r="P156" s="325">
        <v>0</v>
      </c>
      <c r="Q156" s="325">
        <v>0</v>
      </c>
      <c r="R156" s="325">
        <v>0</v>
      </c>
      <c r="S156" s="325">
        <v>0</v>
      </c>
      <c r="T156" s="325">
        <v>0</v>
      </c>
      <c r="U156" s="325">
        <v>0</v>
      </c>
      <c r="V156" s="325">
        <v>0</v>
      </c>
      <c r="W156" s="325">
        <v>0</v>
      </c>
      <c r="X156" s="325">
        <v>0</v>
      </c>
      <c r="Y156" s="325">
        <v>0</v>
      </c>
      <c r="Z156" s="325">
        <v>0</v>
      </c>
      <c r="AA156" s="325">
        <v>0</v>
      </c>
      <c r="AB156" s="327">
        <v>2020</v>
      </c>
      <c r="AD156" s="4">
        <v>0</v>
      </c>
    </row>
    <row r="157" spans="1:30" s="4" customFormat="1" ht="35.25" customHeight="1" x14ac:dyDescent="0.5">
      <c r="A157" s="4">
        <v>1</v>
      </c>
      <c r="B157" s="171">
        <f>SUBTOTAL(103,$A$8:A157)</f>
        <v>148</v>
      </c>
      <c r="C157" s="323" t="s">
        <v>2005</v>
      </c>
      <c r="D157" s="324">
        <f t="shared" si="5"/>
        <v>285704</v>
      </c>
      <c r="E157" s="325">
        <v>0</v>
      </c>
      <c r="F157" s="325">
        <v>0</v>
      </c>
      <c r="G157" s="325">
        <v>0</v>
      </c>
      <c r="H157" s="325">
        <v>0</v>
      </c>
      <c r="I157" s="325">
        <v>0</v>
      </c>
      <c r="J157" s="325">
        <v>0</v>
      </c>
      <c r="K157" s="326">
        <v>0</v>
      </c>
      <c r="L157" s="325">
        <v>0</v>
      </c>
      <c r="M157" s="325">
        <v>0</v>
      </c>
      <c r="N157" s="325">
        <v>68000</v>
      </c>
      <c r="O157" s="325">
        <v>217704</v>
      </c>
      <c r="P157" s="325">
        <v>0</v>
      </c>
      <c r="Q157" s="325">
        <v>0</v>
      </c>
      <c r="R157" s="325">
        <v>0</v>
      </c>
      <c r="S157" s="325">
        <v>0</v>
      </c>
      <c r="T157" s="325">
        <v>0</v>
      </c>
      <c r="U157" s="325">
        <v>0</v>
      </c>
      <c r="V157" s="325">
        <v>0</v>
      </c>
      <c r="W157" s="325">
        <v>0</v>
      </c>
      <c r="X157" s="325">
        <v>0</v>
      </c>
      <c r="Y157" s="325">
        <v>0</v>
      </c>
      <c r="Z157" s="325">
        <v>0</v>
      </c>
      <c r="AA157" s="325">
        <v>0</v>
      </c>
      <c r="AB157" s="327">
        <v>2020</v>
      </c>
      <c r="AD157" s="4" t="e">
        <v>#N/A</v>
      </c>
    </row>
    <row r="158" spans="1:30" s="4" customFormat="1" ht="35.25" customHeight="1" x14ac:dyDescent="0.5">
      <c r="A158" s="4">
        <v>1</v>
      </c>
      <c r="B158" s="171">
        <f>SUBTOTAL(103,$A$8:A158)</f>
        <v>149</v>
      </c>
      <c r="C158" s="323" t="s">
        <v>2006</v>
      </c>
      <c r="D158" s="324">
        <f t="shared" si="5"/>
        <v>165037</v>
      </c>
      <c r="E158" s="325">
        <v>0</v>
      </c>
      <c r="F158" s="325">
        <v>165037</v>
      </c>
      <c r="G158" s="325">
        <v>0</v>
      </c>
      <c r="H158" s="325">
        <v>0</v>
      </c>
      <c r="I158" s="325">
        <v>0</v>
      </c>
      <c r="J158" s="325">
        <v>0</v>
      </c>
      <c r="K158" s="326">
        <v>0</v>
      </c>
      <c r="L158" s="325">
        <v>0</v>
      </c>
      <c r="M158" s="325">
        <v>0</v>
      </c>
      <c r="N158" s="325">
        <v>0</v>
      </c>
      <c r="O158" s="325">
        <v>0</v>
      </c>
      <c r="P158" s="325">
        <v>0</v>
      </c>
      <c r="Q158" s="325">
        <v>0</v>
      </c>
      <c r="R158" s="325">
        <v>0</v>
      </c>
      <c r="S158" s="325">
        <v>0</v>
      </c>
      <c r="T158" s="325">
        <v>0</v>
      </c>
      <c r="U158" s="325">
        <v>0</v>
      </c>
      <c r="V158" s="325">
        <v>0</v>
      </c>
      <c r="W158" s="325">
        <v>0</v>
      </c>
      <c r="X158" s="325">
        <v>0</v>
      </c>
      <c r="Y158" s="325">
        <v>0</v>
      </c>
      <c r="Z158" s="325">
        <v>0</v>
      </c>
      <c r="AA158" s="325">
        <v>0</v>
      </c>
      <c r="AB158" s="327">
        <v>2020</v>
      </c>
      <c r="AD158" s="4" t="e">
        <v>#N/A</v>
      </c>
    </row>
    <row r="159" spans="1:30" s="4" customFormat="1" ht="35.25" customHeight="1" x14ac:dyDescent="0.5">
      <c r="A159" s="4">
        <v>1</v>
      </c>
      <c r="B159" s="171">
        <f>SUBTOTAL(103,$A$8:A159)</f>
        <v>150</v>
      </c>
      <c r="C159" s="323" t="s">
        <v>2007</v>
      </c>
      <c r="D159" s="324">
        <f t="shared" si="5"/>
        <v>589000</v>
      </c>
      <c r="E159" s="325">
        <v>0</v>
      </c>
      <c r="F159" s="325">
        <v>0</v>
      </c>
      <c r="G159" s="325">
        <v>0</v>
      </c>
      <c r="H159" s="325">
        <v>0</v>
      </c>
      <c r="I159" s="325">
        <v>589000</v>
      </c>
      <c r="J159" s="325">
        <v>0</v>
      </c>
      <c r="K159" s="326">
        <v>0</v>
      </c>
      <c r="L159" s="325">
        <v>0</v>
      </c>
      <c r="M159" s="325">
        <v>0</v>
      </c>
      <c r="N159" s="325">
        <v>0</v>
      </c>
      <c r="O159" s="325">
        <v>0</v>
      </c>
      <c r="P159" s="325">
        <v>0</v>
      </c>
      <c r="Q159" s="325">
        <v>0</v>
      </c>
      <c r="R159" s="325">
        <v>0</v>
      </c>
      <c r="S159" s="325">
        <v>0</v>
      </c>
      <c r="T159" s="325">
        <v>0</v>
      </c>
      <c r="U159" s="325">
        <v>0</v>
      </c>
      <c r="V159" s="325">
        <v>0</v>
      </c>
      <c r="W159" s="325">
        <v>0</v>
      </c>
      <c r="X159" s="325">
        <v>0</v>
      </c>
      <c r="Y159" s="325">
        <v>0</v>
      </c>
      <c r="Z159" s="325">
        <v>0</v>
      </c>
      <c r="AA159" s="325">
        <v>0</v>
      </c>
      <c r="AB159" s="327">
        <v>2020</v>
      </c>
      <c r="AD159" s="4" t="e">
        <v>#N/A</v>
      </c>
    </row>
    <row r="160" spans="1:30" s="4" customFormat="1" ht="35.25" customHeight="1" x14ac:dyDescent="0.5">
      <c r="A160" s="4">
        <v>1</v>
      </c>
      <c r="B160" s="171">
        <f>SUBTOTAL(103,$A$8:A160)</f>
        <v>151</v>
      </c>
      <c r="C160" s="323" t="s">
        <v>2008</v>
      </c>
      <c r="D160" s="324">
        <f t="shared" si="5"/>
        <v>2370868.27</v>
      </c>
      <c r="E160" s="325">
        <v>0</v>
      </c>
      <c r="F160" s="325">
        <v>298952.02</v>
      </c>
      <c r="G160" s="325">
        <v>1793579.5499999998</v>
      </c>
      <c r="H160" s="325">
        <v>278336.7</v>
      </c>
      <c r="I160" s="325">
        <v>0</v>
      </c>
      <c r="J160" s="325">
        <v>0</v>
      </c>
      <c r="K160" s="326">
        <v>0</v>
      </c>
      <c r="L160" s="325">
        <v>0</v>
      </c>
      <c r="M160" s="325">
        <v>0</v>
      </c>
      <c r="N160" s="325">
        <v>0</v>
      </c>
      <c r="O160" s="325">
        <v>0</v>
      </c>
      <c r="P160" s="325">
        <v>0</v>
      </c>
      <c r="Q160" s="325">
        <v>0</v>
      </c>
      <c r="R160" s="325">
        <v>0</v>
      </c>
      <c r="S160" s="325">
        <v>0</v>
      </c>
      <c r="T160" s="325">
        <v>0</v>
      </c>
      <c r="U160" s="325">
        <v>0</v>
      </c>
      <c r="V160" s="325">
        <v>0</v>
      </c>
      <c r="W160" s="325">
        <v>0</v>
      </c>
      <c r="X160" s="325">
        <v>0</v>
      </c>
      <c r="Y160" s="325">
        <v>0</v>
      </c>
      <c r="Z160" s="325">
        <v>0</v>
      </c>
      <c r="AA160" s="325">
        <v>0</v>
      </c>
      <c r="AB160" s="327">
        <v>2020</v>
      </c>
      <c r="AD160" s="4">
        <v>0</v>
      </c>
    </row>
    <row r="161" spans="1:30" s="4" customFormat="1" ht="35.25" customHeight="1" x14ac:dyDescent="0.5">
      <c r="A161" s="4">
        <v>1</v>
      </c>
      <c r="B161" s="171">
        <f>SUBTOTAL(103,$A$8:A161)</f>
        <v>152</v>
      </c>
      <c r="C161" s="323" t="s">
        <v>2009</v>
      </c>
      <c r="D161" s="324">
        <f t="shared" si="5"/>
        <v>758999.85</v>
      </c>
      <c r="E161" s="325">
        <v>0</v>
      </c>
      <c r="F161" s="325">
        <v>0</v>
      </c>
      <c r="G161" s="325">
        <v>0</v>
      </c>
      <c r="H161" s="325">
        <v>0</v>
      </c>
      <c r="I161" s="325">
        <v>0</v>
      </c>
      <c r="J161" s="325">
        <v>0</v>
      </c>
      <c r="K161" s="326">
        <v>0</v>
      </c>
      <c r="L161" s="325">
        <v>0</v>
      </c>
      <c r="M161" s="325">
        <v>758999.85</v>
      </c>
      <c r="N161" s="325">
        <v>0</v>
      </c>
      <c r="O161" s="325">
        <v>0</v>
      </c>
      <c r="P161" s="325">
        <v>0</v>
      </c>
      <c r="Q161" s="325">
        <v>0</v>
      </c>
      <c r="R161" s="325">
        <v>0</v>
      </c>
      <c r="S161" s="325">
        <v>0</v>
      </c>
      <c r="T161" s="325">
        <v>0</v>
      </c>
      <c r="U161" s="325">
        <v>0</v>
      </c>
      <c r="V161" s="325">
        <v>0</v>
      </c>
      <c r="W161" s="325">
        <v>0</v>
      </c>
      <c r="X161" s="325">
        <v>0</v>
      </c>
      <c r="Y161" s="325">
        <v>0</v>
      </c>
      <c r="Z161" s="325">
        <v>0</v>
      </c>
      <c r="AA161" s="325">
        <v>0</v>
      </c>
      <c r="AB161" s="327">
        <v>2020</v>
      </c>
      <c r="AD161" s="4">
        <v>0</v>
      </c>
    </row>
    <row r="162" spans="1:30" s="4" customFormat="1" ht="35.25" customHeight="1" x14ac:dyDescent="0.5">
      <c r="A162" s="4">
        <v>1</v>
      </c>
      <c r="B162" s="171">
        <f>SUBTOTAL(103,$A$8:A162)</f>
        <v>153</v>
      </c>
      <c r="C162" s="323" t="s">
        <v>2010</v>
      </c>
      <c r="D162" s="324">
        <f t="shared" si="5"/>
        <v>214233.77000000002</v>
      </c>
      <c r="E162" s="325">
        <v>0</v>
      </c>
      <c r="F162" s="325">
        <v>0</v>
      </c>
      <c r="G162" s="325">
        <v>214233.77000000002</v>
      </c>
      <c r="H162" s="325">
        <v>0</v>
      </c>
      <c r="I162" s="325">
        <v>0</v>
      </c>
      <c r="J162" s="325">
        <v>0</v>
      </c>
      <c r="K162" s="326">
        <v>0</v>
      </c>
      <c r="L162" s="325">
        <v>0</v>
      </c>
      <c r="M162" s="325">
        <v>0</v>
      </c>
      <c r="N162" s="325">
        <v>0</v>
      </c>
      <c r="O162" s="325">
        <v>0</v>
      </c>
      <c r="P162" s="325">
        <v>0</v>
      </c>
      <c r="Q162" s="325">
        <v>0</v>
      </c>
      <c r="R162" s="325">
        <v>0</v>
      </c>
      <c r="S162" s="325">
        <v>0</v>
      </c>
      <c r="T162" s="325">
        <v>0</v>
      </c>
      <c r="U162" s="325">
        <v>0</v>
      </c>
      <c r="V162" s="325">
        <v>0</v>
      </c>
      <c r="W162" s="325">
        <v>0</v>
      </c>
      <c r="X162" s="325">
        <v>0</v>
      </c>
      <c r="Y162" s="325">
        <v>0</v>
      </c>
      <c r="Z162" s="325">
        <v>0</v>
      </c>
      <c r="AA162" s="325">
        <v>0</v>
      </c>
      <c r="AB162" s="327">
        <v>2020</v>
      </c>
      <c r="AD162" s="4">
        <v>0</v>
      </c>
    </row>
    <row r="163" spans="1:30" s="4" customFormat="1" ht="35.25" customHeight="1" x14ac:dyDescent="0.5">
      <c r="A163" s="4">
        <v>1</v>
      </c>
      <c r="B163" s="171">
        <f>SUBTOTAL(103,$A$8:A163)</f>
        <v>154</v>
      </c>
      <c r="C163" s="323" t="s">
        <v>2011</v>
      </c>
      <c r="D163" s="324">
        <f t="shared" si="5"/>
        <v>512800</v>
      </c>
      <c r="E163" s="325">
        <v>0</v>
      </c>
      <c r="F163" s="325">
        <v>0</v>
      </c>
      <c r="G163" s="325">
        <v>0</v>
      </c>
      <c r="H163" s="325">
        <v>0</v>
      </c>
      <c r="I163" s="325">
        <v>0</v>
      </c>
      <c r="J163" s="325">
        <v>0</v>
      </c>
      <c r="K163" s="326">
        <v>0</v>
      </c>
      <c r="L163" s="325">
        <v>0</v>
      </c>
      <c r="M163" s="325">
        <v>0</v>
      </c>
      <c r="N163" s="325">
        <v>0</v>
      </c>
      <c r="O163" s="325">
        <v>512800</v>
      </c>
      <c r="P163" s="325">
        <v>0</v>
      </c>
      <c r="Q163" s="325">
        <v>0</v>
      </c>
      <c r="R163" s="325">
        <v>0</v>
      </c>
      <c r="S163" s="325">
        <v>0</v>
      </c>
      <c r="T163" s="325">
        <v>0</v>
      </c>
      <c r="U163" s="325">
        <v>0</v>
      </c>
      <c r="V163" s="325">
        <v>0</v>
      </c>
      <c r="W163" s="325">
        <v>0</v>
      </c>
      <c r="X163" s="325">
        <v>0</v>
      </c>
      <c r="Y163" s="325">
        <v>0</v>
      </c>
      <c r="Z163" s="325">
        <v>0</v>
      </c>
      <c r="AA163" s="325">
        <v>0</v>
      </c>
      <c r="AB163" s="327">
        <v>2020</v>
      </c>
      <c r="AD163" s="4" t="e">
        <v>#N/A</v>
      </c>
    </row>
    <row r="164" spans="1:30" s="4" customFormat="1" ht="35.25" customHeight="1" x14ac:dyDescent="0.5">
      <c r="A164" s="4">
        <v>1</v>
      </c>
      <c r="B164" s="171">
        <f>SUBTOTAL(103,$A$8:A164)</f>
        <v>155</v>
      </c>
      <c r="C164" s="323" t="s">
        <v>2012</v>
      </c>
      <c r="D164" s="324">
        <f t="shared" si="5"/>
        <v>222265</v>
      </c>
      <c r="E164" s="325">
        <v>0</v>
      </c>
      <c r="F164" s="325">
        <v>0</v>
      </c>
      <c r="G164" s="325">
        <v>0</v>
      </c>
      <c r="H164" s="325">
        <v>0</v>
      </c>
      <c r="I164" s="325">
        <v>0</v>
      </c>
      <c r="J164" s="325">
        <v>0</v>
      </c>
      <c r="K164" s="326">
        <v>0</v>
      </c>
      <c r="L164" s="325">
        <v>0</v>
      </c>
      <c r="M164" s="325">
        <v>0</v>
      </c>
      <c r="N164" s="325">
        <v>186025</v>
      </c>
      <c r="O164" s="325">
        <v>36240</v>
      </c>
      <c r="P164" s="325">
        <v>0</v>
      </c>
      <c r="Q164" s="325">
        <v>0</v>
      </c>
      <c r="R164" s="325">
        <v>0</v>
      </c>
      <c r="S164" s="325">
        <v>0</v>
      </c>
      <c r="T164" s="325">
        <v>0</v>
      </c>
      <c r="U164" s="325">
        <v>0</v>
      </c>
      <c r="V164" s="325">
        <v>0</v>
      </c>
      <c r="W164" s="325">
        <v>0</v>
      </c>
      <c r="X164" s="325">
        <v>0</v>
      </c>
      <c r="Y164" s="325">
        <v>0</v>
      </c>
      <c r="Z164" s="325">
        <v>0</v>
      </c>
      <c r="AA164" s="325">
        <v>0</v>
      </c>
      <c r="AB164" s="327">
        <v>2020</v>
      </c>
      <c r="AD164" s="4">
        <v>0</v>
      </c>
    </row>
    <row r="165" spans="1:30" s="4" customFormat="1" ht="35.25" customHeight="1" x14ac:dyDescent="0.5">
      <c r="A165" s="4">
        <v>1</v>
      </c>
      <c r="B165" s="171">
        <f>SUBTOTAL(103,$A$8:A165)</f>
        <v>156</v>
      </c>
      <c r="C165" s="323" t="s">
        <v>2013</v>
      </c>
      <c r="D165" s="324">
        <f t="shared" si="5"/>
        <v>204454</v>
      </c>
      <c r="E165" s="325">
        <v>48377</v>
      </c>
      <c r="F165" s="325">
        <v>48377</v>
      </c>
      <c r="G165" s="325">
        <v>107700</v>
      </c>
      <c r="H165" s="325">
        <v>0</v>
      </c>
      <c r="I165" s="325">
        <v>0</v>
      </c>
      <c r="J165" s="325">
        <v>0</v>
      </c>
      <c r="K165" s="326">
        <v>0</v>
      </c>
      <c r="L165" s="325">
        <v>0</v>
      </c>
      <c r="M165" s="325">
        <v>0</v>
      </c>
      <c r="N165" s="325">
        <v>0</v>
      </c>
      <c r="O165" s="325">
        <v>0</v>
      </c>
      <c r="P165" s="325">
        <v>0</v>
      </c>
      <c r="Q165" s="325">
        <v>0</v>
      </c>
      <c r="R165" s="325">
        <v>0</v>
      </c>
      <c r="S165" s="325">
        <v>0</v>
      </c>
      <c r="T165" s="325">
        <v>0</v>
      </c>
      <c r="U165" s="325">
        <v>0</v>
      </c>
      <c r="V165" s="325">
        <v>0</v>
      </c>
      <c r="W165" s="325">
        <v>0</v>
      </c>
      <c r="X165" s="325">
        <v>0</v>
      </c>
      <c r="Y165" s="325">
        <v>0</v>
      </c>
      <c r="Z165" s="325">
        <v>0</v>
      </c>
      <c r="AA165" s="325">
        <v>0</v>
      </c>
      <c r="AB165" s="327">
        <v>2020</v>
      </c>
      <c r="AD165" s="4">
        <v>0</v>
      </c>
    </row>
    <row r="166" spans="1:30" s="4" customFormat="1" ht="35.25" customHeight="1" x14ac:dyDescent="0.5">
      <c r="A166" s="4">
        <v>1</v>
      </c>
      <c r="B166" s="171">
        <f>SUBTOTAL(103,$A$8:A166)</f>
        <v>157</v>
      </c>
      <c r="C166" s="323" t="s">
        <v>2014</v>
      </c>
      <c r="D166" s="324">
        <f t="shared" si="5"/>
        <v>143710.21</v>
      </c>
      <c r="E166" s="325">
        <v>143710.21</v>
      </c>
      <c r="F166" s="325">
        <v>0</v>
      </c>
      <c r="G166" s="325">
        <v>0</v>
      </c>
      <c r="H166" s="325">
        <v>0</v>
      </c>
      <c r="I166" s="325">
        <v>0</v>
      </c>
      <c r="J166" s="325">
        <v>0</v>
      </c>
      <c r="K166" s="326">
        <v>0</v>
      </c>
      <c r="L166" s="325">
        <v>0</v>
      </c>
      <c r="M166" s="325">
        <v>0</v>
      </c>
      <c r="N166" s="325">
        <v>0</v>
      </c>
      <c r="O166" s="325">
        <v>0</v>
      </c>
      <c r="P166" s="325">
        <v>0</v>
      </c>
      <c r="Q166" s="325">
        <v>0</v>
      </c>
      <c r="R166" s="325">
        <v>0</v>
      </c>
      <c r="S166" s="325">
        <v>0</v>
      </c>
      <c r="T166" s="325">
        <v>0</v>
      </c>
      <c r="U166" s="325">
        <v>0</v>
      </c>
      <c r="V166" s="325">
        <v>0</v>
      </c>
      <c r="W166" s="325">
        <v>0</v>
      </c>
      <c r="X166" s="325">
        <v>0</v>
      </c>
      <c r="Y166" s="325">
        <v>0</v>
      </c>
      <c r="Z166" s="325">
        <v>0</v>
      </c>
      <c r="AA166" s="325">
        <v>0</v>
      </c>
      <c r="AB166" s="327">
        <v>2020</v>
      </c>
      <c r="AD166" s="4" t="e">
        <v>#N/A</v>
      </c>
    </row>
    <row r="167" spans="1:30" s="4" customFormat="1" ht="35.25" customHeight="1" x14ac:dyDescent="0.5">
      <c r="A167" s="4">
        <v>1</v>
      </c>
      <c r="B167" s="171">
        <f>SUBTOTAL(103,$A$8:A167)</f>
        <v>158</v>
      </c>
      <c r="C167" s="323" t="s">
        <v>2015</v>
      </c>
      <c r="D167" s="324">
        <f t="shared" si="5"/>
        <v>129672.73</v>
      </c>
      <c r="E167" s="325">
        <v>0</v>
      </c>
      <c r="F167" s="325">
        <v>0</v>
      </c>
      <c r="G167" s="325">
        <v>0</v>
      </c>
      <c r="H167" s="325">
        <v>0</v>
      </c>
      <c r="I167" s="325">
        <v>0</v>
      </c>
      <c r="J167" s="325">
        <v>0</v>
      </c>
      <c r="K167" s="326">
        <v>0</v>
      </c>
      <c r="L167" s="325">
        <v>0</v>
      </c>
      <c r="M167" s="325">
        <v>0</v>
      </c>
      <c r="N167" s="325">
        <v>0</v>
      </c>
      <c r="O167" s="325">
        <v>129672.73</v>
      </c>
      <c r="P167" s="325">
        <v>0</v>
      </c>
      <c r="Q167" s="325">
        <v>0</v>
      </c>
      <c r="R167" s="325">
        <v>0</v>
      </c>
      <c r="S167" s="325">
        <v>0</v>
      </c>
      <c r="T167" s="325">
        <v>0</v>
      </c>
      <c r="U167" s="325">
        <v>0</v>
      </c>
      <c r="V167" s="325">
        <v>0</v>
      </c>
      <c r="W167" s="325">
        <v>0</v>
      </c>
      <c r="X167" s="325">
        <v>0</v>
      </c>
      <c r="Y167" s="325">
        <v>0</v>
      </c>
      <c r="Z167" s="325">
        <v>0</v>
      </c>
      <c r="AA167" s="325">
        <v>0</v>
      </c>
      <c r="AB167" s="327">
        <v>2020</v>
      </c>
      <c r="AD167" s="4" t="e">
        <v>#N/A</v>
      </c>
    </row>
    <row r="168" spans="1:30" s="4" customFormat="1" ht="35.25" customHeight="1" x14ac:dyDescent="0.5">
      <c r="A168" s="4">
        <v>1</v>
      </c>
      <c r="B168" s="171">
        <f>SUBTOTAL(103,$A$8:A168)</f>
        <v>159</v>
      </c>
      <c r="C168" s="323" t="s">
        <v>2016</v>
      </c>
      <c r="D168" s="324">
        <f t="shared" ref="D168:D231" si="6">E168+F168+G168+H168+I168+J168+L168+M168+N168+O168+P168+Q168+R168+S168+T168+U168+V168+W168+X168+Y168+Z168+AA168</f>
        <v>338000</v>
      </c>
      <c r="E168" s="325">
        <v>0</v>
      </c>
      <c r="F168" s="325">
        <v>0</v>
      </c>
      <c r="G168" s="325">
        <v>0</v>
      </c>
      <c r="H168" s="325">
        <v>0</v>
      </c>
      <c r="I168" s="325">
        <v>0</v>
      </c>
      <c r="J168" s="325">
        <v>0</v>
      </c>
      <c r="K168" s="326">
        <v>0</v>
      </c>
      <c r="L168" s="325">
        <v>0</v>
      </c>
      <c r="M168" s="325">
        <v>0</v>
      </c>
      <c r="N168" s="325">
        <v>0</v>
      </c>
      <c r="O168" s="325">
        <v>338000</v>
      </c>
      <c r="P168" s="325">
        <v>0</v>
      </c>
      <c r="Q168" s="325">
        <v>0</v>
      </c>
      <c r="R168" s="325">
        <v>0</v>
      </c>
      <c r="S168" s="325">
        <v>0</v>
      </c>
      <c r="T168" s="325">
        <v>0</v>
      </c>
      <c r="U168" s="325">
        <v>0</v>
      </c>
      <c r="V168" s="325">
        <v>0</v>
      </c>
      <c r="W168" s="325">
        <v>0</v>
      </c>
      <c r="X168" s="325">
        <v>0</v>
      </c>
      <c r="Y168" s="325">
        <v>0</v>
      </c>
      <c r="Z168" s="325">
        <v>0</v>
      </c>
      <c r="AA168" s="325">
        <v>0</v>
      </c>
      <c r="AB168" s="327">
        <v>2020</v>
      </c>
      <c r="AD168" s="4" t="e">
        <v>#N/A</v>
      </c>
    </row>
    <row r="169" spans="1:30" s="4" customFormat="1" ht="35.25" customHeight="1" x14ac:dyDescent="0.5">
      <c r="A169" s="4">
        <v>1</v>
      </c>
      <c r="B169" s="171">
        <f>SUBTOTAL(103,$A$8:A169)</f>
        <v>160</v>
      </c>
      <c r="C169" s="323" t="s">
        <v>2017</v>
      </c>
      <c r="D169" s="324">
        <f t="shared" si="6"/>
        <v>232842.47</v>
      </c>
      <c r="E169" s="325">
        <v>0</v>
      </c>
      <c r="F169" s="325">
        <v>0</v>
      </c>
      <c r="G169" s="325">
        <v>0</v>
      </c>
      <c r="H169" s="325">
        <v>0</v>
      </c>
      <c r="I169" s="325">
        <v>0</v>
      </c>
      <c r="J169" s="325">
        <v>0</v>
      </c>
      <c r="K169" s="326">
        <v>0</v>
      </c>
      <c r="L169" s="325">
        <v>0</v>
      </c>
      <c r="M169" s="325">
        <v>0</v>
      </c>
      <c r="N169" s="325">
        <v>0</v>
      </c>
      <c r="O169" s="325">
        <v>232842.47</v>
      </c>
      <c r="P169" s="325">
        <v>0</v>
      </c>
      <c r="Q169" s="325">
        <v>0</v>
      </c>
      <c r="R169" s="325">
        <v>0</v>
      </c>
      <c r="S169" s="325">
        <v>0</v>
      </c>
      <c r="T169" s="325">
        <v>0</v>
      </c>
      <c r="U169" s="325">
        <v>0</v>
      </c>
      <c r="V169" s="325">
        <v>0</v>
      </c>
      <c r="W169" s="325">
        <v>0</v>
      </c>
      <c r="X169" s="325">
        <v>0</v>
      </c>
      <c r="Y169" s="325">
        <v>0</v>
      </c>
      <c r="Z169" s="325">
        <v>0</v>
      </c>
      <c r="AA169" s="325">
        <v>0</v>
      </c>
      <c r="AB169" s="327">
        <v>2020</v>
      </c>
      <c r="AD169" s="4">
        <v>0</v>
      </c>
    </row>
    <row r="170" spans="1:30" s="4" customFormat="1" ht="35.25" customHeight="1" x14ac:dyDescent="0.5">
      <c r="A170" s="4">
        <v>1</v>
      </c>
      <c r="B170" s="171">
        <f>SUBTOTAL(103,$A$8:A170)</f>
        <v>161</v>
      </c>
      <c r="C170" s="323" t="s">
        <v>2018</v>
      </c>
      <c r="D170" s="324">
        <f t="shared" si="6"/>
        <v>1004030</v>
      </c>
      <c r="E170" s="325">
        <v>0</v>
      </c>
      <c r="F170" s="325">
        <v>0</v>
      </c>
      <c r="G170" s="325">
        <v>0</v>
      </c>
      <c r="H170" s="325">
        <v>0</v>
      </c>
      <c r="I170" s="325">
        <v>0</v>
      </c>
      <c r="J170" s="325">
        <v>0</v>
      </c>
      <c r="K170" s="326">
        <v>0</v>
      </c>
      <c r="L170" s="325">
        <v>0</v>
      </c>
      <c r="M170" s="325">
        <v>1004030</v>
      </c>
      <c r="N170" s="325">
        <v>0</v>
      </c>
      <c r="O170" s="325">
        <v>0</v>
      </c>
      <c r="P170" s="325">
        <v>0</v>
      </c>
      <c r="Q170" s="325">
        <v>0</v>
      </c>
      <c r="R170" s="325">
        <v>0</v>
      </c>
      <c r="S170" s="325">
        <v>0</v>
      </c>
      <c r="T170" s="325">
        <v>0</v>
      </c>
      <c r="U170" s="325">
        <v>0</v>
      </c>
      <c r="V170" s="325">
        <v>0</v>
      </c>
      <c r="W170" s="325">
        <v>0</v>
      </c>
      <c r="X170" s="325">
        <v>0</v>
      </c>
      <c r="Y170" s="325">
        <v>0</v>
      </c>
      <c r="Z170" s="325">
        <v>0</v>
      </c>
      <c r="AA170" s="325">
        <v>0</v>
      </c>
      <c r="AB170" s="327">
        <v>2020</v>
      </c>
      <c r="AD170" s="4">
        <v>0</v>
      </c>
    </row>
    <row r="171" spans="1:30" s="4" customFormat="1" ht="35.25" customHeight="1" x14ac:dyDescent="0.5">
      <c r="A171" s="4">
        <v>1</v>
      </c>
      <c r="B171" s="171">
        <f>SUBTOTAL(103,$A$8:A171)</f>
        <v>162</v>
      </c>
      <c r="C171" s="323" t="s">
        <v>2019</v>
      </c>
      <c r="D171" s="324">
        <f t="shared" si="6"/>
        <v>533500</v>
      </c>
      <c r="E171" s="325">
        <v>0</v>
      </c>
      <c r="F171" s="325">
        <v>0</v>
      </c>
      <c r="G171" s="325">
        <v>0</v>
      </c>
      <c r="H171" s="325">
        <v>0</v>
      </c>
      <c r="I171" s="325">
        <v>0</v>
      </c>
      <c r="J171" s="325">
        <v>0</v>
      </c>
      <c r="K171" s="326">
        <v>0</v>
      </c>
      <c r="L171" s="325">
        <v>0</v>
      </c>
      <c r="M171" s="325">
        <v>533500</v>
      </c>
      <c r="N171" s="325">
        <v>0</v>
      </c>
      <c r="O171" s="325">
        <v>0</v>
      </c>
      <c r="P171" s="325">
        <v>0</v>
      </c>
      <c r="Q171" s="325">
        <v>0</v>
      </c>
      <c r="R171" s="325">
        <v>0</v>
      </c>
      <c r="S171" s="325">
        <v>0</v>
      </c>
      <c r="T171" s="325">
        <v>0</v>
      </c>
      <c r="U171" s="325">
        <v>0</v>
      </c>
      <c r="V171" s="325">
        <v>0</v>
      </c>
      <c r="W171" s="325">
        <v>0</v>
      </c>
      <c r="X171" s="325">
        <v>0</v>
      </c>
      <c r="Y171" s="325">
        <v>0</v>
      </c>
      <c r="Z171" s="325">
        <v>0</v>
      </c>
      <c r="AA171" s="325">
        <v>0</v>
      </c>
      <c r="AB171" s="327">
        <v>2020</v>
      </c>
      <c r="AD171" s="4" t="e">
        <v>#N/A</v>
      </c>
    </row>
    <row r="172" spans="1:30" s="4" customFormat="1" ht="35.25" customHeight="1" x14ac:dyDescent="0.5">
      <c r="A172" s="4">
        <v>1</v>
      </c>
      <c r="B172" s="171">
        <f>SUBTOTAL(103,$A$8:A172)</f>
        <v>163</v>
      </c>
      <c r="C172" s="323" t="s">
        <v>2020</v>
      </c>
      <c r="D172" s="324">
        <f t="shared" si="6"/>
        <v>126461.17</v>
      </c>
      <c r="E172" s="325">
        <v>0</v>
      </c>
      <c r="F172" s="325">
        <v>0</v>
      </c>
      <c r="G172" s="325">
        <v>0</v>
      </c>
      <c r="H172" s="325">
        <v>0</v>
      </c>
      <c r="I172" s="325">
        <v>0</v>
      </c>
      <c r="J172" s="325">
        <v>0</v>
      </c>
      <c r="K172" s="326">
        <v>0</v>
      </c>
      <c r="L172" s="325">
        <v>0</v>
      </c>
      <c r="M172" s="325">
        <v>0</v>
      </c>
      <c r="N172" s="325">
        <v>0</v>
      </c>
      <c r="O172" s="325">
        <v>126461.17</v>
      </c>
      <c r="P172" s="325">
        <v>0</v>
      </c>
      <c r="Q172" s="325">
        <v>0</v>
      </c>
      <c r="R172" s="325">
        <v>0</v>
      </c>
      <c r="S172" s="325">
        <v>0</v>
      </c>
      <c r="T172" s="325">
        <v>0</v>
      </c>
      <c r="U172" s="325">
        <v>0</v>
      </c>
      <c r="V172" s="325">
        <v>0</v>
      </c>
      <c r="W172" s="325">
        <v>0</v>
      </c>
      <c r="X172" s="325">
        <v>0</v>
      </c>
      <c r="Y172" s="325">
        <v>0</v>
      </c>
      <c r="Z172" s="325">
        <v>0</v>
      </c>
      <c r="AA172" s="325">
        <v>0</v>
      </c>
      <c r="AB172" s="327">
        <v>2020</v>
      </c>
      <c r="AD172" s="4" t="e">
        <v>#N/A</v>
      </c>
    </row>
    <row r="173" spans="1:30" s="4" customFormat="1" ht="35.25" customHeight="1" x14ac:dyDescent="0.5">
      <c r="A173" s="4">
        <v>1</v>
      </c>
      <c r="B173" s="171">
        <f>SUBTOTAL(103,$A$8:A173)</f>
        <v>164</v>
      </c>
      <c r="C173" s="323" t="s">
        <v>2021</v>
      </c>
      <c r="D173" s="324">
        <f t="shared" si="6"/>
        <v>1886545</v>
      </c>
      <c r="E173" s="325">
        <v>0</v>
      </c>
      <c r="F173" s="325">
        <v>0</v>
      </c>
      <c r="G173" s="325">
        <v>0</v>
      </c>
      <c r="H173" s="325">
        <v>0</v>
      </c>
      <c r="I173" s="325">
        <v>0</v>
      </c>
      <c r="J173" s="325">
        <v>0</v>
      </c>
      <c r="K173" s="326">
        <v>0</v>
      </c>
      <c r="L173" s="325">
        <v>0</v>
      </c>
      <c r="M173" s="325">
        <v>794470</v>
      </c>
      <c r="N173" s="325">
        <v>0</v>
      </c>
      <c r="O173" s="325">
        <v>0</v>
      </c>
      <c r="P173" s="325">
        <v>1092075</v>
      </c>
      <c r="Q173" s="325">
        <v>0</v>
      </c>
      <c r="R173" s="325">
        <v>0</v>
      </c>
      <c r="S173" s="325">
        <v>0</v>
      </c>
      <c r="T173" s="325">
        <v>0</v>
      </c>
      <c r="U173" s="325">
        <v>0</v>
      </c>
      <c r="V173" s="325">
        <v>0</v>
      </c>
      <c r="W173" s="325">
        <v>0</v>
      </c>
      <c r="X173" s="325">
        <v>0</v>
      </c>
      <c r="Y173" s="325">
        <v>0</v>
      </c>
      <c r="Z173" s="325">
        <v>0</v>
      </c>
      <c r="AA173" s="325">
        <v>0</v>
      </c>
      <c r="AB173" s="327">
        <v>2020</v>
      </c>
      <c r="AD173" s="4">
        <v>0</v>
      </c>
    </row>
    <row r="174" spans="1:30" s="4" customFormat="1" ht="35.25" customHeight="1" x14ac:dyDescent="0.5">
      <c r="A174" s="4">
        <v>1</v>
      </c>
      <c r="B174" s="171">
        <f>SUBTOTAL(103,$A$8:A174)</f>
        <v>165</v>
      </c>
      <c r="C174" s="323" t="s">
        <v>1742</v>
      </c>
      <c r="D174" s="324">
        <f t="shared" si="6"/>
        <v>1800000</v>
      </c>
      <c r="E174" s="325">
        <v>0</v>
      </c>
      <c r="F174" s="325">
        <v>0</v>
      </c>
      <c r="G174" s="325">
        <v>0</v>
      </c>
      <c r="H174" s="325">
        <v>0</v>
      </c>
      <c r="I174" s="325">
        <v>0</v>
      </c>
      <c r="J174" s="325">
        <v>0</v>
      </c>
      <c r="K174" s="326">
        <v>1</v>
      </c>
      <c r="L174" s="325">
        <v>1800000</v>
      </c>
      <c r="M174" s="325">
        <v>0</v>
      </c>
      <c r="N174" s="325">
        <v>0</v>
      </c>
      <c r="O174" s="325">
        <v>0</v>
      </c>
      <c r="P174" s="325">
        <v>0</v>
      </c>
      <c r="Q174" s="325">
        <v>0</v>
      </c>
      <c r="R174" s="325">
        <v>0</v>
      </c>
      <c r="S174" s="325">
        <v>0</v>
      </c>
      <c r="T174" s="325">
        <v>0</v>
      </c>
      <c r="U174" s="325">
        <v>0</v>
      </c>
      <c r="V174" s="325">
        <v>0</v>
      </c>
      <c r="W174" s="325">
        <v>0</v>
      </c>
      <c r="X174" s="325">
        <v>0</v>
      </c>
      <c r="Y174" s="325">
        <v>0</v>
      </c>
      <c r="Z174" s="325">
        <v>0</v>
      </c>
      <c r="AA174" s="325">
        <v>0</v>
      </c>
      <c r="AB174" s="327">
        <v>2020</v>
      </c>
      <c r="AD174" s="4" t="e">
        <v>#N/A</v>
      </c>
    </row>
    <row r="175" spans="1:30" s="4" customFormat="1" ht="35.25" customHeight="1" x14ac:dyDescent="0.5">
      <c r="A175" s="4">
        <v>1</v>
      </c>
      <c r="B175" s="171">
        <f>SUBTOTAL(103,$A$8:A175)</f>
        <v>166</v>
      </c>
      <c r="C175" s="323" t="s">
        <v>2022</v>
      </c>
      <c r="D175" s="324">
        <f t="shared" si="6"/>
        <v>1842506</v>
      </c>
      <c r="E175" s="325">
        <v>0</v>
      </c>
      <c r="F175" s="325">
        <v>0</v>
      </c>
      <c r="G175" s="325">
        <v>0</v>
      </c>
      <c r="H175" s="325">
        <v>0</v>
      </c>
      <c r="I175" s="325">
        <v>0</v>
      </c>
      <c r="J175" s="325">
        <v>0</v>
      </c>
      <c r="K175" s="326">
        <v>0</v>
      </c>
      <c r="L175" s="325">
        <v>0</v>
      </c>
      <c r="M175" s="325">
        <v>0</v>
      </c>
      <c r="N175" s="325">
        <v>0</v>
      </c>
      <c r="O175" s="325">
        <v>1842506</v>
      </c>
      <c r="P175" s="325">
        <v>0</v>
      </c>
      <c r="Q175" s="325">
        <v>0</v>
      </c>
      <c r="R175" s="325">
        <v>0</v>
      </c>
      <c r="S175" s="325">
        <v>0</v>
      </c>
      <c r="T175" s="325">
        <v>0</v>
      </c>
      <c r="U175" s="325">
        <v>0</v>
      </c>
      <c r="V175" s="325">
        <v>0</v>
      </c>
      <c r="W175" s="325">
        <v>0</v>
      </c>
      <c r="X175" s="325">
        <v>0</v>
      </c>
      <c r="Y175" s="325">
        <v>0</v>
      </c>
      <c r="Z175" s="325">
        <v>0</v>
      </c>
      <c r="AA175" s="325">
        <v>0</v>
      </c>
      <c r="AB175" s="327">
        <v>2020</v>
      </c>
      <c r="AD175" s="4" t="e">
        <v>#N/A</v>
      </c>
    </row>
    <row r="176" spans="1:30" s="4" customFormat="1" ht="35.25" customHeight="1" x14ac:dyDescent="0.5">
      <c r="A176" s="4">
        <v>1</v>
      </c>
      <c r="B176" s="171">
        <f>SUBTOTAL(103,$A$8:A176)</f>
        <v>167</v>
      </c>
      <c r="C176" s="323" t="s">
        <v>2023</v>
      </c>
      <c r="D176" s="324">
        <f t="shared" si="6"/>
        <v>357798</v>
      </c>
      <c r="E176" s="325">
        <v>0</v>
      </c>
      <c r="F176" s="325">
        <v>0</v>
      </c>
      <c r="G176" s="325">
        <v>0</v>
      </c>
      <c r="H176" s="325">
        <v>0</v>
      </c>
      <c r="I176" s="325">
        <v>0</v>
      </c>
      <c r="J176" s="325">
        <v>0</v>
      </c>
      <c r="K176" s="326">
        <v>0</v>
      </c>
      <c r="L176" s="325">
        <v>0</v>
      </c>
      <c r="M176" s="325">
        <v>357798</v>
      </c>
      <c r="N176" s="325">
        <v>0</v>
      </c>
      <c r="O176" s="325">
        <v>0</v>
      </c>
      <c r="P176" s="325">
        <v>0</v>
      </c>
      <c r="Q176" s="325">
        <v>0</v>
      </c>
      <c r="R176" s="325">
        <v>0</v>
      </c>
      <c r="S176" s="325">
        <v>0</v>
      </c>
      <c r="T176" s="325">
        <v>0</v>
      </c>
      <c r="U176" s="325">
        <v>0</v>
      </c>
      <c r="V176" s="325">
        <v>0</v>
      </c>
      <c r="W176" s="325">
        <v>0</v>
      </c>
      <c r="X176" s="325">
        <v>0</v>
      </c>
      <c r="Y176" s="325">
        <v>0</v>
      </c>
      <c r="Z176" s="325">
        <v>0</v>
      </c>
      <c r="AA176" s="325">
        <v>0</v>
      </c>
      <c r="AB176" s="327">
        <v>2020</v>
      </c>
      <c r="AD176" s="4">
        <v>0</v>
      </c>
    </row>
    <row r="177" spans="1:30" s="4" customFormat="1" ht="35.25" customHeight="1" x14ac:dyDescent="0.5">
      <c r="A177" s="4">
        <v>1</v>
      </c>
      <c r="B177" s="171">
        <f>SUBTOTAL(103,$A$8:A177)</f>
        <v>168</v>
      </c>
      <c r="C177" s="323" t="s">
        <v>2475</v>
      </c>
      <c r="D177" s="324">
        <f t="shared" si="6"/>
        <v>152127</v>
      </c>
      <c r="E177" s="325">
        <v>0</v>
      </c>
      <c r="F177" s="325">
        <v>0</v>
      </c>
      <c r="G177" s="325">
        <v>152127</v>
      </c>
      <c r="H177" s="325">
        <v>0</v>
      </c>
      <c r="I177" s="325">
        <v>0</v>
      </c>
      <c r="J177" s="325">
        <v>0</v>
      </c>
      <c r="K177" s="403">
        <v>0</v>
      </c>
      <c r="L177" s="325">
        <v>0</v>
      </c>
      <c r="M177" s="325">
        <v>0</v>
      </c>
      <c r="N177" s="325">
        <v>0</v>
      </c>
      <c r="O177" s="325">
        <v>0</v>
      </c>
      <c r="P177" s="325">
        <v>0</v>
      </c>
      <c r="Q177" s="325">
        <v>0</v>
      </c>
      <c r="R177" s="325">
        <v>0</v>
      </c>
      <c r="S177" s="325">
        <v>0</v>
      </c>
      <c r="T177" s="325">
        <v>0</v>
      </c>
      <c r="U177" s="325">
        <v>0</v>
      </c>
      <c r="V177" s="325">
        <v>0</v>
      </c>
      <c r="W177" s="325">
        <v>0</v>
      </c>
      <c r="X177" s="325">
        <v>0</v>
      </c>
      <c r="Y177" s="325">
        <v>0</v>
      </c>
      <c r="Z177" s="325">
        <v>0</v>
      </c>
      <c r="AA177" s="325">
        <v>0</v>
      </c>
      <c r="AB177" s="327">
        <v>2020</v>
      </c>
      <c r="AD177" s="4">
        <v>0</v>
      </c>
    </row>
    <row r="178" spans="1:30" s="4" customFormat="1" ht="35.25" customHeight="1" x14ac:dyDescent="0.5">
      <c r="A178" s="4">
        <v>1</v>
      </c>
      <c r="B178" s="171">
        <f>SUBTOTAL(103,$A$8:A178)</f>
        <v>169</v>
      </c>
      <c r="C178" s="323" t="s">
        <v>2024</v>
      </c>
      <c r="D178" s="324">
        <f t="shared" si="6"/>
        <v>949535</v>
      </c>
      <c r="E178" s="325">
        <v>139194</v>
      </c>
      <c r="F178" s="325">
        <v>0</v>
      </c>
      <c r="G178" s="325">
        <v>0</v>
      </c>
      <c r="H178" s="325">
        <v>0</v>
      </c>
      <c r="I178" s="325">
        <v>0</v>
      </c>
      <c r="J178" s="325">
        <v>0</v>
      </c>
      <c r="K178" s="326">
        <v>0</v>
      </c>
      <c r="L178" s="325">
        <v>0</v>
      </c>
      <c r="M178" s="325">
        <v>0</v>
      </c>
      <c r="N178" s="325">
        <v>0</v>
      </c>
      <c r="O178" s="325">
        <v>810341</v>
      </c>
      <c r="P178" s="325">
        <v>0</v>
      </c>
      <c r="Q178" s="325">
        <v>0</v>
      </c>
      <c r="R178" s="325">
        <v>0</v>
      </c>
      <c r="S178" s="325">
        <v>0</v>
      </c>
      <c r="T178" s="325">
        <v>0</v>
      </c>
      <c r="U178" s="325">
        <v>0</v>
      </c>
      <c r="V178" s="325">
        <v>0</v>
      </c>
      <c r="W178" s="325">
        <v>0</v>
      </c>
      <c r="X178" s="325">
        <v>0</v>
      </c>
      <c r="Y178" s="325">
        <v>0</v>
      </c>
      <c r="Z178" s="325">
        <v>0</v>
      </c>
      <c r="AA178" s="325">
        <v>0</v>
      </c>
      <c r="AB178" s="327">
        <v>2020</v>
      </c>
      <c r="AD178" s="4">
        <v>0</v>
      </c>
    </row>
    <row r="179" spans="1:30" s="4" customFormat="1" ht="35.25" customHeight="1" x14ac:dyDescent="0.5">
      <c r="A179" s="4">
        <v>1</v>
      </c>
      <c r="B179" s="171">
        <f>SUBTOTAL(103,$A$8:A179)</f>
        <v>170</v>
      </c>
      <c r="C179" s="323" t="s">
        <v>2025</v>
      </c>
      <c r="D179" s="324">
        <f t="shared" si="6"/>
        <v>562718</v>
      </c>
      <c r="E179" s="325">
        <v>0</v>
      </c>
      <c r="F179" s="325">
        <v>0</v>
      </c>
      <c r="G179" s="325">
        <v>0</v>
      </c>
      <c r="H179" s="325">
        <v>0</v>
      </c>
      <c r="I179" s="325">
        <v>0</v>
      </c>
      <c r="J179" s="325">
        <v>0</v>
      </c>
      <c r="K179" s="326">
        <v>0</v>
      </c>
      <c r="L179" s="325">
        <v>0</v>
      </c>
      <c r="M179" s="325">
        <v>0</v>
      </c>
      <c r="N179" s="325">
        <v>562718</v>
      </c>
      <c r="O179" s="325">
        <v>0</v>
      </c>
      <c r="P179" s="325">
        <v>0</v>
      </c>
      <c r="Q179" s="325">
        <v>0</v>
      </c>
      <c r="R179" s="325">
        <v>0</v>
      </c>
      <c r="S179" s="325">
        <v>0</v>
      </c>
      <c r="T179" s="325">
        <v>0</v>
      </c>
      <c r="U179" s="325">
        <v>0</v>
      </c>
      <c r="V179" s="325">
        <v>0</v>
      </c>
      <c r="W179" s="325">
        <v>0</v>
      </c>
      <c r="X179" s="325">
        <v>0</v>
      </c>
      <c r="Y179" s="325">
        <v>0</v>
      </c>
      <c r="Z179" s="325">
        <v>0</v>
      </c>
      <c r="AA179" s="325">
        <v>0</v>
      </c>
      <c r="AB179" s="327">
        <v>2020</v>
      </c>
      <c r="AD179" s="4" t="e">
        <v>#N/A</v>
      </c>
    </row>
    <row r="180" spans="1:30" s="4" customFormat="1" ht="35.25" customHeight="1" x14ac:dyDescent="0.5">
      <c r="A180" s="4">
        <v>1</v>
      </c>
      <c r="B180" s="171">
        <f>SUBTOTAL(103,$A$8:A180)</f>
        <v>171</v>
      </c>
      <c r="C180" s="323" t="s">
        <v>2026</v>
      </c>
      <c r="D180" s="324">
        <f t="shared" si="6"/>
        <v>523273.69</v>
      </c>
      <c r="E180" s="325">
        <v>0</v>
      </c>
      <c r="F180" s="325">
        <v>0</v>
      </c>
      <c r="G180" s="325">
        <v>0</v>
      </c>
      <c r="H180" s="325">
        <v>0</v>
      </c>
      <c r="I180" s="325">
        <v>0</v>
      </c>
      <c r="J180" s="325">
        <v>0</v>
      </c>
      <c r="K180" s="326">
        <v>0</v>
      </c>
      <c r="L180" s="325">
        <v>0</v>
      </c>
      <c r="M180" s="325">
        <v>523273.69</v>
      </c>
      <c r="N180" s="325">
        <v>0</v>
      </c>
      <c r="O180" s="325">
        <v>0</v>
      </c>
      <c r="P180" s="325">
        <v>0</v>
      </c>
      <c r="Q180" s="325">
        <v>0</v>
      </c>
      <c r="R180" s="325">
        <v>0</v>
      </c>
      <c r="S180" s="325">
        <v>0</v>
      </c>
      <c r="T180" s="325">
        <v>0</v>
      </c>
      <c r="U180" s="325">
        <v>0</v>
      </c>
      <c r="V180" s="325">
        <v>0</v>
      </c>
      <c r="W180" s="325">
        <v>0</v>
      </c>
      <c r="X180" s="325">
        <v>0</v>
      </c>
      <c r="Y180" s="325">
        <v>0</v>
      </c>
      <c r="Z180" s="325">
        <v>0</v>
      </c>
      <c r="AA180" s="325">
        <v>0</v>
      </c>
      <c r="AB180" s="327">
        <v>2020</v>
      </c>
      <c r="AD180" s="4">
        <v>0</v>
      </c>
    </row>
    <row r="181" spans="1:30" s="4" customFormat="1" ht="35.25" customHeight="1" x14ac:dyDescent="0.5">
      <c r="A181" s="4">
        <v>1</v>
      </c>
      <c r="B181" s="171">
        <f>SUBTOTAL(103,$A$8:A181)</f>
        <v>172</v>
      </c>
      <c r="C181" s="323" t="s">
        <v>2027</v>
      </c>
      <c r="D181" s="324">
        <f t="shared" si="6"/>
        <v>405244</v>
      </c>
      <c r="E181" s="325">
        <v>0</v>
      </c>
      <c r="F181" s="325">
        <v>405244</v>
      </c>
      <c r="G181" s="325">
        <v>0</v>
      </c>
      <c r="H181" s="325">
        <v>0</v>
      </c>
      <c r="I181" s="325">
        <v>0</v>
      </c>
      <c r="J181" s="325">
        <v>0</v>
      </c>
      <c r="K181" s="326">
        <v>0</v>
      </c>
      <c r="L181" s="325">
        <v>0</v>
      </c>
      <c r="M181" s="325">
        <v>0</v>
      </c>
      <c r="N181" s="325">
        <v>0</v>
      </c>
      <c r="O181" s="325">
        <v>0</v>
      </c>
      <c r="P181" s="325">
        <v>0</v>
      </c>
      <c r="Q181" s="325">
        <v>0</v>
      </c>
      <c r="R181" s="325">
        <v>0</v>
      </c>
      <c r="S181" s="325">
        <v>0</v>
      </c>
      <c r="T181" s="325">
        <v>0</v>
      </c>
      <c r="U181" s="325">
        <v>0</v>
      </c>
      <c r="V181" s="325">
        <v>0</v>
      </c>
      <c r="W181" s="325">
        <v>0</v>
      </c>
      <c r="X181" s="325">
        <v>0</v>
      </c>
      <c r="Y181" s="325">
        <v>0</v>
      </c>
      <c r="Z181" s="325">
        <v>0</v>
      </c>
      <c r="AA181" s="325">
        <v>0</v>
      </c>
      <c r="AB181" s="327">
        <v>2020</v>
      </c>
      <c r="AD181" s="4" t="e">
        <v>#N/A</v>
      </c>
    </row>
    <row r="182" spans="1:30" s="4" customFormat="1" ht="35.25" customHeight="1" x14ac:dyDescent="0.5">
      <c r="A182" s="4">
        <v>1</v>
      </c>
      <c r="B182" s="171">
        <f>SUBTOTAL(103,$A$8:A182)</f>
        <v>173</v>
      </c>
      <c r="C182" s="323" t="s">
        <v>2028</v>
      </c>
      <c r="D182" s="324">
        <f t="shared" si="6"/>
        <v>31500</v>
      </c>
      <c r="E182" s="325">
        <v>0</v>
      </c>
      <c r="F182" s="325">
        <v>0</v>
      </c>
      <c r="G182" s="325">
        <v>0</v>
      </c>
      <c r="H182" s="325">
        <v>0</v>
      </c>
      <c r="I182" s="325">
        <v>0</v>
      </c>
      <c r="J182" s="325">
        <v>0</v>
      </c>
      <c r="K182" s="326">
        <v>0</v>
      </c>
      <c r="L182" s="325">
        <v>0</v>
      </c>
      <c r="M182" s="325">
        <v>31500</v>
      </c>
      <c r="N182" s="325">
        <v>0</v>
      </c>
      <c r="O182" s="325">
        <v>0</v>
      </c>
      <c r="P182" s="325">
        <v>0</v>
      </c>
      <c r="Q182" s="325">
        <v>0</v>
      </c>
      <c r="R182" s="325">
        <v>0</v>
      </c>
      <c r="S182" s="325">
        <v>0</v>
      </c>
      <c r="T182" s="325">
        <v>0</v>
      </c>
      <c r="U182" s="325">
        <v>0</v>
      </c>
      <c r="V182" s="325">
        <v>0</v>
      </c>
      <c r="W182" s="325">
        <v>0</v>
      </c>
      <c r="X182" s="325">
        <v>0</v>
      </c>
      <c r="Y182" s="325">
        <v>0</v>
      </c>
      <c r="Z182" s="325">
        <v>0</v>
      </c>
      <c r="AA182" s="325">
        <v>0</v>
      </c>
      <c r="AB182" s="327">
        <v>2020</v>
      </c>
      <c r="AD182" s="4" t="e">
        <v>#N/A</v>
      </c>
    </row>
    <row r="183" spans="1:30" s="4" customFormat="1" ht="35.25" customHeight="1" x14ac:dyDescent="0.5">
      <c r="A183" s="4">
        <v>1</v>
      </c>
      <c r="B183" s="171">
        <f>SUBTOTAL(103,$A$8:A183)</f>
        <v>174</v>
      </c>
      <c r="C183" s="323" t="s">
        <v>1747</v>
      </c>
      <c r="D183" s="324">
        <f t="shared" si="6"/>
        <v>739065.53</v>
      </c>
      <c r="E183" s="325">
        <v>0</v>
      </c>
      <c r="F183" s="325">
        <v>0</v>
      </c>
      <c r="G183" s="325">
        <v>0</v>
      </c>
      <c r="H183" s="325">
        <v>0</v>
      </c>
      <c r="I183" s="325">
        <v>0</v>
      </c>
      <c r="J183" s="325">
        <v>0</v>
      </c>
      <c r="K183" s="326">
        <v>1</v>
      </c>
      <c r="L183" s="325">
        <v>226848.8</v>
      </c>
      <c r="M183" s="325">
        <v>247409</v>
      </c>
      <c r="N183" s="325">
        <v>0</v>
      </c>
      <c r="O183" s="325">
        <v>264807.73</v>
      </c>
      <c r="P183" s="325">
        <v>0</v>
      </c>
      <c r="Q183" s="325">
        <v>0</v>
      </c>
      <c r="R183" s="325">
        <v>0</v>
      </c>
      <c r="S183" s="325">
        <v>0</v>
      </c>
      <c r="T183" s="325">
        <v>0</v>
      </c>
      <c r="U183" s="325">
        <v>0</v>
      </c>
      <c r="V183" s="325">
        <v>0</v>
      </c>
      <c r="W183" s="325">
        <v>0</v>
      </c>
      <c r="X183" s="325">
        <v>0</v>
      </c>
      <c r="Y183" s="325">
        <v>0</v>
      </c>
      <c r="Z183" s="325">
        <v>0</v>
      </c>
      <c r="AA183" s="325">
        <v>0</v>
      </c>
      <c r="AB183" s="327">
        <v>2020</v>
      </c>
      <c r="AD183" s="4">
        <v>0</v>
      </c>
    </row>
    <row r="184" spans="1:30" s="4" customFormat="1" ht="35.25" customHeight="1" x14ac:dyDescent="0.5">
      <c r="A184" s="4">
        <v>1</v>
      </c>
      <c r="B184" s="171">
        <f>SUBTOTAL(103,$A$8:A184)</f>
        <v>175</v>
      </c>
      <c r="C184" s="323" t="s">
        <v>2029</v>
      </c>
      <c r="D184" s="324">
        <f t="shared" si="6"/>
        <v>389342</v>
      </c>
      <c r="E184" s="325">
        <v>0</v>
      </c>
      <c r="F184" s="325">
        <v>0</v>
      </c>
      <c r="G184" s="325">
        <v>0</v>
      </c>
      <c r="H184" s="325">
        <v>0</v>
      </c>
      <c r="I184" s="325">
        <v>0</v>
      </c>
      <c r="J184" s="325">
        <v>0</v>
      </c>
      <c r="K184" s="326">
        <v>0</v>
      </c>
      <c r="L184" s="325">
        <v>0</v>
      </c>
      <c r="M184" s="325">
        <v>0</v>
      </c>
      <c r="N184" s="325">
        <v>0</v>
      </c>
      <c r="O184" s="325">
        <v>389342</v>
      </c>
      <c r="P184" s="325">
        <v>0</v>
      </c>
      <c r="Q184" s="325">
        <v>0</v>
      </c>
      <c r="R184" s="325">
        <v>0</v>
      </c>
      <c r="S184" s="325">
        <v>0</v>
      </c>
      <c r="T184" s="325">
        <v>0</v>
      </c>
      <c r="U184" s="325">
        <v>0</v>
      </c>
      <c r="V184" s="325">
        <v>0</v>
      </c>
      <c r="W184" s="325">
        <v>0</v>
      </c>
      <c r="X184" s="325">
        <v>0</v>
      </c>
      <c r="Y184" s="325">
        <v>0</v>
      </c>
      <c r="Z184" s="325">
        <v>0</v>
      </c>
      <c r="AA184" s="325">
        <v>0</v>
      </c>
      <c r="AB184" s="327">
        <v>2020</v>
      </c>
      <c r="AD184" s="4" t="e">
        <v>#N/A</v>
      </c>
    </row>
    <row r="185" spans="1:30" s="4" customFormat="1" ht="35.25" customHeight="1" x14ac:dyDescent="0.5">
      <c r="A185" s="4">
        <v>1</v>
      </c>
      <c r="B185" s="171">
        <f>SUBTOTAL(103,$A$8:A185)</f>
        <v>176</v>
      </c>
      <c r="C185" s="323" t="s">
        <v>2030</v>
      </c>
      <c r="D185" s="324">
        <f t="shared" si="6"/>
        <v>909165.72</v>
      </c>
      <c r="E185" s="325">
        <v>0</v>
      </c>
      <c r="F185" s="325">
        <v>0</v>
      </c>
      <c r="G185" s="325">
        <v>192500</v>
      </c>
      <c r="H185" s="325">
        <v>0</v>
      </c>
      <c r="I185" s="325">
        <v>0</v>
      </c>
      <c r="J185" s="325">
        <v>0</v>
      </c>
      <c r="K185" s="326">
        <v>0</v>
      </c>
      <c r="L185" s="325">
        <v>0</v>
      </c>
      <c r="M185" s="325">
        <v>0</v>
      </c>
      <c r="N185" s="325">
        <v>0</v>
      </c>
      <c r="O185" s="325">
        <v>716665.72</v>
      </c>
      <c r="P185" s="325">
        <v>0</v>
      </c>
      <c r="Q185" s="325">
        <v>0</v>
      </c>
      <c r="R185" s="325">
        <v>0</v>
      </c>
      <c r="S185" s="325">
        <v>0</v>
      </c>
      <c r="T185" s="325">
        <v>0</v>
      </c>
      <c r="U185" s="325">
        <v>0</v>
      </c>
      <c r="V185" s="325">
        <v>0</v>
      </c>
      <c r="W185" s="325">
        <v>0</v>
      </c>
      <c r="X185" s="325">
        <v>0</v>
      </c>
      <c r="Y185" s="325">
        <v>0</v>
      </c>
      <c r="Z185" s="325">
        <v>0</v>
      </c>
      <c r="AA185" s="325">
        <v>0</v>
      </c>
      <c r="AB185" s="327">
        <v>2020</v>
      </c>
      <c r="AD185" s="4">
        <v>0</v>
      </c>
    </row>
    <row r="186" spans="1:30" s="4" customFormat="1" ht="35.25" customHeight="1" x14ac:dyDescent="0.5">
      <c r="A186" s="4">
        <v>1</v>
      </c>
      <c r="B186" s="171">
        <f>SUBTOTAL(103,$A$8:A186)</f>
        <v>177</v>
      </c>
      <c r="C186" s="323" t="s">
        <v>2031</v>
      </c>
      <c r="D186" s="324">
        <f t="shared" si="6"/>
        <v>2060881.02</v>
      </c>
      <c r="E186" s="325">
        <v>0</v>
      </c>
      <c r="F186" s="325">
        <v>0</v>
      </c>
      <c r="G186" s="325">
        <v>0</v>
      </c>
      <c r="H186" s="325">
        <v>0</v>
      </c>
      <c r="I186" s="325">
        <v>0</v>
      </c>
      <c r="J186" s="325">
        <v>0</v>
      </c>
      <c r="K186" s="326">
        <v>0</v>
      </c>
      <c r="L186" s="325">
        <v>0</v>
      </c>
      <c r="M186" s="325">
        <v>1768030</v>
      </c>
      <c r="N186" s="325">
        <v>0</v>
      </c>
      <c r="O186" s="325">
        <v>292851.02</v>
      </c>
      <c r="P186" s="325">
        <v>0</v>
      </c>
      <c r="Q186" s="325">
        <v>0</v>
      </c>
      <c r="R186" s="325">
        <v>0</v>
      </c>
      <c r="S186" s="325">
        <v>0</v>
      </c>
      <c r="T186" s="325">
        <v>0</v>
      </c>
      <c r="U186" s="325">
        <v>0</v>
      </c>
      <c r="V186" s="325">
        <v>0</v>
      </c>
      <c r="W186" s="325">
        <v>0</v>
      </c>
      <c r="X186" s="325">
        <v>0</v>
      </c>
      <c r="Y186" s="325">
        <v>0</v>
      </c>
      <c r="Z186" s="325">
        <v>0</v>
      </c>
      <c r="AA186" s="325">
        <v>0</v>
      </c>
      <c r="AB186" s="327">
        <v>2020</v>
      </c>
      <c r="AD186" s="4">
        <v>0</v>
      </c>
    </row>
    <row r="187" spans="1:30" s="4" customFormat="1" ht="35.25" customHeight="1" x14ac:dyDescent="0.5">
      <c r="A187" s="4">
        <v>1</v>
      </c>
      <c r="B187" s="171">
        <f>SUBTOTAL(103,$A$8:A187)</f>
        <v>178</v>
      </c>
      <c r="C187" s="323" t="s">
        <v>2032</v>
      </c>
      <c r="D187" s="324">
        <f t="shared" si="6"/>
        <v>498750</v>
      </c>
      <c r="E187" s="325">
        <v>0</v>
      </c>
      <c r="F187" s="325">
        <v>0</v>
      </c>
      <c r="G187" s="325">
        <v>0</v>
      </c>
      <c r="H187" s="325">
        <v>0</v>
      </c>
      <c r="I187" s="325">
        <v>0</v>
      </c>
      <c r="J187" s="325">
        <v>0</v>
      </c>
      <c r="K187" s="326">
        <v>0</v>
      </c>
      <c r="L187" s="325">
        <v>0</v>
      </c>
      <c r="M187" s="325">
        <v>0</v>
      </c>
      <c r="N187" s="325">
        <v>0</v>
      </c>
      <c r="O187" s="325">
        <v>498750</v>
      </c>
      <c r="P187" s="325">
        <v>0</v>
      </c>
      <c r="Q187" s="325">
        <v>0</v>
      </c>
      <c r="R187" s="325">
        <v>0</v>
      </c>
      <c r="S187" s="325">
        <v>0</v>
      </c>
      <c r="T187" s="325">
        <v>0</v>
      </c>
      <c r="U187" s="325">
        <v>0</v>
      </c>
      <c r="V187" s="325">
        <v>0</v>
      </c>
      <c r="W187" s="325">
        <v>0</v>
      </c>
      <c r="X187" s="325">
        <v>0</v>
      </c>
      <c r="Y187" s="325">
        <v>0</v>
      </c>
      <c r="Z187" s="325">
        <v>0</v>
      </c>
      <c r="AA187" s="325">
        <v>0</v>
      </c>
      <c r="AB187" s="327">
        <v>2020</v>
      </c>
      <c r="AD187" s="4" t="e">
        <v>#N/A</v>
      </c>
    </row>
    <row r="188" spans="1:30" s="4" customFormat="1" ht="35.25" customHeight="1" x14ac:dyDescent="0.5">
      <c r="A188" s="4">
        <v>1</v>
      </c>
      <c r="B188" s="171">
        <f>SUBTOTAL(103,$A$8:A188)</f>
        <v>179</v>
      </c>
      <c r="C188" s="323" t="s">
        <v>2033</v>
      </c>
      <c r="D188" s="324">
        <f t="shared" si="6"/>
        <v>781837.52</v>
      </c>
      <c r="E188" s="325">
        <v>0</v>
      </c>
      <c r="F188" s="325">
        <v>0</v>
      </c>
      <c r="G188" s="325">
        <v>0</v>
      </c>
      <c r="H188" s="325">
        <v>0</v>
      </c>
      <c r="I188" s="325">
        <v>0</v>
      </c>
      <c r="J188" s="325">
        <v>0</v>
      </c>
      <c r="K188" s="326">
        <v>0</v>
      </c>
      <c r="L188" s="325">
        <v>0</v>
      </c>
      <c r="M188" s="325">
        <v>72227.39</v>
      </c>
      <c r="N188" s="325">
        <v>380731.18</v>
      </c>
      <c r="O188" s="325">
        <v>328878.95</v>
      </c>
      <c r="P188" s="325">
        <v>0</v>
      </c>
      <c r="Q188" s="325">
        <v>0</v>
      </c>
      <c r="R188" s="325">
        <v>0</v>
      </c>
      <c r="S188" s="325">
        <v>0</v>
      </c>
      <c r="T188" s="325">
        <v>0</v>
      </c>
      <c r="U188" s="325">
        <v>0</v>
      </c>
      <c r="V188" s="325">
        <v>0</v>
      </c>
      <c r="W188" s="325">
        <v>0</v>
      </c>
      <c r="X188" s="325">
        <v>0</v>
      </c>
      <c r="Y188" s="325">
        <v>0</v>
      </c>
      <c r="Z188" s="325">
        <v>0</v>
      </c>
      <c r="AA188" s="325">
        <v>0</v>
      </c>
      <c r="AB188" s="327">
        <v>2020</v>
      </c>
      <c r="AD188" s="4" t="e">
        <v>#N/A</v>
      </c>
    </row>
    <row r="189" spans="1:30" s="4" customFormat="1" ht="35.25" customHeight="1" x14ac:dyDescent="0.5">
      <c r="A189" s="4">
        <v>1</v>
      </c>
      <c r="B189" s="171">
        <f>SUBTOTAL(103,$A$8:A189)</f>
        <v>180</v>
      </c>
      <c r="C189" s="323" t="s">
        <v>2034</v>
      </c>
      <c r="D189" s="324">
        <f t="shared" si="6"/>
        <v>105000</v>
      </c>
      <c r="E189" s="325">
        <v>105000</v>
      </c>
      <c r="F189" s="325">
        <v>0</v>
      </c>
      <c r="G189" s="325">
        <v>0</v>
      </c>
      <c r="H189" s="325">
        <v>0</v>
      </c>
      <c r="I189" s="325">
        <v>0</v>
      </c>
      <c r="J189" s="325">
        <v>0</v>
      </c>
      <c r="K189" s="326">
        <v>0</v>
      </c>
      <c r="L189" s="325">
        <v>0</v>
      </c>
      <c r="M189" s="325">
        <v>0</v>
      </c>
      <c r="N189" s="325">
        <v>0</v>
      </c>
      <c r="O189" s="325">
        <v>0</v>
      </c>
      <c r="P189" s="325">
        <v>0</v>
      </c>
      <c r="Q189" s="325">
        <v>0</v>
      </c>
      <c r="R189" s="325">
        <v>0</v>
      </c>
      <c r="S189" s="325">
        <v>0</v>
      </c>
      <c r="T189" s="325">
        <v>0</v>
      </c>
      <c r="U189" s="325">
        <v>0</v>
      </c>
      <c r="V189" s="325">
        <v>0</v>
      </c>
      <c r="W189" s="325">
        <v>0</v>
      </c>
      <c r="X189" s="325">
        <v>0</v>
      </c>
      <c r="Y189" s="325">
        <v>0</v>
      </c>
      <c r="Z189" s="325">
        <v>0</v>
      </c>
      <c r="AA189" s="325">
        <v>0</v>
      </c>
      <c r="AB189" s="327">
        <v>2020</v>
      </c>
      <c r="AD189" s="4" t="e">
        <v>#N/A</v>
      </c>
    </row>
    <row r="190" spans="1:30" s="4" customFormat="1" ht="35.25" customHeight="1" x14ac:dyDescent="0.5">
      <c r="A190" s="4">
        <v>1</v>
      </c>
      <c r="B190" s="171">
        <f>SUBTOTAL(103,$A$8:A190)</f>
        <v>181</v>
      </c>
      <c r="C190" s="323" t="s">
        <v>2035</v>
      </c>
      <c r="D190" s="324">
        <f t="shared" si="6"/>
        <v>525162</v>
      </c>
      <c r="E190" s="325">
        <v>0</v>
      </c>
      <c r="F190" s="325">
        <v>0</v>
      </c>
      <c r="G190" s="325">
        <v>0</v>
      </c>
      <c r="H190" s="325">
        <v>0</v>
      </c>
      <c r="I190" s="325">
        <v>0</v>
      </c>
      <c r="J190" s="325">
        <v>0</v>
      </c>
      <c r="K190" s="326">
        <v>0</v>
      </c>
      <c r="L190" s="325">
        <v>0</v>
      </c>
      <c r="M190" s="325">
        <v>525162</v>
      </c>
      <c r="N190" s="325">
        <v>0</v>
      </c>
      <c r="O190" s="325">
        <v>0</v>
      </c>
      <c r="P190" s="325">
        <v>0</v>
      </c>
      <c r="Q190" s="325">
        <v>0</v>
      </c>
      <c r="R190" s="325">
        <v>0</v>
      </c>
      <c r="S190" s="325">
        <v>0</v>
      </c>
      <c r="T190" s="325">
        <v>0</v>
      </c>
      <c r="U190" s="325">
        <v>0</v>
      </c>
      <c r="V190" s="325">
        <v>0</v>
      </c>
      <c r="W190" s="325">
        <v>0</v>
      </c>
      <c r="X190" s="325">
        <v>0</v>
      </c>
      <c r="Y190" s="325">
        <v>0</v>
      </c>
      <c r="Z190" s="325">
        <v>0</v>
      </c>
      <c r="AA190" s="325">
        <v>0</v>
      </c>
      <c r="AB190" s="327">
        <v>2020</v>
      </c>
      <c r="AD190" s="4" t="e">
        <v>#N/A</v>
      </c>
    </row>
    <row r="191" spans="1:30" s="4" customFormat="1" ht="35.25" customHeight="1" x14ac:dyDescent="0.5">
      <c r="A191" s="4">
        <v>1</v>
      </c>
      <c r="B191" s="171">
        <f>SUBTOTAL(103,$A$8:A191)</f>
        <v>182</v>
      </c>
      <c r="C191" s="323" t="s">
        <v>1751</v>
      </c>
      <c r="D191" s="324">
        <f t="shared" si="6"/>
        <v>1389500</v>
      </c>
      <c r="E191" s="325">
        <v>0</v>
      </c>
      <c r="F191" s="325">
        <v>0</v>
      </c>
      <c r="G191" s="325">
        <v>0</v>
      </c>
      <c r="H191" s="325">
        <v>0</v>
      </c>
      <c r="I191" s="325">
        <v>0</v>
      </c>
      <c r="J191" s="325">
        <v>0</v>
      </c>
      <c r="K191" s="326">
        <v>0</v>
      </c>
      <c r="L191" s="325">
        <v>0</v>
      </c>
      <c r="M191" s="325">
        <v>1389500</v>
      </c>
      <c r="N191" s="325">
        <v>0</v>
      </c>
      <c r="O191" s="325">
        <v>0</v>
      </c>
      <c r="P191" s="325">
        <v>0</v>
      </c>
      <c r="Q191" s="325">
        <v>0</v>
      </c>
      <c r="R191" s="325">
        <v>0</v>
      </c>
      <c r="S191" s="325">
        <v>0</v>
      </c>
      <c r="T191" s="325">
        <v>0</v>
      </c>
      <c r="U191" s="325">
        <v>0</v>
      </c>
      <c r="V191" s="325">
        <v>0</v>
      </c>
      <c r="W191" s="325">
        <v>0</v>
      </c>
      <c r="X191" s="325">
        <v>0</v>
      </c>
      <c r="Y191" s="325">
        <v>0</v>
      </c>
      <c r="Z191" s="325">
        <v>0</v>
      </c>
      <c r="AA191" s="325">
        <v>0</v>
      </c>
      <c r="AB191" s="327">
        <v>2020</v>
      </c>
      <c r="AD191" s="4" t="e">
        <v>#N/A</v>
      </c>
    </row>
    <row r="192" spans="1:30" s="4" customFormat="1" ht="35.25" customHeight="1" x14ac:dyDescent="0.5">
      <c r="A192" s="4">
        <v>1</v>
      </c>
      <c r="B192" s="171">
        <f>SUBTOTAL(103,$A$8:A192)</f>
        <v>183</v>
      </c>
      <c r="C192" s="323" t="s">
        <v>1752</v>
      </c>
      <c r="D192" s="324">
        <f t="shared" si="6"/>
        <v>1178009</v>
      </c>
      <c r="E192" s="325">
        <v>215265</v>
      </c>
      <c r="F192" s="325">
        <v>85000</v>
      </c>
      <c r="G192" s="325">
        <v>0</v>
      </c>
      <c r="H192" s="325">
        <v>0</v>
      </c>
      <c r="I192" s="325">
        <v>184629</v>
      </c>
      <c r="J192" s="325">
        <v>0</v>
      </c>
      <c r="K192" s="326">
        <v>0</v>
      </c>
      <c r="L192" s="325">
        <v>0</v>
      </c>
      <c r="M192" s="325">
        <v>486000</v>
      </c>
      <c r="N192" s="325">
        <v>174615</v>
      </c>
      <c r="O192" s="325">
        <v>32500</v>
      </c>
      <c r="P192" s="325">
        <v>0</v>
      </c>
      <c r="Q192" s="325">
        <v>0</v>
      </c>
      <c r="R192" s="325">
        <v>0</v>
      </c>
      <c r="S192" s="325">
        <v>0</v>
      </c>
      <c r="T192" s="325">
        <v>0</v>
      </c>
      <c r="U192" s="325">
        <v>0</v>
      </c>
      <c r="V192" s="325">
        <v>0</v>
      </c>
      <c r="W192" s="325">
        <v>0</v>
      </c>
      <c r="X192" s="325">
        <v>0</v>
      </c>
      <c r="Y192" s="325">
        <v>0</v>
      </c>
      <c r="Z192" s="325">
        <v>0</v>
      </c>
      <c r="AA192" s="325">
        <v>0</v>
      </c>
      <c r="AB192" s="327">
        <v>2020</v>
      </c>
      <c r="AD192" s="4">
        <v>0</v>
      </c>
    </row>
    <row r="193" spans="1:30" s="4" customFormat="1" ht="35.25" customHeight="1" x14ac:dyDescent="0.5">
      <c r="A193" s="4">
        <v>1</v>
      </c>
      <c r="B193" s="171">
        <f>SUBTOTAL(103,$A$8:A193)</f>
        <v>184</v>
      </c>
      <c r="C193" s="323" t="s">
        <v>2036</v>
      </c>
      <c r="D193" s="324">
        <f t="shared" si="6"/>
        <v>403507.08</v>
      </c>
      <c r="E193" s="325">
        <v>201753.54</v>
      </c>
      <c r="F193" s="325">
        <v>201753.54</v>
      </c>
      <c r="G193" s="325">
        <v>0</v>
      </c>
      <c r="H193" s="325">
        <v>0</v>
      </c>
      <c r="I193" s="325">
        <v>0</v>
      </c>
      <c r="J193" s="325">
        <v>0</v>
      </c>
      <c r="K193" s="326">
        <v>0</v>
      </c>
      <c r="L193" s="325">
        <v>0</v>
      </c>
      <c r="M193" s="325">
        <v>0</v>
      </c>
      <c r="N193" s="325">
        <v>0</v>
      </c>
      <c r="O193" s="325">
        <v>0</v>
      </c>
      <c r="P193" s="325">
        <v>0</v>
      </c>
      <c r="Q193" s="325">
        <v>0</v>
      </c>
      <c r="R193" s="325">
        <v>0</v>
      </c>
      <c r="S193" s="325">
        <v>0</v>
      </c>
      <c r="T193" s="325">
        <v>0</v>
      </c>
      <c r="U193" s="325">
        <v>0</v>
      </c>
      <c r="V193" s="325">
        <v>0</v>
      </c>
      <c r="W193" s="325">
        <v>0</v>
      </c>
      <c r="X193" s="325">
        <v>0</v>
      </c>
      <c r="Y193" s="325">
        <v>0</v>
      </c>
      <c r="Z193" s="325">
        <v>0</v>
      </c>
      <c r="AA193" s="325">
        <v>0</v>
      </c>
      <c r="AB193" s="327">
        <v>2020</v>
      </c>
      <c r="AD193" s="4" t="e">
        <v>#N/A</v>
      </c>
    </row>
    <row r="194" spans="1:30" s="4" customFormat="1" ht="35.25" customHeight="1" x14ac:dyDescent="0.5">
      <c r="A194" s="4">
        <v>1</v>
      </c>
      <c r="B194" s="171">
        <f>SUBTOTAL(103,$A$8:A194)</f>
        <v>185</v>
      </c>
      <c r="C194" s="323" t="s">
        <v>2037</v>
      </c>
      <c r="D194" s="324">
        <f t="shared" si="6"/>
        <v>515016</v>
      </c>
      <c r="E194" s="325">
        <v>0</v>
      </c>
      <c r="F194" s="325">
        <v>0</v>
      </c>
      <c r="G194" s="325">
        <v>0</v>
      </c>
      <c r="H194" s="325">
        <v>0</v>
      </c>
      <c r="I194" s="325">
        <v>0</v>
      </c>
      <c r="J194" s="325">
        <v>0</v>
      </c>
      <c r="K194" s="326">
        <v>0</v>
      </c>
      <c r="L194" s="325">
        <v>0</v>
      </c>
      <c r="M194" s="325">
        <v>515016</v>
      </c>
      <c r="N194" s="325">
        <v>0</v>
      </c>
      <c r="O194" s="325">
        <v>0</v>
      </c>
      <c r="P194" s="325">
        <v>0</v>
      </c>
      <c r="Q194" s="325">
        <v>0</v>
      </c>
      <c r="R194" s="325">
        <v>0</v>
      </c>
      <c r="S194" s="325">
        <v>0</v>
      </c>
      <c r="T194" s="325">
        <v>0</v>
      </c>
      <c r="U194" s="325">
        <v>0</v>
      </c>
      <c r="V194" s="325">
        <v>0</v>
      </c>
      <c r="W194" s="325">
        <v>0</v>
      </c>
      <c r="X194" s="325">
        <v>0</v>
      </c>
      <c r="Y194" s="325">
        <v>0</v>
      </c>
      <c r="Z194" s="325">
        <v>0</v>
      </c>
      <c r="AA194" s="325">
        <v>0</v>
      </c>
      <c r="AB194" s="327">
        <v>2020</v>
      </c>
      <c r="AD194" s="4" t="e">
        <v>#N/A</v>
      </c>
    </row>
    <row r="195" spans="1:30" s="4" customFormat="1" ht="35.25" customHeight="1" x14ac:dyDescent="0.5">
      <c r="A195" s="4">
        <v>1</v>
      </c>
      <c r="B195" s="171">
        <f>SUBTOTAL(103,$A$8:A195)</f>
        <v>186</v>
      </c>
      <c r="C195" s="323" t="s">
        <v>2038</v>
      </c>
      <c r="D195" s="324">
        <f t="shared" si="6"/>
        <v>145556.29999999999</v>
      </c>
      <c r="E195" s="325">
        <v>0</v>
      </c>
      <c r="F195" s="325">
        <v>0</v>
      </c>
      <c r="G195" s="325">
        <v>145556.29999999999</v>
      </c>
      <c r="H195" s="325">
        <v>0</v>
      </c>
      <c r="I195" s="325">
        <v>0</v>
      </c>
      <c r="J195" s="325">
        <v>0</v>
      </c>
      <c r="K195" s="326">
        <v>0</v>
      </c>
      <c r="L195" s="325">
        <v>0</v>
      </c>
      <c r="M195" s="325">
        <v>0</v>
      </c>
      <c r="N195" s="325">
        <v>0</v>
      </c>
      <c r="O195" s="325">
        <v>0</v>
      </c>
      <c r="P195" s="325">
        <v>0</v>
      </c>
      <c r="Q195" s="325">
        <v>0</v>
      </c>
      <c r="R195" s="325">
        <v>0</v>
      </c>
      <c r="S195" s="325">
        <v>0</v>
      </c>
      <c r="T195" s="325">
        <v>0</v>
      </c>
      <c r="U195" s="325">
        <v>0</v>
      </c>
      <c r="V195" s="325">
        <v>0</v>
      </c>
      <c r="W195" s="325">
        <v>0</v>
      </c>
      <c r="X195" s="325">
        <v>0</v>
      </c>
      <c r="Y195" s="325">
        <v>0</v>
      </c>
      <c r="Z195" s="325">
        <v>0</v>
      </c>
      <c r="AA195" s="325">
        <v>0</v>
      </c>
      <c r="AB195" s="327">
        <v>2020</v>
      </c>
      <c r="AD195" s="4">
        <v>0</v>
      </c>
    </row>
    <row r="196" spans="1:30" s="4" customFormat="1" ht="35.25" customHeight="1" x14ac:dyDescent="0.5">
      <c r="A196" s="4">
        <v>1</v>
      </c>
      <c r="B196" s="171">
        <f>SUBTOTAL(103,$A$8:A196)</f>
        <v>187</v>
      </c>
      <c r="C196" s="323" t="s">
        <v>2039</v>
      </c>
      <c r="D196" s="324">
        <f t="shared" si="6"/>
        <v>422807</v>
      </c>
      <c r="E196" s="325">
        <v>0</v>
      </c>
      <c r="F196" s="325">
        <v>0</v>
      </c>
      <c r="G196" s="325">
        <v>0</v>
      </c>
      <c r="H196" s="325">
        <v>0</v>
      </c>
      <c r="I196" s="325">
        <v>0</v>
      </c>
      <c r="J196" s="325">
        <v>0</v>
      </c>
      <c r="K196" s="326">
        <v>0</v>
      </c>
      <c r="L196" s="325">
        <v>0</v>
      </c>
      <c r="M196" s="325">
        <v>0</v>
      </c>
      <c r="N196" s="325">
        <v>0</v>
      </c>
      <c r="O196" s="325">
        <v>422807</v>
      </c>
      <c r="P196" s="325">
        <v>0</v>
      </c>
      <c r="Q196" s="325">
        <v>0</v>
      </c>
      <c r="R196" s="325">
        <v>0</v>
      </c>
      <c r="S196" s="325">
        <v>0</v>
      </c>
      <c r="T196" s="325">
        <v>0</v>
      </c>
      <c r="U196" s="325">
        <v>0</v>
      </c>
      <c r="V196" s="325">
        <v>0</v>
      </c>
      <c r="W196" s="325">
        <v>0</v>
      </c>
      <c r="X196" s="325">
        <v>0</v>
      </c>
      <c r="Y196" s="325">
        <v>0</v>
      </c>
      <c r="Z196" s="325">
        <v>0</v>
      </c>
      <c r="AA196" s="325">
        <v>0</v>
      </c>
      <c r="AB196" s="327">
        <v>2020</v>
      </c>
      <c r="AD196" s="4">
        <v>0</v>
      </c>
    </row>
    <row r="197" spans="1:30" s="4" customFormat="1" ht="35.25" customHeight="1" x14ac:dyDescent="0.5">
      <c r="A197" s="4">
        <v>1</v>
      </c>
      <c r="B197" s="171">
        <f>SUBTOTAL(103,$A$8:A197)</f>
        <v>188</v>
      </c>
      <c r="C197" s="323" t="s">
        <v>2040</v>
      </c>
      <c r="D197" s="324">
        <f t="shared" si="6"/>
        <v>1415725</v>
      </c>
      <c r="E197" s="325">
        <v>0</v>
      </c>
      <c r="F197" s="325">
        <v>0</v>
      </c>
      <c r="G197" s="325">
        <v>0</v>
      </c>
      <c r="H197" s="325">
        <v>0</v>
      </c>
      <c r="I197" s="325">
        <v>0</v>
      </c>
      <c r="J197" s="325">
        <v>0</v>
      </c>
      <c r="K197" s="326">
        <v>0</v>
      </c>
      <c r="L197" s="325">
        <v>0</v>
      </c>
      <c r="M197" s="325">
        <v>1415725</v>
      </c>
      <c r="N197" s="325">
        <v>0</v>
      </c>
      <c r="O197" s="325">
        <v>0</v>
      </c>
      <c r="P197" s="325">
        <v>0</v>
      </c>
      <c r="Q197" s="325">
        <v>0</v>
      </c>
      <c r="R197" s="325">
        <v>0</v>
      </c>
      <c r="S197" s="325">
        <v>0</v>
      </c>
      <c r="T197" s="325">
        <v>0</v>
      </c>
      <c r="U197" s="325">
        <v>0</v>
      </c>
      <c r="V197" s="325">
        <v>0</v>
      </c>
      <c r="W197" s="325">
        <v>0</v>
      </c>
      <c r="X197" s="325">
        <v>0</v>
      </c>
      <c r="Y197" s="325">
        <v>0</v>
      </c>
      <c r="Z197" s="325">
        <v>0</v>
      </c>
      <c r="AA197" s="325">
        <v>0</v>
      </c>
      <c r="AB197" s="327">
        <v>2020</v>
      </c>
      <c r="AD197" s="4">
        <v>0</v>
      </c>
    </row>
    <row r="198" spans="1:30" s="4" customFormat="1" ht="35.25" customHeight="1" x14ac:dyDescent="0.5">
      <c r="A198" s="4">
        <v>1</v>
      </c>
      <c r="B198" s="171">
        <f>SUBTOTAL(103,$A$8:A198)</f>
        <v>189</v>
      </c>
      <c r="C198" s="323" t="s">
        <v>2310</v>
      </c>
      <c r="D198" s="324">
        <f t="shared" si="6"/>
        <v>375709.22</v>
      </c>
      <c r="E198" s="325">
        <v>0</v>
      </c>
      <c r="F198" s="325">
        <v>0</v>
      </c>
      <c r="G198" s="325">
        <v>0</v>
      </c>
      <c r="H198" s="325">
        <v>0</v>
      </c>
      <c r="I198" s="325">
        <v>0</v>
      </c>
      <c r="J198" s="325">
        <v>0</v>
      </c>
      <c r="K198" s="326">
        <v>0</v>
      </c>
      <c r="L198" s="325">
        <v>0</v>
      </c>
      <c r="M198" s="325">
        <v>0</v>
      </c>
      <c r="N198" s="325">
        <v>0</v>
      </c>
      <c r="O198" s="325">
        <v>375709.22</v>
      </c>
      <c r="P198" s="325">
        <v>0</v>
      </c>
      <c r="Q198" s="325">
        <v>0</v>
      </c>
      <c r="R198" s="325">
        <v>0</v>
      </c>
      <c r="S198" s="325">
        <v>0</v>
      </c>
      <c r="T198" s="325">
        <v>0</v>
      </c>
      <c r="U198" s="325">
        <v>0</v>
      </c>
      <c r="V198" s="325">
        <v>0</v>
      </c>
      <c r="W198" s="325">
        <v>0</v>
      </c>
      <c r="X198" s="325">
        <v>0</v>
      </c>
      <c r="Y198" s="325">
        <v>0</v>
      </c>
      <c r="Z198" s="325">
        <v>0</v>
      </c>
      <c r="AA198" s="325">
        <v>0</v>
      </c>
      <c r="AB198" s="327">
        <v>2020</v>
      </c>
      <c r="AD198" s="4" t="e">
        <v>#N/A</v>
      </c>
    </row>
    <row r="199" spans="1:30" s="4" customFormat="1" ht="35.25" customHeight="1" x14ac:dyDescent="0.5">
      <c r="A199" s="4">
        <v>1</v>
      </c>
      <c r="B199" s="171">
        <f>SUBTOTAL(103,$A$8:A199)</f>
        <v>190</v>
      </c>
      <c r="C199" s="323" t="s">
        <v>2311</v>
      </c>
      <c r="D199" s="324">
        <f t="shared" si="6"/>
        <v>2342000</v>
      </c>
      <c r="E199" s="325">
        <v>0</v>
      </c>
      <c r="F199" s="325">
        <v>0</v>
      </c>
      <c r="G199" s="325">
        <v>0</v>
      </c>
      <c r="H199" s="325">
        <v>0</v>
      </c>
      <c r="I199" s="325">
        <v>0</v>
      </c>
      <c r="J199" s="325">
        <v>0</v>
      </c>
      <c r="K199" s="326">
        <v>1</v>
      </c>
      <c r="L199" s="325">
        <v>2342000</v>
      </c>
      <c r="M199" s="325">
        <v>0</v>
      </c>
      <c r="N199" s="325">
        <v>0</v>
      </c>
      <c r="O199" s="325">
        <v>0</v>
      </c>
      <c r="P199" s="325">
        <v>0</v>
      </c>
      <c r="Q199" s="325">
        <v>0</v>
      </c>
      <c r="R199" s="325">
        <v>0</v>
      </c>
      <c r="S199" s="325">
        <v>0</v>
      </c>
      <c r="T199" s="325">
        <v>0</v>
      </c>
      <c r="U199" s="325">
        <v>0</v>
      </c>
      <c r="V199" s="325">
        <v>0</v>
      </c>
      <c r="W199" s="325">
        <v>0</v>
      </c>
      <c r="X199" s="325">
        <v>0</v>
      </c>
      <c r="Y199" s="325">
        <v>0</v>
      </c>
      <c r="Z199" s="325">
        <v>0</v>
      </c>
      <c r="AA199" s="325">
        <v>0</v>
      </c>
      <c r="AB199" s="327">
        <v>2020</v>
      </c>
      <c r="AD199" s="4" t="e">
        <v>#N/A</v>
      </c>
    </row>
    <row r="200" spans="1:30" s="4" customFormat="1" ht="35.25" customHeight="1" x14ac:dyDescent="0.5">
      <c r="A200" s="4">
        <v>1</v>
      </c>
      <c r="B200" s="171">
        <f>SUBTOTAL(103,$A$8:A200)</f>
        <v>191</v>
      </c>
      <c r="C200" s="323" t="s">
        <v>2312</v>
      </c>
      <c r="D200" s="324">
        <f t="shared" si="6"/>
        <v>3560254.02</v>
      </c>
      <c r="E200" s="325">
        <v>0</v>
      </c>
      <c r="F200" s="325">
        <v>0</v>
      </c>
      <c r="G200" s="325">
        <v>0</v>
      </c>
      <c r="H200" s="325">
        <v>0</v>
      </c>
      <c r="I200" s="325">
        <v>2895732.04</v>
      </c>
      <c r="J200" s="325">
        <v>0</v>
      </c>
      <c r="K200" s="326">
        <v>0</v>
      </c>
      <c r="L200" s="325">
        <v>0</v>
      </c>
      <c r="M200" s="325">
        <v>0</v>
      </c>
      <c r="N200" s="325">
        <v>0</v>
      </c>
      <c r="O200" s="325">
        <v>664521.98</v>
      </c>
      <c r="P200" s="325">
        <v>0</v>
      </c>
      <c r="Q200" s="325">
        <v>0</v>
      </c>
      <c r="R200" s="325">
        <v>0</v>
      </c>
      <c r="S200" s="325">
        <v>0</v>
      </c>
      <c r="T200" s="325">
        <v>0</v>
      </c>
      <c r="U200" s="325">
        <v>0</v>
      </c>
      <c r="V200" s="325">
        <v>0</v>
      </c>
      <c r="W200" s="325">
        <v>0</v>
      </c>
      <c r="X200" s="325">
        <v>0</v>
      </c>
      <c r="Y200" s="325">
        <v>0</v>
      </c>
      <c r="Z200" s="325">
        <v>0</v>
      </c>
      <c r="AA200" s="325">
        <v>0</v>
      </c>
      <c r="AB200" s="327">
        <v>2020</v>
      </c>
      <c r="AD200" s="4" t="e">
        <v>#N/A</v>
      </c>
    </row>
    <row r="201" spans="1:30" s="4" customFormat="1" ht="35.25" customHeight="1" x14ac:dyDescent="0.5">
      <c r="A201" s="4">
        <v>1</v>
      </c>
      <c r="B201" s="171">
        <f>SUBTOTAL(103,$A$8:A201)</f>
        <v>192</v>
      </c>
      <c r="C201" s="323" t="s">
        <v>1769</v>
      </c>
      <c r="D201" s="324">
        <f t="shared" si="6"/>
        <v>660633.3600000001</v>
      </c>
      <c r="E201" s="325">
        <v>54114.93</v>
      </c>
      <c r="F201" s="325">
        <v>0</v>
      </c>
      <c r="G201" s="325">
        <v>583956.53</v>
      </c>
      <c r="H201" s="325">
        <v>22561.9</v>
      </c>
      <c r="I201" s="325">
        <v>0</v>
      </c>
      <c r="J201" s="325">
        <v>0</v>
      </c>
      <c r="K201" s="326">
        <v>0</v>
      </c>
      <c r="L201" s="325">
        <v>0</v>
      </c>
      <c r="M201" s="325">
        <v>0</v>
      </c>
      <c r="N201" s="325">
        <v>0</v>
      </c>
      <c r="O201" s="325">
        <v>0</v>
      </c>
      <c r="P201" s="325">
        <v>0</v>
      </c>
      <c r="Q201" s="325">
        <v>0</v>
      </c>
      <c r="R201" s="325">
        <v>0</v>
      </c>
      <c r="S201" s="325">
        <v>0</v>
      </c>
      <c r="T201" s="325">
        <v>0</v>
      </c>
      <c r="U201" s="325">
        <v>0</v>
      </c>
      <c r="V201" s="325">
        <v>0</v>
      </c>
      <c r="W201" s="325">
        <v>0</v>
      </c>
      <c r="X201" s="325">
        <v>0</v>
      </c>
      <c r="Y201" s="325">
        <v>0</v>
      </c>
      <c r="Z201" s="325">
        <v>0</v>
      </c>
      <c r="AA201" s="325">
        <v>0</v>
      </c>
      <c r="AB201" s="327">
        <v>2020</v>
      </c>
      <c r="AD201" s="4" t="e">
        <v>#N/A</v>
      </c>
    </row>
    <row r="202" spans="1:30" s="4" customFormat="1" ht="35.25" customHeight="1" x14ac:dyDescent="0.5">
      <c r="A202" s="4">
        <v>1</v>
      </c>
      <c r="B202" s="171">
        <f>SUBTOTAL(103,$A$8:A202)</f>
        <v>193</v>
      </c>
      <c r="C202" s="323" t="s">
        <v>2313</v>
      </c>
      <c r="D202" s="324">
        <f t="shared" si="6"/>
        <v>538864</v>
      </c>
      <c r="E202" s="325">
        <v>0</v>
      </c>
      <c r="F202" s="325">
        <v>0</v>
      </c>
      <c r="G202" s="325">
        <v>0</v>
      </c>
      <c r="H202" s="325">
        <v>0</v>
      </c>
      <c r="I202" s="325">
        <v>0</v>
      </c>
      <c r="J202" s="325">
        <v>0</v>
      </c>
      <c r="K202" s="326">
        <v>0</v>
      </c>
      <c r="L202" s="325">
        <v>0</v>
      </c>
      <c r="M202" s="325">
        <v>0</v>
      </c>
      <c r="N202" s="325">
        <v>0</v>
      </c>
      <c r="O202" s="325">
        <v>538864</v>
      </c>
      <c r="P202" s="325">
        <v>0</v>
      </c>
      <c r="Q202" s="325">
        <v>0</v>
      </c>
      <c r="R202" s="325">
        <v>0</v>
      </c>
      <c r="S202" s="325">
        <v>0</v>
      </c>
      <c r="T202" s="325">
        <v>0</v>
      </c>
      <c r="U202" s="325">
        <v>0</v>
      </c>
      <c r="V202" s="325">
        <v>0</v>
      </c>
      <c r="W202" s="325">
        <v>0</v>
      </c>
      <c r="X202" s="325">
        <v>0</v>
      </c>
      <c r="Y202" s="325">
        <v>0</v>
      </c>
      <c r="Z202" s="325">
        <v>0</v>
      </c>
      <c r="AA202" s="325">
        <v>0</v>
      </c>
      <c r="AB202" s="327">
        <v>2020</v>
      </c>
      <c r="AD202" s="4" t="e">
        <v>#N/A</v>
      </c>
    </row>
    <row r="203" spans="1:30" s="4" customFormat="1" ht="35.25" customHeight="1" x14ac:dyDescent="0.5">
      <c r="A203" s="4">
        <v>1</v>
      </c>
      <c r="B203" s="171">
        <f>SUBTOTAL(103,$A$8:A203)</f>
        <v>194</v>
      </c>
      <c r="C203" s="323" t="s">
        <v>2314</v>
      </c>
      <c r="D203" s="324">
        <f t="shared" si="6"/>
        <v>1887319.95</v>
      </c>
      <c r="E203" s="325">
        <v>0</v>
      </c>
      <c r="F203" s="325">
        <v>0</v>
      </c>
      <c r="G203" s="325">
        <v>0</v>
      </c>
      <c r="H203" s="325">
        <v>0</v>
      </c>
      <c r="I203" s="325">
        <v>0</v>
      </c>
      <c r="J203" s="325">
        <v>0</v>
      </c>
      <c r="K203" s="326">
        <v>0</v>
      </c>
      <c r="L203" s="325">
        <v>0</v>
      </c>
      <c r="M203" s="325">
        <v>1110620</v>
      </c>
      <c r="N203" s="325">
        <v>0</v>
      </c>
      <c r="O203" s="325">
        <v>776699.95</v>
      </c>
      <c r="P203" s="325">
        <v>0</v>
      </c>
      <c r="Q203" s="325">
        <v>0</v>
      </c>
      <c r="R203" s="325">
        <v>0</v>
      </c>
      <c r="S203" s="325">
        <v>0</v>
      </c>
      <c r="T203" s="325">
        <v>0</v>
      </c>
      <c r="U203" s="325">
        <v>0</v>
      </c>
      <c r="V203" s="325">
        <v>0</v>
      </c>
      <c r="W203" s="325">
        <v>0</v>
      </c>
      <c r="X203" s="325">
        <v>0</v>
      </c>
      <c r="Y203" s="325">
        <v>0</v>
      </c>
      <c r="Z203" s="325">
        <v>0</v>
      </c>
      <c r="AA203" s="325">
        <v>0</v>
      </c>
      <c r="AB203" s="327">
        <v>2020</v>
      </c>
      <c r="AD203" s="4" t="e">
        <v>#N/A</v>
      </c>
    </row>
    <row r="204" spans="1:30" s="4" customFormat="1" ht="35.25" customHeight="1" x14ac:dyDescent="0.5">
      <c r="A204" s="4">
        <v>1</v>
      </c>
      <c r="B204" s="171">
        <f>SUBTOTAL(103,$A$8:A204)</f>
        <v>195</v>
      </c>
      <c r="C204" s="323" t="s">
        <v>2315</v>
      </c>
      <c r="D204" s="324">
        <f t="shared" si="6"/>
        <v>1695916.99</v>
      </c>
      <c r="E204" s="325">
        <v>0</v>
      </c>
      <c r="F204" s="325">
        <v>591889.99</v>
      </c>
      <c r="G204" s="325">
        <v>1104027</v>
      </c>
      <c r="H204" s="325">
        <v>0</v>
      </c>
      <c r="I204" s="325">
        <v>0</v>
      </c>
      <c r="J204" s="325">
        <v>0</v>
      </c>
      <c r="K204" s="326">
        <v>0</v>
      </c>
      <c r="L204" s="325">
        <v>0</v>
      </c>
      <c r="M204" s="325">
        <v>0</v>
      </c>
      <c r="N204" s="325">
        <v>0</v>
      </c>
      <c r="O204" s="325">
        <v>0</v>
      </c>
      <c r="P204" s="325">
        <v>0</v>
      </c>
      <c r="Q204" s="325">
        <v>0</v>
      </c>
      <c r="R204" s="325">
        <v>0</v>
      </c>
      <c r="S204" s="325">
        <v>0</v>
      </c>
      <c r="T204" s="325">
        <v>0</v>
      </c>
      <c r="U204" s="325">
        <v>0</v>
      </c>
      <c r="V204" s="325">
        <v>0</v>
      </c>
      <c r="W204" s="325">
        <v>0</v>
      </c>
      <c r="X204" s="325">
        <v>0</v>
      </c>
      <c r="Y204" s="325">
        <v>0</v>
      </c>
      <c r="Z204" s="325">
        <v>0</v>
      </c>
      <c r="AA204" s="325">
        <v>0</v>
      </c>
      <c r="AB204" s="327">
        <v>2020</v>
      </c>
      <c r="AD204" s="4" t="e">
        <v>#N/A</v>
      </c>
    </row>
    <row r="205" spans="1:30" s="4" customFormat="1" ht="35.25" customHeight="1" x14ac:dyDescent="0.5">
      <c r="A205" s="4">
        <v>1</v>
      </c>
      <c r="B205" s="171">
        <f>SUBTOTAL(103,$A$8:A205)</f>
        <v>196</v>
      </c>
      <c r="C205" s="323" t="s">
        <v>2476</v>
      </c>
      <c r="D205" s="324">
        <f t="shared" si="6"/>
        <v>887671</v>
      </c>
      <c r="E205" s="325">
        <v>0</v>
      </c>
      <c r="F205" s="325">
        <v>0</v>
      </c>
      <c r="G205" s="325">
        <v>0</v>
      </c>
      <c r="H205" s="325">
        <v>0</v>
      </c>
      <c r="I205" s="325">
        <v>0</v>
      </c>
      <c r="J205" s="325">
        <v>0</v>
      </c>
      <c r="K205" s="325">
        <v>0</v>
      </c>
      <c r="L205" s="325">
        <v>0</v>
      </c>
      <c r="M205" s="325">
        <v>0</v>
      </c>
      <c r="N205" s="325">
        <v>0</v>
      </c>
      <c r="O205" s="325">
        <v>887671</v>
      </c>
      <c r="P205" s="325">
        <v>0</v>
      </c>
      <c r="Q205" s="325">
        <v>0</v>
      </c>
      <c r="R205" s="325">
        <v>0</v>
      </c>
      <c r="S205" s="325">
        <v>0</v>
      </c>
      <c r="T205" s="325">
        <v>0</v>
      </c>
      <c r="U205" s="325">
        <v>0</v>
      </c>
      <c r="V205" s="325">
        <v>0</v>
      </c>
      <c r="W205" s="325">
        <v>0</v>
      </c>
      <c r="X205" s="325">
        <v>0</v>
      </c>
      <c r="Y205" s="325">
        <v>0</v>
      </c>
      <c r="Z205" s="325">
        <v>0</v>
      </c>
      <c r="AA205" s="325">
        <v>0</v>
      </c>
      <c r="AB205" s="327">
        <v>2020</v>
      </c>
      <c r="AD205" s="4">
        <v>0</v>
      </c>
    </row>
    <row r="206" spans="1:30" s="4" customFormat="1" ht="35.25" customHeight="1" x14ac:dyDescent="0.5">
      <c r="A206" s="4">
        <v>1</v>
      </c>
      <c r="B206" s="171">
        <f>SUBTOTAL(103,$A$8:A206)</f>
        <v>197</v>
      </c>
      <c r="C206" s="323" t="s">
        <v>2316</v>
      </c>
      <c r="D206" s="324">
        <f t="shared" si="6"/>
        <v>1420838</v>
      </c>
      <c r="E206" s="325">
        <v>0</v>
      </c>
      <c r="F206" s="325">
        <v>0</v>
      </c>
      <c r="G206" s="325">
        <v>0</v>
      </c>
      <c r="H206" s="325">
        <v>0</v>
      </c>
      <c r="I206" s="325">
        <v>0</v>
      </c>
      <c r="J206" s="325">
        <v>0</v>
      </c>
      <c r="K206" s="326">
        <v>0</v>
      </c>
      <c r="L206" s="325">
        <v>0</v>
      </c>
      <c r="M206" s="325">
        <v>0</v>
      </c>
      <c r="N206" s="325">
        <v>0</v>
      </c>
      <c r="O206" s="325">
        <v>1420838</v>
      </c>
      <c r="P206" s="325">
        <v>0</v>
      </c>
      <c r="Q206" s="325">
        <v>0</v>
      </c>
      <c r="R206" s="325">
        <v>0</v>
      </c>
      <c r="S206" s="325">
        <v>0</v>
      </c>
      <c r="T206" s="325">
        <v>0</v>
      </c>
      <c r="U206" s="325">
        <v>0</v>
      </c>
      <c r="V206" s="325">
        <v>0</v>
      </c>
      <c r="W206" s="325">
        <v>0</v>
      </c>
      <c r="X206" s="325">
        <v>0</v>
      </c>
      <c r="Y206" s="325">
        <v>0</v>
      </c>
      <c r="Z206" s="325">
        <v>0</v>
      </c>
      <c r="AA206" s="325">
        <v>0</v>
      </c>
      <c r="AB206" s="327">
        <v>2020</v>
      </c>
      <c r="AD206" s="4" t="e">
        <v>#N/A</v>
      </c>
    </row>
    <row r="207" spans="1:30" s="4" customFormat="1" ht="35.25" customHeight="1" x14ac:dyDescent="0.5">
      <c r="A207" s="4">
        <v>1</v>
      </c>
      <c r="B207" s="171">
        <f>SUBTOTAL(103,$A$8:A207)</f>
        <v>198</v>
      </c>
      <c r="C207" s="323" t="s">
        <v>2317</v>
      </c>
      <c r="D207" s="324">
        <f t="shared" si="6"/>
        <v>304235.02</v>
      </c>
      <c r="E207" s="325">
        <v>0</v>
      </c>
      <c r="F207" s="325">
        <v>0</v>
      </c>
      <c r="G207" s="325">
        <v>0</v>
      </c>
      <c r="H207" s="325">
        <v>0</v>
      </c>
      <c r="I207" s="325">
        <v>0</v>
      </c>
      <c r="J207" s="325">
        <v>0</v>
      </c>
      <c r="K207" s="326">
        <v>0</v>
      </c>
      <c r="L207" s="325">
        <v>0</v>
      </c>
      <c r="M207" s="325">
        <v>0</v>
      </c>
      <c r="N207" s="325">
        <v>0</v>
      </c>
      <c r="O207" s="325">
        <v>304235.02</v>
      </c>
      <c r="P207" s="325">
        <v>0</v>
      </c>
      <c r="Q207" s="325">
        <v>0</v>
      </c>
      <c r="R207" s="325">
        <v>0</v>
      </c>
      <c r="S207" s="325">
        <v>0</v>
      </c>
      <c r="T207" s="325">
        <v>0</v>
      </c>
      <c r="U207" s="325">
        <v>0</v>
      </c>
      <c r="V207" s="325">
        <v>0</v>
      </c>
      <c r="W207" s="325">
        <v>0</v>
      </c>
      <c r="X207" s="325">
        <v>0</v>
      </c>
      <c r="Y207" s="325">
        <v>0</v>
      </c>
      <c r="Z207" s="325">
        <v>0</v>
      </c>
      <c r="AA207" s="325">
        <v>0</v>
      </c>
      <c r="AB207" s="327">
        <v>2020</v>
      </c>
      <c r="AD207" s="4" t="e">
        <v>#N/A</v>
      </c>
    </row>
    <row r="208" spans="1:30" s="4" customFormat="1" ht="35.25" customHeight="1" x14ac:dyDescent="0.5">
      <c r="A208" s="4">
        <v>1</v>
      </c>
      <c r="B208" s="171">
        <f>SUBTOTAL(103,$A$8:A208)</f>
        <v>199</v>
      </c>
      <c r="C208" s="402" t="s">
        <v>2041</v>
      </c>
      <c r="D208" s="324">
        <f t="shared" si="6"/>
        <v>1295506</v>
      </c>
      <c r="E208" s="400">
        <v>0</v>
      </c>
      <c r="F208" s="400">
        <v>0</v>
      </c>
      <c r="G208" s="400">
        <v>0</v>
      </c>
      <c r="H208" s="400">
        <v>0</v>
      </c>
      <c r="I208" s="400">
        <v>0</v>
      </c>
      <c r="J208" s="400">
        <v>0</v>
      </c>
      <c r="K208" s="326">
        <v>0</v>
      </c>
      <c r="L208" s="400">
        <v>0</v>
      </c>
      <c r="M208" s="400">
        <f>1247639+47867</f>
        <v>1295506</v>
      </c>
      <c r="N208" s="400">
        <v>0</v>
      </c>
      <c r="O208" s="400">
        <v>0</v>
      </c>
      <c r="P208" s="400">
        <v>0</v>
      </c>
      <c r="Q208" s="400">
        <v>0</v>
      </c>
      <c r="R208" s="400">
        <v>0</v>
      </c>
      <c r="S208" s="400">
        <v>0</v>
      </c>
      <c r="T208" s="400">
        <v>0</v>
      </c>
      <c r="U208" s="400">
        <v>0</v>
      </c>
      <c r="V208" s="400">
        <v>0</v>
      </c>
      <c r="W208" s="400">
        <v>0</v>
      </c>
      <c r="X208" s="400">
        <v>0</v>
      </c>
      <c r="Y208" s="400">
        <v>0</v>
      </c>
      <c r="Z208" s="400">
        <v>0</v>
      </c>
      <c r="AA208" s="400">
        <v>0</v>
      </c>
      <c r="AB208" s="327">
        <v>2020</v>
      </c>
      <c r="AD208" s="4" t="e">
        <v>#N/A</v>
      </c>
    </row>
    <row r="209" spans="1:30" s="4" customFormat="1" ht="35.25" customHeight="1" x14ac:dyDescent="0.5">
      <c r="A209" s="4">
        <v>1</v>
      </c>
      <c r="B209" s="171">
        <f>SUBTOTAL(103,$A$8:A209)</f>
        <v>200</v>
      </c>
      <c r="C209" s="402" t="s">
        <v>2318</v>
      </c>
      <c r="D209" s="324">
        <f t="shared" si="6"/>
        <v>794440</v>
      </c>
      <c r="E209" s="400">
        <v>0</v>
      </c>
      <c r="F209" s="400">
        <v>0</v>
      </c>
      <c r="G209" s="400">
        <v>0</v>
      </c>
      <c r="H209" s="400">
        <v>0</v>
      </c>
      <c r="I209" s="400">
        <v>0</v>
      </c>
      <c r="J209" s="400">
        <v>0</v>
      </c>
      <c r="K209" s="326">
        <v>0</v>
      </c>
      <c r="L209" s="400">
        <v>0</v>
      </c>
      <c r="M209" s="400">
        <v>794440</v>
      </c>
      <c r="N209" s="400">
        <v>0</v>
      </c>
      <c r="O209" s="400">
        <v>0</v>
      </c>
      <c r="P209" s="400">
        <v>0</v>
      </c>
      <c r="Q209" s="400">
        <v>0</v>
      </c>
      <c r="R209" s="400">
        <v>0</v>
      </c>
      <c r="S209" s="400">
        <v>0</v>
      </c>
      <c r="T209" s="400">
        <v>0</v>
      </c>
      <c r="U209" s="400">
        <v>0</v>
      </c>
      <c r="V209" s="400">
        <v>0</v>
      </c>
      <c r="W209" s="400">
        <v>0</v>
      </c>
      <c r="X209" s="400">
        <v>0</v>
      </c>
      <c r="Y209" s="400">
        <v>0</v>
      </c>
      <c r="Z209" s="400">
        <v>0</v>
      </c>
      <c r="AA209" s="400">
        <v>0</v>
      </c>
      <c r="AB209" s="327">
        <v>2020</v>
      </c>
      <c r="AD209" s="4" t="e">
        <v>#N/A</v>
      </c>
    </row>
    <row r="210" spans="1:30" s="4" customFormat="1" ht="35.25" customHeight="1" x14ac:dyDescent="0.5">
      <c r="A210" s="4">
        <v>1</v>
      </c>
      <c r="B210" s="171">
        <f>SUBTOTAL(103,$A$8:A210)</f>
        <v>201</v>
      </c>
      <c r="C210" s="402" t="s">
        <v>2319</v>
      </c>
      <c r="D210" s="324">
        <f t="shared" si="6"/>
        <v>549279.94999999995</v>
      </c>
      <c r="E210" s="400">
        <v>0</v>
      </c>
      <c r="F210" s="400">
        <v>0</v>
      </c>
      <c r="G210" s="400">
        <v>0</v>
      </c>
      <c r="H210" s="400">
        <v>0</v>
      </c>
      <c r="I210" s="400">
        <v>0</v>
      </c>
      <c r="J210" s="400">
        <v>0</v>
      </c>
      <c r="K210" s="326">
        <v>0</v>
      </c>
      <c r="L210" s="400">
        <v>0</v>
      </c>
      <c r="M210" s="400">
        <v>0</v>
      </c>
      <c r="N210" s="400">
        <v>0</v>
      </c>
      <c r="O210" s="400">
        <v>549279.94999999995</v>
      </c>
      <c r="P210" s="400">
        <v>0</v>
      </c>
      <c r="Q210" s="400">
        <v>0</v>
      </c>
      <c r="R210" s="400">
        <v>0</v>
      </c>
      <c r="S210" s="400">
        <v>0</v>
      </c>
      <c r="T210" s="400">
        <v>0</v>
      </c>
      <c r="U210" s="400">
        <v>0</v>
      </c>
      <c r="V210" s="400">
        <v>0</v>
      </c>
      <c r="W210" s="400">
        <v>0</v>
      </c>
      <c r="X210" s="400">
        <v>0</v>
      </c>
      <c r="Y210" s="400">
        <v>0</v>
      </c>
      <c r="Z210" s="400">
        <v>0</v>
      </c>
      <c r="AA210" s="400">
        <v>0</v>
      </c>
      <c r="AB210" s="327">
        <v>2020</v>
      </c>
      <c r="AD210" s="4" t="e">
        <v>#N/A</v>
      </c>
    </row>
    <row r="211" spans="1:30" s="4" customFormat="1" ht="35.25" customHeight="1" x14ac:dyDescent="0.5">
      <c r="A211" s="4">
        <v>1</v>
      </c>
      <c r="B211" s="171">
        <f>SUBTOTAL(103,$A$8:A211)</f>
        <v>202</v>
      </c>
      <c r="C211" s="402" t="s">
        <v>2320</v>
      </c>
      <c r="D211" s="324">
        <f t="shared" si="6"/>
        <v>1197698.17</v>
      </c>
      <c r="E211" s="400">
        <v>0</v>
      </c>
      <c r="F211" s="400">
        <v>0</v>
      </c>
      <c r="G211" s="400">
        <v>0</v>
      </c>
      <c r="H211" s="400">
        <v>154635.4</v>
      </c>
      <c r="I211" s="400">
        <v>0</v>
      </c>
      <c r="J211" s="400">
        <v>0</v>
      </c>
      <c r="K211" s="326">
        <v>0</v>
      </c>
      <c r="L211" s="400">
        <v>0</v>
      </c>
      <c r="M211" s="400">
        <v>1043062.77</v>
      </c>
      <c r="N211" s="400">
        <v>0</v>
      </c>
      <c r="O211" s="400">
        <v>0</v>
      </c>
      <c r="P211" s="400">
        <v>0</v>
      </c>
      <c r="Q211" s="400">
        <v>0</v>
      </c>
      <c r="R211" s="400">
        <v>0</v>
      </c>
      <c r="S211" s="400">
        <v>0</v>
      </c>
      <c r="T211" s="400">
        <v>0</v>
      </c>
      <c r="U211" s="400">
        <v>0</v>
      </c>
      <c r="V211" s="400">
        <v>0</v>
      </c>
      <c r="W211" s="400">
        <v>0</v>
      </c>
      <c r="X211" s="400">
        <v>0</v>
      </c>
      <c r="Y211" s="400">
        <v>0</v>
      </c>
      <c r="Z211" s="400">
        <v>0</v>
      </c>
      <c r="AA211" s="400">
        <v>0</v>
      </c>
      <c r="AB211" s="327">
        <v>2020</v>
      </c>
      <c r="AD211" s="4">
        <v>0</v>
      </c>
    </row>
    <row r="212" spans="1:30" s="4" customFormat="1" ht="35.25" customHeight="1" x14ac:dyDescent="0.5">
      <c r="A212" s="4">
        <v>1</v>
      </c>
      <c r="B212" s="171">
        <f>SUBTOTAL(103,$A$8:A212)</f>
        <v>203</v>
      </c>
      <c r="C212" s="402" t="s">
        <v>2477</v>
      </c>
      <c r="D212" s="324">
        <f t="shared" si="6"/>
        <v>711000</v>
      </c>
      <c r="E212" s="400">
        <v>0</v>
      </c>
      <c r="F212" s="400">
        <v>0</v>
      </c>
      <c r="G212" s="400">
        <v>0</v>
      </c>
      <c r="H212" s="400">
        <v>0</v>
      </c>
      <c r="I212" s="400">
        <v>0</v>
      </c>
      <c r="J212" s="400">
        <v>0</v>
      </c>
      <c r="K212" s="326">
        <v>1</v>
      </c>
      <c r="L212" s="400">
        <v>711000</v>
      </c>
      <c r="M212" s="400">
        <v>0</v>
      </c>
      <c r="N212" s="400">
        <v>0</v>
      </c>
      <c r="O212" s="400">
        <v>0</v>
      </c>
      <c r="P212" s="400">
        <v>0</v>
      </c>
      <c r="Q212" s="400">
        <v>0</v>
      </c>
      <c r="R212" s="400">
        <v>0</v>
      </c>
      <c r="S212" s="400">
        <v>0</v>
      </c>
      <c r="T212" s="400">
        <v>0</v>
      </c>
      <c r="U212" s="400">
        <v>0</v>
      </c>
      <c r="V212" s="400">
        <v>0</v>
      </c>
      <c r="W212" s="400">
        <v>0</v>
      </c>
      <c r="X212" s="400">
        <v>0</v>
      </c>
      <c r="Y212" s="400">
        <v>0</v>
      </c>
      <c r="Z212" s="400">
        <v>0</v>
      </c>
      <c r="AA212" s="400">
        <v>0</v>
      </c>
      <c r="AB212" s="327">
        <v>2020</v>
      </c>
      <c r="AD212" s="4">
        <v>0</v>
      </c>
    </row>
    <row r="213" spans="1:30" s="4" customFormat="1" ht="35.25" customHeight="1" x14ac:dyDescent="0.5">
      <c r="A213" s="4">
        <v>1</v>
      </c>
      <c r="B213" s="171">
        <f>SUBTOTAL(103,$A$8:A213)</f>
        <v>204</v>
      </c>
      <c r="C213" s="402" t="s">
        <v>2478</v>
      </c>
      <c r="D213" s="324">
        <f t="shared" si="6"/>
        <v>494000</v>
      </c>
      <c r="E213" s="400">
        <v>0</v>
      </c>
      <c r="F213" s="400">
        <v>494000</v>
      </c>
      <c r="G213" s="400">
        <v>0</v>
      </c>
      <c r="H213" s="400">
        <v>0</v>
      </c>
      <c r="I213" s="400">
        <v>0</v>
      </c>
      <c r="J213" s="400">
        <v>0</v>
      </c>
      <c r="K213" s="326">
        <v>0</v>
      </c>
      <c r="L213" s="400">
        <v>0</v>
      </c>
      <c r="M213" s="400">
        <v>0</v>
      </c>
      <c r="N213" s="400">
        <v>0</v>
      </c>
      <c r="O213" s="400">
        <v>0</v>
      </c>
      <c r="P213" s="400">
        <v>0</v>
      </c>
      <c r="Q213" s="400">
        <v>0</v>
      </c>
      <c r="R213" s="400">
        <v>0</v>
      </c>
      <c r="S213" s="400">
        <v>0</v>
      </c>
      <c r="T213" s="400">
        <v>0</v>
      </c>
      <c r="U213" s="400">
        <v>0</v>
      </c>
      <c r="V213" s="400">
        <v>0</v>
      </c>
      <c r="W213" s="400">
        <v>0</v>
      </c>
      <c r="X213" s="400">
        <v>0</v>
      </c>
      <c r="Y213" s="400">
        <v>0</v>
      </c>
      <c r="Z213" s="400">
        <v>0</v>
      </c>
      <c r="AA213" s="400">
        <v>0</v>
      </c>
      <c r="AB213" s="327">
        <v>2020</v>
      </c>
      <c r="AD213" s="4">
        <v>0</v>
      </c>
    </row>
    <row r="214" spans="1:30" s="4" customFormat="1" ht="35.25" customHeight="1" x14ac:dyDescent="0.5">
      <c r="A214" s="4">
        <v>1</v>
      </c>
      <c r="B214" s="171">
        <f>SUBTOTAL(103,$A$8:A214)</f>
        <v>205</v>
      </c>
      <c r="C214" s="402" t="s">
        <v>2479</v>
      </c>
      <c r="D214" s="324">
        <f t="shared" si="6"/>
        <v>316391</v>
      </c>
      <c r="E214" s="400">
        <v>0</v>
      </c>
      <c r="F214" s="400">
        <v>76452</v>
      </c>
      <c r="G214" s="400">
        <v>239939</v>
      </c>
      <c r="H214" s="400">
        <v>0</v>
      </c>
      <c r="I214" s="400">
        <v>0</v>
      </c>
      <c r="J214" s="400">
        <v>0</v>
      </c>
      <c r="K214" s="326">
        <v>0</v>
      </c>
      <c r="L214" s="400">
        <v>0</v>
      </c>
      <c r="M214" s="400">
        <v>0</v>
      </c>
      <c r="N214" s="400">
        <v>0</v>
      </c>
      <c r="O214" s="400">
        <v>0</v>
      </c>
      <c r="P214" s="400">
        <v>0</v>
      </c>
      <c r="Q214" s="400">
        <v>0</v>
      </c>
      <c r="R214" s="400">
        <v>0</v>
      </c>
      <c r="S214" s="400">
        <v>0</v>
      </c>
      <c r="T214" s="400">
        <v>0</v>
      </c>
      <c r="U214" s="400">
        <v>0</v>
      </c>
      <c r="V214" s="400">
        <v>0</v>
      </c>
      <c r="W214" s="400">
        <v>0</v>
      </c>
      <c r="X214" s="400">
        <v>0</v>
      </c>
      <c r="Y214" s="400">
        <v>0</v>
      </c>
      <c r="Z214" s="400">
        <v>0</v>
      </c>
      <c r="AA214" s="400">
        <v>0</v>
      </c>
      <c r="AB214" s="327">
        <v>2020</v>
      </c>
      <c r="AD214" s="4">
        <v>0</v>
      </c>
    </row>
    <row r="215" spans="1:30" s="4" customFormat="1" ht="35.25" customHeight="1" x14ac:dyDescent="0.5">
      <c r="A215" s="4">
        <v>1</v>
      </c>
      <c r="B215" s="171">
        <f>SUBTOTAL(103,$A$8:A215)</f>
        <v>206</v>
      </c>
      <c r="C215" s="402" t="s">
        <v>2480</v>
      </c>
      <c r="D215" s="324">
        <f t="shared" si="6"/>
        <v>1192648.1000000001</v>
      </c>
      <c r="E215" s="400">
        <v>0</v>
      </c>
      <c r="F215" s="400">
        <v>0</v>
      </c>
      <c r="G215" s="400">
        <v>0</v>
      </c>
      <c r="H215" s="400">
        <v>0</v>
      </c>
      <c r="I215" s="400">
        <v>62648.1</v>
      </c>
      <c r="J215" s="400">
        <v>0</v>
      </c>
      <c r="K215" s="326">
        <v>0</v>
      </c>
      <c r="L215" s="400">
        <v>0</v>
      </c>
      <c r="M215" s="400">
        <v>1130000</v>
      </c>
      <c r="N215" s="400">
        <v>0</v>
      </c>
      <c r="O215" s="400">
        <v>0</v>
      </c>
      <c r="P215" s="400">
        <v>0</v>
      </c>
      <c r="Q215" s="400">
        <v>0</v>
      </c>
      <c r="R215" s="400">
        <v>0</v>
      </c>
      <c r="S215" s="400">
        <v>0</v>
      </c>
      <c r="T215" s="400">
        <v>0</v>
      </c>
      <c r="U215" s="400">
        <v>0</v>
      </c>
      <c r="V215" s="400">
        <v>0</v>
      </c>
      <c r="W215" s="400">
        <v>0</v>
      </c>
      <c r="X215" s="400">
        <v>0</v>
      </c>
      <c r="Y215" s="400">
        <v>0</v>
      </c>
      <c r="Z215" s="400">
        <v>0</v>
      </c>
      <c r="AA215" s="400">
        <v>0</v>
      </c>
      <c r="AB215" s="327">
        <v>2020</v>
      </c>
      <c r="AD215" s="4">
        <v>0</v>
      </c>
    </row>
    <row r="216" spans="1:30" s="4" customFormat="1" ht="35.25" customHeight="1" x14ac:dyDescent="0.5">
      <c r="A216" s="4">
        <v>1</v>
      </c>
      <c r="B216" s="171">
        <f>SUBTOTAL(103,$A$8:A216)</f>
        <v>207</v>
      </c>
      <c r="C216" s="402" t="s">
        <v>2481</v>
      </c>
      <c r="D216" s="324">
        <f t="shared" si="6"/>
        <v>72770</v>
      </c>
      <c r="E216" s="400">
        <v>72770</v>
      </c>
      <c r="F216" s="400">
        <v>0</v>
      </c>
      <c r="G216" s="400">
        <v>0</v>
      </c>
      <c r="H216" s="400">
        <v>0</v>
      </c>
      <c r="I216" s="400">
        <v>0</v>
      </c>
      <c r="J216" s="400">
        <v>0</v>
      </c>
      <c r="K216" s="326">
        <v>0</v>
      </c>
      <c r="L216" s="400">
        <v>0</v>
      </c>
      <c r="M216" s="400">
        <v>0</v>
      </c>
      <c r="N216" s="400">
        <v>0</v>
      </c>
      <c r="O216" s="400">
        <v>0</v>
      </c>
      <c r="P216" s="400">
        <v>0</v>
      </c>
      <c r="Q216" s="400">
        <v>0</v>
      </c>
      <c r="R216" s="400">
        <v>0</v>
      </c>
      <c r="S216" s="400">
        <v>0</v>
      </c>
      <c r="T216" s="400">
        <v>0</v>
      </c>
      <c r="U216" s="400">
        <v>0</v>
      </c>
      <c r="V216" s="400">
        <v>0</v>
      </c>
      <c r="W216" s="400">
        <v>0</v>
      </c>
      <c r="X216" s="400">
        <v>0</v>
      </c>
      <c r="Y216" s="400">
        <v>0</v>
      </c>
      <c r="Z216" s="400">
        <v>0</v>
      </c>
      <c r="AA216" s="400">
        <v>0</v>
      </c>
      <c r="AB216" s="327">
        <v>2020</v>
      </c>
      <c r="AD216" s="4">
        <v>0</v>
      </c>
    </row>
    <row r="217" spans="1:30" s="4" customFormat="1" ht="35.25" customHeight="1" x14ac:dyDescent="0.5">
      <c r="A217" s="4">
        <v>1</v>
      </c>
      <c r="B217" s="171">
        <f>SUBTOTAL(103,$A$8:A217)</f>
        <v>208</v>
      </c>
      <c r="C217" s="402" t="s">
        <v>2321</v>
      </c>
      <c r="D217" s="324">
        <f t="shared" si="6"/>
        <v>884816.16</v>
      </c>
      <c r="E217" s="400">
        <v>0</v>
      </c>
      <c r="F217" s="400">
        <v>0</v>
      </c>
      <c r="G217" s="400">
        <v>0</v>
      </c>
      <c r="H217" s="400">
        <v>0</v>
      </c>
      <c r="I217" s="400">
        <v>0</v>
      </c>
      <c r="J217" s="400">
        <v>0</v>
      </c>
      <c r="K217" s="326">
        <v>0</v>
      </c>
      <c r="L217" s="400">
        <v>0</v>
      </c>
      <c r="M217" s="400">
        <v>753243.91</v>
      </c>
      <c r="N217" s="400">
        <v>0</v>
      </c>
      <c r="O217" s="400">
        <v>131572.25</v>
      </c>
      <c r="P217" s="400">
        <v>0</v>
      </c>
      <c r="Q217" s="400">
        <v>0</v>
      </c>
      <c r="R217" s="400">
        <v>0</v>
      </c>
      <c r="S217" s="400">
        <v>0</v>
      </c>
      <c r="T217" s="400">
        <v>0</v>
      </c>
      <c r="U217" s="400">
        <v>0</v>
      </c>
      <c r="V217" s="400">
        <v>0</v>
      </c>
      <c r="W217" s="400">
        <v>0</v>
      </c>
      <c r="X217" s="400">
        <v>0</v>
      </c>
      <c r="Y217" s="400">
        <v>0</v>
      </c>
      <c r="Z217" s="400">
        <v>0</v>
      </c>
      <c r="AA217" s="400">
        <v>0</v>
      </c>
      <c r="AB217" s="327">
        <v>2020</v>
      </c>
      <c r="AD217" s="4" t="e">
        <v>#N/A</v>
      </c>
    </row>
    <row r="218" spans="1:30" s="4" customFormat="1" ht="35.25" customHeight="1" x14ac:dyDescent="0.5">
      <c r="A218" s="4">
        <v>1</v>
      </c>
      <c r="B218" s="171">
        <f>SUBTOTAL(103,$A$8:A218)</f>
        <v>209</v>
      </c>
      <c r="C218" s="402" t="s">
        <v>2322</v>
      </c>
      <c r="D218" s="324">
        <f t="shared" si="6"/>
        <v>435227</v>
      </c>
      <c r="E218" s="400">
        <v>0</v>
      </c>
      <c r="F218" s="400">
        <v>0</v>
      </c>
      <c r="G218" s="400">
        <v>0</v>
      </c>
      <c r="H218" s="400">
        <v>0</v>
      </c>
      <c r="I218" s="400">
        <v>0</v>
      </c>
      <c r="J218" s="400">
        <v>0</v>
      </c>
      <c r="K218" s="326">
        <v>0</v>
      </c>
      <c r="L218" s="400">
        <v>0</v>
      </c>
      <c r="M218" s="400">
        <v>435227</v>
      </c>
      <c r="N218" s="400">
        <v>0</v>
      </c>
      <c r="O218" s="400">
        <v>0</v>
      </c>
      <c r="P218" s="400">
        <v>0</v>
      </c>
      <c r="Q218" s="400">
        <v>0</v>
      </c>
      <c r="R218" s="400">
        <v>0</v>
      </c>
      <c r="S218" s="400">
        <v>0</v>
      </c>
      <c r="T218" s="400">
        <v>0</v>
      </c>
      <c r="U218" s="400">
        <v>0</v>
      </c>
      <c r="V218" s="400">
        <v>0</v>
      </c>
      <c r="W218" s="400">
        <v>0</v>
      </c>
      <c r="X218" s="400">
        <v>0</v>
      </c>
      <c r="Y218" s="400">
        <v>0</v>
      </c>
      <c r="Z218" s="400">
        <v>0</v>
      </c>
      <c r="AA218" s="400">
        <v>0</v>
      </c>
      <c r="AB218" s="327">
        <v>2020</v>
      </c>
      <c r="AD218" s="4" t="e">
        <v>#N/A</v>
      </c>
    </row>
    <row r="219" spans="1:30" s="4" customFormat="1" ht="35.25" customHeight="1" x14ac:dyDescent="0.5">
      <c r="A219" s="4">
        <v>1</v>
      </c>
      <c r="B219" s="171">
        <f>SUBTOTAL(103,$A$8:A219)</f>
        <v>210</v>
      </c>
      <c r="C219" s="402" t="s">
        <v>2323</v>
      </c>
      <c r="D219" s="324">
        <f t="shared" si="6"/>
        <v>820280.67</v>
      </c>
      <c r="E219" s="400">
        <v>0</v>
      </c>
      <c r="F219" s="400">
        <v>0</v>
      </c>
      <c r="G219" s="400">
        <v>0</v>
      </c>
      <c r="H219" s="400">
        <v>0</v>
      </c>
      <c r="I219" s="400">
        <v>820280.67</v>
      </c>
      <c r="J219" s="400">
        <v>0</v>
      </c>
      <c r="K219" s="326">
        <v>0</v>
      </c>
      <c r="L219" s="400">
        <v>0</v>
      </c>
      <c r="M219" s="400">
        <v>0</v>
      </c>
      <c r="N219" s="400">
        <v>0</v>
      </c>
      <c r="O219" s="400">
        <v>0</v>
      </c>
      <c r="P219" s="400">
        <v>0</v>
      </c>
      <c r="Q219" s="400">
        <v>0</v>
      </c>
      <c r="R219" s="400">
        <v>0</v>
      </c>
      <c r="S219" s="400">
        <v>0</v>
      </c>
      <c r="T219" s="400">
        <v>0</v>
      </c>
      <c r="U219" s="400">
        <v>0</v>
      </c>
      <c r="V219" s="400">
        <v>0</v>
      </c>
      <c r="W219" s="400">
        <v>0</v>
      </c>
      <c r="X219" s="400">
        <v>0</v>
      </c>
      <c r="Y219" s="400">
        <v>0</v>
      </c>
      <c r="Z219" s="400">
        <v>0</v>
      </c>
      <c r="AA219" s="400">
        <v>0</v>
      </c>
      <c r="AB219" s="327">
        <v>2020</v>
      </c>
      <c r="AD219" s="4" t="e">
        <v>#N/A</v>
      </c>
    </row>
    <row r="220" spans="1:30" s="4" customFormat="1" ht="35.25" customHeight="1" x14ac:dyDescent="0.5">
      <c r="A220" s="4">
        <v>1</v>
      </c>
      <c r="B220" s="171">
        <f>SUBTOTAL(103,$A$8:A220)</f>
        <v>211</v>
      </c>
      <c r="C220" s="402" t="s">
        <v>2324</v>
      </c>
      <c r="D220" s="324">
        <f t="shared" si="6"/>
        <v>6916836</v>
      </c>
      <c r="E220" s="400">
        <v>0</v>
      </c>
      <c r="F220" s="400">
        <v>0</v>
      </c>
      <c r="G220" s="400">
        <v>0</v>
      </c>
      <c r="H220" s="400">
        <v>1738372</v>
      </c>
      <c r="I220" s="400">
        <v>0</v>
      </c>
      <c r="J220" s="400">
        <v>0</v>
      </c>
      <c r="K220" s="326">
        <v>0</v>
      </c>
      <c r="L220" s="400">
        <v>0</v>
      </c>
      <c r="M220" s="400">
        <v>5178464</v>
      </c>
      <c r="N220" s="400">
        <v>0</v>
      </c>
      <c r="O220" s="400">
        <v>0</v>
      </c>
      <c r="P220" s="400">
        <v>0</v>
      </c>
      <c r="Q220" s="400">
        <v>0</v>
      </c>
      <c r="R220" s="400">
        <v>0</v>
      </c>
      <c r="S220" s="400">
        <v>0</v>
      </c>
      <c r="T220" s="400">
        <v>0</v>
      </c>
      <c r="U220" s="400">
        <v>0</v>
      </c>
      <c r="V220" s="400">
        <v>0</v>
      </c>
      <c r="W220" s="400">
        <v>0</v>
      </c>
      <c r="X220" s="400">
        <v>0</v>
      </c>
      <c r="Y220" s="400">
        <v>0</v>
      </c>
      <c r="Z220" s="400">
        <v>0</v>
      </c>
      <c r="AA220" s="400">
        <v>0</v>
      </c>
      <c r="AB220" s="327">
        <v>2020</v>
      </c>
      <c r="AD220" s="4" t="e">
        <v>#N/A</v>
      </c>
    </row>
    <row r="221" spans="1:30" s="4" customFormat="1" ht="35.25" customHeight="1" x14ac:dyDescent="0.5">
      <c r="A221" s="4">
        <v>1</v>
      </c>
      <c r="B221" s="171">
        <f>SUBTOTAL(103,$A$8:A221)</f>
        <v>212</v>
      </c>
      <c r="C221" s="402" t="s">
        <v>2325</v>
      </c>
      <c r="D221" s="324">
        <f t="shared" si="6"/>
        <v>997903.56</v>
      </c>
      <c r="E221" s="400">
        <v>0</v>
      </c>
      <c r="F221" s="400">
        <v>0</v>
      </c>
      <c r="G221" s="400">
        <v>0</v>
      </c>
      <c r="H221" s="400">
        <v>0</v>
      </c>
      <c r="I221" s="400">
        <v>0</v>
      </c>
      <c r="J221" s="400">
        <v>0</v>
      </c>
      <c r="K221" s="326">
        <v>0</v>
      </c>
      <c r="L221" s="400">
        <v>0</v>
      </c>
      <c r="M221" s="400">
        <v>997903.56</v>
      </c>
      <c r="N221" s="400">
        <v>0</v>
      </c>
      <c r="O221" s="400">
        <v>0</v>
      </c>
      <c r="P221" s="400">
        <v>0</v>
      </c>
      <c r="Q221" s="400">
        <v>0</v>
      </c>
      <c r="R221" s="400">
        <v>0</v>
      </c>
      <c r="S221" s="400">
        <v>0</v>
      </c>
      <c r="T221" s="400">
        <v>0</v>
      </c>
      <c r="U221" s="400">
        <v>0</v>
      </c>
      <c r="V221" s="400">
        <v>0</v>
      </c>
      <c r="W221" s="400">
        <v>0</v>
      </c>
      <c r="X221" s="400">
        <v>0</v>
      </c>
      <c r="Y221" s="400">
        <v>0</v>
      </c>
      <c r="Z221" s="400">
        <v>0</v>
      </c>
      <c r="AA221" s="400">
        <v>0</v>
      </c>
      <c r="AB221" s="327">
        <v>2020</v>
      </c>
      <c r="AD221" s="4" t="e">
        <v>#N/A</v>
      </c>
    </row>
    <row r="222" spans="1:30" s="4" customFormat="1" ht="35.25" customHeight="1" x14ac:dyDescent="0.5">
      <c r="A222" s="4">
        <v>1</v>
      </c>
      <c r="B222" s="171">
        <f>SUBTOTAL(103,$A$8:A222)</f>
        <v>213</v>
      </c>
      <c r="C222" s="402" t="s">
        <v>2326</v>
      </c>
      <c r="D222" s="324">
        <f t="shared" si="6"/>
        <v>192471</v>
      </c>
      <c r="E222" s="400">
        <v>0</v>
      </c>
      <c r="F222" s="400">
        <v>0</v>
      </c>
      <c r="G222" s="400">
        <v>0</v>
      </c>
      <c r="H222" s="400">
        <v>192471</v>
      </c>
      <c r="I222" s="400">
        <v>0</v>
      </c>
      <c r="J222" s="400">
        <v>0</v>
      </c>
      <c r="K222" s="326">
        <v>0</v>
      </c>
      <c r="L222" s="400">
        <v>0</v>
      </c>
      <c r="M222" s="400">
        <v>0</v>
      </c>
      <c r="N222" s="400">
        <v>0</v>
      </c>
      <c r="O222" s="400">
        <v>0</v>
      </c>
      <c r="P222" s="400">
        <v>0</v>
      </c>
      <c r="Q222" s="400">
        <v>0</v>
      </c>
      <c r="R222" s="400">
        <v>0</v>
      </c>
      <c r="S222" s="400">
        <v>0</v>
      </c>
      <c r="T222" s="400">
        <v>0</v>
      </c>
      <c r="U222" s="400">
        <v>0</v>
      </c>
      <c r="V222" s="400">
        <v>0</v>
      </c>
      <c r="W222" s="400">
        <v>0</v>
      </c>
      <c r="X222" s="400">
        <v>0</v>
      </c>
      <c r="Y222" s="400">
        <v>0</v>
      </c>
      <c r="Z222" s="400">
        <v>0</v>
      </c>
      <c r="AA222" s="400">
        <v>0</v>
      </c>
      <c r="AB222" s="327">
        <v>2020</v>
      </c>
      <c r="AD222" s="4" t="e">
        <v>#N/A</v>
      </c>
    </row>
    <row r="223" spans="1:30" s="4" customFormat="1" ht="35.25" customHeight="1" x14ac:dyDescent="0.5">
      <c r="A223" s="4">
        <v>1</v>
      </c>
      <c r="B223" s="171">
        <f>SUBTOTAL(103,$A$8:A223)</f>
        <v>214</v>
      </c>
      <c r="C223" s="402" t="s">
        <v>2327</v>
      </c>
      <c r="D223" s="324">
        <f t="shared" si="6"/>
        <v>192603</v>
      </c>
      <c r="E223" s="400">
        <v>0</v>
      </c>
      <c r="F223" s="400">
        <v>192603</v>
      </c>
      <c r="G223" s="400">
        <v>0</v>
      </c>
      <c r="H223" s="400">
        <v>0</v>
      </c>
      <c r="I223" s="400">
        <v>0</v>
      </c>
      <c r="J223" s="400">
        <v>0</v>
      </c>
      <c r="K223" s="326">
        <v>0</v>
      </c>
      <c r="L223" s="400">
        <v>0</v>
      </c>
      <c r="M223" s="400">
        <v>0</v>
      </c>
      <c r="N223" s="400">
        <v>0</v>
      </c>
      <c r="O223" s="400">
        <v>0</v>
      </c>
      <c r="P223" s="400">
        <v>0</v>
      </c>
      <c r="Q223" s="400">
        <v>0</v>
      </c>
      <c r="R223" s="400">
        <v>0</v>
      </c>
      <c r="S223" s="400">
        <v>0</v>
      </c>
      <c r="T223" s="400">
        <v>0</v>
      </c>
      <c r="U223" s="400">
        <v>0</v>
      </c>
      <c r="V223" s="400">
        <v>0</v>
      </c>
      <c r="W223" s="400">
        <v>0</v>
      </c>
      <c r="X223" s="400">
        <v>0</v>
      </c>
      <c r="Y223" s="400">
        <v>0</v>
      </c>
      <c r="Z223" s="400">
        <v>0</v>
      </c>
      <c r="AA223" s="400">
        <v>0</v>
      </c>
      <c r="AB223" s="327">
        <v>2020</v>
      </c>
      <c r="AD223" s="4" t="e">
        <v>#N/A</v>
      </c>
    </row>
    <row r="224" spans="1:30" s="4" customFormat="1" ht="35.25" customHeight="1" x14ac:dyDescent="0.5">
      <c r="A224" s="4">
        <v>1</v>
      </c>
      <c r="B224" s="171">
        <f>SUBTOTAL(103,$A$8:A224)</f>
        <v>215</v>
      </c>
      <c r="C224" s="402" t="s">
        <v>2328</v>
      </c>
      <c r="D224" s="324">
        <f t="shared" si="6"/>
        <v>1699103.6</v>
      </c>
      <c r="E224" s="400">
        <v>0</v>
      </c>
      <c r="F224" s="400">
        <v>0</v>
      </c>
      <c r="G224" s="400">
        <v>0</v>
      </c>
      <c r="H224" s="400">
        <v>0</v>
      </c>
      <c r="I224" s="400">
        <v>0</v>
      </c>
      <c r="J224" s="400">
        <v>0</v>
      </c>
      <c r="K224" s="326">
        <v>0</v>
      </c>
      <c r="L224" s="400">
        <v>0</v>
      </c>
      <c r="M224" s="400">
        <v>0</v>
      </c>
      <c r="N224" s="400">
        <v>0</v>
      </c>
      <c r="O224" s="400">
        <v>1699103.6</v>
      </c>
      <c r="P224" s="400">
        <v>0</v>
      </c>
      <c r="Q224" s="400">
        <v>0</v>
      </c>
      <c r="R224" s="400">
        <v>0</v>
      </c>
      <c r="S224" s="400">
        <v>0</v>
      </c>
      <c r="T224" s="400">
        <v>0</v>
      </c>
      <c r="U224" s="400">
        <v>0</v>
      </c>
      <c r="V224" s="400">
        <v>0</v>
      </c>
      <c r="W224" s="400">
        <v>0</v>
      </c>
      <c r="X224" s="400">
        <v>0</v>
      </c>
      <c r="Y224" s="400">
        <v>0</v>
      </c>
      <c r="Z224" s="400">
        <v>0</v>
      </c>
      <c r="AA224" s="400">
        <v>0</v>
      </c>
      <c r="AB224" s="327">
        <v>2020</v>
      </c>
      <c r="AD224" s="4" t="e">
        <v>#N/A</v>
      </c>
    </row>
    <row r="225" spans="1:30" s="4" customFormat="1" ht="35.25" customHeight="1" x14ac:dyDescent="0.5">
      <c r="A225" s="4">
        <v>1</v>
      </c>
      <c r="B225" s="171">
        <f>SUBTOTAL(103,$A$8:A225)</f>
        <v>216</v>
      </c>
      <c r="C225" s="402" t="s">
        <v>2329</v>
      </c>
      <c r="D225" s="324">
        <f t="shared" si="6"/>
        <v>1931052.7</v>
      </c>
      <c r="E225" s="400">
        <v>0</v>
      </c>
      <c r="F225" s="400">
        <v>0</v>
      </c>
      <c r="G225" s="400">
        <v>0</v>
      </c>
      <c r="H225" s="400">
        <v>0</v>
      </c>
      <c r="I225" s="400">
        <v>0</v>
      </c>
      <c r="J225" s="400">
        <v>0</v>
      </c>
      <c r="K225" s="326">
        <v>0</v>
      </c>
      <c r="L225" s="400">
        <v>0</v>
      </c>
      <c r="M225" s="400">
        <v>1449300.96</v>
      </c>
      <c r="N225" s="400">
        <v>0</v>
      </c>
      <c r="O225" s="400">
        <v>481751.74</v>
      </c>
      <c r="P225" s="400">
        <v>0</v>
      </c>
      <c r="Q225" s="400">
        <v>0</v>
      </c>
      <c r="R225" s="400">
        <v>0</v>
      </c>
      <c r="S225" s="400">
        <v>0</v>
      </c>
      <c r="T225" s="400">
        <v>0</v>
      </c>
      <c r="U225" s="400">
        <v>0</v>
      </c>
      <c r="V225" s="400">
        <v>0</v>
      </c>
      <c r="W225" s="400">
        <v>0</v>
      </c>
      <c r="X225" s="400">
        <v>0</v>
      </c>
      <c r="Y225" s="400">
        <v>0</v>
      </c>
      <c r="Z225" s="400">
        <v>0</v>
      </c>
      <c r="AA225" s="400">
        <v>0</v>
      </c>
      <c r="AB225" s="327">
        <v>2020</v>
      </c>
      <c r="AD225" s="4">
        <v>0</v>
      </c>
    </row>
    <row r="226" spans="1:30" s="4" customFormat="1" ht="35.25" customHeight="1" x14ac:dyDescent="0.5">
      <c r="A226" s="4">
        <v>1</v>
      </c>
      <c r="B226" s="171">
        <f>SUBTOTAL(103,$A$8:A226)</f>
        <v>217</v>
      </c>
      <c r="C226" s="402" t="s">
        <v>2330</v>
      </c>
      <c r="D226" s="324">
        <f t="shared" si="6"/>
        <v>342268</v>
      </c>
      <c r="E226" s="400">
        <v>0</v>
      </c>
      <c r="F226" s="400">
        <v>0</v>
      </c>
      <c r="G226" s="400">
        <v>0</v>
      </c>
      <c r="H226" s="400">
        <v>121521</v>
      </c>
      <c r="I226" s="400">
        <v>0</v>
      </c>
      <c r="J226" s="400">
        <v>0</v>
      </c>
      <c r="K226" s="326">
        <v>0</v>
      </c>
      <c r="L226" s="400">
        <v>0</v>
      </c>
      <c r="M226" s="400">
        <v>0</v>
      </c>
      <c r="N226" s="400">
        <v>0</v>
      </c>
      <c r="O226" s="400">
        <v>220747</v>
      </c>
      <c r="P226" s="400">
        <v>0</v>
      </c>
      <c r="Q226" s="400">
        <v>0</v>
      </c>
      <c r="R226" s="400">
        <v>0</v>
      </c>
      <c r="S226" s="400">
        <v>0</v>
      </c>
      <c r="T226" s="400">
        <v>0</v>
      </c>
      <c r="U226" s="400">
        <v>0</v>
      </c>
      <c r="V226" s="400">
        <v>0</v>
      </c>
      <c r="W226" s="400">
        <v>0</v>
      </c>
      <c r="X226" s="400">
        <v>0</v>
      </c>
      <c r="Y226" s="400">
        <v>0</v>
      </c>
      <c r="Z226" s="400">
        <v>0</v>
      </c>
      <c r="AA226" s="400">
        <v>0</v>
      </c>
      <c r="AB226" s="327">
        <v>2020</v>
      </c>
      <c r="AD226" s="4" t="e">
        <v>#N/A</v>
      </c>
    </row>
    <row r="227" spans="1:30" s="4" customFormat="1" ht="35.25" customHeight="1" x14ac:dyDescent="0.5">
      <c r="A227" s="4">
        <v>1</v>
      </c>
      <c r="B227" s="171">
        <f>SUBTOTAL(103,$A$8:A227)</f>
        <v>218</v>
      </c>
      <c r="C227" s="402" t="s">
        <v>2331</v>
      </c>
      <c r="D227" s="324">
        <f t="shared" si="6"/>
        <v>1164297</v>
      </c>
      <c r="E227" s="400">
        <v>0</v>
      </c>
      <c r="F227" s="400">
        <v>0</v>
      </c>
      <c r="G227" s="400">
        <v>0</v>
      </c>
      <c r="H227" s="400">
        <v>0</v>
      </c>
      <c r="I227" s="400">
        <v>0</v>
      </c>
      <c r="J227" s="400">
        <v>0</v>
      </c>
      <c r="K227" s="326">
        <v>0</v>
      </c>
      <c r="L227" s="400">
        <v>0</v>
      </c>
      <c r="M227" s="400">
        <v>1164297</v>
      </c>
      <c r="N227" s="400">
        <v>0</v>
      </c>
      <c r="O227" s="400">
        <v>0</v>
      </c>
      <c r="P227" s="400">
        <v>0</v>
      </c>
      <c r="Q227" s="400">
        <v>0</v>
      </c>
      <c r="R227" s="400">
        <v>0</v>
      </c>
      <c r="S227" s="400">
        <v>0</v>
      </c>
      <c r="T227" s="400">
        <v>0</v>
      </c>
      <c r="U227" s="400">
        <v>0</v>
      </c>
      <c r="V227" s="400">
        <v>0</v>
      </c>
      <c r="W227" s="400">
        <v>0</v>
      </c>
      <c r="X227" s="400">
        <v>0</v>
      </c>
      <c r="Y227" s="400">
        <v>0</v>
      </c>
      <c r="Z227" s="400">
        <v>0</v>
      </c>
      <c r="AA227" s="400">
        <v>0</v>
      </c>
      <c r="AB227" s="327">
        <v>2020</v>
      </c>
      <c r="AD227" s="4" t="e">
        <v>#N/A</v>
      </c>
    </row>
    <row r="228" spans="1:30" s="4" customFormat="1" ht="35.25" customHeight="1" x14ac:dyDescent="0.5">
      <c r="A228" s="4">
        <v>1</v>
      </c>
      <c r="B228" s="171">
        <f>SUBTOTAL(103,$A$8:A228)</f>
        <v>219</v>
      </c>
      <c r="C228" s="402" t="s">
        <v>2332</v>
      </c>
      <c r="D228" s="324">
        <f t="shared" si="6"/>
        <v>1111344</v>
      </c>
      <c r="E228" s="400">
        <v>0</v>
      </c>
      <c r="F228" s="400">
        <v>0</v>
      </c>
      <c r="G228" s="400">
        <v>0</v>
      </c>
      <c r="H228" s="400">
        <v>0</v>
      </c>
      <c r="I228" s="400">
        <v>0</v>
      </c>
      <c r="J228" s="400">
        <v>0</v>
      </c>
      <c r="K228" s="326">
        <v>0</v>
      </c>
      <c r="L228" s="400">
        <v>0</v>
      </c>
      <c r="M228" s="400">
        <v>0</v>
      </c>
      <c r="N228" s="400">
        <v>0</v>
      </c>
      <c r="O228" s="400">
        <v>1111344</v>
      </c>
      <c r="P228" s="400">
        <v>0</v>
      </c>
      <c r="Q228" s="400">
        <v>0</v>
      </c>
      <c r="R228" s="400">
        <v>0</v>
      </c>
      <c r="S228" s="400">
        <v>0</v>
      </c>
      <c r="T228" s="400">
        <v>0</v>
      </c>
      <c r="U228" s="400">
        <v>0</v>
      </c>
      <c r="V228" s="400">
        <v>0</v>
      </c>
      <c r="W228" s="400">
        <v>0</v>
      </c>
      <c r="X228" s="400">
        <v>0</v>
      </c>
      <c r="Y228" s="400">
        <v>0</v>
      </c>
      <c r="Z228" s="400">
        <v>0</v>
      </c>
      <c r="AA228" s="400">
        <v>0</v>
      </c>
      <c r="AB228" s="327">
        <v>2020</v>
      </c>
      <c r="AD228" s="4" t="e">
        <v>#N/A</v>
      </c>
    </row>
    <row r="229" spans="1:30" s="4" customFormat="1" ht="35.25" customHeight="1" x14ac:dyDescent="0.5">
      <c r="A229" s="4">
        <v>1</v>
      </c>
      <c r="B229" s="171">
        <f>SUBTOTAL(103,$A$8:A229)</f>
        <v>220</v>
      </c>
      <c r="C229" s="402" t="s">
        <v>2333</v>
      </c>
      <c r="D229" s="324">
        <f t="shared" si="6"/>
        <v>73067</v>
      </c>
      <c r="E229" s="400">
        <v>0</v>
      </c>
      <c r="F229" s="400">
        <v>0</v>
      </c>
      <c r="G229" s="400">
        <v>0</v>
      </c>
      <c r="H229" s="400">
        <v>0</v>
      </c>
      <c r="I229" s="400">
        <v>0</v>
      </c>
      <c r="J229" s="400">
        <v>0</v>
      </c>
      <c r="K229" s="326">
        <v>1</v>
      </c>
      <c r="L229" s="400">
        <v>73067</v>
      </c>
      <c r="M229" s="400">
        <v>0</v>
      </c>
      <c r="N229" s="400">
        <v>0</v>
      </c>
      <c r="O229" s="400">
        <v>0</v>
      </c>
      <c r="P229" s="400">
        <v>0</v>
      </c>
      <c r="Q229" s="400">
        <v>0</v>
      </c>
      <c r="R229" s="400">
        <v>0</v>
      </c>
      <c r="S229" s="400">
        <v>0</v>
      </c>
      <c r="T229" s="400">
        <v>0</v>
      </c>
      <c r="U229" s="400">
        <v>0</v>
      </c>
      <c r="V229" s="400">
        <v>0</v>
      </c>
      <c r="W229" s="400">
        <v>0</v>
      </c>
      <c r="X229" s="400">
        <v>0</v>
      </c>
      <c r="Y229" s="400">
        <v>0</v>
      </c>
      <c r="Z229" s="400">
        <v>0</v>
      </c>
      <c r="AA229" s="400">
        <v>0</v>
      </c>
      <c r="AB229" s="327">
        <v>2020</v>
      </c>
      <c r="AD229" s="4" t="e">
        <v>#N/A</v>
      </c>
    </row>
    <row r="230" spans="1:30" s="4" customFormat="1" ht="35.25" customHeight="1" x14ac:dyDescent="0.5">
      <c r="A230" s="4">
        <v>1</v>
      </c>
      <c r="B230" s="171">
        <f>SUBTOTAL(103,$A$8:A230)</f>
        <v>221</v>
      </c>
      <c r="C230" s="402" t="s">
        <v>2334</v>
      </c>
      <c r="D230" s="324">
        <f t="shared" si="6"/>
        <v>493124.1</v>
      </c>
      <c r="E230" s="400">
        <v>0</v>
      </c>
      <c r="F230" s="400">
        <v>0</v>
      </c>
      <c r="G230" s="400">
        <v>0</v>
      </c>
      <c r="H230" s="400">
        <v>0</v>
      </c>
      <c r="I230" s="400">
        <v>0</v>
      </c>
      <c r="J230" s="400">
        <v>0</v>
      </c>
      <c r="K230" s="326">
        <v>0</v>
      </c>
      <c r="L230" s="400">
        <v>0</v>
      </c>
      <c r="M230" s="400">
        <v>0</v>
      </c>
      <c r="N230" s="400">
        <v>0</v>
      </c>
      <c r="O230" s="400">
        <v>493124.1</v>
      </c>
      <c r="P230" s="400">
        <v>0</v>
      </c>
      <c r="Q230" s="400">
        <v>0</v>
      </c>
      <c r="R230" s="400">
        <v>0</v>
      </c>
      <c r="S230" s="400">
        <v>0</v>
      </c>
      <c r="T230" s="400">
        <v>0</v>
      </c>
      <c r="U230" s="400">
        <v>0</v>
      </c>
      <c r="V230" s="400">
        <v>0</v>
      </c>
      <c r="W230" s="400">
        <v>0</v>
      </c>
      <c r="X230" s="400">
        <v>0</v>
      </c>
      <c r="Y230" s="400">
        <v>0</v>
      </c>
      <c r="Z230" s="400">
        <v>0</v>
      </c>
      <c r="AA230" s="400">
        <v>0</v>
      </c>
      <c r="AB230" s="327">
        <v>2020</v>
      </c>
      <c r="AD230" s="4" t="e">
        <v>#N/A</v>
      </c>
    </row>
    <row r="231" spans="1:30" s="4" customFormat="1" ht="35.25" customHeight="1" x14ac:dyDescent="0.5">
      <c r="A231" s="4">
        <v>1</v>
      </c>
      <c r="B231" s="171">
        <f>SUBTOTAL(103,$A$8:A231)</f>
        <v>222</v>
      </c>
      <c r="C231" s="402" t="s">
        <v>2335</v>
      </c>
      <c r="D231" s="324">
        <f t="shared" si="6"/>
        <v>636988.72</v>
      </c>
      <c r="E231" s="400">
        <v>0</v>
      </c>
      <c r="F231" s="400">
        <v>0</v>
      </c>
      <c r="G231" s="400">
        <v>636988.72</v>
      </c>
      <c r="H231" s="400">
        <v>0</v>
      </c>
      <c r="I231" s="400">
        <v>0</v>
      </c>
      <c r="J231" s="400">
        <v>0</v>
      </c>
      <c r="K231" s="326">
        <v>0</v>
      </c>
      <c r="L231" s="400">
        <v>0</v>
      </c>
      <c r="M231" s="400">
        <v>0</v>
      </c>
      <c r="N231" s="400">
        <v>0</v>
      </c>
      <c r="O231" s="400">
        <v>0</v>
      </c>
      <c r="P231" s="400">
        <v>0</v>
      </c>
      <c r="Q231" s="400">
        <v>0</v>
      </c>
      <c r="R231" s="400">
        <v>0</v>
      </c>
      <c r="S231" s="400">
        <v>0</v>
      </c>
      <c r="T231" s="400">
        <v>0</v>
      </c>
      <c r="U231" s="400">
        <v>0</v>
      </c>
      <c r="V231" s="400">
        <v>0</v>
      </c>
      <c r="W231" s="400">
        <v>0</v>
      </c>
      <c r="X231" s="400">
        <v>0</v>
      </c>
      <c r="Y231" s="400">
        <v>0</v>
      </c>
      <c r="Z231" s="400">
        <v>0</v>
      </c>
      <c r="AA231" s="400">
        <v>0</v>
      </c>
      <c r="AB231" s="327">
        <v>2020</v>
      </c>
      <c r="AD231" s="4" t="e">
        <v>#N/A</v>
      </c>
    </row>
    <row r="232" spans="1:30" s="4" customFormat="1" ht="35.25" customHeight="1" x14ac:dyDescent="0.5">
      <c r="A232" s="4">
        <v>1</v>
      </c>
      <c r="B232" s="171">
        <f>SUBTOTAL(103,$A$8:A232)</f>
        <v>223</v>
      </c>
      <c r="C232" s="402" t="s">
        <v>2336</v>
      </c>
      <c r="D232" s="324">
        <f t="shared" ref="D232:D267" si="7">E232+F232+G232+H232+I232+J232+L232+M232+N232+O232+P232+Q232+R232+S232+T232+U232+V232+W232+X232+Y232+Z232+AA232</f>
        <v>663910</v>
      </c>
      <c r="E232" s="400">
        <v>0</v>
      </c>
      <c r="F232" s="400">
        <v>0</v>
      </c>
      <c r="G232" s="400">
        <v>0</v>
      </c>
      <c r="H232" s="400">
        <v>0</v>
      </c>
      <c r="I232" s="400">
        <v>650000</v>
      </c>
      <c r="J232" s="400">
        <v>0</v>
      </c>
      <c r="K232" s="326">
        <v>0</v>
      </c>
      <c r="L232" s="400">
        <v>0</v>
      </c>
      <c r="M232" s="400">
        <v>0</v>
      </c>
      <c r="N232" s="400">
        <v>0</v>
      </c>
      <c r="O232" s="400">
        <v>0</v>
      </c>
      <c r="P232" s="400">
        <v>0</v>
      </c>
      <c r="Q232" s="400">
        <v>0</v>
      </c>
      <c r="R232" s="400">
        <v>0</v>
      </c>
      <c r="S232" s="400">
        <v>0</v>
      </c>
      <c r="T232" s="400">
        <v>0</v>
      </c>
      <c r="U232" s="400">
        <v>0</v>
      </c>
      <c r="V232" s="400">
        <v>0</v>
      </c>
      <c r="W232" s="400">
        <v>0</v>
      </c>
      <c r="X232" s="400">
        <v>0</v>
      </c>
      <c r="Y232" s="400">
        <v>13910</v>
      </c>
      <c r="Z232" s="400">
        <v>0</v>
      </c>
      <c r="AA232" s="400">
        <v>0</v>
      </c>
      <c r="AB232" s="327">
        <v>2020</v>
      </c>
      <c r="AD232" s="4" t="e">
        <v>#N/A</v>
      </c>
    </row>
    <row r="233" spans="1:30" s="4" customFormat="1" ht="35.25" customHeight="1" x14ac:dyDescent="0.5">
      <c r="A233" s="4">
        <v>1</v>
      </c>
      <c r="B233" s="171">
        <f>SUBTOTAL(103,$A$8:A233)</f>
        <v>224</v>
      </c>
      <c r="C233" s="402" t="s">
        <v>2337</v>
      </c>
      <c r="D233" s="324">
        <f t="shared" si="7"/>
        <v>265705</v>
      </c>
      <c r="E233" s="400">
        <v>0</v>
      </c>
      <c r="F233" s="400">
        <v>0</v>
      </c>
      <c r="G233" s="400">
        <v>0</v>
      </c>
      <c r="H233" s="400">
        <v>0</v>
      </c>
      <c r="I233" s="400">
        <v>0</v>
      </c>
      <c r="J233" s="400">
        <v>0</v>
      </c>
      <c r="K233" s="326">
        <v>0</v>
      </c>
      <c r="L233" s="400">
        <v>0</v>
      </c>
      <c r="M233" s="400">
        <v>0</v>
      </c>
      <c r="N233" s="400">
        <v>69848</v>
      </c>
      <c r="O233" s="400">
        <v>195857</v>
      </c>
      <c r="P233" s="400">
        <v>0</v>
      </c>
      <c r="Q233" s="400">
        <v>0</v>
      </c>
      <c r="R233" s="400">
        <v>0</v>
      </c>
      <c r="S233" s="400">
        <v>0</v>
      </c>
      <c r="T233" s="400">
        <v>0</v>
      </c>
      <c r="U233" s="400">
        <v>0</v>
      </c>
      <c r="V233" s="400">
        <v>0</v>
      </c>
      <c r="W233" s="400">
        <v>0</v>
      </c>
      <c r="X233" s="400">
        <v>0</v>
      </c>
      <c r="Y233" s="400">
        <v>0</v>
      </c>
      <c r="Z233" s="400">
        <v>0</v>
      </c>
      <c r="AA233" s="400">
        <v>0</v>
      </c>
      <c r="AB233" s="327">
        <v>2020</v>
      </c>
      <c r="AD233" s="4" t="e">
        <v>#N/A</v>
      </c>
    </row>
    <row r="234" spans="1:30" s="4" customFormat="1" ht="35.25" customHeight="1" x14ac:dyDescent="0.5">
      <c r="A234" s="4">
        <v>1</v>
      </c>
      <c r="B234" s="171">
        <f>SUBTOTAL(103,$A$8:A234)</f>
        <v>225</v>
      </c>
      <c r="C234" s="402" t="s">
        <v>2338</v>
      </c>
      <c r="D234" s="324">
        <f t="shared" si="7"/>
        <v>873135</v>
      </c>
      <c r="E234" s="400">
        <v>0</v>
      </c>
      <c r="F234" s="400">
        <v>0</v>
      </c>
      <c r="G234" s="400">
        <v>0</v>
      </c>
      <c r="H234" s="400">
        <v>0</v>
      </c>
      <c r="I234" s="400">
        <v>0</v>
      </c>
      <c r="J234" s="400">
        <v>0</v>
      </c>
      <c r="K234" s="326">
        <v>0</v>
      </c>
      <c r="L234" s="400">
        <v>0</v>
      </c>
      <c r="M234" s="400">
        <v>873135</v>
      </c>
      <c r="N234" s="400">
        <v>0</v>
      </c>
      <c r="O234" s="400">
        <v>0</v>
      </c>
      <c r="P234" s="400">
        <v>0</v>
      </c>
      <c r="Q234" s="400">
        <v>0</v>
      </c>
      <c r="R234" s="400">
        <v>0</v>
      </c>
      <c r="S234" s="400">
        <v>0</v>
      </c>
      <c r="T234" s="400">
        <v>0</v>
      </c>
      <c r="U234" s="400">
        <v>0</v>
      </c>
      <c r="V234" s="400">
        <v>0</v>
      </c>
      <c r="W234" s="400">
        <v>0</v>
      </c>
      <c r="X234" s="400">
        <v>0</v>
      </c>
      <c r="Y234" s="400">
        <v>0</v>
      </c>
      <c r="Z234" s="400">
        <v>0</v>
      </c>
      <c r="AA234" s="400">
        <v>0</v>
      </c>
      <c r="AB234" s="327">
        <v>2020</v>
      </c>
      <c r="AD234" s="4" t="e">
        <v>#N/A</v>
      </c>
    </row>
    <row r="235" spans="1:30" s="4" customFormat="1" ht="35.25" customHeight="1" x14ac:dyDescent="0.5">
      <c r="A235" s="4">
        <v>1</v>
      </c>
      <c r="B235" s="171">
        <f>SUBTOTAL(103,$A$8:A235)</f>
        <v>226</v>
      </c>
      <c r="C235" s="402" t="s">
        <v>2339</v>
      </c>
      <c r="D235" s="324">
        <f t="shared" si="7"/>
        <v>1782992.2</v>
      </c>
      <c r="E235" s="400">
        <v>0</v>
      </c>
      <c r="F235" s="400">
        <v>0</v>
      </c>
      <c r="G235" s="400">
        <v>450000</v>
      </c>
      <c r="H235" s="400">
        <v>0</v>
      </c>
      <c r="I235" s="400">
        <v>0</v>
      </c>
      <c r="J235" s="400">
        <v>0</v>
      </c>
      <c r="K235" s="326">
        <v>0</v>
      </c>
      <c r="L235" s="400">
        <v>0</v>
      </c>
      <c r="M235" s="400">
        <v>0</v>
      </c>
      <c r="N235" s="400">
        <v>0</v>
      </c>
      <c r="O235" s="400">
        <v>1332992.2</v>
      </c>
      <c r="P235" s="400">
        <v>0</v>
      </c>
      <c r="Q235" s="400">
        <v>0</v>
      </c>
      <c r="R235" s="400">
        <v>0</v>
      </c>
      <c r="S235" s="400">
        <v>0</v>
      </c>
      <c r="T235" s="400">
        <v>0</v>
      </c>
      <c r="U235" s="400">
        <v>0</v>
      </c>
      <c r="V235" s="400">
        <v>0</v>
      </c>
      <c r="W235" s="400">
        <v>0</v>
      </c>
      <c r="X235" s="400">
        <v>0</v>
      </c>
      <c r="Y235" s="400">
        <v>0</v>
      </c>
      <c r="Z235" s="400">
        <v>0</v>
      </c>
      <c r="AA235" s="400">
        <v>0</v>
      </c>
      <c r="AB235" s="327">
        <v>2020</v>
      </c>
      <c r="AD235" s="4">
        <v>0</v>
      </c>
    </row>
    <row r="236" spans="1:30" s="4" customFormat="1" ht="35.25" customHeight="1" x14ac:dyDescent="0.5">
      <c r="A236" s="4">
        <v>1</v>
      </c>
      <c r="B236" s="171">
        <f>SUBTOTAL(103,$A$8:A236)</f>
        <v>227</v>
      </c>
      <c r="C236" s="402" t="s">
        <v>2340</v>
      </c>
      <c r="D236" s="324">
        <f t="shared" si="7"/>
        <v>761914.32000000007</v>
      </c>
      <c r="E236" s="400">
        <v>300000</v>
      </c>
      <c r="F236" s="400">
        <v>461914.32</v>
      </c>
      <c r="G236" s="400">
        <v>0</v>
      </c>
      <c r="H236" s="400">
        <v>0</v>
      </c>
      <c r="I236" s="400">
        <v>0</v>
      </c>
      <c r="J236" s="400">
        <v>0</v>
      </c>
      <c r="K236" s="326">
        <v>0</v>
      </c>
      <c r="L236" s="400">
        <v>0</v>
      </c>
      <c r="M236" s="400">
        <v>0</v>
      </c>
      <c r="N236" s="400">
        <v>0</v>
      </c>
      <c r="O236" s="400">
        <v>0</v>
      </c>
      <c r="P236" s="400">
        <v>0</v>
      </c>
      <c r="Q236" s="400">
        <v>0</v>
      </c>
      <c r="R236" s="400">
        <v>0</v>
      </c>
      <c r="S236" s="400">
        <v>0</v>
      </c>
      <c r="T236" s="400">
        <v>0</v>
      </c>
      <c r="U236" s="400">
        <v>0</v>
      </c>
      <c r="V236" s="400">
        <v>0</v>
      </c>
      <c r="W236" s="400">
        <v>0</v>
      </c>
      <c r="X236" s="400">
        <v>0</v>
      </c>
      <c r="Y236" s="400">
        <v>0</v>
      </c>
      <c r="Z236" s="400">
        <v>0</v>
      </c>
      <c r="AA236" s="400">
        <v>0</v>
      </c>
      <c r="AB236" s="327">
        <v>2020</v>
      </c>
      <c r="AD236" s="4" t="e">
        <v>#N/A</v>
      </c>
    </row>
    <row r="237" spans="1:30" s="4" customFormat="1" ht="35.25" customHeight="1" x14ac:dyDescent="0.5">
      <c r="A237" s="4">
        <v>1</v>
      </c>
      <c r="B237" s="171">
        <f>SUBTOTAL(103,$A$8:A237)</f>
        <v>228</v>
      </c>
      <c r="C237" s="402" t="s">
        <v>2341</v>
      </c>
      <c r="D237" s="324">
        <f t="shared" si="7"/>
        <v>3177311.76</v>
      </c>
      <c r="E237" s="400">
        <v>237230.25</v>
      </c>
      <c r="F237" s="400">
        <v>1850000</v>
      </c>
      <c r="G237" s="400">
        <v>1024754.21</v>
      </c>
      <c r="H237" s="400">
        <v>0</v>
      </c>
      <c r="I237" s="400">
        <v>65327.3</v>
      </c>
      <c r="J237" s="400">
        <v>0</v>
      </c>
      <c r="K237" s="326">
        <v>0</v>
      </c>
      <c r="L237" s="400">
        <v>0</v>
      </c>
      <c r="M237" s="400">
        <v>0</v>
      </c>
      <c r="N237" s="400">
        <v>0</v>
      </c>
      <c r="O237" s="400">
        <v>0</v>
      </c>
      <c r="P237" s="400">
        <v>0</v>
      </c>
      <c r="Q237" s="400">
        <v>0</v>
      </c>
      <c r="R237" s="400">
        <v>0</v>
      </c>
      <c r="S237" s="400">
        <v>0</v>
      </c>
      <c r="T237" s="400">
        <v>0</v>
      </c>
      <c r="U237" s="400">
        <v>0</v>
      </c>
      <c r="V237" s="400">
        <v>0</v>
      </c>
      <c r="W237" s="400">
        <v>0</v>
      </c>
      <c r="X237" s="400">
        <v>0</v>
      </c>
      <c r="Y237" s="400">
        <v>0</v>
      </c>
      <c r="Z237" s="400">
        <v>0</v>
      </c>
      <c r="AA237" s="400">
        <v>0</v>
      </c>
      <c r="AB237" s="327">
        <v>2020</v>
      </c>
      <c r="AD237" s="4" t="e">
        <v>#N/A</v>
      </c>
    </row>
    <row r="238" spans="1:30" s="4" customFormat="1" ht="35.25" customHeight="1" x14ac:dyDescent="0.5">
      <c r="A238" s="4">
        <v>1</v>
      </c>
      <c r="B238" s="171">
        <f>SUBTOTAL(103,$A$8:A238)</f>
        <v>229</v>
      </c>
      <c r="C238" s="402" t="s">
        <v>2342</v>
      </c>
      <c r="D238" s="324">
        <f t="shared" si="7"/>
        <v>1380740</v>
      </c>
      <c r="E238" s="400">
        <v>0</v>
      </c>
      <c r="F238" s="400">
        <v>0</v>
      </c>
      <c r="G238" s="400">
        <v>1380740</v>
      </c>
      <c r="H238" s="400">
        <v>0</v>
      </c>
      <c r="I238" s="400">
        <v>0</v>
      </c>
      <c r="J238" s="400">
        <v>0</v>
      </c>
      <c r="K238" s="326">
        <v>0</v>
      </c>
      <c r="L238" s="400">
        <v>0</v>
      </c>
      <c r="M238" s="400">
        <v>0</v>
      </c>
      <c r="N238" s="400">
        <v>0</v>
      </c>
      <c r="O238" s="400">
        <v>0</v>
      </c>
      <c r="P238" s="400">
        <v>0</v>
      </c>
      <c r="Q238" s="400">
        <v>0</v>
      </c>
      <c r="R238" s="400">
        <v>0</v>
      </c>
      <c r="S238" s="400">
        <v>0</v>
      </c>
      <c r="T238" s="400">
        <v>0</v>
      </c>
      <c r="U238" s="400">
        <v>0</v>
      </c>
      <c r="V238" s="400">
        <v>0</v>
      </c>
      <c r="W238" s="400">
        <v>0</v>
      </c>
      <c r="X238" s="400">
        <v>0</v>
      </c>
      <c r="Y238" s="400">
        <v>0</v>
      </c>
      <c r="Z238" s="400">
        <v>0</v>
      </c>
      <c r="AA238" s="400">
        <v>0</v>
      </c>
      <c r="AB238" s="327">
        <v>2020</v>
      </c>
      <c r="AD238" s="4" t="e">
        <v>#N/A</v>
      </c>
    </row>
    <row r="239" spans="1:30" s="4" customFormat="1" ht="35.25" customHeight="1" x14ac:dyDescent="0.5">
      <c r="A239" s="4">
        <v>1</v>
      </c>
      <c r="B239" s="171">
        <f>SUBTOTAL(103,$A$8:A239)</f>
        <v>230</v>
      </c>
      <c r="C239" s="402" t="s">
        <v>2343</v>
      </c>
      <c r="D239" s="324">
        <f t="shared" si="7"/>
        <v>513090.3</v>
      </c>
      <c r="E239" s="400">
        <v>0</v>
      </c>
      <c r="F239" s="400">
        <v>513090.3</v>
      </c>
      <c r="G239" s="400">
        <v>0</v>
      </c>
      <c r="H239" s="400">
        <v>0</v>
      </c>
      <c r="I239" s="400">
        <v>0</v>
      </c>
      <c r="J239" s="400">
        <v>0</v>
      </c>
      <c r="K239" s="326">
        <v>0</v>
      </c>
      <c r="L239" s="400">
        <v>0</v>
      </c>
      <c r="M239" s="400">
        <v>0</v>
      </c>
      <c r="N239" s="400">
        <v>0</v>
      </c>
      <c r="O239" s="400">
        <v>0</v>
      </c>
      <c r="P239" s="400">
        <v>0</v>
      </c>
      <c r="Q239" s="400">
        <v>0</v>
      </c>
      <c r="R239" s="400">
        <v>0</v>
      </c>
      <c r="S239" s="400">
        <v>0</v>
      </c>
      <c r="T239" s="400">
        <v>0</v>
      </c>
      <c r="U239" s="400">
        <v>0</v>
      </c>
      <c r="V239" s="400">
        <v>0</v>
      </c>
      <c r="W239" s="400">
        <v>0</v>
      </c>
      <c r="X239" s="400">
        <v>0</v>
      </c>
      <c r="Y239" s="400">
        <v>0</v>
      </c>
      <c r="Z239" s="400">
        <v>0</v>
      </c>
      <c r="AA239" s="400">
        <v>0</v>
      </c>
      <c r="AB239" s="327">
        <v>2020</v>
      </c>
      <c r="AD239" s="4" t="e">
        <v>#N/A</v>
      </c>
    </row>
    <row r="240" spans="1:30" s="4" customFormat="1" ht="35.25" customHeight="1" x14ac:dyDescent="0.5">
      <c r="A240" s="4">
        <v>1</v>
      </c>
      <c r="B240" s="171">
        <f>SUBTOTAL(103,$A$8:A240)</f>
        <v>231</v>
      </c>
      <c r="C240" s="402" t="s">
        <v>2344</v>
      </c>
      <c r="D240" s="324">
        <f t="shared" si="7"/>
        <v>1821751.04</v>
      </c>
      <c r="E240" s="400">
        <v>0</v>
      </c>
      <c r="F240" s="400">
        <v>0</v>
      </c>
      <c r="G240" s="400">
        <v>0</v>
      </c>
      <c r="H240" s="400">
        <v>0</v>
      </c>
      <c r="I240" s="400">
        <v>643366.04</v>
      </c>
      <c r="J240" s="400">
        <v>0</v>
      </c>
      <c r="K240" s="326">
        <v>0</v>
      </c>
      <c r="L240" s="400">
        <v>0</v>
      </c>
      <c r="M240" s="400">
        <v>0</v>
      </c>
      <c r="N240" s="400">
        <v>0</v>
      </c>
      <c r="O240" s="400">
        <v>1178385</v>
      </c>
      <c r="P240" s="400">
        <v>0</v>
      </c>
      <c r="Q240" s="400">
        <v>0</v>
      </c>
      <c r="R240" s="400">
        <v>0</v>
      </c>
      <c r="S240" s="400">
        <v>0</v>
      </c>
      <c r="T240" s="400">
        <v>0</v>
      </c>
      <c r="U240" s="400">
        <v>0</v>
      </c>
      <c r="V240" s="400">
        <v>0</v>
      </c>
      <c r="W240" s="400">
        <v>0</v>
      </c>
      <c r="X240" s="400">
        <v>0</v>
      </c>
      <c r="Y240" s="400">
        <v>0</v>
      </c>
      <c r="Z240" s="400">
        <v>0</v>
      </c>
      <c r="AA240" s="400">
        <v>0</v>
      </c>
      <c r="AB240" s="327">
        <v>2020</v>
      </c>
      <c r="AD240" s="4" t="e">
        <v>#N/A</v>
      </c>
    </row>
    <row r="241" spans="1:30" s="4" customFormat="1" ht="35.25" customHeight="1" x14ac:dyDescent="0.5">
      <c r="A241" s="4">
        <v>1</v>
      </c>
      <c r="B241" s="171">
        <f>SUBTOTAL(103,$A$8:A241)</f>
        <v>232</v>
      </c>
      <c r="C241" s="402" t="s">
        <v>2345</v>
      </c>
      <c r="D241" s="324">
        <f t="shared" si="7"/>
        <v>1885350</v>
      </c>
      <c r="E241" s="400">
        <v>0</v>
      </c>
      <c r="F241" s="400">
        <v>0</v>
      </c>
      <c r="G241" s="400">
        <v>0</v>
      </c>
      <c r="H241" s="400">
        <v>0</v>
      </c>
      <c r="I241" s="400">
        <v>0</v>
      </c>
      <c r="J241" s="400">
        <v>0</v>
      </c>
      <c r="K241" s="326">
        <v>0</v>
      </c>
      <c r="L241" s="400">
        <v>0</v>
      </c>
      <c r="M241" s="400">
        <v>1885350</v>
      </c>
      <c r="N241" s="400">
        <v>0</v>
      </c>
      <c r="O241" s="400">
        <v>0</v>
      </c>
      <c r="P241" s="400">
        <v>0</v>
      </c>
      <c r="Q241" s="400">
        <v>0</v>
      </c>
      <c r="R241" s="400">
        <v>0</v>
      </c>
      <c r="S241" s="400">
        <v>0</v>
      </c>
      <c r="T241" s="400">
        <v>0</v>
      </c>
      <c r="U241" s="400">
        <v>0</v>
      </c>
      <c r="V241" s="400">
        <v>0</v>
      </c>
      <c r="W241" s="400">
        <v>0</v>
      </c>
      <c r="X241" s="400">
        <v>0</v>
      </c>
      <c r="Y241" s="400">
        <v>0</v>
      </c>
      <c r="Z241" s="400">
        <v>0</v>
      </c>
      <c r="AA241" s="400">
        <v>0</v>
      </c>
      <c r="AB241" s="327">
        <v>2020</v>
      </c>
      <c r="AD241" s="4" t="e">
        <v>#N/A</v>
      </c>
    </row>
    <row r="242" spans="1:30" s="4" customFormat="1" ht="35.25" customHeight="1" x14ac:dyDescent="0.5">
      <c r="A242" s="4">
        <v>1</v>
      </c>
      <c r="B242" s="171">
        <f>SUBTOTAL(103,$A$8:A242)</f>
        <v>233</v>
      </c>
      <c r="C242" s="402" t="s">
        <v>2346</v>
      </c>
      <c r="D242" s="324">
        <f t="shared" si="7"/>
        <v>2377338</v>
      </c>
      <c r="E242" s="400">
        <v>0</v>
      </c>
      <c r="F242" s="400">
        <v>0</v>
      </c>
      <c r="G242" s="400">
        <v>0</v>
      </c>
      <c r="H242" s="400">
        <v>0</v>
      </c>
      <c r="I242" s="400">
        <v>0</v>
      </c>
      <c r="J242" s="400">
        <v>0</v>
      </c>
      <c r="K242" s="326">
        <v>0</v>
      </c>
      <c r="L242" s="400">
        <v>0</v>
      </c>
      <c r="M242" s="400">
        <v>2377338</v>
      </c>
      <c r="N242" s="400">
        <v>0</v>
      </c>
      <c r="O242" s="400">
        <v>0</v>
      </c>
      <c r="P242" s="400">
        <v>0</v>
      </c>
      <c r="Q242" s="400">
        <v>0</v>
      </c>
      <c r="R242" s="400">
        <v>0</v>
      </c>
      <c r="S242" s="400">
        <v>0</v>
      </c>
      <c r="T242" s="400">
        <v>0</v>
      </c>
      <c r="U242" s="400">
        <v>0</v>
      </c>
      <c r="V242" s="400">
        <v>0</v>
      </c>
      <c r="W242" s="400">
        <v>0</v>
      </c>
      <c r="X242" s="400">
        <v>0</v>
      </c>
      <c r="Y242" s="400">
        <v>0</v>
      </c>
      <c r="Z242" s="400">
        <v>0</v>
      </c>
      <c r="AA242" s="400">
        <v>0</v>
      </c>
      <c r="AB242" s="327">
        <v>2020</v>
      </c>
      <c r="AD242" s="4" t="e">
        <v>#N/A</v>
      </c>
    </row>
    <row r="243" spans="1:30" s="4" customFormat="1" ht="35.25" customHeight="1" x14ac:dyDescent="0.5">
      <c r="A243" s="4">
        <v>1</v>
      </c>
      <c r="B243" s="171">
        <f>SUBTOTAL(103,$A$8:A243)</f>
        <v>234</v>
      </c>
      <c r="C243" s="402" t="s">
        <v>2347</v>
      </c>
      <c r="D243" s="324">
        <f t="shared" si="7"/>
        <v>1858100</v>
      </c>
      <c r="E243" s="400">
        <v>0</v>
      </c>
      <c r="F243" s="400">
        <v>0</v>
      </c>
      <c r="G243" s="400">
        <v>0</v>
      </c>
      <c r="H243" s="400">
        <v>0</v>
      </c>
      <c r="I243" s="400">
        <v>0</v>
      </c>
      <c r="J243" s="400">
        <v>0</v>
      </c>
      <c r="K243" s="326">
        <v>0</v>
      </c>
      <c r="L243" s="400">
        <v>0</v>
      </c>
      <c r="M243" s="400">
        <v>1858100</v>
      </c>
      <c r="N243" s="400">
        <v>0</v>
      </c>
      <c r="O243" s="400">
        <v>0</v>
      </c>
      <c r="P243" s="400">
        <v>0</v>
      </c>
      <c r="Q243" s="400">
        <v>0</v>
      </c>
      <c r="R243" s="400">
        <v>0</v>
      </c>
      <c r="S243" s="400">
        <v>0</v>
      </c>
      <c r="T243" s="400">
        <v>0</v>
      </c>
      <c r="U243" s="400">
        <v>0</v>
      </c>
      <c r="V243" s="400">
        <v>0</v>
      </c>
      <c r="W243" s="400">
        <v>0</v>
      </c>
      <c r="X243" s="400">
        <v>0</v>
      </c>
      <c r="Y243" s="400">
        <v>0</v>
      </c>
      <c r="Z243" s="400">
        <v>0</v>
      </c>
      <c r="AA243" s="400">
        <v>0</v>
      </c>
      <c r="AB243" s="327">
        <v>2020</v>
      </c>
      <c r="AD243" s="4" t="e">
        <v>#N/A</v>
      </c>
    </row>
    <row r="244" spans="1:30" s="4" customFormat="1" ht="35.25" customHeight="1" x14ac:dyDescent="0.5">
      <c r="A244" s="4">
        <v>1</v>
      </c>
      <c r="B244" s="171">
        <f>SUBTOTAL(103,$A$8:A244)</f>
        <v>235</v>
      </c>
      <c r="C244" s="402" t="s">
        <v>2348</v>
      </c>
      <c r="D244" s="324">
        <f t="shared" si="7"/>
        <v>296650.3</v>
      </c>
      <c r="E244" s="400">
        <v>0</v>
      </c>
      <c r="F244" s="400">
        <v>0</v>
      </c>
      <c r="G244" s="400">
        <v>0</v>
      </c>
      <c r="H244" s="400">
        <v>0</v>
      </c>
      <c r="I244" s="400">
        <v>0</v>
      </c>
      <c r="J244" s="400">
        <v>0</v>
      </c>
      <c r="K244" s="326">
        <v>0</v>
      </c>
      <c r="L244" s="400">
        <v>0</v>
      </c>
      <c r="M244" s="400">
        <v>0</v>
      </c>
      <c r="N244" s="400">
        <v>0</v>
      </c>
      <c r="O244" s="400">
        <v>296650.3</v>
      </c>
      <c r="P244" s="400">
        <v>0</v>
      </c>
      <c r="Q244" s="400">
        <v>0</v>
      </c>
      <c r="R244" s="400">
        <v>0</v>
      </c>
      <c r="S244" s="400">
        <v>0</v>
      </c>
      <c r="T244" s="400">
        <v>0</v>
      </c>
      <c r="U244" s="400">
        <v>0</v>
      </c>
      <c r="V244" s="400">
        <v>0</v>
      </c>
      <c r="W244" s="400">
        <v>0</v>
      </c>
      <c r="X244" s="400">
        <v>0</v>
      </c>
      <c r="Y244" s="400">
        <v>0</v>
      </c>
      <c r="Z244" s="400">
        <v>0</v>
      </c>
      <c r="AA244" s="400">
        <v>0</v>
      </c>
      <c r="AB244" s="327">
        <v>2020</v>
      </c>
      <c r="AD244" s="4" t="e">
        <v>#N/A</v>
      </c>
    </row>
    <row r="245" spans="1:30" s="4" customFormat="1" ht="35.25" customHeight="1" x14ac:dyDescent="0.5">
      <c r="A245" s="4">
        <v>1</v>
      </c>
      <c r="B245" s="171">
        <f>SUBTOTAL(103,$A$8:A245)</f>
        <v>236</v>
      </c>
      <c r="C245" s="402" t="s">
        <v>2349</v>
      </c>
      <c r="D245" s="324">
        <f t="shared" si="7"/>
        <v>487005</v>
      </c>
      <c r="E245" s="400">
        <v>0</v>
      </c>
      <c r="F245" s="400">
        <v>0</v>
      </c>
      <c r="G245" s="400">
        <v>0</v>
      </c>
      <c r="H245" s="400">
        <v>487005</v>
      </c>
      <c r="I245" s="400">
        <v>0</v>
      </c>
      <c r="J245" s="400">
        <v>0</v>
      </c>
      <c r="K245" s="326">
        <v>0</v>
      </c>
      <c r="L245" s="400">
        <v>0</v>
      </c>
      <c r="M245" s="400">
        <v>0</v>
      </c>
      <c r="N245" s="400">
        <v>0</v>
      </c>
      <c r="O245" s="400">
        <v>0</v>
      </c>
      <c r="P245" s="400">
        <v>0</v>
      </c>
      <c r="Q245" s="400">
        <v>0</v>
      </c>
      <c r="R245" s="400">
        <v>0</v>
      </c>
      <c r="S245" s="400">
        <v>0</v>
      </c>
      <c r="T245" s="400">
        <v>0</v>
      </c>
      <c r="U245" s="400">
        <v>0</v>
      </c>
      <c r="V245" s="400">
        <v>0</v>
      </c>
      <c r="W245" s="400">
        <v>0</v>
      </c>
      <c r="X245" s="400">
        <v>0</v>
      </c>
      <c r="Y245" s="400">
        <v>0</v>
      </c>
      <c r="Z245" s="400">
        <v>0</v>
      </c>
      <c r="AA245" s="400">
        <v>0</v>
      </c>
      <c r="AB245" s="327">
        <v>2020</v>
      </c>
      <c r="AD245" s="4" t="e">
        <v>#N/A</v>
      </c>
    </row>
    <row r="246" spans="1:30" s="4" customFormat="1" ht="35.25" customHeight="1" x14ac:dyDescent="0.5">
      <c r="A246" s="4">
        <v>1</v>
      </c>
      <c r="B246" s="171">
        <f>SUBTOTAL(103,$A$8:A246)</f>
        <v>237</v>
      </c>
      <c r="C246" s="402" t="s">
        <v>2350</v>
      </c>
      <c r="D246" s="324">
        <f t="shared" si="7"/>
        <v>397000</v>
      </c>
      <c r="E246" s="400">
        <v>0</v>
      </c>
      <c r="F246" s="400">
        <v>397000</v>
      </c>
      <c r="G246" s="400">
        <v>0</v>
      </c>
      <c r="H246" s="400">
        <v>0</v>
      </c>
      <c r="I246" s="400">
        <v>0</v>
      </c>
      <c r="J246" s="400">
        <v>0</v>
      </c>
      <c r="K246" s="326">
        <v>0</v>
      </c>
      <c r="L246" s="400">
        <v>0</v>
      </c>
      <c r="M246" s="400">
        <v>0</v>
      </c>
      <c r="N246" s="400">
        <v>0</v>
      </c>
      <c r="O246" s="400">
        <v>0</v>
      </c>
      <c r="P246" s="400">
        <v>0</v>
      </c>
      <c r="Q246" s="400">
        <v>0</v>
      </c>
      <c r="R246" s="400">
        <v>0</v>
      </c>
      <c r="S246" s="400">
        <v>0</v>
      </c>
      <c r="T246" s="400">
        <v>0</v>
      </c>
      <c r="U246" s="400">
        <v>0</v>
      </c>
      <c r="V246" s="400">
        <v>0</v>
      </c>
      <c r="W246" s="400">
        <v>0</v>
      </c>
      <c r="X246" s="400">
        <v>0</v>
      </c>
      <c r="Y246" s="400">
        <v>0</v>
      </c>
      <c r="Z246" s="400">
        <v>0</v>
      </c>
      <c r="AA246" s="400">
        <v>0</v>
      </c>
      <c r="AB246" s="327">
        <v>2020</v>
      </c>
      <c r="AD246" s="4" t="e">
        <v>#N/A</v>
      </c>
    </row>
    <row r="247" spans="1:30" s="4" customFormat="1" ht="35.25" customHeight="1" x14ac:dyDescent="0.5">
      <c r="A247" s="4">
        <v>1</v>
      </c>
      <c r="B247" s="171">
        <f>SUBTOTAL(103,$A$8:A247)</f>
        <v>238</v>
      </c>
      <c r="C247" s="402" t="s">
        <v>2351</v>
      </c>
      <c r="D247" s="324">
        <f t="shared" si="7"/>
        <v>311046</v>
      </c>
      <c r="E247" s="400">
        <v>0</v>
      </c>
      <c r="F247" s="400">
        <v>0</v>
      </c>
      <c r="G247" s="400">
        <v>0</v>
      </c>
      <c r="H247" s="400">
        <v>0</v>
      </c>
      <c r="I247" s="400">
        <v>0</v>
      </c>
      <c r="J247" s="400">
        <v>0</v>
      </c>
      <c r="K247" s="326">
        <v>0</v>
      </c>
      <c r="L247" s="400">
        <v>0</v>
      </c>
      <c r="M247" s="400">
        <v>0</v>
      </c>
      <c r="N247" s="400">
        <v>0</v>
      </c>
      <c r="O247" s="400">
        <v>311046</v>
      </c>
      <c r="P247" s="400">
        <v>0</v>
      </c>
      <c r="Q247" s="400">
        <v>0</v>
      </c>
      <c r="R247" s="400">
        <v>0</v>
      </c>
      <c r="S247" s="400">
        <v>0</v>
      </c>
      <c r="T247" s="400">
        <v>0</v>
      </c>
      <c r="U247" s="400">
        <v>0</v>
      </c>
      <c r="V247" s="400">
        <v>0</v>
      </c>
      <c r="W247" s="400">
        <v>0</v>
      </c>
      <c r="X247" s="400">
        <v>0</v>
      </c>
      <c r="Y247" s="400">
        <v>0</v>
      </c>
      <c r="Z247" s="400">
        <v>0</v>
      </c>
      <c r="AA247" s="400">
        <v>0</v>
      </c>
      <c r="AB247" s="327">
        <v>2020</v>
      </c>
      <c r="AD247" s="4" t="e">
        <v>#N/A</v>
      </c>
    </row>
    <row r="248" spans="1:30" s="4" customFormat="1" ht="35.25" customHeight="1" x14ac:dyDescent="0.5">
      <c r="A248" s="4">
        <v>1</v>
      </c>
      <c r="B248" s="171">
        <f>SUBTOTAL(103,$A$8:A248)</f>
        <v>239</v>
      </c>
      <c r="C248" s="402" t="s">
        <v>2352</v>
      </c>
      <c r="D248" s="324">
        <f t="shared" si="7"/>
        <v>1196427.08</v>
      </c>
      <c r="E248" s="400">
        <v>200000</v>
      </c>
      <c r="F248" s="400">
        <v>296352.34999999998</v>
      </c>
      <c r="G248" s="400">
        <v>0</v>
      </c>
      <c r="H248" s="400">
        <v>61507.85</v>
      </c>
      <c r="I248" s="400">
        <v>0</v>
      </c>
      <c r="J248" s="400">
        <v>0</v>
      </c>
      <c r="K248" s="326">
        <v>0</v>
      </c>
      <c r="L248" s="400">
        <v>0</v>
      </c>
      <c r="M248" s="400">
        <v>0</v>
      </c>
      <c r="N248" s="400">
        <v>0</v>
      </c>
      <c r="O248" s="400">
        <v>638566.88</v>
      </c>
      <c r="P248" s="400">
        <v>0</v>
      </c>
      <c r="Q248" s="400">
        <v>0</v>
      </c>
      <c r="R248" s="400">
        <v>0</v>
      </c>
      <c r="S248" s="400">
        <v>0</v>
      </c>
      <c r="T248" s="400">
        <v>0</v>
      </c>
      <c r="U248" s="400">
        <v>0</v>
      </c>
      <c r="V248" s="400">
        <v>0</v>
      </c>
      <c r="W248" s="400">
        <v>0</v>
      </c>
      <c r="X248" s="400">
        <v>0</v>
      </c>
      <c r="Y248" s="400">
        <v>0</v>
      </c>
      <c r="Z248" s="400">
        <v>0</v>
      </c>
      <c r="AA248" s="400">
        <v>0</v>
      </c>
      <c r="AB248" s="327">
        <v>2020</v>
      </c>
      <c r="AD248" s="4" t="e">
        <v>#N/A</v>
      </c>
    </row>
    <row r="249" spans="1:30" s="4" customFormat="1" ht="35.25" customHeight="1" x14ac:dyDescent="0.5">
      <c r="A249" s="4">
        <v>1</v>
      </c>
      <c r="B249" s="171">
        <f>SUBTOTAL(103,$A$8:A249)</f>
        <v>240</v>
      </c>
      <c r="C249" s="402" t="s">
        <v>2482</v>
      </c>
      <c r="D249" s="324">
        <f t="shared" si="7"/>
        <v>1585441</v>
      </c>
      <c r="E249" s="400">
        <v>554251</v>
      </c>
      <c r="F249" s="400">
        <v>0</v>
      </c>
      <c r="G249" s="400">
        <v>0</v>
      </c>
      <c r="H249" s="400">
        <v>467603</v>
      </c>
      <c r="I249" s="400">
        <v>0</v>
      </c>
      <c r="J249" s="400">
        <v>0</v>
      </c>
      <c r="K249" s="326">
        <v>0</v>
      </c>
      <c r="L249" s="400">
        <v>0</v>
      </c>
      <c r="M249" s="400">
        <v>0</v>
      </c>
      <c r="N249" s="400">
        <v>0</v>
      </c>
      <c r="O249" s="400">
        <v>563587</v>
      </c>
      <c r="P249" s="400">
        <v>0</v>
      </c>
      <c r="Q249" s="400">
        <v>0</v>
      </c>
      <c r="R249" s="400">
        <v>0</v>
      </c>
      <c r="S249" s="400">
        <v>0</v>
      </c>
      <c r="T249" s="400">
        <v>0</v>
      </c>
      <c r="U249" s="400">
        <v>0</v>
      </c>
      <c r="V249" s="400">
        <v>0</v>
      </c>
      <c r="W249" s="400">
        <v>0</v>
      </c>
      <c r="X249" s="400">
        <v>0</v>
      </c>
      <c r="Y249" s="400">
        <v>0</v>
      </c>
      <c r="Z249" s="400">
        <v>0</v>
      </c>
      <c r="AA249" s="400">
        <v>0</v>
      </c>
      <c r="AB249" s="327">
        <v>2020</v>
      </c>
      <c r="AD249" s="4">
        <v>0</v>
      </c>
    </row>
    <row r="250" spans="1:30" s="4" customFormat="1" ht="35.25" customHeight="1" x14ac:dyDescent="0.5">
      <c r="A250" s="4">
        <v>1</v>
      </c>
      <c r="B250" s="171">
        <f>SUBTOTAL(103,$A$8:A250)</f>
        <v>241</v>
      </c>
      <c r="C250" s="402" t="s">
        <v>2483</v>
      </c>
      <c r="D250" s="324">
        <f t="shared" si="7"/>
        <v>855181.06</v>
      </c>
      <c r="E250" s="400">
        <v>100000</v>
      </c>
      <c r="F250" s="400">
        <v>150095.54999999999</v>
      </c>
      <c r="G250" s="400">
        <v>0</v>
      </c>
      <c r="H250" s="400">
        <v>0</v>
      </c>
      <c r="I250" s="400">
        <v>605085.51</v>
      </c>
      <c r="J250" s="400">
        <v>0</v>
      </c>
      <c r="K250" s="326">
        <v>0</v>
      </c>
      <c r="L250" s="400">
        <v>0</v>
      </c>
      <c r="M250" s="400">
        <v>0</v>
      </c>
      <c r="N250" s="400">
        <v>0</v>
      </c>
      <c r="O250" s="400">
        <v>0</v>
      </c>
      <c r="P250" s="400">
        <v>0</v>
      </c>
      <c r="Q250" s="400">
        <v>0</v>
      </c>
      <c r="R250" s="400">
        <v>0</v>
      </c>
      <c r="S250" s="400">
        <v>0</v>
      </c>
      <c r="T250" s="400">
        <v>0</v>
      </c>
      <c r="U250" s="400">
        <v>0</v>
      </c>
      <c r="V250" s="400">
        <v>0</v>
      </c>
      <c r="W250" s="400">
        <v>0</v>
      </c>
      <c r="X250" s="400">
        <v>0</v>
      </c>
      <c r="Y250" s="400">
        <v>0</v>
      </c>
      <c r="Z250" s="400">
        <v>0</v>
      </c>
      <c r="AA250" s="400">
        <v>0</v>
      </c>
      <c r="AB250" s="327">
        <v>2020</v>
      </c>
      <c r="AD250" s="4">
        <v>0</v>
      </c>
    </row>
    <row r="251" spans="1:30" s="4" customFormat="1" ht="35.25" customHeight="1" x14ac:dyDescent="0.5">
      <c r="A251" s="4">
        <v>1</v>
      </c>
      <c r="B251" s="171">
        <f>SUBTOTAL(103,$A$8:A251)</f>
        <v>242</v>
      </c>
      <c r="C251" s="402" t="s">
        <v>2484</v>
      </c>
      <c r="D251" s="324">
        <f t="shared" si="7"/>
        <v>2047666.8599999999</v>
      </c>
      <c r="E251" s="400">
        <v>0</v>
      </c>
      <c r="F251" s="400">
        <v>380940.18</v>
      </c>
      <c r="G251" s="400">
        <v>1666726.68</v>
      </c>
      <c r="H251" s="400">
        <v>0</v>
      </c>
      <c r="I251" s="400">
        <v>0</v>
      </c>
      <c r="J251" s="400">
        <v>0</v>
      </c>
      <c r="K251" s="326">
        <v>0</v>
      </c>
      <c r="L251" s="400">
        <v>0</v>
      </c>
      <c r="M251" s="400">
        <v>0</v>
      </c>
      <c r="N251" s="400">
        <v>0</v>
      </c>
      <c r="O251" s="400">
        <v>0</v>
      </c>
      <c r="P251" s="400">
        <v>0</v>
      </c>
      <c r="Q251" s="400">
        <v>0</v>
      </c>
      <c r="R251" s="400">
        <v>0</v>
      </c>
      <c r="S251" s="400">
        <v>0</v>
      </c>
      <c r="T251" s="400">
        <v>0</v>
      </c>
      <c r="U251" s="400">
        <v>0</v>
      </c>
      <c r="V251" s="400">
        <v>0</v>
      </c>
      <c r="W251" s="400">
        <v>0</v>
      </c>
      <c r="X251" s="400">
        <v>0</v>
      </c>
      <c r="Y251" s="400">
        <v>0</v>
      </c>
      <c r="Z251" s="400">
        <v>0</v>
      </c>
      <c r="AA251" s="400">
        <v>0</v>
      </c>
      <c r="AB251" s="327">
        <v>2020</v>
      </c>
      <c r="AD251" s="4">
        <v>0</v>
      </c>
    </row>
    <row r="252" spans="1:30" s="4" customFormat="1" ht="35.25" customHeight="1" x14ac:dyDescent="0.5">
      <c r="A252" s="4">
        <v>1</v>
      </c>
      <c r="B252" s="171">
        <f>SUBTOTAL(103,$A$8:A252)</f>
        <v>243</v>
      </c>
      <c r="C252" s="402" t="s">
        <v>2485</v>
      </c>
      <c r="D252" s="324">
        <f t="shared" si="7"/>
        <v>980000</v>
      </c>
      <c r="E252" s="400">
        <v>0</v>
      </c>
      <c r="F252" s="400">
        <v>0</v>
      </c>
      <c r="G252" s="400">
        <v>980000</v>
      </c>
      <c r="H252" s="400">
        <v>0</v>
      </c>
      <c r="I252" s="400">
        <v>0</v>
      </c>
      <c r="J252" s="400">
        <v>0</v>
      </c>
      <c r="K252" s="326">
        <v>0</v>
      </c>
      <c r="L252" s="400">
        <v>0</v>
      </c>
      <c r="M252" s="400">
        <v>0</v>
      </c>
      <c r="N252" s="400">
        <v>0</v>
      </c>
      <c r="O252" s="400">
        <v>0</v>
      </c>
      <c r="P252" s="400">
        <v>0</v>
      </c>
      <c r="Q252" s="400">
        <v>0</v>
      </c>
      <c r="R252" s="400">
        <v>0</v>
      </c>
      <c r="S252" s="400">
        <v>0</v>
      </c>
      <c r="T252" s="400">
        <v>0</v>
      </c>
      <c r="U252" s="400">
        <v>0</v>
      </c>
      <c r="V252" s="400">
        <v>0</v>
      </c>
      <c r="W252" s="400">
        <v>0</v>
      </c>
      <c r="X252" s="400">
        <v>0</v>
      </c>
      <c r="Y252" s="400">
        <v>0</v>
      </c>
      <c r="Z252" s="400">
        <v>0</v>
      </c>
      <c r="AA252" s="400">
        <v>0</v>
      </c>
      <c r="AB252" s="327">
        <v>2020</v>
      </c>
      <c r="AD252" s="4">
        <v>0</v>
      </c>
    </row>
    <row r="253" spans="1:30" s="4" customFormat="1" ht="35.25" customHeight="1" x14ac:dyDescent="0.5">
      <c r="A253" s="4">
        <v>1</v>
      </c>
      <c r="B253" s="171">
        <f>SUBTOTAL(103,$A$8:A253)</f>
        <v>244</v>
      </c>
      <c r="C253" s="402" t="s">
        <v>2486</v>
      </c>
      <c r="D253" s="324">
        <f t="shared" si="7"/>
        <v>425926</v>
      </c>
      <c r="E253" s="400">
        <v>0</v>
      </c>
      <c r="F253" s="400">
        <v>0</v>
      </c>
      <c r="G253" s="400">
        <v>425926</v>
      </c>
      <c r="H253" s="400">
        <v>0</v>
      </c>
      <c r="I253" s="400">
        <v>0</v>
      </c>
      <c r="J253" s="400">
        <v>0</v>
      </c>
      <c r="K253" s="326">
        <v>0</v>
      </c>
      <c r="L253" s="400">
        <v>0</v>
      </c>
      <c r="M253" s="400">
        <v>0</v>
      </c>
      <c r="N253" s="400">
        <v>0</v>
      </c>
      <c r="O253" s="400">
        <v>0</v>
      </c>
      <c r="P253" s="400">
        <v>0</v>
      </c>
      <c r="Q253" s="400">
        <v>0</v>
      </c>
      <c r="R253" s="400">
        <v>0</v>
      </c>
      <c r="S253" s="400">
        <v>0</v>
      </c>
      <c r="T253" s="400">
        <v>0</v>
      </c>
      <c r="U253" s="400">
        <v>0</v>
      </c>
      <c r="V253" s="400">
        <v>0</v>
      </c>
      <c r="W253" s="400">
        <v>0</v>
      </c>
      <c r="X253" s="400">
        <v>0</v>
      </c>
      <c r="Y253" s="400">
        <v>0</v>
      </c>
      <c r="Z253" s="400">
        <v>0</v>
      </c>
      <c r="AA253" s="400">
        <v>0</v>
      </c>
      <c r="AB253" s="327">
        <v>2020</v>
      </c>
      <c r="AD253" s="4">
        <v>0</v>
      </c>
    </row>
    <row r="254" spans="1:30" s="4" customFormat="1" ht="35.25" customHeight="1" x14ac:dyDescent="0.5">
      <c r="A254" s="4">
        <v>1</v>
      </c>
      <c r="B254" s="171">
        <f>SUBTOTAL(103,$A$8:A254)</f>
        <v>245</v>
      </c>
      <c r="C254" s="402" t="s">
        <v>2487</v>
      </c>
      <c r="D254" s="324">
        <f t="shared" si="7"/>
        <v>149350.29999999999</v>
      </c>
      <c r="E254" s="400">
        <v>0</v>
      </c>
      <c r="F254" s="400">
        <v>0</v>
      </c>
      <c r="G254" s="400">
        <v>0</v>
      </c>
      <c r="H254" s="400">
        <v>149350.29999999999</v>
      </c>
      <c r="I254" s="400">
        <v>0</v>
      </c>
      <c r="J254" s="400">
        <v>0</v>
      </c>
      <c r="K254" s="326">
        <v>0</v>
      </c>
      <c r="L254" s="400">
        <v>0</v>
      </c>
      <c r="M254" s="400">
        <v>0</v>
      </c>
      <c r="N254" s="400">
        <v>0</v>
      </c>
      <c r="O254" s="400">
        <v>0</v>
      </c>
      <c r="P254" s="400">
        <v>0</v>
      </c>
      <c r="Q254" s="400">
        <v>0</v>
      </c>
      <c r="R254" s="400">
        <v>0</v>
      </c>
      <c r="S254" s="400">
        <v>0</v>
      </c>
      <c r="T254" s="400">
        <v>0</v>
      </c>
      <c r="U254" s="400">
        <v>0</v>
      </c>
      <c r="V254" s="400">
        <v>0</v>
      </c>
      <c r="W254" s="400">
        <v>0</v>
      </c>
      <c r="X254" s="400">
        <v>0</v>
      </c>
      <c r="Y254" s="400">
        <v>0</v>
      </c>
      <c r="Z254" s="400">
        <v>0</v>
      </c>
      <c r="AA254" s="400">
        <v>0</v>
      </c>
      <c r="AB254" s="327">
        <v>2020</v>
      </c>
      <c r="AD254" s="4">
        <v>0</v>
      </c>
    </row>
    <row r="255" spans="1:30" s="4" customFormat="1" ht="35.25" customHeight="1" x14ac:dyDescent="0.5">
      <c r="A255" s="4">
        <v>1</v>
      </c>
      <c r="B255" s="171">
        <f>SUBTOTAL(103,$A$8:A255)</f>
        <v>246</v>
      </c>
      <c r="C255" s="402" t="s">
        <v>2488</v>
      </c>
      <c r="D255" s="324">
        <f t="shared" si="7"/>
        <v>450000</v>
      </c>
      <c r="E255" s="400">
        <v>0</v>
      </c>
      <c r="F255" s="400">
        <v>0</v>
      </c>
      <c r="G255" s="400">
        <v>0</v>
      </c>
      <c r="H255" s="400">
        <v>0</v>
      </c>
      <c r="I255" s="400">
        <v>0</v>
      </c>
      <c r="J255" s="400">
        <v>0</v>
      </c>
      <c r="K255" s="326">
        <v>0</v>
      </c>
      <c r="L255" s="400">
        <v>0</v>
      </c>
      <c r="M255" s="400">
        <v>450000</v>
      </c>
      <c r="N255" s="400">
        <v>0</v>
      </c>
      <c r="O255" s="400">
        <v>0</v>
      </c>
      <c r="P255" s="400">
        <v>0</v>
      </c>
      <c r="Q255" s="400">
        <v>0</v>
      </c>
      <c r="R255" s="400">
        <v>0</v>
      </c>
      <c r="S255" s="400">
        <v>0</v>
      </c>
      <c r="T255" s="400">
        <v>0</v>
      </c>
      <c r="U255" s="400">
        <v>0</v>
      </c>
      <c r="V255" s="400">
        <v>0</v>
      </c>
      <c r="W255" s="400">
        <v>0</v>
      </c>
      <c r="X255" s="400">
        <v>0</v>
      </c>
      <c r="Y255" s="400">
        <v>0</v>
      </c>
      <c r="Z255" s="400">
        <v>0</v>
      </c>
      <c r="AA255" s="400">
        <v>0</v>
      </c>
      <c r="AB255" s="327">
        <v>2020</v>
      </c>
      <c r="AD255" s="4">
        <v>0</v>
      </c>
    </row>
    <row r="256" spans="1:30" s="4" customFormat="1" ht="35.25" customHeight="1" x14ac:dyDescent="0.5">
      <c r="A256" s="4">
        <v>1</v>
      </c>
      <c r="B256" s="171">
        <f>SUBTOTAL(103,$A$8:A256)</f>
        <v>247</v>
      </c>
      <c r="C256" s="402" t="s">
        <v>2489</v>
      </c>
      <c r="D256" s="324">
        <f t="shared" si="7"/>
        <v>1075923</v>
      </c>
      <c r="E256" s="400">
        <v>0</v>
      </c>
      <c r="F256" s="400">
        <v>0</v>
      </c>
      <c r="G256" s="400">
        <v>0</v>
      </c>
      <c r="H256" s="400">
        <v>0</v>
      </c>
      <c r="I256" s="400">
        <v>0</v>
      </c>
      <c r="J256" s="400">
        <v>0</v>
      </c>
      <c r="K256" s="326">
        <v>0</v>
      </c>
      <c r="L256" s="400">
        <v>0</v>
      </c>
      <c r="M256" s="400">
        <v>1075923</v>
      </c>
      <c r="N256" s="400">
        <v>0</v>
      </c>
      <c r="O256" s="400">
        <v>0</v>
      </c>
      <c r="P256" s="400">
        <v>0</v>
      </c>
      <c r="Q256" s="400">
        <v>0</v>
      </c>
      <c r="R256" s="400">
        <v>0</v>
      </c>
      <c r="S256" s="400">
        <v>0</v>
      </c>
      <c r="T256" s="400">
        <v>0</v>
      </c>
      <c r="U256" s="400">
        <v>0</v>
      </c>
      <c r="V256" s="400">
        <v>0</v>
      </c>
      <c r="W256" s="400">
        <v>0</v>
      </c>
      <c r="X256" s="400">
        <v>0</v>
      </c>
      <c r="Y256" s="400">
        <v>0</v>
      </c>
      <c r="Z256" s="400">
        <v>0</v>
      </c>
      <c r="AA256" s="400">
        <v>0</v>
      </c>
      <c r="AB256" s="327">
        <v>2020</v>
      </c>
      <c r="AD256" s="4">
        <v>0</v>
      </c>
    </row>
    <row r="257" spans="1:30" s="4" customFormat="1" ht="35.25" customHeight="1" x14ac:dyDescent="0.5">
      <c r="A257" s="4">
        <v>1</v>
      </c>
      <c r="B257" s="171">
        <f>SUBTOTAL(103,$A$8:A257)</f>
        <v>248</v>
      </c>
      <c r="C257" s="402" t="s">
        <v>2490</v>
      </c>
      <c r="D257" s="324">
        <f t="shared" si="7"/>
        <v>2961445</v>
      </c>
      <c r="E257" s="400">
        <v>0</v>
      </c>
      <c r="F257" s="400">
        <v>0</v>
      </c>
      <c r="G257" s="400">
        <v>0</v>
      </c>
      <c r="H257" s="400">
        <v>0</v>
      </c>
      <c r="I257" s="400">
        <v>0</v>
      </c>
      <c r="J257" s="400">
        <v>0</v>
      </c>
      <c r="K257" s="326">
        <v>0</v>
      </c>
      <c r="L257" s="400">
        <v>0</v>
      </c>
      <c r="M257" s="400">
        <v>2961445</v>
      </c>
      <c r="N257" s="400">
        <v>0</v>
      </c>
      <c r="O257" s="400">
        <v>0</v>
      </c>
      <c r="P257" s="400">
        <v>0</v>
      </c>
      <c r="Q257" s="400">
        <v>0</v>
      </c>
      <c r="R257" s="400">
        <v>0</v>
      </c>
      <c r="S257" s="400">
        <v>0</v>
      </c>
      <c r="T257" s="400">
        <v>0</v>
      </c>
      <c r="U257" s="400">
        <v>0</v>
      </c>
      <c r="V257" s="400">
        <v>0</v>
      </c>
      <c r="W257" s="400">
        <v>0</v>
      </c>
      <c r="X257" s="400">
        <v>0</v>
      </c>
      <c r="Y257" s="400">
        <v>0</v>
      </c>
      <c r="Z257" s="400">
        <v>0</v>
      </c>
      <c r="AA257" s="400">
        <v>0</v>
      </c>
      <c r="AB257" s="327">
        <v>2020</v>
      </c>
      <c r="AD257" s="4">
        <v>0</v>
      </c>
    </row>
    <row r="258" spans="1:30" s="4" customFormat="1" ht="35.25" customHeight="1" x14ac:dyDescent="0.5">
      <c r="A258" s="4">
        <v>1</v>
      </c>
      <c r="B258" s="171">
        <f>SUBTOTAL(103,$A$8:A258)</f>
        <v>249</v>
      </c>
      <c r="C258" s="402" t="s">
        <v>2491</v>
      </c>
      <c r="D258" s="324">
        <f t="shared" si="7"/>
        <v>1343555</v>
      </c>
      <c r="E258" s="400">
        <v>0</v>
      </c>
      <c r="F258" s="400">
        <v>0</v>
      </c>
      <c r="G258" s="400">
        <v>0</v>
      </c>
      <c r="H258" s="400">
        <v>0</v>
      </c>
      <c r="I258" s="400">
        <v>0</v>
      </c>
      <c r="J258" s="400">
        <v>0</v>
      </c>
      <c r="K258" s="326">
        <v>0</v>
      </c>
      <c r="L258" s="400">
        <v>0</v>
      </c>
      <c r="M258" s="400">
        <v>1343555</v>
      </c>
      <c r="N258" s="400">
        <v>0</v>
      </c>
      <c r="O258" s="400">
        <v>0</v>
      </c>
      <c r="P258" s="400">
        <v>0</v>
      </c>
      <c r="Q258" s="400">
        <v>0</v>
      </c>
      <c r="R258" s="400">
        <v>0</v>
      </c>
      <c r="S258" s="400">
        <v>0</v>
      </c>
      <c r="T258" s="400">
        <v>0</v>
      </c>
      <c r="U258" s="400">
        <v>0</v>
      </c>
      <c r="V258" s="400">
        <v>0</v>
      </c>
      <c r="W258" s="400">
        <v>0</v>
      </c>
      <c r="X258" s="400">
        <v>0</v>
      </c>
      <c r="Y258" s="400">
        <v>0</v>
      </c>
      <c r="Z258" s="400">
        <v>0</v>
      </c>
      <c r="AA258" s="400">
        <v>0</v>
      </c>
      <c r="AB258" s="327">
        <v>2020</v>
      </c>
      <c r="AD258" s="4">
        <v>0</v>
      </c>
    </row>
    <row r="259" spans="1:30" s="4" customFormat="1" ht="35.25" customHeight="1" x14ac:dyDescent="0.5">
      <c r="A259" s="4">
        <v>1</v>
      </c>
      <c r="B259" s="171">
        <f>SUBTOTAL(103,$A$8:A259)</f>
        <v>250</v>
      </c>
      <c r="C259" s="402" t="s">
        <v>2492</v>
      </c>
      <c r="D259" s="324">
        <f t="shared" si="7"/>
        <v>346790.11</v>
      </c>
      <c r="E259" s="400">
        <v>0</v>
      </c>
      <c r="F259" s="400">
        <v>0</v>
      </c>
      <c r="G259" s="400">
        <v>0</v>
      </c>
      <c r="H259" s="400">
        <v>0</v>
      </c>
      <c r="I259" s="400">
        <v>0</v>
      </c>
      <c r="J259" s="400">
        <v>0</v>
      </c>
      <c r="K259" s="326">
        <v>0</v>
      </c>
      <c r="L259" s="400">
        <v>0</v>
      </c>
      <c r="M259" s="400">
        <v>346790.11</v>
      </c>
      <c r="N259" s="400">
        <v>0</v>
      </c>
      <c r="O259" s="400">
        <v>0</v>
      </c>
      <c r="P259" s="400">
        <v>0</v>
      </c>
      <c r="Q259" s="400">
        <v>0</v>
      </c>
      <c r="R259" s="400">
        <v>0</v>
      </c>
      <c r="S259" s="400">
        <v>0</v>
      </c>
      <c r="T259" s="400">
        <v>0</v>
      </c>
      <c r="U259" s="400">
        <v>0</v>
      </c>
      <c r="V259" s="400">
        <v>0</v>
      </c>
      <c r="W259" s="400">
        <v>0</v>
      </c>
      <c r="X259" s="400">
        <v>0</v>
      </c>
      <c r="Y259" s="400">
        <v>0</v>
      </c>
      <c r="Z259" s="400">
        <v>0</v>
      </c>
      <c r="AA259" s="400">
        <v>0</v>
      </c>
      <c r="AB259" s="327">
        <v>2020</v>
      </c>
      <c r="AD259" s="4">
        <v>0</v>
      </c>
    </row>
    <row r="260" spans="1:30" s="4" customFormat="1" ht="35.25" customHeight="1" x14ac:dyDescent="0.5">
      <c r="A260" s="4">
        <v>1</v>
      </c>
      <c r="B260" s="171">
        <f>SUBTOTAL(103,$A$8:A260)</f>
        <v>251</v>
      </c>
      <c r="C260" s="402" t="s">
        <v>2493</v>
      </c>
      <c r="D260" s="324">
        <f t="shared" si="7"/>
        <v>643122.06999999995</v>
      </c>
      <c r="E260" s="400">
        <v>0</v>
      </c>
      <c r="F260" s="400">
        <v>0</v>
      </c>
      <c r="G260" s="400">
        <v>0</v>
      </c>
      <c r="H260" s="400">
        <v>0</v>
      </c>
      <c r="I260" s="400">
        <v>0</v>
      </c>
      <c r="J260" s="400">
        <v>0</v>
      </c>
      <c r="K260" s="326">
        <v>0</v>
      </c>
      <c r="L260" s="400">
        <v>0</v>
      </c>
      <c r="M260" s="400">
        <v>643122.06999999995</v>
      </c>
      <c r="N260" s="400">
        <v>0</v>
      </c>
      <c r="O260" s="400">
        <v>0</v>
      </c>
      <c r="P260" s="400">
        <v>0</v>
      </c>
      <c r="Q260" s="400">
        <v>0</v>
      </c>
      <c r="R260" s="400">
        <v>0</v>
      </c>
      <c r="S260" s="400">
        <v>0</v>
      </c>
      <c r="T260" s="400">
        <v>0</v>
      </c>
      <c r="U260" s="400">
        <v>0</v>
      </c>
      <c r="V260" s="400">
        <v>0</v>
      </c>
      <c r="W260" s="400">
        <v>0</v>
      </c>
      <c r="X260" s="400">
        <v>0</v>
      </c>
      <c r="Y260" s="400">
        <v>0</v>
      </c>
      <c r="Z260" s="400">
        <v>0</v>
      </c>
      <c r="AA260" s="400">
        <v>0</v>
      </c>
      <c r="AB260" s="327">
        <v>2020</v>
      </c>
      <c r="AD260" s="4">
        <v>0</v>
      </c>
    </row>
    <row r="261" spans="1:30" s="4" customFormat="1" ht="35.25" customHeight="1" x14ac:dyDescent="0.5">
      <c r="A261" s="4">
        <v>1</v>
      </c>
      <c r="B261" s="171">
        <f>SUBTOTAL(103,$A$8:A261)</f>
        <v>252</v>
      </c>
      <c r="C261" s="402" t="s">
        <v>2494</v>
      </c>
      <c r="D261" s="324">
        <f t="shared" si="7"/>
        <v>1757469.85</v>
      </c>
      <c r="E261" s="400">
        <v>0</v>
      </c>
      <c r="F261" s="400">
        <v>0</v>
      </c>
      <c r="G261" s="400">
        <v>0</v>
      </c>
      <c r="H261" s="400">
        <v>0</v>
      </c>
      <c r="I261" s="400">
        <v>0</v>
      </c>
      <c r="J261" s="400">
        <v>0</v>
      </c>
      <c r="K261" s="326">
        <v>0</v>
      </c>
      <c r="L261" s="400">
        <v>0</v>
      </c>
      <c r="M261" s="400">
        <v>1757469.85</v>
      </c>
      <c r="N261" s="400">
        <v>0</v>
      </c>
      <c r="O261" s="400">
        <v>0</v>
      </c>
      <c r="P261" s="400">
        <v>0</v>
      </c>
      <c r="Q261" s="400">
        <v>0</v>
      </c>
      <c r="R261" s="400">
        <v>0</v>
      </c>
      <c r="S261" s="400">
        <v>0</v>
      </c>
      <c r="T261" s="400">
        <v>0</v>
      </c>
      <c r="U261" s="400">
        <v>0</v>
      </c>
      <c r="V261" s="400">
        <v>0</v>
      </c>
      <c r="W261" s="400">
        <v>0</v>
      </c>
      <c r="X261" s="400">
        <v>0</v>
      </c>
      <c r="Y261" s="400">
        <v>0</v>
      </c>
      <c r="Z261" s="400">
        <v>0</v>
      </c>
      <c r="AA261" s="400">
        <v>0</v>
      </c>
      <c r="AB261" s="327">
        <v>2020</v>
      </c>
      <c r="AD261" s="4">
        <v>0</v>
      </c>
    </row>
    <row r="262" spans="1:30" s="4" customFormat="1" ht="35.25" customHeight="1" x14ac:dyDescent="0.5">
      <c r="A262" s="4">
        <v>1</v>
      </c>
      <c r="B262" s="171">
        <f>SUBTOTAL(103,$A$8:A262)</f>
        <v>253</v>
      </c>
      <c r="C262" s="402" t="s">
        <v>2495</v>
      </c>
      <c r="D262" s="324">
        <f t="shared" si="7"/>
        <v>594797.81000000006</v>
      </c>
      <c r="E262" s="400">
        <v>0</v>
      </c>
      <c r="F262" s="400">
        <v>0</v>
      </c>
      <c r="G262" s="400">
        <v>0</v>
      </c>
      <c r="H262" s="400">
        <v>0</v>
      </c>
      <c r="I262" s="400">
        <v>0</v>
      </c>
      <c r="J262" s="400">
        <v>0</v>
      </c>
      <c r="K262" s="326">
        <v>0</v>
      </c>
      <c r="L262" s="400">
        <v>0</v>
      </c>
      <c r="M262" s="400">
        <v>594797.81000000006</v>
      </c>
      <c r="N262" s="400">
        <v>0</v>
      </c>
      <c r="O262" s="400">
        <v>0</v>
      </c>
      <c r="P262" s="400">
        <v>0</v>
      </c>
      <c r="Q262" s="400">
        <v>0</v>
      </c>
      <c r="R262" s="400">
        <v>0</v>
      </c>
      <c r="S262" s="400">
        <v>0</v>
      </c>
      <c r="T262" s="400">
        <v>0</v>
      </c>
      <c r="U262" s="400">
        <v>0</v>
      </c>
      <c r="V262" s="400">
        <v>0</v>
      </c>
      <c r="W262" s="400">
        <v>0</v>
      </c>
      <c r="X262" s="400">
        <v>0</v>
      </c>
      <c r="Y262" s="400">
        <v>0</v>
      </c>
      <c r="Z262" s="400">
        <v>0</v>
      </c>
      <c r="AA262" s="400">
        <v>0</v>
      </c>
      <c r="AB262" s="327">
        <v>2020</v>
      </c>
      <c r="AD262" s="4">
        <v>0</v>
      </c>
    </row>
    <row r="263" spans="1:30" s="4" customFormat="1" ht="35.25" customHeight="1" x14ac:dyDescent="0.5">
      <c r="A263" s="4">
        <v>1</v>
      </c>
      <c r="B263" s="171">
        <f>SUBTOTAL(103,$A$8:A263)</f>
        <v>254</v>
      </c>
      <c r="C263" s="402" t="s">
        <v>2496</v>
      </c>
      <c r="D263" s="324">
        <f t="shared" si="7"/>
        <v>2675878</v>
      </c>
      <c r="E263" s="400">
        <v>0</v>
      </c>
      <c r="F263" s="400">
        <v>0</v>
      </c>
      <c r="G263" s="400">
        <v>0</v>
      </c>
      <c r="H263" s="400">
        <v>0</v>
      </c>
      <c r="I263" s="400">
        <v>0</v>
      </c>
      <c r="J263" s="400">
        <v>0</v>
      </c>
      <c r="K263" s="326">
        <v>0</v>
      </c>
      <c r="L263" s="400">
        <v>0</v>
      </c>
      <c r="M263" s="400">
        <v>2675878</v>
      </c>
      <c r="N263" s="400">
        <v>0</v>
      </c>
      <c r="O263" s="400">
        <v>0</v>
      </c>
      <c r="P263" s="400">
        <v>0</v>
      </c>
      <c r="Q263" s="400">
        <v>0</v>
      </c>
      <c r="R263" s="400">
        <v>0</v>
      </c>
      <c r="S263" s="400">
        <v>0</v>
      </c>
      <c r="T263" s="400">
        <v>0</v>
      </c>
      <c r="U263" s="400">
        <v>0</v>
      </c>
      <c r="V263" s="400">
        <v>0</v>
      </c>
      <c r="W263" s="400">
        <v>0</v>
      </c>
      <c r="X263" s="400">
        <v>0</v>
      </c>
      <c r="Y263" s="400">
        <v>0</v>
      </c>
      <c r="Z263" s="400">
        <v>0</v>
      </c>
      <c r="AA263" s="400">
        <v>0</v>
      </c>
      <c r="AB263" s="327">
        <v>2020</v>
      </c>
      <c r="AD263" s="4">
        <v>0</v>
      </c>
    </row>
    <row r="264" spans="1:30" s="4" customFormat="1" ht="35.25" customHeight="1" x14ac:dyDescent="0.5">
      <c r="A264" s="4">
        <v>1</v>
      </c>
      <c r="B264" s="171">
        <f>SUBTOTAL(103,$A$8:A264)</f>
        <v>255</v>
      </c>
      <c r="C264" s="402" t="s">
        <v>2497</v>
      </c>
      <c r="D264" s="324">
        <f t="shared" si="7"/>
        <v>650000</v>
      </c>
      <c r="E264" s="400">
        <v>0</v>
      </c>
      <c r="F264" s="400">
        <v>0</v>
      </c>
      <c r="G264" s="400">
        <v>0</v>
      </c>
      <c r="H264" s="400">
        <v>0</v>
      </c>
      <c r="I264" s="400">
        <v>0</v>
      </c>
      <c r="J264" s="400">
        <v>0</v>
      </c>
      <c r="K264" s="326">
        <v>0</v>
      </c>
      <c r="L264" s="400">
        <v>0</v>
      </c>
      <c r="M264" s="400">
        <v>0</v>
      </c>
      <c r="N264" s="400">
        <v>0</v>
      </c>
      <c r="O264" s="400">
        <v>650000</v>
      </c>
      <c r="P264" s="400">
        <v>0</v>
      </c>
      <c r="Q264" s="400">
        <v>0</v>
      </c>
      <c r="R264" s="400">
        <v>0</v>
      </c>
      <c r="S264" s="400">
        <v>0</v>
      </c>
      <c r="T264" s="400">
        <v>0</v>
      </c>
      <c r="U264" s="400">
        <v>0</v>
      </c>
      <c r="V264" s="400">
        <v>0</v>
      </c>
      <c r="W264" s="400">
        <v>0</v>
      </c>
      <c r="X264" s="400">
        <v>0</v>
      </c>
      <c r="Y264" s="400">
        <v>0</v>
      </c>
      <c r="Z264" s="400">
        <v>0</v>
      </c>
      <c r="AA264" s="400">
        <v>0</v>
      </c>
      <c r="AB264" s="327">
        <v>2020</v>
      </c>
      <c r="AD264" s="4">
        <v>0</v>
      </c>
    </row>
    <row r="265" spans="1:30" s="4" customFormat="1" ht="35.25" customHeight="1" x14ac:dyDescent="0.5">
      <c r="A265" s="4">
        <v>1</v>
      </c>
      <c r="B265" s="171">
        <f>SUBTOTAL(103,$A$8:A265)</f>
        <v>256</v>
      </c>
      <c r="C265" s="402" t="s">
        <v>2498</v>
      </c>
      <c r="D265" s="324">
        <f t="shared" si="7"/>
        <v>2089000</v>
      </c>
      <c r="E265" s="400">
        <v>0</v>
      </c>
      <c r="F265" s="400">
        <v>0</v>
      </c>
      <c r="G265" s="400">
        <v>0</v>
      </c>
      <c r="H265" s="400">
        <v>0</v>
      </c>
      <c r="I265" s="400">
        <v>0</v>
      </c>
      <c r="J265" s="400">
        <v>0</v>
      </c>
      <c r="K265" s="326">
        <v>0</v>
      </c>
      <c r="L265" s="400">
        <v>0</v>
      </c>
      <c r="M265" s="400">
        <v>0</v>
      </c>
      <c r="N265" s="400">
        <v>0</v>
      </c>
      <c r="O265" s="400">
        <v>2089000</v>
      </c>
      <c r="P265" s="400">
        <v>0</v>
      </c>
      <c r="Q265" s="400">
        <v>0</v>
      </c>
      <c r="R265" s="400">
        <v>0</v>
      </c>
      <c r="S265" s="400">
        <v>0</v>
      </c>
      <c r="T265" s="400">
        <v>0</v>
      </c>
      <c r="U265" s="400">
        <v>0</v>
      </c>
      <c r="V265" s="400">
        <v>0</v>
      </c>
      <c r="W265" s="400">
        <v>0</v>
      </c>
      <c r="X265" s="400">
        <v>0</v>
      </c>
      <c r="Y265" s="400">
        <v>0</v>
      </c>
      <c r="Z265" s="400">
        <v>0</v>
      </c>
      <c r="AA265" s="400">
        <v>0</v>
      </c>
      <c r="AB265" s="327">
        <v>2020</v>
      </c>
      <c r="AD265" s="4">
        <v>0</v>
      </c>
    </row>
    <row r="266" spans="1:30" s="4" customFormat="1" ht="35.25" customHeight="1" x14ac:dyDescent="0.5">
      <c r="A266" s="4">
        <v>1</v>
      </c>
      <c r="B266" s="171">
        <f>SUBTOTAL(103,$A$8:A266)</f>
        <v>257</v>
      </c>
      <c r="C266" s="402" t="s">
        <v>2499</v>
      </c>
      <c r="D266" s="324">
        <f t="shared" si="7"/>
        <v>346530.56</v>
      </c>
      <c r="E266" s="400">
        <v>0</v>
      </c>
      <c r="F266" s="400">
        <v>0</v>
      </c>
      <c r="G266" s="400">
        <v>0</v>
      </c>
      <c r="H266" s="400">
        <v>0</v>
      </c>
      <c r="I266" s="400">
        <v>0</v>
      </c>
      <c r="J266" s="400">
        <v>0</v>
      </c>
      <c r="K266" s="326">
        <v>0</v>
      </c>
      <c r="L266" s="400">
        <v>0</v>
      </c>
      <c r="M266" s="400">
        <v>0</v>
      </c>
      <c r="N266" s="400">
        <v>0</v>
      </c>
      <c r="O266" s="400">
        <v>346530.56</v>
      </c>
      <c r="P266" s="400">
        <v>0</v>
      </c>
      <c r="Q266" s="400">
        <v>0</v>
      </c>
      <c r="R266" s="400">
        <v>0</v>
      </c>
      <c r="S266" s="400">
        <v>0</v>
      </c>
      <c r="T266" s="400">
        <v>0</v>
      </c>
      <c r="U266" s="400">
        <v>0</v>
      </c>
      <c r="V266" s="400">
        <v>0</v>
      </c>
      <c r="W266" s="400">
        <v>0</v>
      </c>
      <c r="X266" s="400">
        <v>0</v>
      </c>
      <c r="Y266" s="400">
        <v>0</v>
      </c>
      <c r="Z266" s="400">
        <v>0</v>
      </c>
      <c r="AA266" s="400">
        <v>0</v>
      </c>
      <c r="AB266" s="327">
        <v>2020</v>
      </c>
      <c r="AD266" s="4">
        <v>0</v>
      </c>
    </row>
    <row r="267" spans="1:30" s="4" customFormat="1" ht="35.25" customHeight="1" x14ac:dyDescent="0.5">
      <c r="A267" s="4">
        <v>1</v>
      </c>
      <c r="B267" s="171">
        <f>SUBTOTAL(103,$A$8:A267)</f>
        <v>258</v>
      </c>
      <c r="C267" s="402" t="s">
        <v>2353</v>
      </c>
      <c r="D267" s="324">
        <f t="shared" si="7"/>
        <v>1800000</v>
      </c>
      <c r="E267" s="400">
        <v>0</v>
      </c>
      <c r="F267" s="400">
        <v>0</v>
      </c>
      <c r="G267" s="400">
        <v>0</v>
      </c>
      <c r="H267" s="400">
        <v>0</v>
      </c>
      <c r="I267" s="400">
        <v>0</v>
      </c>
      <c r="J267" s="400">
        <v>0</v>
      </c>
      <c r="K267" s="326">
        <v>1</v>
      </c>
      <c r="L267" s="400">
        <v>1800000</v>
      </c>
      <c r="M267" s="400">
        <v>0</v>
      </c>
      <c r="N267" s="400">
        <v>0</v>
      </c>
      <c r="O267" s="400">
        <v>0</v>
      </c>
      <c r="P267" s="400">
        <v>0</v>
      </c>
      <c r="Q267" s="400">
        <v>0</v>
      </c>
      <c r="R267" s="400">
        <v>0</v>
      </c>
      <c r="S267" s="400">
        <v>0</v>
      </c>
      <c r="T267" s="400">
        <v>0</v>
      </c>
      <c r="U267" s="400">
        <v>0</v>
      </c>
      <c r="V267" s="400">
        <v>0</v>
      </c>
      <c r="W267" s="400">
        <v>0</v>
      </c>
      <c r="X267" s="400">
        <v>0</v>
      </c>
      <c r="Y267" s="400">
        <v>0</v>
      </c>
      <c r="Z267" s="400">
        <v>0</v>
      </c>
      <c r="AA267" s="400">
        <v>0</v>
      </c>
      <c r="AB267" s="327">
        <v>2020</v>
      </c>
      <c r="AD267" s="4" t="e">
        <v>#N/A</v>
      </c>
    </row>
    <row r="268" spans="1:30" s="4" customFormat="1" ht="35.25" customHeight="1" x14ac:dyDescent="0.5">
      <c r="B268" s="398" t="s">
        <v>807</v>
      </c>
      <c r="C268" s="323"/>
      <c r="D268" s="324">
        <f>SUM(D269:D291)</f>
        <v>20568339.299999997</v>
      </c>
      <c r="E268" s="324">
        <f t="shared" ref="E268:AA268" si="8">SUM(E269:E291)</f>
        <v>467041.56000000006</v>
      </c>
      <c r="F268" s="324">
        <f t="shared" si="8"/>
        <v>0</v>
      </c>
      <c r="G268" s="324">
        <f t="shared" si="8"/>
        <v>805999</v>
      </c>
      <c r="H268" s="324">
        <f t="shared" si="8"/>
        <v>208577.90999999997</v>
      </c>
      <c r="I268" s="324">
        <f t="shared" si="8"/>
        <v>0</v>
      </c>
      <c r="J268" s="324">
        <f t="shared" si="8"/>
        <v>0</v>
      </c>
      <c r="K268" s="326">
        <f t="shared" si="8"/>
        <v>1</v>
      </c>
      <c r="L268" s="324">
        <f t="shared" si="8"/>
        <v>1080000</v>
      </c>
      <c r="M268" s="324">
        <f t="shared" si="8"/>
        <v>13841853.529999999</v>
      </c>
      <c r="N268" s="324">
        <f t="shared" si="8"/>
        <v>0</v>
      </c>
      <c r="O268" s="324">
        <f t="shared" si="8"/>
        <v>2228017.2999999998</v>
      </c>
      <c r="P268" s="324">
        <f t="shared" si="8"/>
        <v>1936850</v>
      </c>
      <c r="Q268" s="324">
        <f t="shared" si="8"/>
        <v>0</v>
      </c>
      <c r="R268" s="324">
        <f t="shared" si="8"/>
        <v>0</v>
      </c>
      <c r="S268" s="324">
        <f t="shared" si="8"/>
        <v>0</v>
      </c>
      <c r="T268" s="324">
        <f t="shared" si="8"/>
        <v>0</v>
      </c>
      <c r="U268" s="324">
        <f t="shared" si="8"/>
        <v>0</v>
      </c>
      <c r="V268" s="324">
        <f t="shared" si="8"/>
        <v>0</v>
      </c>
      <c r="W268" s="324">
        <f t="shared" si="8"/>
        <v>0</v>
      </c>
      <c r="X268" s="324">
        <f t="shared" si="8"/>
        <v>0</v>
      </c>
      <c r="Y268" s="324">
        <f t="shared" si="8"/>
        <v>0</v>
      </c>
      <c r="Z268" s="324">
        <f t="shared" si="8"/>
        <v>0</v>
      </c>
      <c r="AA268" s="324">
        <f t="shared" si="8"/>
        <v>0</v>
      </c>
      <c r="AB268" s="396" t="s">
        <v>882</v>
      </c>
    </row>
    <row r="269" spans="1:30" s="4" customFormat="1" ht="35.25" customHeight="1" x14ac:dyDescent="0.5">
      <c r="A269" s="4">
        <v>1</v>
      </c>
      <c r="B269" s="171">
        <f>SUBTOTAL(103,$A$8:A269)</f>
        <v>259</v>
      </c>
      <c r="C269" s="323" t="s">
        <v>2042</v>
      </c>
      <c r="D269" s="324">
        <f t="shared" ref="D269:D291" si="9">E269+F269+G269+H269+I269+J269+L269+M269+N269+O269+P269+Q269+R269+S269+T269+U269+V269+W269+X269+Y269+Z269+AA269</f>
        <v>2640608</v>
      </c>
      <c r="E269" s="325">
        <v>0</v>
      </c>
      <c r="F269" s="325">
        <v>0</v>
      </c>
      <c r="G269" s="325">
        <v>0</v>
      </c>
      <c r="H269" s="325">
        <v>0</v>
      </c>
      <c r="I269" s="325">
        <v>0</v>
      </c>
      <c r="J269" s="325">
        <v>0</v>
      </c>
      <c r="K269" s="326">
        <v>0</v>
      </c>
      <c r="L269" s="325">
        <v>0</v>
      </c>
      <c r="M269" s="325">
        <v>2640608</v>
      </c>
      <c r="N269" s="325">
        <v>0</v>
      </c>
      <c r="O269" s="325">
        <v>0</v>
      </c>
      <c r="P269" s="325">
        <v>0</v>
      </c>
      <c r="Q269" s="325">
        <v>0</v>
      </c>
      <c r="R269" s="325">
        <v>0</v>
      </c>
      <c r="S269" s="325">
        <v>0</v>
      </c>
      <c r="T269" s="325">
        <v>0</v>
      </c>
      <c r="U269" s="325">
        <v>0</v>
      </c>
      <c r="V269" s="325">
        <v>0</v>
      </c>
      <c r="W269" s="325">
        <v>0</v>
      </c>
      <c r="X269" s="325">
        <v>0</v>
      </c>
      <c r="Y269" s="325">
        <v>0</v>
      </c>
      <c r="Z269" s="325">
        <v>0</v>
      </c>
      <c r="AA269" s="325">
        <v>0</v>
      </c>
      <c r="AB269" s="327">
        <v>2020</v>
      </c>
      <c r="AD269" s="4">
        <v>0</v>
      </c>
    </row>
    <row r="270" spans="1:30" s="4" customFormat="1" ht="35.25" customHeight="1" x14ac:dyDescent="0.5">
      <c r="A270" s="4">
        <v>1</v>
      </c>
      <c r="B270" s="171">
        <f>SUBTOTAL(103,$A$8:A270)</f>
        <v>260</v>
      </c>
      <c r="C270" s="323" t="s">
        <v>2043</v>
      </c>
      <c r="D270" s="324">
        <f t="shared" si="9"/>
        <v>1098000</v>
      </c>
      <c r="E270" s="325">
        <v>0</v>
      </c>
      <c r="F270" s="325">
        <v>0</v>
      </c>
      <c r="G270" s="325">
        <v>0</v>
      </c>
      <c r="H270" s="325">
        <v>0</v>
      </c>
      <c r="I270" s="325">
        <v>0</v>
      </c>
      <c r="J270" s="325">
        <v>0</v>
      </c>
      <c r="K270" s="326">
        <v>0</v>
      </c>
      <c r="L270" s="325">
        <v>0</v>
      </c>
      <c r="M270" s="325">
        <f>1098000</f>
        <v>1098000</v>
      </c>
      <c r="N270" s="325">
        <v>0</v>
      </c>
      <c r="O270" s="325">
        <v>0</v>
      </c>
      <c r="P270" s="325">
        <v>0</v>
      </c>
      <c r="Q270" s="325">
        <v>0</v>
      </c>
      <c r="R270" s="325">
        <v>0</v>
      </c>
      <c r="S270" s="325">
        <v>0</v>
      </c>
      <c r="T270" s="325">
        <v>0</v>
      </c>
      <c r="U270" s="325">
        <v>0</v>
      </c>
      <c r="V270" s="325">
        <v>0</v>
      </c>
      <c r="W270" s="325">
        <v>0</v>
      </c>
      <c r="X270" s="325">
        <v>0</v>
      </c>
      <c r="Y270" s="325">
        <v>0</v>
      </c>
      <c r="Z270" s="325">
        <v>0</v>
      </c>
      <c r="AA270" s="325">
        <v>0</v>
      </c>
      <c r="AB270" s="327">
        <v>2020</v>
      </c>
      <c r="AD270" s="4" t="e">
        <v>#N/A</v>
      </c>
    </row>
    <row r="271" spans="1:30" s="4" customFormat="1" ht="35.25" customHeight="1" x14ac:dyDescent="0.5">
      <c r="A271" s="4">
        <v>1</v>
      </c>
      <c r="B271" s="171">
        <f>SUBTOTAL(103,$A$8:A271)</f>
        <v>261</v>
      </c>
      <c r="C271" s="323" t="s">
        <v>2044</v>
      </c>
      <c r="D271" s="324">
        <f t="shared" si="9"/>
        <v>300000</v>
      </c>
      <c r="E271" s="325">
        <v>0</v>
      </c>
      <c r="F271" s="325">
        <v>0</v>
      </c>
      <c r="G271" s="325">
        <v>0</v>
      </c>
      <c r="H271" s="325">
        <v>0</v>
      </c>
      <c r="I271" s="325">
        <v>0</v>
      </c>
      <c r="J271" s="325">
        <v>0</v>
      </c>
      <c r="K271" s="326">
        <v>0</v>
      </c>
      <c r="L271" s="325">
        <v>0</v>
      </c>
      <c r="M271" s="325">
        <f>200000+100000</f>
        <v>300000</v>
      </c>
      <c r="N271" s="325">
        <v>0</v>
      </c>
      <c r="O271" s="325">
        <v>0</v>
      </c>
      <c r="P271" s="325">
        <v>0</v>
      </c>
      <c r="Q271" s="325">
        <v>0</v>
      </c>
      <c r="R271" s="325">
        <v>0</v>
      </c>
      <c r="S271" s="325">
        <v>0</v>
      </c>
      <c r="T271" s="325">
        <v>0</v>
      </c>
      <c r="U271" s="325">
        <v>0</v>
      </c>
      <c r="V271" s="325">
        <v>0</v>
      </c>
      <c r="W271" s="325">
        <v>0</v>
      </c>
      <c r="X271" s="325">
        <v>0</v>
      </c>
      <c r="Y271" s="325">
        <v>0</v>
      </c>
      <c r="Z271" s="325">
        <v>0</v>
      </c>
      <c r="AA271" s="325">
        <v>0</v>
      </c>
      <c r="AB271" s="327">
        <v>2020</v>
      </c>
      <c r="AD271" s="4">
        <v>0</v>
      </c>
    </row>
    <row r="272" spans="1:30" s="4" customFormat="1" ht="35.25" customHeight="1" x14ac:dyDescent="0.5">
      <c r="A272" s="4">
        <v>1</v>
      </c>
      <c r="B272" s="171">
        <f>SUBTOTAL(103,$A$8:A272)</f>
        <v>262</v>
      </c>
      <c r="C272" s="323" t="s">
        <v>2045</v>
      </c>
      <c r="D272" s="324">
        <f t="shared" si="9"/>
        <v>204559.94</v>
      </c>
      <c r="E272" s="325">
        <v>0</v>
      </c>
      <c r="F272" s="325">
        <v>0</v>
      </c>
      <c r="G272" s="325">
        <v>0</v>
      </c>
      <c r="H272" s="325">
        <v>0</v>
      </c>
      <c r="I272" s="325">
        <v>0</v>
      </c>
      <c r="J272" s="325">
        <v>0</v>
      </c>
      <c r="K272" s="326">
        <v>0</v>
      </c>
      <c r="L272" s="325">
        <v>0</v>
      </c>
      <c r="M272" s="325">
        <v>0</v>
      </c>
      <c r="N272" s="325">
        <v>0</v>
      </c>
      <c r="O272" s="325">
        <v>204559.94</v>
      </c>
      <c r="P272" s="325">
        <v>0</v>
      </c>
      <c r="Q272" s="325">
        <v>0</v>
      </c>
      <c r="R272" s="325">
        <v>0</v>
      </c>
      <c r="S272" s="325">
        <v>0</v>
      </c>
      <c r="T272" s="325">
        <v>0</v>
      </c>
      <c r="U272" s="325">
        <v>0</v>
      </c>
      <c r="V272" s="325">
        <v>0</v>
      </c>
      <c r="W272" s="325">
        <v>0</v>
      </c>
      <c r="X272" s="325">
        <v>0</v>
      </c>
      <c r="Y272" s="325">
        <v>0</v>
      </c>
      <c r="Z272" s="325">
        <v>0</v>
      </c>
      <c r="AA272" s="325">
        <v>0</v>
      </c>
      <c r="AB272" s="327">
        <v>2020</v>
      </c>
      <c r="AD272" s="4">
        <v>0</v>
      </c>
    </row>
    <row r="273" spans="1:30" s="4" customFormat="1" ht="35.25" customHeight="1" x14ac:dyDescent="0.5">
      <c r="A273" s="4">
        <v>1</v>
      </c>
      <c r="B273" s="171">
        <f>SUBTOTAL(103,$A$8:A273)</f>
        <v>263</v>
      </c>
      <c r="C273" s="323" t="s">
        <v>2046</v>
      </c>
      <c r="D273" s="324">
        <f t="shared" si="9"/>
        <v>1400026</v>
      </c>
      <c r="E273" s="325">
        <v>0</v>
      </c>
      <c r="F273" s="325">
        <v>0</v>
      </c>
      <c r="G273" s="325">
        <v>0</v>
      </c>
      <c r="H273" s="325">
        <v>0</v>
      </c>
      <c r="I273" s="325">
        <v>0</v>
      </c>
      <c r="J273" s="325">
        <v>0</v>
      </c>
      <c r="K273" s="326">
        <v>0</v>
      </c>
      <c r="L273" s="325">
        <v>0</v>
      </c>
      <c r="M273" s="325">
        <v>1400026</v>
      </c>
      <c r="N273" s="325">
        <v>0</v>
      </c>
      <c r="O273" s="325">
        <v>0</v>
      </c>
      <c r="P273" s="325">
        <v>0</v>
      </c>
      <c r="Q273" s="325">
        <v>0</v>
      </c>
      <c r="R273" s="325">
        <v>0</v>
      </c>
      <c r="S273" s="325">
        <v>0</v>
      </c>
      <c r="T273" s="325">
        <v>0</v>
      </c>
      <c r="U273" s="325">
        <v>0</v>
      </c>
      <c r="V273" s="325">
        <v>0</v>
      </c>
      <c r="W273" s="325">
        <v>0</v>
      </c>
      <c r="X273" s="325">
        <v>0</v>
      </c>
      <c r="Y273" s="325">
        <v>0</v>
      </c>
      <c r="Z273" s="325">
        <v>0</v>
      </c>
      <c r="AA273" s="325">
        <v>0</v>
      </c>
      <c r="AB273" s="327">
        <v>2020</v>
      </c>
      <c r="AD273" s="4" t="e">
        <v>#N/A</v>
      </c>
    </row>
    <row r="274" spans="1:30" s="4" customFormat="1" ht="35.25" customHeight="1" x14ac:dyDescent="0.5">
      <c r="A274" s="4">
        <v>1</v>
      </c>
      <c r="B274" s="171">
        <f>SUBTOTAL(103,$A$8:A274)</f>
        <v>264</v>
      </c>
      <c r="C274" s="323" t="s">
        <v>2047</v>
      </c>
      <c r="D274" s="324">
        <f t="shared" si="9"/>
        <v>337102.5</v>
      </c>
      <c r="E274" s="325">
        <v>0</v>
      </c>
      <c r="F274" s="325">
        <v>0</v>
      </c>
      <c r="G274" s="325">
        <v>0</v>
      </c>
      <c r="H274" s="325">
        <v>0</v>
      </c>
      <c r="I274" s="325">
        <v>0</v>
      </c>
      <c r="J274" s="325">
        <v>0</v>
      </c>
      <c r="K274" s="326">
        <v>0</v>
      </c>
      <c r="L274" s="325">
        <v>0</v>
      </c>
      <c r="M274" s="325">
        <v>0</v>
      </c>
      <c r="N274" s="325">
        <v>0</v>
      </c>
      <c r="O274" s="325">
        <v>337102.5</v>
      </c>
      <c r="P274" s="325">
        <v>0</v>
      </c>
      <c r="Q274" s="325">
        <v>0</v>
      </c>
      <c r="R274" s="325">
        <v>0</v>
      </c>
      <c r="S274" s="325">
        <v>0</v>
      </c>
      <c r="T274" s="325">
        <v>0</v>
      </c>
      <c r="U274" s="325">
        <v>0</v>
      </c>
      <c r="V274" s="325">
        <v>0</v>
      </c>
      <c r="W274" s="325">
        <v>0</v>
      </c>
      <c r="X274" s="325">
        <v>0</v>
      </c>
      <c r="Y274" s="325">
        <v>0</v>
      </c>
      <c r="Z274" s="325">
        <v>0</v>
      </c>
      <c r="AA274" s="325">
        <v>0</v>
      </c>
      <c r="AB274" s="327">
        <v>2020</v>
      </c>
      <c r="AD274" s="4" t="e">
        <v>#N/A</v>
      </c>
    </row>
    <row r="275" spans="1:30" s="4" customFormat="1" ht="35.25" customHeight="1" x14ac:dyDescent="0.5">
      <c r="A275" s="4">
        <v>1</v>
      </c>
      <c r="B275" s="171">
        <f>SUBTOTAL(103,$A$8:A275)</f>
        <v>265</v>
      </c>
      <c r="C275" s="323" t="s">
        <v>2048</v>
      </c>
      <c r="D275" s="324">
        <f t="shared" si="9"/>
        <v>116978.6</v>
      </c>
      <c r="E275" s="325">
        <v>0</v>
      </c>
      <c r="F275" s="325">
        <v>0</v>
      </c>
      <c r="G275" s="325">
        <v>0</v>
      </c>
      <c r="H275" s="325">
        <v>0</v>
      </c>
      <c r="I275" s="325">
        <v>0</v>
      </c>
      <c r="J275" s="325">
        <v>0</v>
      </c>
      <c r="K275" s="326">
        <v>0</v>
      </c>
      <c r="L275" s="325">
        <v>0</v>
      </c>
      <c r="M275" s="325">
        <v>0</v>
      </c>
      <c r="N275" s="325">
        <v>0</v>
      </c>
      <c r="O275" s="325">
        <v>116978.6</v>
      </c>
      <c r="P275" s="325">
        <v>0</v>
      </c>
      <c r="Q275" s="325">
        <v>0</v>
      </c>
      <c r="R275" s="325">
        <v>0</v>
      </c>
      <c r="S275" s="325">
        <v>0</v>
      </c>
      <c r="T275" s="325">
        <v>0</v>
      </c>
      <c r="U275" s="325">
        <v>0</v>
      </c>
      <c r="V275" s="325">
        <v>0</v>
      </c>
      <c r="W275" s="325">
        <v>0</v>
      </c>
      <c r="X275" s="325">
        <v>0</v>
      </c>
      <c r="Y275" s="325">
        <v>0</v>
      </c>
      <c r="Z275" s="325">
        <v>0</v>
      </c>
      <c r="AA275" s="325">
        <v>0</v>
      </c>
      <c r="AB275" s="327">
        <v>2020</v>
      </c>
      <c r="AD275" s="4" t="e">
        <v>#N/A</v>
      </c>
    </row>
    <row r="276" spans="1:30" s="4" customFormat="1" ht="35.25" customHeight="1" x14ac:dyDescent="0.5">
      <c r="A276" s="4">
        <v>1</v>
      </c>
      <c r="B276" s="171">
        <f>SUBTOTAL(103,$A$8:A276)</f>
        <v>266</v>
      </c>
      <c r="C276" s="323" t="s">
        <v>2049</v>
      </c>
      <c r="D276" s="324">
        <f t="shared" si="9"/>
        <v>1743260</v>
      </c>
      <c r="E276" s="325">
        <v>0</v>
      </c>
      <c r="F276" s="325">
        <v>0</v>
      </c>
      <c r="G276" s="325">
        <v>0</v>
      </c>
      <c r="H276" s="325">
        <v>0</v>
      </c>
      <c r="I276" s="325">
        <v>0</v>
      </c>
      <c r="J276" s="325">
        <v>0</v>
      </c>
      <c r="K276" s="326">
        <v>0</v>
      </c>
      <c r="L276" s="325">
        <v>0</v>
      </c>
      <c r="M276" s="325">
        <v>1743260</v>
      </c>
      <c r="N276" s="325">
        <v>0</v>
      </c>
      <c r="O276" s="325">
        <v>0</v>
      </c>
      <c r="P276" s="325">
        <v>0</v>
      </c>
      <c r="Q276" s="325">
        <v>0</v>
      </c>
      <c r="R276" s="325">
        <v>0</v>
      </c>
      <c r="S276" s="325">
        <v>0</v>
      </c>
      <c r="T276" s="325">
        <v>0</v>
      </c>
      <c r="U276" s="325">
        <v>0</v>
      </c>
      <c r="V276" s="325">
        <v>0</v>
      </c>
      <c r="W276" s="325">
        <v>0</v>
      </c>
      <c r="X276" s="325">
        <v>0</v>
      </c>
      <c r="Y276" s="325">
        <v>0</v>
      </c>
      <c r="Z276" s="325">
        <v>0</v>
      </c>
      <c r="AA276" s="325">
        <v>0</v>
      </c>
      <c r="AB276" s="327">
        <v>2020</v>
      </c>
      <c r="AD276" s="4" t="e">
        <v>#N/A</v>
      </c>
    </row>
    <row r="277" spans="1:30" s="4" customFormat="1" ht="35.25" customHeight="1" x14ac:dyDescent="0.5">
      <c r="A277" s="4">
        <v>1</v>
      </c>
      <c r="B277" s="171">
        <f>SUBTOTAL(103,$A$8:A277)</f>
        <v>267</v>
      </c>
      <c r="C277" s="323" t="s">
        <v>2050</v>
      </c>
      <c r="D277" s="324">
        <f t="shared" si="9"/>
        <v>443151.81</v>
      </c>
      <c r="E277" s="325">
        <v>0</v>
      </c>
      <c r="F277" s="325">
        <v>0</v>
      </c>
      <c r="G277" s="325">
        <v>0</v>
      </c>
      <c r="H277" s="325">
        <v>0</v>
      </c>
      <c r="I277" s="325">
        <v>0</v>
      </c>
      <c r="J277" s="325">
        <v>0</v>
      </c>
      <c r="K277" s="326">
        <v>0</v>
      </c>
      <c r="L277" s="325">
        <v>0</v>
      </c>
      <c r="M277" s="325">
        <v>443151.81</v>
      </c>
      <c r="N277" s="325">
        <v>0</v>
      </c>
      <c r="O277" s="325">
        <v>0</v>
      </c>
      <c r="P277" s="325">
        <v>0</v>
      </c>
      <c r="Q277" s="325">
        <v>0</v>
      </c>
      <c r="R277" s="325">
        <v>0</v>
      </c>
      <c r="S277" s="325">
        <v>0</v>
      </c>
      <c r="T277" s="325">
        <v>0</v>
      </c>
      <c r="U277" s="325">
        <v>0</v>
      </c>
      <c r="V277" s="325">
        <v>0</v>
      </c>
      <c r="W277" s="325">
        <v>0</v>
      </c>
      <c r="X277" s="325">
        <v>0</v>
      </c>
      <c r="Y277" s="325">
        <v>0</v>
      </c>
      <c r="Z277" s="325">
        <v>0</v>
      </c>
      <c r="AA277" s="325">
        <v>0</v>
      </c>
      <c r="AB277" s="327">
        <v>2020</v>
      </c>
      <c r="AD277" s="4" t="e">
        <v>#N/A</v>
      </c>
    </row>
    <row r="278" spans="1:30" s="4" customFormat="1" ht="35.25" customHeight="1" x14ac:dyDescent="0.5">
      <c r="A278" s="4">
        <v>1</v>
      </c>
      <c r="B278" s="171">
        <f>SUBTOTAL(103,$A$8:A278)</f>
        <v>268</v>
      </c>
      <c r="C278" s="323" t="s">
        <v>2051</v>
      </c>
      <c r="D278" s="324">
        <f t="shared" si="9"/>
        <v>257497.1</v>
      </c>
      <c r="E278" s="325">
        <v>0</v>
      </c>
      <c r="F278" s="325">
        <v>0</v>
      </c>
      <c r="G278" s="325">
        <v>0</v>
      </c>
      <c r="H278" s="325">
        <v>0</v>
      </c>
      <c r="I278" s="325">
        <v>0</v>
      </c>
      <c r="J278" s="325">
        <v>0</v>
      </c>
      <c r="K278" s="326">
        <v>0</v>
      </c>
      <c r="L278" s="325">
        <v>0</v>
      </c>
      <c r="M278" s="325">
        <v>0</v>
      </c>
      <c r="N278" s="325">
        <v>0</v>
      </c>
      <c r="O278" s="325">
        <v>257497.1</v>
      </c>
      <c r="P278" s="325">
        <v>0</v>
      </c>
      <c r="Q278" s="325">
        <v>0</v>
      </c>
      <c r="R278" s="325">
        <v>0</v>
      </c>
      <c r="S278" s="325">
        <v>0</v>
      </c>
      <c r="T278" s="325">
        <v>0</v>
      </c>
      <c r="U278" s="325">
        <v>0</v>
      </c>
      <c r="V278" s="325">
        <v>0</v>
      </c>
      <c r="W278" s="325">
        <v>0</v>
      </c>
      <c r="X278" s="325">
        <v>0</v>
      </c>
      <c r="Y278" s="325">
        <v>0</v>
      </c>
      <c r="Z278" s="325">
        <v>0</v>
      </c>
      <c r="AA278" s="325">
        <v>0</v>
      </c>
      <c r="AB278" s="327">
        <v>2020</v>
      </c>
      <c r="AD278" s="4" t="e">
        <v>#N/A</v>
      </c>
    </row>
    <row r="279" spans="1:30" s="4" customFormat="1" ht="35.25" customHeight="1" x14ac:dyDescent="0.5">
      <c r="A279" s="4">
        <v>1</v>
      </c>
      <c r="B279" s="171">
        <f>SUBTOTAL(103,$A$8:A279)</f>
        <v>269</v>
      </c>
      <c r="C279" s="323" t="s">
        <v>2052</v>
      </c>
      <c r="D279" s="324">
        <f t="shared" si="9"/>
        <v>2108431.7200000002</v>
      </c>
      <c r="E279" s="325">
        <v>0</v>
      </c>
      <c r="F279" s="325">
        <v>0</v>
      </c>
      <c r="G279" s="325">
        <v>0</v>
      </c>
      <c r="H279" s="325">
        <v>0</v>
      </c>
      <c r="I279" s="325">
        <v>0</v>
      </c>
      <c r="J279" s="325">
        <v>0</v>
      </c>
      <c r="K279" s="326">
        <v>0</v>
      </c>
      <c r="L279" s="325">
        <v>0</v>
      </c>
      <c r="M279" s="325">
        <v>2108431.7200000002</v>
      </c>
      <c r="N279" s="325">
        <v>0</v>
      </c>
      <c r="O279" s="325">
        <v>0</v>
      </c>
      <c r="P279" s="325">
        <v>0</v>
      </c>
      <c r="Q279" s="325">
        <v>0</v>
      </c>
      <c r="R279" s="325">
        <v>0</v>
      </c>
      <c r="S279" s="325">
        <v>0</v>
      </c>
      <c r="T279" s="325">
        <v>0</v>
      </c>
      <c r="U279" s="325">
        <v>0</v>
      </c>
      <c r="V279" s="325">
        <v>0</v>
      </c>
      <c r="W279" s="325">
        <v>0</v>
      </c>
      <c r="X279" s="325">
        <v>0</v>
      </c>
      <c r="Y279" s="325">
        <v>0</v>
      </c>
      <c r="Z279" s="325">
        <v>0</v>
      </c>
      <c r="AA279" s="325">
        <v>0</v>
      </c>
      <c r="AB279" s="327">
        <v>2020</v>
      </c>
      <c r="AD279" s="4">
        <v>0</v>
      </c>
    </row>
    <row r="280" spans="1:30" s="4" customFormat="1" ht="35.25" customHeight="1" x14ac:dyDescent="0.5">
      <c r="A280" s="4">
        <v>1</v>
      </c>
      <c r="B280" s="171">
        <f>SUBTOTAL(103,$A$8:A280)</f>
        <v>270</v>
      </c>
      <c r="C280" s="323" t="s">
        <v>2500</v>
      </c>
      <c r="D280" s="324">
        <f t="shared" si="9"/>
        <v>323572.78000000003</v>
      </c>
      <c r="E280" s="325">
        <v>0</v>
      </c>
      <c r="F280" s="325">
        <v>0</v>
      </c>
      <c r="G280" s="325">
        <v>0</v>
      </c>
      <c r="H280" s="325">
        <v>0</v>
      </c>
      <c r="I280" s="325">
        <v>0</v>
      </c>
      <c r="J280" s="325">
        <v>0</v>
      </c>
      <c r="K280" s="326">
        <v>0</v>
      </c>
      <c r="L280" s="325">
        <v>0</v>
      </c>
      <c r="M280" s="325">
        <v>0</v>
      </c>
      <c r="N280" s="325">
        <v>0</v>
      </c>
      <c r="O280" s="325">
        <v>323572.78000000003</v>
      </c>
      <c r="P280" s="325">
        <v>0</v>
      </c>
      <c r="Q280" s="325">
        <v>0</v>
      </c>
      <c r="R280" s="325">
        <v>0</v>
      </c>
      <c r="S280" s="325">
        <v>0</v>
      </c>
      <c r="T280" s="325">
        <v>0</v>
      </c>
      <c r="U280" s="325">
        <v>0</v>
      </c>
      <c r="V280" s="325">
        <v>0</v>
      </c>
      <c r="W280" s="325">
        <v>0</v>
      </c>
      <c r="X280" s="325">
        <v>0</v>
      </c>
      <c r="Y280" s="325">
        <v>0</v>
      </c>
      <c r="Z280" s="325">
        <v>0</v>
      </c>
      <c r="AA280" s="325">
        <v>0</v>
      </c>
      <c r="AB280" s="327">
        <v>2020</v>
      </c>
      <c r="AD280" s="4">
        <v>0</v>
      </c>
    </row>
    <row r="281" spans="1:30" s="4" customFormat="1" ht="35.25" customHeight="1" x14ac:dyDescent="0.5">
      <c r="A281" s="4">
        <v>1</v>
      </c>
      <c r="B281" s="171">
        <f>SUBTOTAL(103,$A$8:A281)</f>
        <v>271</v>
      </c>
      <c r="C281" s="323" t="s">
        <v>2501</v>
      </c>
      <c r="D281" s="324">
        <f t="shared" si="9"/>
        <v>568987</v>
      </c>
      <c r="E281" s="325">
        <v>0</v>
      </c>
      <c r="F281" s="325">
        <v>0</v>
      </c>
      <c r="G281" s="325">
        <v>0</v>
      </c>
      <c r="H281" s="325">
        <v>0</v>
      </c>
      <c r="I281" s="325">
        <v>0</v>
      </c>
      <c r="J281" s="325">
        <v>0</v>
      </c>
      <c r="K281" s="326">
        <v>0</v>
      </c>
      <c r="L281" s="325">
        <v>0</v>
      </c>
      <c r="M281" s="325">
        <v>0</v>
      </c>
      <c r="N281" s="325">
        <v>0</v>
      </c>
      <c r="O281" s="325">
        <v>568987</v>
      </c>
      <c r="P281" s="325">
        <v>0</v>
      </c>
      <c r="Q281" s="325">
        <v>0</v>
      </c>
      <c r="R281" s="325">
        <v>0</v>
      </c>
      <c r="S281" s="325">
        <v>0</v>
      </c>
      <c r="T281" s="325">
        <v>0</v>
      </c>
      <c r="U281" s="325">
        <v>0</v>
      </c>
      <c r="V281" s="325">
        <v>0</v>
      </c>
      <c r="W281" s="325">
        <v>0</v>
      </c>
      <c r="X281" s="325">
        <v>0</v>
      </c>
      <c r="Y281" s="325">
        <v>0</v>
      </c>
      <c r="Z281" s="325">
        <v>0</v>
      </c>
      <c r="AA281" s="325">
        <v>0</v>
      </c>
      <c r="AB281" s="327">
        <v>2020</v>
      </c>
      <c r="AD281" s="4">
        <v>0</v>
      </c>
    </row>
    <row r="282" spans="1:30" s="4" customFormat="1" ht="35.25" customHeight="1" x14ac:dyDescent="0.5">
      <c r="A282" s="4">
        <v>1</v>
      </c>
      <c r="B282" s="171">
        <f>SUBTOTAL(103,$A$8:A282)</f>
        <v>272</v>
      </c>
      <c r="C282" s="323" t="s">
        <v>2053</v>
      </c>
      <c r="D282" s="324">
        <f t="shared" si="9"/>
        <v>380650.85</v>
      </c>
      <c r="E282" s="325">
        <v>0</v>
      </c>
      <c r="F282" s="325">
        <v>0</v>
      </c>
      <c r="G282" s="325">
        <v>0</v>
      </c>
      <c r="H282" s="325">
        <v>0</v>
      </c>
      <c r="I282" s="325">
        <v>0</v>
      </c>
      <c r="J282" s="325">
        <v>0</v>
      </c>
      <c r="K282" s="326">
        <v>0</v>
      </c>
      <c r="L282" s="325">
        <v>0</v>
      </c>
      <c r="M282" s="325">
        <v>86162</v>
      </c>
      <c r="N282" s="325">
        <v>0</v>
      </c>
      <c r="O282" s="325">
        <v>294488.84999999998</v>
      </c>
      <c r="P282" s="325">
        <v>0</v>
      </c>
      <c r="Q282" s="325">
        <v>0</v>
      </c>
      <c r="R282" s="325">
        <v>0</v>
      </c>
      <c r="S282" s="325">
        <v>0</v>
      </c>
      <c r="T282" s="325">
        <v>0</v>
      </c>
      <c r="U282" s="325">
        <v>0</v>
      </c>
      <c r="V282" s="325">
        <v>0</v>
      </c>
      <c r="W282" s="325">
        <v>0</v>
      </c>
      <c r="X282" s="325">
        <v>0</v>
      </c>
      <c r="Y282" s="325">
        <v>0</v>
      </c>
      <c r="Z282" s="325">
        <v>0</v>
      </c>
      <c r="AA282" s="325">
        <v>0</v>
      </c>
      <c r="AB282" s="327">
        <v>2020</v>
      </c>
      <c r="AD282" s="4">
        <v>0</v>
      </c>
    </row>
    <row r="283" spans="1:30" s="4" customFormat="1" ht="35.25" customHeight="1" x14ac:dyDescent="0.5">
      <c r="A283" s="4">
        <v>1</v>
      </c>
      <c r="B283" s="171">
        <f>SUBTOTAL(103,$A$8:A283)</f>
        <v>273</v>
      </c>
      <c r="C283" s="323" t="s">
        <v>2054</v>
      </c>
      <c r="D283" s="324">
        <f t="shared" si="9"/>
        <v>1818274</v>
      </c>
      <c r="E283" s="325">
        <v>0</v>
      </c>
      <c r="F283" s="325">
        <v>0</v>
      </c>
      <c r="G283" s="325">
        <v>0</v>
      </c>
      <c r="H283" s="325">
        <v>0</v>
      </c>
      <c r="I283" s="325">
        <v>0</v>
      </c>
      <c r="J283" s="325">
        <v>0</v>
      </c>
      <c r="K283" s="326">
        <v>0</v>
      </c>
      <c r="L283" s="325">
        <v>0</v>
      </c>
      <c r="M283" s="325">
        <v>1818274</v>
      </c>
      <c r="N283" s="325">
        <v>0</v>
      </c>
      <c r="O283" s="325">
        <v>0</v>
      </c>
      <c r="P283" s="325">
        <v>0</v>
      </c>
      <c r="Q283" s="325">
        <v>0</v>
      </c>
      <c r="R283" s="325">
        <v>0</v>
      </c>
      <c r="S283" s="325">
        <v>0</v>
      </c>
      <c r="T283" s="325">
        <v>0</v>
      </c>
      <c r="U283" s="325">
        <v>0</v>
      </c>
      <c r="V283" s="325">
        <v>0</v>
      </c>
      <c r="W283" s="325">
        <v>0</v>
      </c>
      <c r="X283" s="325">
        <v>0</v>
      </c>
      <c r="Y283" s="325">
        <v>0</v>
      </c>
      <c r="Z283" s="325">
        <v>0</v>
      </c>
      <c r="AA283" s="325">
        <v>0</v>
      </c>
      <c r="AB283" s="327">
        <v>2020</v>
      </c>
      <c r="AD283" s="4" t="e">
        <v>#N/A</v>
      </c>
    </row>
    <row r="284" spans="1:30" s="4" customFormat="1" ht="35.25" customHeight="1" x14ac:dyDescent="0.5">
      <c r="A284" s="4">
        <v>1</v>
      </c>
      <c r="B284" s="171">
        <f>SUBTOTAL(103,$A$8:A284)</f>
        <v>274</v>
      </c>
      <c r="C284" s="323" t="s">
        <v>2502</v>
      </c>
      <c r="D284" s="324">
        <f t="shared" si="9"/>
        <v>333408.43999999994</v>
      </c>
      <c r="E284" s="325">
        <v>0</v>
      </c>
      <c r="F284" s="325">
        <v>0</v>
      </c>
      <c r="G284" s="325">
        <v>0</v>
      </c>
      <c r="H284" s="325">
        <v>208577.90999999997</v>
      </c>
      <c r="I284" s="325">
        <v>0</v>
      </c>
      <c r="J284" s="325">
        <v>0</v>
      </c>
      <c r="K284" s="326">
        <v>0</v>
      </c>
      <c r="L284" s="325">
        <v>0</v>
      </c>
      <c r="M284" s="325">
        <v>0</v>
      </c>
      <c r="N284" s="325">
        <v>0</v>
      </c>
      <c r="O284" s="325">
        <v>124830.53</v>
      </c>
      <c r="P284" s="325">
        <v>0</v>
      </c>
      <c r="Q284" s="325">
        <v>0</v>
      </c>
      <c r="R284" s="325">
        <v>0</v>
      </c>
      <c r="S284" s="325">
        <v>0</v>
      </c>
      <c r="T284" s="325">
        <v>0</v>
      </c>
      <c r="U284" s="325">
        <v>0</v>
      </c>
      <c r="V284" s="325">
        <v>0</v>
      </c>
      <c r="W284" s="325">
        <v>0</v>
      </c>
      <c r="X284" s="325">
        <v>0</v>
      </c>
      <c r="Y284" s="325">
        <v>0</v>
      </c>
      <c r="Z284" s="325">
        <v>0</v>
      </c>
      <c r="AA284" s="325">
        <v>0</v>
      </c>
      <c r="AB284" s="327">
        <v>2020</v>
      </c>
      <c r="AD284" s="4">
        <v>0</v>
      </c>
    </row>
    <row r="285" spans="1:30" s="4" customFormat="1" ht="35.25" customHeight="1" x14ac:dyDescent="0.5">
      <c r="A285" s="4">
        <v>1</v>
      </c>
      <c r="B285" s="171">
        <f>SUBTOTAL(103,$A$8:A285)</f>
        <v>275</v>
      </c>
      <c r="C285" s="323" t="s">
        <v>2503</v>
      </c>
      <c r="D285" s="324">
        <f t="shared" si="9"/>
        <v>661000</v>
      </c>
      <c r="E285" s="325">
        <v>0</v>
      </c>
      <c r="F285" s="325">
        <v>0</v>
      </c>
      <c r="G285" s="325">
        <v>0</v>
      </c>
      <c r="H285" s="325">
        <v>0</v>
      </c>
      <c r="I285" s="325">
        <v>0</v>
      </c>
      <c r="J285" s="325">
        <v>0</v>
      </c>
      <c r="K285" s="326">
        <v>0</v>
      </c>
      <c r="L285" s="325">
        <v>0</v>
      </c>
      <c r="M285" s="325">
        <v>0</v>
      </c>
      <c r="N285" s="325">
        <v>0</v>
      </c>
      <c r="O285" s="325">
        <v>0</v>
      </c>
      <c r="P285" s="325">
        <v>661000</v>
      </c>
      <c r="Q285" s="325">
        <v>0</v>
      </c>
      <c r="R285" s="325">
        <v>0</v>
      </c>
      <c r="S285" s="325">
        <v>0</v>
      </c>
      <c r="T285" s="325">
        <v>0</v>
      </c>
      <c r="U285" s="325">
        <v>0</v>
      </c>
      <c r="V285" s="325">
        <v>0</v>
      </c>
      <c r="W285" s="325">
        <v>0</v>
      </c>
      <c r="X285" s="325">
        <v>0</v>
      </c>
      <c r="Y285" s="325">
        <v>0</v>
      </c>
      <c r="Z285" s="325">
        <v>0</v>
      </c>
      <c r="AA285" s="325">
        <v>0</v>
      </c>
      <c r="AB285" s="327">
        <v>2020</v>
      </c>
      <c r="AD285" s="4">
        <v>0</v>
      </c>
    </row>
    <row r="286" spans="1:30" s="4" customFormat="1" ht="35.25" customHeight="1" x14ac:dyDescent="0.5">
      <c r="A286" s="4">
        <v>1</v>
      </c>
      <c r="B286" s="171">
        <f>SUBTOTAL(103,$A$8:A286)</f>
        <v>276</v>
      </c>
      <c r="C286" s="323" t="s">
        <v>2504</v>
      </c>
      <c r="D286" s="324">
        <f t="shared" si="9"/>
        <v>581500</v>
      </c>
      <c r="E286" s="325">
        <v>0</v>
      </c>
      <c r="F286" s="325">
        <v>0</v>
      </c>
      <c r="G286" s="325">
        <v>0</v>
      </c>
      <c r="H286" s="325">
        <v>0</v>
      </c>
      <c r="I286" s="325">
        <v>0</v>
      </c>
      <c r="J286" s="325">
        <v>0</v>
      </c>
      <c r="K286" s="326">
        <v>0</v>
      </c>
      <c r="L286" s="325">
        <v>0</v>
      </c>
      <c r="M286" s="325">
        <v>0</v>
      </c>
      <c r="N286" s="325">
        <v>0</v>
      </c>
      <c r="O286" s="325">
        <v>0</v>
      </c>
      <c r="P286" s="325">
        <v>581500</v>
      </c>
      <c r="Q286" s="325">
        <v>0</v>
      </c>
      <c r="R286" s="325">
        <v>0</v>
      </c>
      <c r="S286" s="325">
        <v>0</v>
      </c>
      <c r="T286" s="325">
        <v>0</v>
      </c>
      <c r="U286" s="325">
        <v>0</v>
      </c>
      <c r="V286" s="325">
        <v>0</v>
      </c>
      <c r="W286" s="325">
        <v>0</v>
      </c>
      <c r="X286" s="325">
        <v>0</v>
      </c>
      <c r="Y286" s="325">
        <v>0</v>
      </c>
      <c r="Z286" s="325">
        <v>0</v>
      </c>
      <c r="AA286" s="325">
        <v>0</v>
      </c>
      <c r="AB286" s="327">
        <v>2020</v>
      </c>
      <c r="AD286" s="4">
        <v>0</v>
      </c>
    </row>
    <row r="287" spans="1:30" s="4" customFormat="1" ht="35.25" customHeight="1" x14ac:dyDescent="0.5">
      <c r="A287" s="4">
        <v>1</v>
      </c>
      <c r="B287" s="171">
        <f>SUBTOTAL(103,$A$8:A287)</f>
        <v>277</v>
      </c>
      <c r="C287" s="323" t="s">
        <v>2505</v>
      </c>
      <c r="D287" s="324">
        <f t="shared" si="9"/>
        <v>694350</v>
      </c>
      <c r="E287" s="325">
        <v>0</v>
      </c>
      <c r="F287" s="325">
        <v>0</v>
      </c>
      <c r="G287" s="325">
        <v>0</v>
      </c>
      <c r="H287" s="325">
        <v>0</v>
      </c>
      <c r="I287" s="325">
        <v>0</v>
      </c>
      <c r="J287" s="325">
        <v>0</v>
      </c>
      <c r="K287" s="326">
        <v>0</v>
      </c>
      <c r="L287" s="325">
        <v>0</v>
      </c>
      <c r="M287" s="325">
        <v>0</v>
      </c>
      <c r="N287" s="325">
        <v>0</v>
      </c>
      <c r="O287" s="325">
        <v>0</v>
      </c>
      <c r="P287" s="325">
        <v>694350</v>
      </c>
      <c r="Q287" s="325">
        <v>0</v>
      </c>
      <c r="R287" s="325">
        <v>0</v>
      </c>
      <c r="S287" s="325">
        <v>0</v>
      </c>
      <c r="T287" s="325">
        <v>0</v>
      </c>
      <c r="U287" s="325">
        <v>0</v>
      </c>
      <c r="V287" s="325">
        <v>0</v>
      </c>
      <c r="W287" s="325">
        <v>0</v>
      </c>
      <c r="X287" s="325">
        <v>0</v>
      </c>
      <c r="Y287" s="325">
        <v>0</v>
      </c>
      <c r="Z287" s="325">
        <v>0</v>
      </c>
      <c r="AA287" s="325">
        <v>0</v>
      </c>
      <c r="AB287" s="327">
        <v>2020</v>
      </c>
      <c r="AD287" s="4">
        <v>0</v>
      </c>
    </row>
    <row r="288" spans="1:30" s="4" customFormat="1" ht="35.25" customHeight="1" x14ac:dyDescent="0.5">
      <c r="A288" s="4">
        <v>1</v>
      </c>
      <c r="B288" s="171">
        <f>SUBTOTAL(103,$A$8:A288)</f>
        <v>278</v>
      </c>
      <c r="C288" s="323" t="s">
        <v>2506</v>
      </c>
      <c r="D288" s="324">
        <f t="shared" si="9"/>
        <v>805999</v>
      </c>
      <c r="E288" s="325">
        <v>0</v>
      </c>
      <c r="F288" s="325">
        <v>0</v>
      </c>
      <c r="G288" s="325">
        <v>805999</v>
      </c>
      <c r="H288" s="325">
        <v>0</v>
      </c>
      <c r="I288" s="325">
        <v>0</v>
      </c>
      <c r="J288" s="325">
        <v>0</v>
      </c>
      <c r="K288" s="326">
        <v>0</v>
      </c>
      <c r="L288" s="325">
        <v>0</v>
      </c>
      <c r="M288" s="325">
        <v>0</v>
      </c>
      <c r="N288" s="325">
        <v>0</v>
      </c>
      <c r="O288" s="325">
        <v>0</v>
      </c>
      <c r="P288" s="325">
        <v>0</v>
      </c>
      <c r="Q288" s="325">
        <v>0</v>
      </c>
      <c r="R288" s="325">
        <v>0</v>
      </c>
      <c r="S288" s="325">
        <v>0</v>
      </c>
      <c r="T288" s="325">
        <v>0</v>
      </c>
      <c r="U288" s="325">
        <v>0</v>
      </c>
      <c r="V288" s="325">
        <v>0</v>
      </c>
      <c r="W288" s="325">
        <v>0</v>
      </c>
      <c r="X288" s="325">
        <v>0</v>
      </c>
      <c r="Y288" s="325">
        <v>0</v>
      </c>
      <c r="Z288" s="325">
        <v>0</v>
      </c>
      <c r="AA288" s="325">
        <v>0</v>
      </c>
      <c r="AB288" s="327">
        <v>2020</v>
      </c>
      <c r="AD288" s="4">
        <v>0</v>
      </c>
    </row>
    <row r="289" spans="1:30" s="4" customFormat="1" ht="35.25" customHeight="1" x14ac:dyDescent="0.5">
      <c r="A289" s="4">
        <v>1</v>
      </c>
      <c r="B289" s="171">
        <f>SUBTOTAL(103,$A$8:A289)</f>
        <v>279</v>
      </c>
      <c r="C289" s="323" t="s">
        <v>2507</v>
      </c>
      <c r="D289" s="324">
        <f t="shared" si="9"/>
        <v>1080000</v>
      </c>
      <c r="E289" s="325">
        <v>0</v>
      </c>
      <c r="F289" s="325">
        <v>0</v>
      </c>
      <c r="G289" s="325">
        <v>0</v>
      </c>
      <c r="H289" s="325">
        <v>0</v>
      </c>
      <c r="I289" s="325">
        <v>0</v>
      </c>
      <c r="J289" s="325">
        <v>0</v>
      </c>
      <c r="K289" s="326">
        <v>1</v>
      </c>
      <c r="L289" s="325">
        <v>1080000</v>
      </c>
      <c r="M289" s="325">
        <v>0</v>
      </c>
      <c r="N289" s="325">
        <v>0</v>
      </c>
      <c r="O289" s="325">
        <v>0</v>
      </c>
      <c r="P289" s="325">
        <v>0</v>
      </c>
      <c r="Q289" s="325">
        <v>0</v>
      </c>
      <c r="R289" s="325">
        <v>0</v>
      </c>
      <c r="S289" s="325">
        <v>0</v>
      </c>
      <c r="T289" s="325">
        <v>0</v>
      </c>
      <c r="U289" s="325">
        <v>0</v>
      </c>
      <c r="V289" s="325">
        <v>0</v>
      </c>
      <c r="W289" s="325">
        <v>0</v>
      </c>
      <c r="X289" s="325">
        <v>0</v>
      </c>
      <c r="Y289" s="325">
        <v>0</v>
      </c>
      <c r="Z289" s="325">
        <v>0</v>
      </c>
      <c r="AA289" s="325">
        <v>0</v>
      </c>
      <c r="AB289" s="327">
        <v>2020</v>
      </c>
      <c r="AD289" s="4">
        <v>0</v>
      </c>
    </row>
    <row r="290" spans="1:30" s="4" customFormat="1" ht="35.25" customHeight="1" x14ac:dyDescent="0.5">
      <c r="A290" s="4">
        <v>1</v>
      </c>
      <c r="B290" s="171">
        <f>SUBTOTAL(103,$A$8:A290)</f>
        <v>280</v>
      </c>
      <c r="C290" s="323" t="s">
        <v>2508</v>
      </c>
      <c r="D290" s="324">
        <v>2203940</v>
      </c>
      <c r="E290" s="325">
        <v>0</v>
      </c>
      <c r="F290" s="325">
        <v>0</v>
      </c>
      <c r="G290" s="325">
        <v>0</v>
      </c>
      <c r="H290" s="325">
        <v>0</v>
      </c>
      <c r="I290" s="325">
        <v>0</v>
      </c>
      <c r="J290" s="325">
        <v>0</v>
      </c>
      <c r="K290" s="326">
        <v>0</v>
      </c>
      <c r="L290" s="325">
        <v>0</v>
      </c>
      <c r="M290" s="325">
        <v>2203940</v>
      </c>
      <c r="N290" s="325">
        <v>0</v>
      </c>
      <c r="O290" s="325">
        <v>0</v>
      </c>
      <c r="P290" s="325">
        <v>0</v>
      </c>
      <c r="Q290" s="325">
        <v>0</v>
      </c>
      <c r="R290" s="325">
        <v>0</v>
      </c>
      <c r="S290" s="325">
        <v>0</v>
      </c>
      <c r="T290" s="325">
        <v>0</v>
      </c>
      <c r="U290" s="325">
        <v>0</v>
      </c>
      <c r="V290" s="325">
        <v>0</v>
      </c>
      <c r="W290" s="325">
        <v>0</v>
      </c>
      <c r="X290" s="325">
        <v>0</v>
      </c>
      <c r="Y290" s="325">
        <v>0</v>
      </c>
      <c r="Z290" s="325">
        <v>0</v>
      </c>
      <c r="AA290" s="325">
        <v>0</v>
      </c>
      <c r="AB290" s="327">
        <v>2020</v>
      </c>
      <c r="AD290" s="4">
        <v>0</v>
      </c>
    </row>
    <row r="291" spans="1:30" s="4" customFormat="1" ht="35.25" customHeight="1" x14ac:dyDescent="0.5">
      <c r="A291" s="4">
        <v>1</v>
      </c>
      <c r="B291" s="171">
        <f>SUBTOTAL(103,$A$8:A291)</f>
        <v>281</v>
      </c>
      <c r="C291" s="323" t="s">
        <v>1787</v>
      </c>
      <c r="D291" s="324">
        <f t="shared" si="9"/>
        <v>467041.56000000006</v>
      </c>
      <c r="E291" s="325">
        <v>467041.56000000006</v>
      </c>
      <c r="F291" s="325">
        <v>0</v>
      </c>
      <c r="G291" s="325">
        <v>0</v>
      </c>
      <c r="H291" s="325">
        <v>0</v>
      </c>
      <c r="I291" s="325">
        <v>0</v>
      </c>
      <c r="J291" s="325">
        <v>0</v>
      </c>
      <c r="K291" s="326">
        <v>0</v>
      </c>
      <c r="L291" s="325">
        <v>0</v>
      </c>
      <c r="M291" s="325">
        <v>0</v>
      </c>
      <c r="N291" s="325">
        <v>0</v>
      </c>
      <c r="O291" s="325">
        <v>0</v>
      </c>
      <c r="P291" s="325">
        <v>0</v>
      </c>
      <c r="Q291" s="325">
        <v>0</v>
      </c>
      <c r="R291" s="325">
        <v>0</v>
      </c>
      <c r="S291" s="325">
        <v>0</v>
      </c>
      <c r="T291" s="325">
        <v>0</v>
      </c>
      <c r="U291" s="325">
        <v>0</v>
      </c>
      <c r="V291" s="325">
        <v>0</v>
      </c>
      <c r="W291" s="325">
        <v>0</v>
      </c>
      <c r="X291" s="325">
        <v>0</v>
      </c>
      <c r="Y291" s="325">
        <v>0</v>
      </c>
      <c r="Z291" s="325">
        <v>0</v>
      </c>
      <c r="AA291" s="325">
        <v>0</v>
      </c>
      <c r="AB291" s="327">
        <v>2020</v>
      </c>
      <c r="AD291" s="4" t="e">
        <v>#N/A</v>
      </c>
    </row>
    <row r="292" spans="1:30" s="4" customFormat="1" ht="35.25" customHeight="1" x14ac:dyDescent="0.5">
      <c r="B292" s="394" t="s">
        <v>1036</v>
      </c>
      <c r="C292" s="323"/>
      <c r="D292" s="324">
        <f>SUM(D293:D320)</f>
        <v>21515093.279999997</v>
      </c>
      <c r="E292" s="324">
        <f t="shared" ref="E292:AA292" si="10">SUM(E293:E320)</f>
        <v>0</v>
      </c>
      <c r="F292" s="324">
        <f t="shared" si="10"/>
        <v>158850</v>
      </c>
      <c r="G292" s="324">
        <f t="shared" si="10"/>
        <v>4331032.5999999996</v>
      </c>
      <c r="H292" s="324">
        <f t="shared" si="10"/>
        <v>565533</v>
      </c>
      <c r="I292" s="324">
        <f t="shared" si="10"/>
        <v>767639</v>
      </c>
      <c r="J292" s="324">
        <f t="shared" si="10"/>
        <v>0</v>
      </c>
      <c r="K292" s="324">
        <f t="shared" si="10"/>
        <v>0</v>
      </c>
      <c r="L292" s="324">
        <f t="shared" si="10"/>
        <v>0</v>
      </c>
      <c r="M292" s="324">
        <f t="shared" si="10"/>
        <v>10035782.09</v>
      </c>
      <c r="N292" s="324">
        <f t="shared" si="10"/>
        <v>927774</v>
      </c>
      <c r="O292" s="324">
        <f t="shared" si="10"/>
        <v>4115689.58</v>
      </c>
      <c r="P292" s="324">
        <f t="shared" si="10"/>
        <v>612793.01</v>
      </c>
      <c r="Q292" s="324">
        <f t="shared" si="10"/>
        <v>0</v>
      </c>
      <c r="R292" s="324">
        <f t="shared" si="10"/>
        <v>0</v>
      </c>
      <c r="S292" s="324">
        <f t="shared" si="10"/>
        <v>0</v>
      </c>
      <c r="T292" s="324">
        <f t="shared" si="10"/>
        <v>0</v>
      </c>
      <c r="U292" s="324">
        <f t="shared" si="10"/>
        <v>0</v>
      </c>
      <c r="V292" s="324">
        <f t="shared" si="10"/>
        <v>0</v>
      </c>
      <c r="W292" s="324">
        <f t="shared" si="10"/>
        <v>0</v>
      </c>
      <c r="X292" s="324">
        <f t="shared" si="10"/>
        <v>0</v>
      </c>
      <c r="Y292" s="324">
        <f t="shared" si="10"/>
        <v>0</v>
      </c>
      <c r="Z292" s="324">
        <f t="shared" si="10"/>
        <v>0</v>
      </c>
      <c r="AA292" s="324">
        <f t="shared" si="10"/>
        <v>0</v>
      </c>
      <c r="AB292" s="396" t="s">
        <v>882</v>
      </c>
    </row>
    <row r="293" spans="1:30" s="4" customFormat="1" ht="35.25" customHeight="1" x14ac:dyDescent="0.5">
      <c r="A293" s="4">
        <v>1</v>
      </c>
      <c r="B293" s="171">
        <f>SUBTOTAL(103,$A$8:A293)</f>
        <v>282</v>
      </c>
      <c r="C293" s="323" t="s">
        <v>1788</v>
      </c>
      <c r="D293" s="324">
        <f t="shared" ref="D293:D320" si="11">E293+F293+G293+H293+I293+J293+L293+M293+N293+O293+P293+Q293+R293+S293+T293+U293+V293+W293+X293+Y293+Z293+AA293</f>
        <v>2417121</v>
      </c>
      <c r="E293" s="325">
        <v>0</v>
      </c>
      <c r="F293" s="325">
        <v>0</v>
      </c>
      <c r="G293" s="325">
        <v>0</v>
      </c>
      <c r="H293" s="325">
        <v>0</v>
      </c>
      <c r="I293" s="325">
        <v>0</v>
      </c>
      <c r="J293" s="325">
        <v>0</v>
      </c>
      <c r="K293" s="326">
        <v>0</v>
      </c>
      <c r="L293" s="325">
        <v>0</v>
      </c>
      <c r="M293" s="325">
        <v>2417121</v>
      </c>
      <c r="N293" s="325">
        <v>0</v>
      </c>
      <c r="O293" s="325">
        <v>0</v>
      </c>
      <c r="P293" s="325">
        <v>0</v>
      </c>
      <c r="Q293" s="325">
        <v>0</v>
      </c>
      <c r="R293" s="325">
        <v>0</v>
      </c>
      <c r="S293" s="325">
        <v>0</v>
      </c>
      <c r="T293" s="325">
        <v>0</v>
      </c>
      <c r="U293" s="325">
        <v>0</v>
      </c>
      <c r="V293" s="325">
        <v>0</v>
      </c>
      <c r="W293" s="325">
        <v>0</v>
      </c>
      <c r="X293" s="325">
        <v>0</v>
      </c>
      <c r="Y293" s="325">
        <v>0</v>
      </c>
      <c r="Z293" s="325">
        <v>0</v>
      </c>
      <c r="AA293" s="325">
        <v>0</v>
      </c>
      <c r="AB293" s="327">
        <v>2020</v>
      </c>
      <c r="AD293" s="4">
        <v>0</v>
      </c>
    </row>
    <row r="294" spans="1:30" s="4" customFormat="1" ht="35.25" customHeight="1" x14ac:dyDescent="0.5">
      <c r="A294" s="4">
        <v>1</v>
      </c>
      <c r="B294" s="171">
        <f>SUBTOTAL(103,$A$8:A294)</f>
        <v>283</v>
      </c>
      <c r="C294" s="323" t="s">
        <v>1789</v>
      </c>
      <c r="D294" s="324">
        <f t="shared" si="11"/>
        <v>649639</v>
      </c>
      <c r="E294" s="325">
        <v>0</v>
      </c>
      <c r="F294" s="325">
        <v>0</v>
      </c>
      <c r="G294" s="325">
        <v>0</v>
      </c>
      <c r="H294" s="325">
        <v>0</v>
      </c>
      <c r="I294" s="325">
        <v>649639</v>
      </c>
      <c r="J294" s="325">
        <v>0</v>
      </c>
      <c r="K294" s="326">
        <v>0</v>
      </c>
      <c r="L294" s="325">
        <v>0</v>
      </c>
      <c r="M294" s="325">
        <v>0</v>
      </c>
      <c r="N294" s="325">
        <v>0</v>
      </c>
      <c r="O294" s="325">
        <v>0</v>
      </c>
      <c r="P294" s="325">
        <v>0</v>
      </c>
      <c r="Q294" s="325">
        <v>0</v>
      </c>
      <c r="R294" s="325">
        <v>0</v>
      </c>
      <c r="S294" s="325">
        <v>0</v>
      </c>
      <c r="T294" s="325">
        <v>0</v>
      </c>
      <c r="U294" s="325">
        <v>0</v>
      </c>
      <c r="V294" s="325">
        <v>0</v>
      </c>
      <c r="W294" s="325">
        <v>0</v>
      </c>
      <c r="X294" s="325">
        <v>0</v>
      </c>
      <c r="Y294" s="325">
        <v>0</v>
      </c>
      <c r="Z294" s="325">
        <v>0</v>
      </c>
      <c r="AA294" s="325">
        <v>0</v>
      </c>
      <c r="AB294" s="327">
        <v>2020</v>
      </c>
      <c r="AD294" s="4" t="e">
        <v>#N/A</v>
      </c>
    </row>
    <row r="295" spans="1:30" s="4" customFormat="1" ht="35.25" customHeight="1" x14ac:dyDescent="0.5">
      <c r="A295" s="4">
        <v>1</v>
      </c>
      <c r="B295" s="171">
        <f>SUBTOTAL(103,$A$8:A295)</f>
        <v>284</v>
      </c>
      <c r="C295" s="323" t="s">
        <v>1790</v>
      </c>
      <c r="D295" s="324">
        <f t="shared" si="11"/>
        <v>158850</v>
      </c>
      <c r="E295" s="325">
        <v>0</v>
      </c>
      <c r="F295" s="325">
        <v>158850</v>
      </c>
      <c r="G295" s="325">
        <v>0</v>
      </c>
      <c r="H295" s="325">
        <v>0</v>
      </c>
      <c r="I295" s="325">
        <v>0</v>
      </c>
      <c r="J295" s="325">
        <v>0</v>
      </c>
      <c r="K295" s="326">
        <v>0</v>
      </c>
      <c r="L295" s="325">
        <v>0</v>
      </c>
      <c r="M295" s="325">
        <v>0</v>
      </c>
      <c r="N295" s="325">
        <v>0</v>
      </c>
      <c r="O295" s="325">
        <v>0</v>
      </c>
      <c r="P295" s="325">
        <v>0</v>
      </c>
      <c r="Q295" s="325">
        <v>0</v>
      </c>
      <c r="R295" s="325">
        <v>0</v>
      </c>
      <c r="S295" s="325">
        <v>0</v>
      </c>
      <c r="T295" s="325">
        <v>0</v>
      </c>
      <c r="U295" s="325">
        <v>0</v>
      </c>
      <c r="V295" s="325">
        <v>0</v>
      </c>
      <c r="W295" s="325">
        <v>0</v>
      </c>
      <c r="X295" s="325">
        <v>0</v>
      </c>
      <c r="Y295" s="325">
        <v>0</v>
      </c>
      <c r="Z295" s="325">
        <v>0</v>
      </c>
      <c r="AA295" s="325">
        <v>0</v>
      </c>
      <c r="AB295" s="327">
        <v>2020</v>
      </c>
      <c r="AD295" s="4" t="e">
        <v>#N/A</v>
      </c>
    </row>
    <row r="296" spans="1:30" s="4" customFormat="1" ht="35.25" customHeight="1" x14ac:dyDescent="0.5">
      <c r="A296" s="4">
        <v>1</v>
      </c>
      <c r="B296" s="171">
        <f>SUBTOTAL(103,$A$8:A296)</f>
        <v>285</v>
      </c>
      <c r="C296" s="323" t="s">
        <v>2055</v>
      </c>
      <c r="D296" s="324">
        <f t="shared" si="11"/>
        <v>254000</v>
      </c>
      <c r="E296" s="325">
        <v>0</v>
      </c>
      <c r="F296" s="325">
        <v>0</v>
      </c>
      <c r="G296" s="325">
        <v>0</v>
      </c>
      <c r="H296" s="325">
        <v>0</v>
      </c>
      <c r="I296" s="325">
        <v>0</v>
      </c>
      <c r="J296" s="325">
        <v>0</v>
      </c>
      <c r="K296" s="326">
        <v>0</v>
      </c>
      <c r="L296" s="325">
        <v>0</v>
      </c>
      <c r="M296" s="325">
        <v>254000</v>
      </c>
      <c r="N296" s="325">
        <v>0</v>
      </c>
      <c r="O296" s="325">
        <v>0</v>
      </c>
      <c r="P296" s="325">
        <v>0</v>
      </c>
      <c r="Q296" s="325">
        <v>0</v>
      </c>
      <c r="R296" s="325">
        <v>0</v>
      </c>
      <c r="S296" s="325">
        <v>0</v>
      </c>
      <c r="T296" s="325">
        <v>0</v>
      </c>
      <c r="U296" s="325">
        <v>0</v>
      </c>
      <c r="V296" s="325">
        <v>0</v>
      </c>
      <c r="W296" s="325">
        <v>0</v>
      </c>
      <c r="X296" s="325">
        <v>0</v>
      </c>
      <c r="Y296" s="325">
        <v>0</v>
      </c>
      <c r="Z296" s="325">
        <v>0</v>
      </c>
      <c r="AA296" s="325">
        <v>0</v>
      </c>
      <c r="AB296" s="327">
        <v>2020</v>
      </c>
      <c r="AD296" s="4">
        <v>0</v>
      </c>
    </row>
    <row r="297" spans="1:30" s="4" customFormat="1" ht="35.25" customHeight="1" x14ac:dyDescent="0.5">
      <c r="A297" s="4">
        <v>1</v>
      </c>
      <c r="B297" s="171">
        <f>SUBTOTAL(103,$A$8:A297)</f>
        <v>286</v>
      </c>
      <c r="C297" s="323" t="s">
        <v>2056</v>
      </c>
      <c r="D297" s="324">
        <f t="shared" si="11"/>
        <v>405002</v>
      </c>
      <c r="E297" s="325">
        <v>0</v>
      </c>
      <c r="F297" s="325">
        <v>0</v>
      </c>
      <c r="G297" s="325">
        <v>0</v>
      </c>
      <c r="H297" s="325">
        <v>0</v>
      </c>
      <c r="I297" s="325">
        <v>0</v>
      </c>
      <c r="J297" s="325">
        <v>0</v>
      </c>
      <c r="K297" s="326">
        <v>0</v>
      </c>
      <c r="L297" s="325">
        <v>0</v>
      </c>
      <c r="M297" s="325">
        <v>0</v>
      </c>
      <c r="N297" s="325">
        <v>405002</v>
      </c>
      <c r="O297" s="325">
        <v>0</v>
      </c>
      <c r="P297" s="325">
        <v>0</v>
      </c>
      <c r="Q297" s="325">
        <v>0</v>
      </c>
      <c r="R297" s="325">
        <v>0</v>
      </c>
      <c r="S297" s="325">
        <v>0</v>
      </c>
      <c r="T297" s="325">
        <v>0</v>
      </c>
      <c r="U297" s="325">
        <v>0</v>
      </c>
      <c r="V297" s="325">
        <v>0</v>
      </c>
      <c r="W297" s="325">
        <v>0</v>
      </c>
      <c r="X297" s="325">
        <v>0</v>
      </c>
      <c r="Y297" s="325">
        <v>0</v>
      </c>
      <c r="Z297" s="325">
        <v>0</v>
      </c>
      <c r="AA297" s="325">
        <v>0</v>
      </c>
      <c r="AB297" s="327">
        <v>2020</v>
      </c>
      <c r="AD297" s="4">
        <v>0</v>
      </c>
    </row>
    <row r="298" spans="1:30" s="4" customFormat="1" ht="35.25" customHeight="1" x14ac:dyDescent="0.5">
      <c r="A298" s="4">
        <v>1</v>
      </c>
      <c r="B298" s="171">
        <f>SUBTOTAL(103,$A$8:A298)</f>
        <v>287</v>
      </c>
      <c r="C298" s="323" t="s">
        <v>2057</v>
      </c>
      <c r="D298" s="324">
        <f t="shared" si="11"/>
        <v>2256715</v>
      </c>
      <c r="E298" s="325">
        <v>0</v>
      </c>
      <c r="F298" s="325">
        <v>0</v>
      </c>
      <c r="G298" s="325">
        <v>1362535</v>
      </c>
      <c r="H298" s="325">
        <v>0</v>
      </c>
      <c r="I298" s="325">
        <v>0</v>
      </c>
      <c r="J298" s="325">
        <v>0</v>
      </c>
      <c r="K298" s="326">
        <v>0</v>
      </c>
      <c r="L298" s="325">
        <v>0</v>
      </c>
      <c r="M298" s="325">
        <v>0</v>
      </c>
      <c r="N298" s="325">
        <v>0</v>
      </c>
      <c r="O298" s="325">
        <v>894180</v>
      </c>
      <c r="P298" s="325">
        <v>0</v>
      </c>
      <c r="Q298" s="325">
        <v>0</v>
      </c>
      <c r="R298" s="325">
        <v>0</v>
      </c>
      <c r="S298" s="325">
        <v>0</v>
      </c>
      <c r="T298" s="325">
        <v>0</v>
      </c>
      <c r="U298" s="325">
        <v>0</v>
      </c>
      <c r="V298" s="325">
        <v>0</v>
      </c>
      <c r="W298" s="325">
        <v>0</v>
      </c>
      <c r="X298" s="325">
        <v>0</v>
      </c>
      <c r="Y298" s="325">
        <v>0</v>
      </c>
      <c r="Z298" s="325">
        <v>0</v>
      </c>
      <c r="AA298" s="325">
        <v>0</v>
      </c>
      <c r="AB298" s="327">
        <v>2020</v>
      </c>
      <c r="AD298" s="4">
        <v>0</v>
      </c>
    </row>
    <row r="299" spans="1:30" s="4" customFormat="1" ht="35.25" customHeight="1" x14ac:dyDescent="0.5">
      <c r="A299" s="4">
        <v>1</v>
      </c>
      <c r="B299" s="171">
        <f>SUBTOTAL(103,$A$8:A299)</f>
        <v>288</v>
      </c>
      <c r="C299" s="323" t="s">
        <v>2058</v>
      </c>
      <c r="D299" s="324">
        <f t="shared" si="11"/>
        <v>464094</v>
      </c>
      <c r="E299" s="325">
        <v>0</v>
      </c>
      <c r="F299" s="325">
        <v>0</v>
      </c>
      <c r="G299" s="325">
        <v>0</v>
      </c>
      <c r="H299" s="325">
        <v>0</v>
      </c>
      <c r="I299" s="325">
        <v>0</v>
      </c>
      <c r="J299" s="325">
        <v>0</v>
      </c>
      <c r="K299" s="326">
        <v>0</v>
      </c>
      <c r="L299" s="325">
        <v>0</v>
      </c>
      <c r="M299" s="325">
        <v>0</v>
      </c>
      <c r="N299" s="325">
        <v>0</v>
      </c>
      <c r="O299" s="325">
        <v>464094</v>
      </c>
      <c r="P299" s="325">
        <v>0</v>
      </c>
      <c r="Q299" s="325">
        <v>0</v>
      </c>
      <c r="R299" s="325">
        <v>0</v>
      </c>
      <c r="S299" s="325">
        <v>0</v>
      </c>
      <c r="T299" s="325">
        <v>0</v>
      </c>
      <c r="U299" s="325">
        <v>0</v>
      </c>
      <c r="V299" s="325">
        <v>0</v>
      </c>
      <c r="W299" s="325">
        <v>0</v>
      </c>
      <c r="X299" s="325">
        <v>0</v>
      </c>
      <c r="Y299" s="325">
        <v>0</v>
      </c>
      <c r="Z299" s="325">
        <v>0</v>
      </c>
      <c r="AA299" s="325">
        <v>0</v>
      </c>
      <c r="AB299" s="327">
        <v>2020</v>
      </c>
      <c r="AD299" s="4">
        <v>0</v>
      </c>
    </row>
    <row r="300" spans="1:30" s="4" customFormat="1" ht="35.25" customHeight="1" x14ac:dyDescent="0.5">
      <c r="A300" s="4">
        <v>1</v>
      </c>
      <c r="B300" s="171">
        <f>SUBTOTAL(103,$A$8:A300)</f>
        <v>289</v>
      </c>
      <c r="C300" s="323" t="s">
        <v>2059</v>
      </c>
      <c r="D300" s="324">
        <f t="shared" si="11"/>
        <v>410000</v>
      </c>
      <c r="E300" s="325">
        <v>0</v>
      </c>
      <c r="F300" s="325">
        <v>0</v>
      </c>
      <c r="G300" s="325">
        <v>0</v>
      </c>
      <c r="H300" s="325">
        <v>0</v>
      </c>
      <c r="I300" s="325">
        <v>0</v>
      </c>
      <c r="J300" s="325">
        <v>0</v>
      </c>
      <c r="K300" s="326">
        <v>0</v>
      </c>
      <c r="L300" s="325">
        <v>0</v>
      </c>
      <c r="M300" s="325">
        <v>0</v>
      </c>
      <c r="N300" s="325">
        <v>0</v>
      </c>
      <c r="O300" s="325">
        <v>0</v>
      </c>
      <c r="P300" s="325">
        <v>410000</v>
      </c>
      <c r="Q300" s="325">
        <v>0</v>
      </c>
      <c r="R300" s="325">
        <v>0</v>
      </c>
      <c r="S300" s="325">
        <v>0</v>
      </c>
      <c r="T300" s="325">
        <v>0</v>
      </c>
      <c r="U300" s="325">
        <v>0</v>
      </c>
      <c r="V300" s="325">
        <v>0</v>
      </c>
      <c r="W300" s="325">
        <v>0</v>
      </c>
      <c r="X300" s="325">
        <v>0</v>
      </c>
      <c r="Y300" s="325">
        <v>0</v>
      </c>
      <c r="Z300" s="325">
        <v>0</v>
      </c>
      <c r="AA300" s="325">
        <v>0</v>
      </c>
      <c r="AB300" s="327">
        <v>2020</v>
      </c>
      <c r="AD300" s="4">
        <v>0</v>
      </c>
    </row>
    <row r="301" spans="1:30" s="4" customFormat="1" ht="35.25" customHeight="1" x14ac:dyDescent="0.5">
      <c r="A301" s="4">
        <v>1</v>
      </c>
      <c r="B301" s="171">
        <f>SUBTOTAL(103,$A$8:A301)</f>
        <v>290</v>
      </c>
      <c r="C301" s="323" t="s">
        <v>2060</v>
      </c>
      <c r="D301" s="324">
        <f t="shared" si="11"/>
        <v>924000</v>
      </c>
      <c r="E301" s="325">
        <v>0</v>
      </c>
      <c r="F301" s="325">
        <v>0</v>
      </c>
      <c r="G301" s="325">
        <v>0</v>
      </c>
      <c r="H301" s="325">
        <v>0</v>
      </c>
      <c r="I301" s="325">
        <v>0</v>
      </c>
      <c r="J301" s="325">
        <v>0</v>
      </c>
      <c r="K301" s="326">
        <v>0</v>
      </c>
      <c r="L301" s="325">
        <v>0</v>
      </c>
      <c r="M301" s="325">
        <v>924000</v>
      </c>
      <c r="N301" s="325">
        <v>0</v>
      </c>
      <c r="O301" s="325">
        <v>0</v>
      </c>
      <c r="P301" s="325">
        <v>0</v>
      </c>
      <c r="Q301" s="325">
        <v>0</v>
      </c>
      <c r="R301" s="325">
        <v>0</v>
      </c>
      <c r="S301" s="325">
        <v>0</v>
      </c>
      <c r="T301" s="325">
        <v>0</v>
      </c>
      <c r="U301" s="325">
        <v>0</v>
      </c>
      <c r="V301" s="325">
        <v>0</v>
      </c>
      <c r="W301" s="325">
        <v>0</v>
      </c>
      <c r="X301" s="325">
        <v>0</v>
      </c>
      <c r="Y301" s="325">
        <v>0</v>
      </c>
      <c r="Z301" s="325">
        <v>0</v>
      </c>
      <c r="AA301" s="325">
        <v>0</v>
      </c>
      <c r="AB301" s="327">
        <v>2020</v>
      </c>
      <c r="AD301" s="4">
        <v>0</v>
      </c>
    </row>
    <row r="302" spans="1:30" s="4" customFormat="1" ht="35.25" customHeight="1" x14ac:dyDescent="0.5">
      <c r="A302" s="4">
        <v>1</v>
      </c>
      <c r="B302" s="171">
        <f>SUBTOTAL(103,$A$8:A302)</f>
        <v>291</v>
      </c>
      <c r="C302" s="323" t="s">
        <v>2061</v>
      </c>
      <c r="D302" s="324">
        <f t="shared" si="11"/>
        <v>118000</v>
      </c>
      <c r="E302" s="325">
        <v>0</v>
      </c>
      <c r="F302" s="325">
        <v>0</v>
      </c>
      <c r="G302" s="325">
        <v>0</v>
      </c>
      <c r="H302" s="325">
        <v>0</v>
      </c>
      <c r="I302" s="325">
        <v>118000</v>
      </c>
      <c r="J302" s="325">
        <v>0</v>
      </c>
      <c r="K302" s="326">
        <v>0</v>
      </c>
      <c r="L302" s="325">
        <v>0</v>
      </c>
      <c r="M302" s="325">
        <v>0</v>
      </c>
      <c r="N302" s="325">
        <v>0</v>
      </c>
      <c r="O302" s="325">
        <v>0</v>
      </c>
      <c r="P302" s="325">
        <v>0</v>
      </c>
      <c r="Q302" s="325">
        <v>0</v>
      </c>
      <c r="R302" s="325">
        <v>0</v>
      </c>
      <c r="S302" s="325">
        <v>0</v>
      </c>
      <c r="T302" s="325">
        <v>0</v>
      </c>
      <c r="U302" s="325">
        <v>0</v>
      </c>
      <c r="V302" s="325">
        <v>0</v>
      </c>
      <c r="W302" s="325">
        <v>0</v>
      </c>
      <c r="X302" s="325">
        <v>0</v>
      </c>
      <c r="Y302" s="325">
        <v>0</v>
      </c>
      <c r="Z302" s="325">
        <v>0</v>
      </c>
      <c r="AA302" s="325">
        <v>0</v>
      </c>
      <c r="AB302" s="327">
        <v>2020</v>
      </c>
      <c r="AD302" s="4" t="e">
        <v>#N/A</v>
      </c>
    </row>
    <row r="303" spans="1:30" s="4" customFormat="1" ht="35.25" customHeight="1" x14ac:dyDescent="0.5">
      <c r="A303" s="4">
        <v>1</v>
      </c>
      <c r="B303" s="171">
        <f>SUBTOTAL(103,$A$8:A303)</f>
        <v>292</v>
      </c>
      <c r="C303" s="323" t="s">
        <v>2509</v>
      </c>
      <c r="D303" s="324">
        <f t="shared" si="11"/>
        <v>1386050.39</v>
      </c>
      <c r="E303" s="325">
        <v>0</v>
      </c>
      <c r="F303" s="325">
        <v>0</v>
      </c>
      <c r="G303" s="325">
        <v>0</v>
      </c>
      <c r="H303" s="325">
        <v>0</v>
      </c>
      <c r="I303" s="325">
        <v>0</v>
      </c>
      <c r="J303" s="325">
        <v>0</v>
      </c>
      <c r="K303" s="326">
        <v>0</v>
      </c>
      <c r="L303" s="325">
        <v>0</v>
      </c>
      <c r="M303" s="325">
        <v>1386050.39</v>
      </c>
      <c r="N303" s="325">
        <v>0</v>
      </c>
      <c r="O303" s="325">
        <v>0</v>
      </c>
      <c r="P303" s="325">
        <v>0</v>
      </c>
      <c r="Q303" s="325">
        <v>0</v>
      </c>
      <c r="R303" s="325">
        <v>0</v>
      </c>
      <c r="S303" s="325">
        <v>0</v>
      </c>
      <c r="T303" s="325">
        <v>0</v>
      </c>
      <c r="U303" s="325">
        <v>0</v>
      </c>
      <c r="V303" s="325">
        <v>0</v>
      </c>
      <c r="W303" s="325">
        <v>0</v>
      </c>
      <c r="X303" s="325">
        <v>0</v>
      </c>
      <c r="Y303" s="325">
        <v>0</v>
      </c>
      <c r="Z303" s="325">
        <v>0</v>
      </c>
      <c r="AA303" s="325">
        <v>0</v>
      </c>
      <c r="AB303" s="327">
        <v>2020</v>
      </c>
      <c r="AD303" s="4">
        <v>0</v>
      </c>
    </row>
    <row r="304" spans="1:30" s="4" customFormat="1" ht="35.25" customHeight="1" x14ac:dyDescent="0.5">
      <c r="A304" s="4">
        <v>1</v>
      </c>
      <c r="B304" s="171">
        <f>SUBTOTAL(103,$A$8:A304)</f>
        <v>293</v>
      </c>
      <c r="C304" s="323" t="s">
        <v>2062</v>
      </c>
      <c r="D304" s="324">
        <f t="shared" si="11"/>
        <v>717639.7</v>
      </c>
      <c r="E304" s="325">
        <v>0</v>
      </c>
      <c r="F304" s="325">
        <v>0</v>
      </c>
      <c r="G304" s="325">
        <v>0</v>
      </c>
      <c r="H304" s="325">
        <v>0</v>
      </c>
      <c r="I304" s="325">
        <v>0</v>
      </c>
      <c r="J304" s="325">
        <v>0</v>
      </c>
      <c r="K304" s="326">
        <v>0</v>
      </c>
      <c r="L304" s="325">
        <v>0</v>
      </c>
      <c r="M304" s="325">
        <v>717639.7</v>
      </c>
      <c r="N304" s="325">
        <v>0</v>
      </c>
      <c r="O304" s="325">
        <v>0</v>
      </c>
      <c r="P304" s="325">
        <v>0</v>
      </c>
      <c r="Q304" s="325">
        <v>0</v>
      </c>
      <c r="R304" s="325">
        <v>0</v>
      </c>
      <c r="S304" s="325">
        <v>0</v>
      </c>
      <c r="T304" s="325">
        <v>0</v>
      </c>
      <c r="U304" s="325">
        <v>0</v>
      </c>
      <c r="V304" s="325">
        <v>0</v>
      </c>
      <c r="W304" s="325">
        <v>0</v>
      </c>
      <c r="X304" s="325">
        <v>0</v>
      </c>
      <c r="Y304" s="325">
        <v>0</v>
      </c>
      <c r="Z304" s="325">
        <v>0</v>
      </c>
      <c r="AA304" s="325">
        <v>0</v>
      </c>
      <c r="AB304" s="327">
        <v>2020</v>
      </c>
      <c r="AD304" s="4" t="e">
        <v>#N/A</v>
      </c>
    </row>
    <row r="305" spans="1:30" s="4" customFormat="1" ht="35.25" customHeight="1" x14ac:dyDescent="0.5">
      <c r="A305" s="4">
        <v>1</v>
      </c>
      <c r="B305" s="171">
        <f>SUBTOTAL(103,$A$8:A305)</f>
        <v>294</v>
      </c>
      <c r="C305" s="323" t="s">
        <v>2510</v>
      </c>
      <c r="D305" s="324">
        <f t="shared" si="11"/>
        <v>225772</v>
      </c>
      <c r="E305" s="325">
        <v>0</v>
      </c>
      <c r="F305" s="325">
        <v>0</v>
      </c>
      <c r="G305" s="325">
        <v>0</v>
      </c>
      <c r="H305" s="325">
        <v>0</v>
      </c>
      <c r="I305" s="325">
        <v>0</v>
      </c>
      <c r="J305" s="325">
        <v>0</v>
      </c>
      <c r="K305" s="326">
        <v>0</v>
      </c>
      <c r="L305" s="325">
        <v>0</v>
      </c>
      <c r="M305" s="325">
        <v>0</v>
      </c>
      <c r="N305" s="325">
        <v>225772</v>
      </c>
      <c r="O305" s="325">
        <v>0</v>
      </c>
      <c r="P305" s="325">
        <v>0</v>
      </c>
      <c r="Q305" s="325">
        <v>0</v>
      </c>
      <c r="R305" s="325">
        <v>0</v>
      </c>
      <c r="S305" s="325">
        <v>0</v>
      </c>
      <c r="T305" s="325">
        <v>0</v>
      </c>
      <c r="U305" s="325">
        <v>0</v>
      </c>
      <c r="V305" s="325">
        <v>0</v>
      </c>
      <c r="W305" s="325">
        <v>0</v>
      </c>
      <c r="X305" s="325">
        <v>0</v>
      </c>
      <c r="Y305" s="325">
        <v>0</v>
      </c>
      <c r="Z305" s="325">
        <v>0</v>
      </c>
      <c r="AA305" s="325">
        <v>0</v>
      </c>
      <c r="AB305" s="327">
        <v>2020</v>
      </c>
      <c r="AD305" s="4">
        <v>0</v>
      </c>
    </row>
    <row r="306" spans="1:30" s="4" customFormat="1" ht="35.25" customHeight="1" x14ac:dyDescent="0.5">
      <c r="A306" s="4">
        <v>1</v>
      </c>
      <c r="B306" s="171">
        <f>SUBTOTAL(103,$A$8:A306)</f>
        <v>295</v>
      </c>
      <c r="C306" s="323" t="s">
        <v>2511</v>
      </c>
      <c r="D306" s="324">
        <f t="shared" si="11"/>
        <v>611554.78</v>
      </c>
      <c r="E306" s="325">
        <v>0</v>
      </c>
      <c r="F306" s="325">
        <v>0</v>
      </c>
      <c r="G306" s="325">
        <v>0</v>
      </c>
      <c r="H306" s="325">
        <v>0</v>
      </c>
      <c r="I306" s="325">
        <v>0</v>
      </c>
      <c r="J306" s="325">
        <v>0</v>
      </c>
      <c r="K306" s="326">
        <v>0</v>
      </c>
      <c r="L306" s="325">
        <v>0</v>
      </c>
      <c r="M306" s="325">
        <v>0</v>
      </c>
      <c r="N306" s="325">
        <v>0</v>
      </c>
      <c r="O306" s="325">
        <v>611554.78</v>
      </c>
      <c r="P306" s="325">
        <v>0</v>
      </c>
      <c r="Q306" s="325">
        <v>0</v>
      </c>
      <c r="R306" s="325">
        <v>0</v>
      </c>
      <c r="S306" s="325">
        <v>0</v>
      </c>
      <c r="T306" s="325">
        <v>0</v>
      </c>
      <c r="U306" s="325">
        <v>0</v>
      </c>
      <c r="V306" s="325">
        <v>0</v>
      </c>
      <c r="W306" s="325">
        <v>0</v>
      </c>
      <c r="X306" s="325">
        <v>0</v>
      </c>
      <c r="Y306" s="325">
        <v>0</v>
      </c>
      <c r="Z306" s="325">
        <v>0</v>
      </c>
      <c r="AA306" s="325">
        <v>0</v>
      </c>
      <c r="AB306" s="327">
        <v>2020</v>
      </c>
      <c r="AD306" s="4">
        <v>0</v>
      </c>
    </row>
    <row r="307" spans="1:30" s="4" customFormat="1" ht="35.25" customHeight="1" x14ac:dyDescent="0.5">
      <c r="A307" s="4">
        <v>1</v>
      </c>
      <c r="B307" s="171">
        <f>SUBTOTAL(103,$A$8:A307)</f>
        <v>296</v>
      </c>
      <c r="C307" s="323" t="s">
        <v>2063</v>
      </c>
      <c r="D307" s="324">
        <f t="shared" si="11"/>
        <v>1642029.6</v>
      </c>
      <c r="E307" s="325">
        <v>0</v>
      </c>
      <c r="F307" s="325">
        <v>0</v>
      </c>
      <c r="G307" s="325">
        <v>721737.6</v>
      </c>
      <c r="H307" s="325">
        <v>0</v>
      </c>
      <c r="I307" s="325">
        <v>0</v>
      </c>
      <c r="J307" s="325">
        <v>0</v>
      </c>
      <c r="K307" s="326">
        <v>0</v>
      </c>
      <c r="L307" s="325">
        <v>0</v>
      </c>
      <c r="M307" s="325">
        <v>920292</v>
      </c>
      <c r="N307" s="325">
        <v>0</v>
      </c>
      <c r="O307" s="325">
        <v>0</v>
      </c>
      <c r="P307" s="325">
        <v>0</v>
      </c>
      <c r="Q307" s="325">
        <v>0</v>
      </c>
      <c r="R307" s="325">
        <v>0</v>
      </c>
      <c r="S307" s="325">
        <v>0</v>
      </c>
      <c r="T307" s="325">
        <v>0</v>
      </c>
      <c r="U307" s="325">
        <v>0</v>
      </c>
      <c r="V307" s="325">
        <v>0</v>
      </c>
      <c r="W307" s="325">
        <v>0</v>
      </c>
      <c r="X307" s="325">
        <v>0</v>
      </c>
      <c r="Y307" s="325">
        <v>0</v>
      </c>
      <c r="Z307" s="325">
        <v>0</v>
      </c>
      <c r="AA307" s="325">
        <v>0</v>
      </c>
      <c r="AB307" s="327">
        <v>2020</v>
      </c>
      <c r="AD307" s="4">
        <v>0</v>
      </c>
    </row>
    <row r="308" spans="1:30" s="4" customFormat="1" ht="35.25" customHeight="1" x14ac:dyDescent="0.5">
      <c r="A308" s="4">
        <v>1</v>
      </c>
      <c r="B308" s="171">
        <f>SUBTOTAL(103,$A$8:A308)</f>
        <v>297</v>
      </c>
      <c r="C308" s="323" t="s">
        <v>2064</v>
      </c>
      <c r="D308" s="324">
        <f t="shared" si="11"/>
        <v>1680000</v>
      </c>
      <c r="E308" s="325">
        <v>0</v>
      </c>
      <c r="F308" s="325">
        <v>0</v>
      </c>
      <c r="G308" s="325">
        <v>1680000</v>
      </c>
      <c r="H308" s="325">
        <v>0</v>
      </c>
      <c r="I308" s="325">
        <v>0</v>
      </c>
      <c r="J308" s="325">
        <v>0</v>
      </c>
      <c r="K308" s="326">
        <v>0</v>
      </c>
      <c r="L308" s="325">
        <v>0</v>
      </c>
      <c r="M308" s="325">
        <v>0</v>
      </c>
      <c r="N308" s="325">
        <v>0</v>
      </c>
      <c r="O308" s="325">
        <v>0</v>
      </c>
      <c r="P308" s="325">
        <v>0</v>
      </c>
      <c r="Q308" s="325">
        <v>0</v>
      </c>
      <c r="R308" s="325">
        <v>0</v>
      </c>
      <c r="S308" s="325">
        <v>0</v>
      </c>
      <c r="T308" s="325">
        <v>0</v>
      </c>
      <c r="U308" s="325">
        <v>0</v>
      </c>
      <c r="V308" s="325">
        <v>0</v>
      </c>
      <c r="W308" s="325">
        <v>0</v>
      </c>
      <c r="X308" s="325">
        <v>0</v>
      </c>
      <c r="Y308" s="325">
        <v>0</v>
      </c>
      <c r="Z308" s="325">
        <v>0</v>
      </c>
      <c r="AA308" s="325">
        <v>0</v>
      </c>
      <c r="AB308" s="327">
        <v>2020</v>
      </c>
      <c r="AD308" s="4" t="e">
        <v>#N/A</v>
      </c>
    </row>
    <row r="309" spans="1:30" s="4" customFormat="1" ht="35.25" customHeight="1" x14ac:dyDescent="0.5">
      <c r="A309" s="4">
        <v>1</v>
      </c>
      <c r="B309" s="171">
        <f>SUBTOTAL(103,$A$8:A309)</f>
        <v>298</v>
      </c>
      <c r="C309" s="323" t="s">
        <v>2065</v>
      </c>
      <c r="D309" s="324">
        <f t="shared" si="11"/>
        <v>1112945</v>
      </c>
      <c r="E309" s="325">
        <v>0</v>
      </c>
      <c r="F309" s="325">
        <v>0</v>
      </c>
      <c r="G309" s="325">
        <v>0</v>
      </c>
      <c r="H309" s="325">
        <v>180729</v>
      </c>
      <c r="I309" s="325">
        <v>0</v>
      </c>
      <c r="J309" s="325">
        <v>0</v>
      </c>
      <c r="K309" s="326">
        <v>0</v>
      </c>
      <c r="L309" s="325">
        <v>0</v>
      </c>
      <c r="M309" s="325">
        <v>932216</v>
      </c>
      <c r="N309" s="325">
        <v>0</v>
      </c>
      <c r="O309" s="325">
        <v>0</v>
      </c>
      <c r="P309" s="325">
        <v>0</v>
      </c>
      <c r="Q309" s="325">
        <v>0</v>
      </c>
      <c r="R309" s="325">
        <v>0</v>
      </c>
      <c r="S309" s="325">
        <v>0</v>
      </c>
      <c r="T309" s="325">
        <v>0</v>
      </c>
      <c r="U309" s="325">
        <v>0</v>
      </c>
      <c r="V309" s="325">
        <v>0</v>
      </c>
      <c r="W309" s="325">
        <v>0</v>
      </c>
      <c r="X309" s="325">
        <v>0</v>
      </c>
      <c r="Y309" s="325">
        <v>0</v>
      </c>
      <c r="Z309" s="325">
        <v>0</v>
      </c>
      <c r="AA309" s="325">
        <v>0</v>
      </c>
      <c r="AB309" s="327">
        <v>2020</v>
      </c>
      <c r="AD309" s="4" t="e">
        <v>#N/A</v>
      </c>
    </row>
    <row r="310" spans="1:30" s="4" customFormat="1" ht="35.25" customHeight="1" x14ac:dyDescent="0.5">
      <c r="A310" s="4">
        <v>1</v>
      </c>
      <c r="B310" s="171">
        <f>SUBTOTAL(103,$A$8:A310)</f>
        <v>299</v>
      </c>
      <c r="C310" s="323" t="s">
        <v>2066</v>
      </c>
      <c r="D310" s="324">
        <f t="shared" si="11"/>
        <v>202793.01</v>
      </c>
      <c r="E310" s="325">
        <v>0</v>
      </c>
      <c r="F310" s="325">
        <v>0</v>
      </c>
      <c r="G310" s="325">
        <v>0</v>
      </c>
      <c r="H310" s="325">
        <v>0</v>
      </c>
      <c r="I310" s="325">
        <v>0</v>
      </c>
      <c r="J310" s="325">
        <v>0</v>
      </c>
      <c r="K310" s="326">
        <v>0</v>
      </c>
      <c r="L310" s="325">
        <v>0</v>
      </c>
      <c r="M310" s="325">
        <v>0</v>
      </c>
      <c r="N310" s="325">
        <v>0</v>
      </c>
      <c r="O310" s="325">
        <v>0</v>
      </c>
      <c r="P310" s="325">
        <v>202793.01</v>
      </c>
      <c r="Q310" s="325">
        <v>0</v>
      </c>
      <c r="R310" s="325">
        <v>0</v>
      </c>
      <c r="S310" s="325">
        <v>0</v>
      </c>
      <c r="T310" s="325">
        <v>0</v>
      </c>
      <c r="U310" s="325">
        <v>0</v>
      </c>
      <c r="V310" s="325">
        <v>0</v>
      </c>
      <c r="W310" s="325">
        <v>0</v>
      </c>
      <c r="X310" s="325">
        <v>0</v>
      </c>
      <c r="Y310" s="325">
        <v>0</v>
      </c>
      <c r="Z310" s="325">
        <v>0</v>
      </c>
      <c r="AA310" s="325">
        <v>0</v>
      </c>
      <c r="AB310" s="327">
        <v>2020</v>
      </c>
      <c r="AD310" s="4">
        <v>0</v>
      </c>
    </row>
    <row r="311" spans="1:30" s="4" customFormat="1" ht="35.25" customHeight="1" x14ac:dyDescent="0.5">
      <c r="A311" s="4">
        <v>1</v>
      </c>
      <c r="B311" s="171">
        <f>SUBTOTAL(103,$A$8:A311)</f>
        <v>300</v>
      </c>
      <c r="C311" s="323" t="s">
        <v>2512</v>
      </c>
      <c r="D311" s="324">
        <f t="shared" si="11"/>
        <v>384804</v>
      </c>
      <c r="E311" s="325">
        <v>0</v>
      </c>
      <c r="F311" s="325">
        <v>0</v>
      </c>
      <c r="G311" s="325">
        <v>0</v>
      </c>
      <c r="H311" s="325">
        <v>384804</v>
      </c>
      <c r="I311" s="325">
        <v>0</v>
      </c>
      <c r="J311" s="325">
        <v>0</v>
      </c>
      <c r="K311" s="326">
        <v>0</v>
      </c>
      <c r="L311" s="325">
        <v>0</v>
      </c>
      <c r="M311" s="325">
        <v>0</v>
      </c>
      <c r="N311" s="325">
        <v>0</v>
      </c>
      <c r="O311" s="325">
        <v>0</v>
      </c>
      <c r="P311" s="325">
        <v>0</v>
      </c>
      <c r="Q311" s="325">
        <v>0</v>
      </c>
      <c r="R311" s="325">
        <v>0</v>
      </c>
      <c r="S311" s="325">
        <v>0</v>
      </c>
      <c r="T311" s="325">
        <v>0</v>
      </c>
      <c r="U311" s="325">
        <v>0</v>
      </c>
      <c r="V311" s="325">
        <v>0</v>
      </c>
      <c r="W311" s="325">
        <v>0</v>
      </c>
      <c r="X311" s="325">
        <v>0</v>
      </c>
      <c r="Y311" s="325">
        <v>0</v>
      </c>
      <c r="Z311" s="325">
        <v>0</v>
      </c>
      <c r="AA311" s="325">
        <v>0</v>
      </c>
      <c r="AB311" s="327">
        <v>2020</v>
      </c>
      <c r="AD311" s="4">
        <v>0</v>
      </c>
    </row>
    <row r="312" spans="1:30" s="4" customFormat="1" ht="35.25" customHeight="1" x14ac:dyDescent="0.5">
      <c r="A312" s="4">
        <v>1</v>
      </c>
      <c r="B312" s="171">
        <f>SUBTOTAL(103,$A$8:A312)</f>
        <v>301</v>
      </c>
      <c r="C312" s="323" t="s">
        <v>2513</v>
      </c>
      <c r="D312" s="324">
        <f t="shared" si="11"/>
        <v>125000</v>
      </c>
      <c r="E312" s="325">
        <v>0</v>
      </c>
      <c r="F312" s="325">
        <v>0</v>
      </c>
      <c r="G312" s="325">
        <v>0</v>
      </c>
      <c r="H312" s="325">
        <v>0</v>
      </c>
      <c r="I312" s="325">
        <v>0</v>
      </c>
      <c r="J312" s="325">
        <v>0</v>
      </c>
      <c r="K312" s="326">
        <v>0</v>
      </c>
      <c r="L312" s="325">
        <v>0</v>
      </c>
      <c r="M312" s="325">
        <v>125000</v>
      </c>
      <c r="N312" s="325">
        <v>0</v>
      </c>
      <c r="O312" s="325">
        <v>0</v>
      </c>
      <c r="P312" s="325">
        <v>0</v>
      </c>
      <c r="Q312" s="325">
        <v>0</v>
      </c>
      <c r="R312" s="325">
        <v>0</v>
      </c>
      <c r="S312" s="325">
        <v>0</v>
      </c>
      <c r="T312" s="325">
        <v>0</v>
      </c>
      <c r="U312" s="325">
        <v>0</v>
      </c>
      <c r="V312" s="325">
        <v>0</v>
      </c>
      <c r="W312" s="325">
        <v>0</v>
      </c>
      <c r="X312" s="325">
        <v>0</v>
      </c>
      <c r="Y312" s="325">
        <v>0</v>
      </c>
      <c r="Z312" s="325">
        <v>0</v>
      </c>
      <c r="AA312" s="325">
        <v>0</v>
      </c>
      <c r="AB312" s="327">
        <v>2020</v>
      </c>
      <c r="AD312" s="4">
        <v>0</v>
      </c>
    </row>
    <row r="313" spans="1:30" s="4" customFormat="1" ht="35.25" customHeight="1" x14ac:dyDescent="0.5">
      <c r="A313" s="4">
        <v>1</v>
      </c>
      <c r="B313" s="171">
        <f>SUBTOTAL(103,$A$8:A313)</f>
        <v>302</v>
      </c>
      <c r="C313" s="323" t="s">
        <v>2514</v>
      </c>
      <c r="D313" s="324">
        <f t="shared" si="11"/>
        <v>480000</v>
      </c>
      <c r="E313" s="325">
        <v>0</v>
      </c>
      <c r="F313" s="325">
        <v>0</v>
      </c>
      <c r="G313" s="325">
        <v>0</v>
      </c>
      <c r="H313" s="325">
        <v>0</v>
      </c>
      <c r="I313" s="325">
        <v>0</v>
      </c>
      <c r="J313" s="325">
        <v>0</v>
      </c>
      <c r="K313" s="326">
        <v>0</v>
      </c>
      <c r="L313" s="325">
        <v>0</v>
      </c>
      <c r="M313" s="325">
        <v>480000</v>
      </c>
      <c r="N313" s="325">
        <v>0</v>
      </c>
      <c r="O313" s="325">
        <v>0</v>
      </c>
      <c r="P313" s="325">
        <v>0</v>
      </c>
      <c r="Q313" s="325">
        <v>0</v>
      </c>
      <c r="R313" s="325">
        <v>0</v>
      </c>
      <c r="S313" s="325">
        <v>0</v>
      </c>
      <c r="T313" s="325">
        <v>0</v>
      </c>
      <c r="U313" s="325">
        <v>0</v>
      </c>
      <c r="V313" s="325">
        <v>0</v>
      </c>
      <c r="W313" s="325">
        <v>0</v>
      </c>
      <c r="X313" s="325">
        <v>0</v>
      </c>
      <c r="Y313" s="325">
        <v>0</v>
      </c>
      <c r="Z313" s="325">
        <v>0</v>
      </c>
      <c r="AA313" s="325">
        <v>0</v>
      </c>
      <c r="AB313" s="327">
        <v>2020</v>
      </c>
      <c r="AD313" s="4">
        <v>0</v>
      </c>
    </row>
    <row r="314" spans="1:30" s="4" customFormat="1" ht="35.25" customHeight="1" x14ac:dyDescent="0.5">
      <c r="A314" s="4">
        <v>1</v>
      </c>
      <c r="B314" s="171">
        <f>SUBTOTAL(103,$A$8:A314)</f>
        <v>303</v>
      </c>
      <c r="C314" s="323" t="s">
        <v>2067</v>
      </c>
      <c r="D314" s="324">
        <f t="shared" si="11"/>
        <v>1541544</v>
      </c>
      <c r="E314" s="325">
        <v>0</v>
      </c>
      <c r="F314" s="325">
        <v>0</v>
      </c>
      <c r="G314" s="325">
        <v>0</v>
      </c>
      <c r="H314" s="325">
        <v>0</v>
      </c>
      <c r="I314" s="325">
        <v>0</v>
      </c>
      <c r="J314" s="325">
        <v>0</v>
      </c>
      <c r="K314" s="326">
        <v>0</v>
      </c>
      <c r="L314" s="325">
        <v>0</v>
      </c>
      <c r="M314" s="325">
        <v>0</v>
      </c>
      <c r="N314" s="325">
        <v>0</v>
      </c>
      <c r="O314" s="325">
        <v>1541544</v>
      </c>
      <c r="P314" s="325">
        <v>0</v>
      </c>
      <c r="Q314" s="325">
        <v>0</v>
      </c>
      <c r="R314" s="325">
        <v>0</v>
      </c>
      <c r="S314" s="325">
        <v>0</v>
      </c>
      <c r="T314" s="325">
        <v>0</v>
      </c>
      <c r="U314" s="325">
        <v>0</v>
      </c>
      <c r="V314" s="325">
        <v>0</v>
      </c>
      <c r="W314" s="325">
        <v>0</v>
      </c>
      <c r="X314" s="325">
        <v>0</v>
      </c>
      <c r="Y314" s="325">
        <v>0</v>
      </c>
      <c r="Z314" s="325">
        <v>0</v>
      </c>
      <c r="AA314" s="325">
        <v>0</v>
      </c>
      <c r="AB314" s="327">
        <v>2020</v>
      </c>
      <c r="AD314" s="4">
        <v>0</v>
      </c>
    </row>
    <row r="315" spans="1:30" s="4" customFormat="1" ht="35.25" customHeight="1" x14ac:dyDescent="0.5">
      <c r="A315" s="4">
        <v>1</v>
      </c>
      <c r="B315" s="171">
        <f>SUBTOTAL(103,$A$8:A315)</f>
        <v>304</v>
      </c>
      <c r="C315" s="323" t="s">
        <v>2068</v>
      </c>
      <c r="D315" s="324">
        <f t="shared" si="11"/>
        <v>212766.8</v>
      </c>
      <c r="E315" s="325">
        <v>0</v>
      </c>
      <c r="F315" s="325">
        <v>0</v>
      </c>
      <c r="G315" s="325">
        <v>0</v>
      </c>
      <c r="H315" s="325">
        <v>0</v>
      </c>
      <c r="I315" s="325">
        <v>0</v>
      </c>
      <c r="J315" s="325">
        <v>0</v>
      </c>
      <c r="K315" s="326">
        <v>0</v>
      </c>
      <c r="L315" s="325">
        <v>0</v>
      </c>
      <c r="M315" s="325">
        <v>0</v>
      </c>
      <c r="N315" s="325">
        <v>0</v>
      </c>
      <c r="O315" s="325">
        <v>212766.8</v>
      </c>
      <c r="P315" s="325">
        <v>0</v>
      </c>
      <c r="Q315" s="325">
        <v>0</v>
      </c>
      <c r="R315" s="325">
        <v>0</v>
      </c>
      <c r="S315" s="325">
        <v>0</v>
      </c>
      <c r="T315" s="325">
        <v>0</v>
      </c>
      <c r="U315" s="325">
        <v>0</v>
      </c>
      <c r="V315" s="325">
        <v>0</v>
      </c>
      <c r="W315" s="325">
        <v>0</v>
      </c>
      <c r="X315" s="325">
        <v>0</v>
      </c>
      <c r="Y315" s="325">
        <v>0</v>
      </c>
      <c r="Z315" s="325">
        <v>0</v>
      </c>
      <c r="AA315" s="325">
        <v>0</v>
      </c>
      <c r="AB315" s="327">
        <v>2020</v>
      </c>
      <c r="AD315" s="4">
        <v>0</v>
      </c>
    </row>
    <row r="316" spans="1:30" s="4" customFormat="1" ht="35.25" customHeight="1" x14ac:dyDescent="0.5">
      <c r="A316" s="4">
        <v>1</v>
      </c>
      <c r="B316" s="171">
        <f>SUBTOTAL(103,$A$8:A316)</f>
        <v>305</v>
      </c>
      <c r="C316" s="323" t="s">
        <v>2515</v>
      </c>
      <c r="D316" s="324">
        <f t="shared" si="11"/>
        <v>310000</v>
      </c>
      <c r="E316" s="325">
        <v>0</v>
      </c>
      <c r="F316" s="325">
        <v>0</v>
      </c>
      <c r="G316" s="325">
        <v>0</v>
      </c>
      <c r="H316" s="325">
        <v>0</v>
      </c>
      <c r="I316" s="325">
        <v>0</v>
      </c>
      <c r="J316" s="325">
        <v>0</v>
      </c>
      <c r="K316" s="325">
        <v>0</v>
      </c>
      <c r="L316" s="325">
        <v>0</v>
      </c>
      <c r="M316" s="325">
        <v>310000</v>
      </c>
      <c r="N316" s="325">
        <v>0</v>
      </c>
      <c r="O316" s="325">
        <v>0</v>
      </c>
      <c r="P316" s="325">
        <v>0</v>
      </c>
      <c r="Q316" s="325">
        <v>0</v>
      </c>
      <c r="R316" s="325">
        <v>0</v>
      </c>
      <c r="S316" s="325">
        <v>0</v>
      </c>
      <c r="T316" s="325">
        <v>0</v>
      </c>
      <c r="U316" s="325">
        <v>0</v>
      </c>
      <c r="V316" s="325">
        <v>0</v>
      </c>
      <c r="W316" s="325">
        <v>0</v>
      </c>
      <c r="X316" s="325">
        <v>0</v>
      </c>
      <c r="Y316" s="325">
        <v>0</v>
      </c>
      <c r="Z316" s="325">
        <v>0</v>
      </c>
      <c r="AA316" s="325">
        <v>0</v>
      </c>
      <c r="AB316" s="327">
        <v>2020</v>
      </c>
      <c r="AD316" s="4">
        <v>0</v>
      </c>
    </row>
    <row r="317" spans="1:30" s="4" customFormat="1" ht="35.25" customHeight="1" x14ac:dyDescent="0.5">
      <c r="A317" s="4">
        <v>1</v>
      </c>
      <c r="B317" s="171">
        <f>SUBTOTAL(103,$A$8:A317)</f>
        <v>306</v>
      </c>
      <c r="C317" s="323" t="s">
        <v>2069</v>
      </c>
      <c r="D317" s="324">
        <f t="shared" si="11"/>
        <v>566760</v>
      </c>
      <c r="E317" s="325">
        <v>0</v>
      </c>
      <c r="F317" s="325">
        <v>0</v>
      </c>
      <c r="G317" s="325">
        <v>566760</v>
      </c>
      <c r="H317" s="325">
        <v>0</v>
      </c>
      <c r="I317" s="325">
        <v>0</v>
      </c>
      <c r="J317" s="325">
        <v>0</v>
      </c>
      <c r="K317" s="326">
        <v>0</v>
      </c>
      <c r="L317" s="325">
        <v>0</v>
      </c>
      <c r="M317" s="325">
        <v>0</v>
      </c>
      <c r="N317" s="325">
        <v>0</v>
      </c>
      <c r="O317" s="325">
        <v>0</v>
      </c>
      <c r="P317" s="325">
        <v>0</v>
      </c>
      <c r="Q317" s="325">
        <v>0</v>
      </c>
      <c r="R317" s="325">
        <v>0</v>
      </c>
      <c r="S317" s="325">
        <v>0</v>
      </c>
      <c r="T317" s="325">
        <v>0</v>
      </c>
      <c r="U317" s="325">
        <v>0</v>
      </c>
      <c r="V317" s="325">
        <v>0</v>
      </c>
      <c r="W317" s="325">
        <v>0</v>
      </c>
      <c r="X317" s="325">
        <v>0</v>
      </c>
      <c r="Y317" s="325">
        <v>0</v>
      </c>
      <c r="Z317" s="325">
        <v>0</v>
      </c>
      <c r="AA317" s="325">
        <v>0</v>
      </c>
      <c r="AB317" s="327">
        <v>2020</v>
      </c>
      <c r="AD317" s="4" t="e">
        <v>#N/A</v>
      </c>
    </row>
    <row r="318" spans="1:30" s="4" customFormat="1" ht="35.25" customHeight="1" x14ac:dyDescent="0.5">
      <c r="A318" s="4">
        <v>1</v>
      </c>
      <c r="B318" s="171">
        <f>SUBTOTAL(103,$A$8:A318)</f>
        <v>307</v>
      </c>
      <c r="C318" s="323" t="s">
        <v>1791</v>
      </c>
      <c r="D318" s="324">
        <f t="shared" si="11"/>
        <v>391550</v>
      </c>
      <c r="E318" s="325">
        <v>0</v>
      </c>
      <c r="F318" s="325">
        <v>0</v>
      </c>
      <c r="G318" s="325">
        <v>0</v>
      </c>
      <c r="H318" s="325">
        <v>0</v>
      </c>
      <c r="I318" s="325">
        <v>0</v>
      </c>
      <c r="J318" s="325">
        <v>0</v>
      </c>
      <c r="K318" s="326">
        <v>0</v>
      </c>
      <c r="L318" s="325">
        <v>0</v>
      </c>
      <c r="M318" s="325">
        <v>0</v>
      </c>
      <c r="N318" s="325">
        <v>0</v>
      </c>
      <c r="O318" s="325">
        <v>391550</v>
      </c>
      <c r="P318" s="325">
        <v>0</v>
      </c>
      <c r="Q318" s="325">
        <v>0</v>
      </c>
      <c r="R318" s="325">
        <v>0</v>
      </c>
      <c r="S318" s="325">
        <v>0</v>
      </c>
      <c r="T318" s="325">
        <v>0</v>
      </c>
      <c r="U318" s="325">
        <v>0</v>
      </c>
      <c r="V318" s="325">
        <v>0</v>
      </c>
      <c r="W318" s="325">
        <v>0</v>
      </c>
      <c r="X318" s="325">
        <v>0</v>
      </c>
      <c r="Y318" s="325">
        <v>0</v>
      </c>
      <c r="Z318" s="325">
        <v>0</v>
      </c>
      <c r="AA318" s="325">
        <v>0</v>
      </c>
      <c r="AB318" s="327">
        <v>2020</v>
      </c>
      <c r="AD318" s="4" t="e">
        <v>#N/A</v>
      </c>
    </row>
    <row r="319" spans="1:30" s="4" customFormat="1" ht="35.25" customHeight="1" x14ac:dyDescent="0.5">
      <c r="A319" s="4">
        <v>1</v>
      </c>
      <c r="B319" s="171">
        <f>SUBTOTAL(103,$A$8:A319)</f>
        <v>308</v>
      </c>
      <c r="C319" s="323" t="s">
        <v>2354</v>
      </c>
      <c r="D319" s="324">
        <f t="shared" si="11"/>
        <v>1569463</v>
      </c>
      <c r="E319" s="325">
        <v>0</v>
      </c>
      <c r="F319" s="325">
        <v>0</v>
      </c>
      <c r="G319" s="325">
        <v>0</v>
      </c>
      <c r="H319" s="325">
        <v>0</v>
      </c>
      <c r="I319" s="325">
        <v>0</v>
      </c>
      <c r="J319" s="325">
        <v>0</v>
      </c>
      <c r="K319" s="326">
        <v>0</v>
      </c>
      <c r="L319" s="325">
        <v>0</v>
      </c>
      <c r="M319" s="325">
        <v>1569463</v>
      </c>
      <c r="N319" s="325">
        <v>0</v>
      </c>
      <c r="O319" s="325">
        <v>0</v>
      </c>
      <c r="P319" s="325">
        <v>0</v>
      </c>
      <c r="Q319" s="325">
        <v>0</v>
      </c>
      <c r="R319" s="325">
        <v>0</v>
      </c>
      <c r="S319" s="325">
        <v>0</v>
      </c>
      <c r="T319" s="325">
        <v>0</v>
      </c>
      <c r="U319" s="325">
        <v>0</v>
      </c>
      <c r="V319" s="325">
        <v>0</v>
      </c>
      <c r="W319" s="325">
        <v>0</v>
      </c>
      <c r="X319" s="325">
        <v>0</v>
      </c>
      <c r="Y319" s="325">
        <v>0</v>
      </c>
      <c r="Z319" s="325">
        <v>0</v>
      </c>
      <c r="AA319" s="325">
        <v>0</v>
      </c>
      <c r="AB319" s="327">
        <v>2020</v>
      </c>
      <c r="AD319" s="4" t="e">
        <v>#N/A</v>
      </c>
    </row>
    <row r="320" spans="1:30" s="4" customFormat="1" ht="35.25" customHeight="1" x14ac:dyDescent="0.5">
      <c r="A320" s="4">
        <v>1</v>
      </c>
      <c r="B320" s="171">
        <f>SUBTOTAL(103,$A$8:A320)</f>
        <v>309</v>
      </c>
      <c r="C320" s="323" t="s">
        <v>2355</v>
      </c>
      <c r="D320" s="324">
        <f t="shared" si="11"/>
        <v>297000</v>
      </c>
      <c r="E320" s="325">
        <v>0</v>
      </c>
      <c r="F320" s="325">
        <v>0</v>
      </c>
      <c r="G320" s="325">
        <v>0</v>
      </c>
      <c r="H320" s="325">
        <v>0</v>
      </c>
      <c r="I320" s="325">
        <v>0</v>
      </c>
      <c r="J320" s="325">
        <v>0</v>
      </c>
      <c r="K320" s="326">
        <v>0</v>
      </c>
      <c r="L320" s="325">
        <v>0</v>
      </c>
      <c r="M320" s="325">
        <v>0</v>
      </c>
      <c r="N320" s="325">
        <v>297000</v>
      </c>
      <c r="O320" s="325">
        <v>0</v>
      </c>
      <c r="P320" s="325">
        <v>0</v>
      </c>
      <c r="Q320" s="325">
        <v>0</v>
      </c>
      <c r="R320" s="325">
        <v>0</v>
      </c>
      <c r="S320" s="325">
        <v>0</v>
      </c>
      <c r="T320" s="325">
        <v>0</v>
      </c>
      <c r="U320" s="325">
        <v>0</v>
      </c>
      <c r="V320" s="325">
        <v>0</v>
      </c>
      <c r="W320" s="325">
        <v>0</v>
      </c>
      <c r="X320" s="325">
        <v>0</v>
      </c>
      <c r="Y320" s="325">
        <v>0</v>
      </c>
      <c r="Z320" s="325">
        <v>0</v>
      </c>
      <c r="AA320" s="325">
        <v>0</v>
      </c>
      <c r="AB320" s="327">
        <v>2020</v>
      </c>
      <c r="AD320" s="4" t="e">
        <v>#N/A</v>
      </c>
    </row>
    <row r="321" spans="1:30" s="4" customFormat="1" ht="35.25" customHeight="1" x14ac:dyDescent="0.5">
      <c r="B321" s="394" t="s">
        <v>752</v>
      </c>
      <c r="C321" s="323"/>
      <c r="D321" s="324">
        <f>SUM(D322:D471)</f>
        <v>124957701.68999997</v>
      </c>
      <c r="E321" s="324">
        <f t="shared" ref="E321:AA321" si="12">SUM(E322:E471)</f>
        <v>1283645.21</v>
      </c>
      <c r="F321" s="324">
        <f t="shared" si="12"/>
        <v>702173</v>
      </c>
      <c r="G321" s="324">
        <f t="shared" si="12"/>
        <v>5408031.8600000003</v>
      </c>
      <c r="H321" s="324">
        <f t="shared" si="12"/>
        <v>853696</v>
      </c>
      <c r="I321" s="324">
        <f t="shared" si="12"/>
        <v>1727276.42</v>
      </c>
      <c r="J321" s="324">
        <f t="shared" si="12"/>
        <v>0</v>
      </c>
      <c r="K321" s="399">
        <f t="shared" si="12"/>
        <v>21</v>
      </c>
      <c r="L321" s="324">
        <f t="shared" si="12"/>
        <v>33141534.559999999</v>
      </c>
      <c r="M321" s="324">
        <f t="shared" si="12"/>
        <v>44833258.649999991</v>
      </c>
      <c r="N321" s="324">
        <f t="shared" si="12"/>
        <v>0</v>
      </c>
      <c r="O321" s="324">
        <f t="shared" si="12"/>
        <v>35876924.49000001</v>
      </c>
      <c r="P321" s="324">
        <f t="shared" si="12"/>
        <v>1131161.5</v>
      </c>
      <c r="Q321" s="324">
        <f t="shared" si="12"/>
        <v>0</v>
      </c>
      <c r="R321" s="324">
        <f t="shared" si="12"/>
        <v>0</v>
      </c>
      <c r="S321" s="324">
        <f t="shared" si="12"/>
        <v>0</v>
      </c>
      <c r="T321" s="324">
        <f t="shared" si="12"/>
        <v>0</v>
      </c>
      <c r="U321" s="324">
        <f t="shared" si="12"/>
        <v>0</v>
      </c>
      <c r="V321" s="324">
        <f t="shared" si="12"/>
        <v>0</v>
      </c>
      <c r="W321" s="324">
        <f t="shared" si="12"/>
        <v>0</v>
      </c>
      <c r="X321" s="324">
        <f t="shared" si="12"/>
        <v>0</v>
      </c>
      <c r="Y321" s="324">
        <f t="shared" si="12"/>
        <v>0</v>
      </c>
      <c r="Z321" s="324">
        <f t="shared" si="12"/>
        <v>0</v>
      </c>
      <c r="AA321" s="324">
        <f t="shared" si="12"/>
        <v>0</v>
      </c>
      <c r="AB321" s="396" t="s">
        <v>882</v>
      </c>
    </row>
    <row r="322" spans="1:30" s="4" customFormat="1" ht="35.25" customHeight="1" x14ac:dyDescent="0.5">
      <c r="A322" s="4">
        <v>1</v>
      </c>
      <c r="B322" s="171">
        <f>SUBTOTAL(103,$A$8:A322)</f>
        <v>310</v>
      </c>
      <c r="C322" s="323" t="s">
        <v>1792</v>
      </c>
      <c r="D322" s="324">
        <f t="shared" ref="D322:D387" si="13">E322+F322+G322+H322+I322+J322+L322+M322+N322+O322+P322+Q322+R322+S322+T322+U322+V322+W322+X322+Y322+Z322+AA322</f>
        <v>523951</v>
      </c>
      <c r="E322" s="325">
        <v>0</v>
      </c>
      <c r="F322" s="325">
        <v>0</v>
      </c>
      <c r="G322" s="325">
        <v>0</v>
      </c>
      <c r="H322" s="325">
        <v>0</v>
      </c>
      <c r="I322" s="325">
        <v>0</v>
      </c>
      <c r="J322" s="325">
        <v>0</v>
      </c>
      <c r="K322" s="326">
        <v>0</v>
      </c>
      <c r="L322" s="325">
        <v>0</v>
      </c>
      <c r="M322" s="325">
        <v>523951</v>
      </c>
      <c r="N322" s="325">
        <v>0</v>
      </c>
      <c r="O322" s="325">
        <v>0</v>
      </c>
      <c r="P322" s="325">
        <v>0</v>
      </c>
      <c r="Q322" s="325">
        <v>0</v>
      </c>
      <c r="R322" s="325">
        <v>0</v>
      </c>
      <c r="S322" s="325">
        <v>0</v>
      </c>
      <c r="T322" s="325">
        <v>0</v>
      </c>
      <c r="U322" s="325">
        <v>0</v>
      </c>
      <c r="V322" s="325">
        <v>0</v>
      </c>
      <c r="W322" s="325">
        <v>0</v>
      </c>
      <c r="X322" s="325">
        <v>0</v>
      </c>
      <c r="Y322" s="325">
        <v>0</v>
      </c>
      <c r="Z322" s="325">
        <v>0</v>
      </c>
      <c r="AA322" s="325">
        <v>0</v>
      </c>
      <c r="AB322" s="327">
        <v>2020</v>
      </c>
      <c r="AD322" s="4">
        <v>0</v>
      </c>
    </row>
    <row r="323" spans="1:30" s="4" customFormat="1" ht="35.25" customHeight="1" x14ac:dyDescent="0.5">
      <c r="A323" s="4">
        <v>1</v>
      </c>
      <c r="B323" s="171">
        <f>SUBTOTAL(103,$A$8:A323)</f>
        <v>311</v>
      </c>
      <c r="C323" s="323" t="s">
        <v>2516</v>
      </c>
      <c r="D323" s="324">
        <f t="shared" si="13"/>
        <v>2127359</v>
      </c>
      <c r="E323" s="325">
        <v>0</v>
      </c>
      <c r="F323" s="325">
        <v>0</v>
      </c>
      <c r="G323" s="325">
        <v>0</v>
      </c>
      <c r="H323" s="325">
        <v>0</v>
      </c>
      <c r="I323" s="325">
        <v>0</v>
      </c>
      <c r="J323" s="325">
        <v>0</v>
      </c>
      <c r="K323" s="325">
        <v>0</v>
      </c>
      <c r="L323" s="325">
        <v>0</v>
      </c>
      <c r="M323" s="325">
        <v>2127359</v>
      </c>
      <c r="N323" s="325">
        <v>0</v>
      </c>
      <c r="O323" s="325">
        <v>0</v>
      </c>
      <c r="P323" s="325">
        <v>0</v>
      </c>
      <c r="Q323" s="325">
        <v>0</v>
      </c>
      <c r="R323" s="325">
        <v>0</v>
      </c>
      <c r="S323" s="325">
        <v>0</v>
      </c>
      <c r="T323" s="325">
        <v>0</v>
      </c>
      <c r="U323" s="325">
        <v>0</v>
      </c>
      <c r="V323" s="325">
        <v>0</v>
      </c>
      <c r="W323" s="325">
        <v>0</v>
      </c>
      <c r="X323" s="325">
        <v>0</v>
      </c>
      <c r="Y323" s="325">
        <v>0</v>
      </c>
      <c r="Z323" s="325">
        <v>0</v>
      </c>
      <c r="AA323" s="325">
        <v>0</v>
      </c>
      <c r="AB323" s="327">
        <v>2020</v>
      </c>
      <c r="AD323" s="4">
        <v>0</v>
      </c>
    </row>
    <row r="324" spans="1:30" s="4" customFormat="1" ht="35.25" customHeight="1" x14ac:dyDescent="0.5">
      <c r="A324" s="4">
        <v>1</v>
      </c>
      <c r="B324" s="171">
        <f>SUBTOTAL(103,$A$8:A324)</f>
        <v>312</v>
      </c>
      <c r="C324" s="323" t="s">
        <v>1793</v>
      </c>
      <c r="D324" s="324">
        <f t="shared" si="13"/>
        <v>1832821</v>
      </c>
      <c r="E324" s="325">
        <v>0</v>
      </c>
      <c r="F324" s="325">
        <v>0</v>
      </c>
      <c r="G324" s="325">
        <v>0</v>
      </c>
      <c r="H324" s="325">
        <v>0</v>
      </c>
      <c r="I324" s="325">
        <v>0</v>
      </c>
      <c r="J324" s="325">
        <v>0</v>
      </c>
      <c r="K324" s="326">
        <v>1</v>
      </c>
      <c r="L324" s="325">
        <v>1832821</v>
      </c>
      <c r="M324" s="325">
        <v>0</v>
      </c>
      <c r="N324" s="325">
        <v>0</v>
      </c>
      <c r="O324" s="325">
        <v>0</v>
      </c>
      <c r="P324" s="325">
        <v>0</v>
      </c>
      <c r="Q324" s="325">
        <v>0</v>
      </c>
      <c r="R324" s="325">
        <v>0</v>
      </c>
      <c r="S324" s="325">
        <v>0</v>
      </c>
      <c r="T324" s="325">
        <v>0</v>
      </c>
      <c r="U324" s="325">
        <v>0</v>
      </c>
      <c r="V324" s="325">
        <v>0</v>
      </c>
      <c r="W324" s="325">
        <v>0</v>
      </c>
      <c r="X324" s="325">
        <v>0</v>
      </c>
      <c r="Y324" s="325">
        <v>0</v>
      </c>
      <c r="Z324" s="325">
        <v>0</v>
      </c>
      <c r="AA324" s="325">
        <v>0</v>
      </c>
      <c r="AB324" s="327">
        <v>2020</v>
      </c>
      <c r="AD324" s="4" t="e">
        <v>#N/A</v>
      </c>
    </row>
    <row r="325" spans="1:30" s="4" customFormat="1" ht="35.25" customHeight="1" x14ac:dyDescent="0.5">
      <c r="A325" s="4">
        <v>1</v>
      </c>
      <c r="B325" s="171">
        <f>SUBTOTAL(103,$A$8:A325)</f>
        <v>313</v>
      </c>
      <c r="C325" s="323" t="s">
        <v>1794</v>
      </c>
      <c r="D325" s="324">
        <f t="shared" si="13"/>
        <v>1028728</v>
      </c>
      <c r="E325" s="325">
        <v>0</v>
      </c>
      <c r="F325" s="325">
        <v>0</v>
      </c>
      <c r="G325" s="325">
        <v>0</v>
      </c>
      <c r="H325" s="325">
        <v>0</v>
      </c>
      <c r="I325" s="325">
        <v>0</v>
      </c>
      <c r="J325" s="325">
        <v>0</v>
      </c>
      <c r="K325" s="326">
        <v>0</v>
      </c>
      <c r="L325" s="325">
        <v>0</v>
      </c>
      <c r="M325" s="325">
        <v>529458</v>
      </c>
      <c r="N325" s="325">
        <v>0</v>
      </c>
      <c r="O325" s="325">
        <v>499270</v>
      </c>
      <c r="P325" s="325">
        <v>0</v>
      </c>
      <c r="Q325" s="325">
        <v>0</v>
      </c>
      <c r="R325" s="325">
        <v>0</v>
      </c>
      <c r="S325" s="325">
        <v>0</v>
      </c>
      <c r="T325" s="325">
        <v>0</v>
      </c>
      <c r="U325" s="325">
        <v>0</v>
      </c>
      <c r="V325" s="325">
        <v>0</v>
      </c>
      <c r="W325" s="325">
        <v>0</v>
      </c>
      <c r="X325" s="325">
        <v>0</v>
      </c>
      <c r="Y325" s="325">
        <v>0</v>
      </c>
      <c r="Z325" s="325">
        <v>0</v>
      </c>
      <c r="AA325" s="325">
        <v>0</v>
      </c>
      <c r="AB325" s="327">
        <v>2020</v>
      </c>
      <c r="AD325" s="4">
        <v>0</v>
      </c>
    </row>
    <row r="326" spans="1:30" s="4" customFormat="1" ht="35.25" customHeight="1" x14ac:dyDescent="0.5">
      <c r="A326" s="4">
        <v>1</v>
      </c>
      <c r="B326" s="171">
        <f>SUBTOTAL(103,$A$8:A326)</f>
        <v>314</v>
      </c>
      <c r="C326" s="323" t="s">
        <v>1795</v>
      </c>
      <c r="D326" s="324">
        <f t="shared" si="13"/>
        <v>1864325</v>
      </c>
      <c r="E326" s="325">
        <v>0</v>
      </c>
      <c r="F326" s="325">
        <v>0</v>
      </c>
      <c r="G326" s="325">
        <v>0</v>
      </c>
      <c r="H326" s="325">
        <v>0</v>
      </c>
      <c r="I326" s="325">
        <v>0</v>
      </c>
      <c r="J326" s="325">
        <v>0</v>
      </c>
      <c r="K326" s="326">
        <v>1</v>
      </c>
      <c r="L326" s="325">
        <f>559000+1305325</f>
        <v>1864325</v>
      </c>
      <c r="M326" s="325">
        <v>0</v>
      </c>
      <c r="N326" s="325">
        <v>0</v>
      </c>
      <c r="O326" s="325">
        <v>0</v>
      </c>
      <c r="P326" s="325">
        <v>0</v>
      </c>
      <c r="Q326" s="325">
        <v>0</v>
      </c>
      <c r="R326" s="325">
        <v>0</v>
      </c>
      <c r="S326" s="325">
        <v>0</v>
      </c>
      <c r="T326" s="325">
        <v>0</v>
      </c>
      <c r="U326" s="325">
        <v>0</v>
      </c>
      <c r="V326" s="325">
        <v>0</v>
      </c>
      <c r="W326" s="325">
        <v>0</v>
      </c>
      <c r="X326" s="325">
        <v>0</v>
      </c>
      <c r="Y326" s="325">
        <v>0</v>
      </c>
      <c r="Z326" s="325">
        <v>0</v>
      </c>
      <c r="AA326" s="325">
        <v>0</v>
      </c>
      <c r="AB326" s="327">
        <v>2020</v>
      </c>
      <c r="AD326" s="4" t="e">
        <v>#N/A</v>
      </c>
    </row>
    <row r="327" spans="1:30" s="4" customFormat="1" ht="35.25" customHeight="1" x14ac:dyDescent="0.5">
      <c r="A327" s="4">
        <v>1</v>
      </c>
      <c r="B327" s="171">
        <f>SUBTOTAL(103,$A$8:A327)</f>
        <v>315</v>
      </c>
      <c r="C327" s="323" t="s">
        <v>1796</v>
      </c>
      <c r="D327" s="324">
        <f t="shared" si="13"/>
        <v>120998</v>
      </c>
      <c r="E327" s="325">
        <v>0</v>
      </c>
      <c r="F327" s="325">
        <v>0</v>
      </c>
      <c r="G327" s="325">
        <v>0</v>
      </c>
      <c r="H327" s="325">
        <v>0</v>
      </c>
      <c r="I327" s="325">
        <v>0</v>
      </c>
      <c r="J327" s="325">
        <v>0</v>
      </c>
      <c r="K327" s="326">
        <v>0</v>
      </c>
      <c r="L327" s="325">
        <v>0</v>
      </c>
      <c r="M327" s="325">
        <v>0</v>
      </c>
      <c r="N327" s="325">
        <v>0</v>
      </c>
      <c r="O327" s="325">
        <v>120998</v>
      </c>
      <c r="P327" s="325">
        <v>0</v>
      </c>
      <c r="Q327" s="325">
        <v>0</v>
      </c>
      <c r="R327" s="325">
        <v>0</v>
      </c>
      <c r="S327" s="325">
        <v>0</v>
      </c>
      <c r="T327" s="325">
        <v>0</v>
      </c>
      <c r="U327" s="325">
        <v>0</v>
      </c>
      <c r="V327" s="325">
        <v>0</v>
      </c>
      <c r="W327" s="325">
        <v>0</v>
      </c>
      <c r="X327" s="325">
        <v>0</v>
      </c>
      <c r="Y327" s="325">
        <v>0</v>
      </c>
      <c r="Z327" s="325">
        <v>0</v>
      </c>
      <c r="AA327" s="325">
        <v>0</v>
      </c>
      <c r="AB327" s="327">
        <v>2020</v>
      </c>
      <c r="AD327" s="4" t="e">
        <v>#N/A</v>
      </c>
    </row>
    <row r="328" spans="1:30" s="4" customFormat="1" ht="35.25" customHeight="1" x14ac:dyDescent="0.5">
      <c r="A328" s="4">
        <v>1</v>
      </c>
      <c r="B328" s="171">
        <f>SUBTOTAL(103,$A$8:A328)</f>
        <v>316</v>
      </c>
      <c r="C328" s="323" t="s">
        <v>1797</v>
      </c>
      <c r="D328" s="324">
        <f t="shared" si="13"/>
        <v>320995</v>
      </c>
      <c r="E328" s="325">
        <v>0</v>
      </c>
      <c r="F328" s="325">
        <v>320995</v>
      </c>
      <c r="G328" s="325">
        <v>0</v>
      </c>
      <c r="H328" s="325">
        <v>0</v>
      </c>
      <c r="I328" s="325">
        <v>0</v>
      </c>
      <c r="J328" s="325">
        <v>0</v>
      </c>
      <c r="K328" s="326">
        <v>0</v>
      </c>
      <c r="L328" s="325">
        <v>0</v>
      </c>
      <c r="M328" s="325">
        <v>0</v>
      </c>
      <c r="N328" s="325">
        <v>0</v>
      </c>
      <c r="O328" s="325">
        <v>0</v>
      </c>
      <c r="P328" s="325">
        <v>0</v>
      </c>
      <c r="Q328" s="325">
        <v>0</v>
      </c>
      <c r="R328" s="325">
        <v>0</v>
      </c>
      <c r="S328" s="325">
        <v>0</v>
      </c>
      <c r="T328" s="325">
        <v>0</v>
      </c>
      <c r="U328" s="325">
        <v>0</v>
      </c>
      <c r="V328" s="325">
        <v>0</v>
      </c>
      <c r="W328" s="325">
        <v>0</v>
      </c>
      <c r="X328" s="325">
        <v>0</v>
      </c>
      <c r="Y328" s="325">
        <v>0</v>
      </c>
      <c r="Z328" s="325">
        <v>0</v>
      </c>
      <c r="AA328" s="325">
        <v>0</v>
      </c>
      <c r="AB328" s="327">
        <v>2020</v>
      </c>
      <c r="AD328" s="4" t="e">
        <v>#N/A</v>
      </c>
    </row>
    <row r="329" spans="1:30" s="4" customFormat="1" ht="35.25" customHeight="1" x14ac:dyDescent="0.5">
      <c r="A329" s="4">
        <v>1</v>
      </c>
      <c r="B329" s="171">
        <f>SUBTOTAL(103,$A$8:A329)</f>
        <v>317</v>
      </c>
      <c r="C329" s="323" t="s">
        <v>2517</v>
      </c>
      <c r="D329" s="324">
        <f t="shared" si="13"/>
        <v>54117</v>
      </c>
      <c r="E329" s="325">
        <v>0</v>
      </c>
      <c r="F329" s="325">
        <v>0</v>
      </c>
      <c r="G329" s="325">
        <v>0</v>
      </c>
      <c r="H329" s="325">
        <v>54117</v>
      </c>
      <c r="I329" s="325">
        <v>0</v>
      </c>
      <c r="J329" s="325">
        <v>0</v>
      </c>
      <c r="K329" s="326">
        <v>0</v>
      </c>
      <c r="L329" s="325">
        <v>0</v>
      </c>
      <c r="M329" s="325">
        <v>0</v>
      </c>
      <c r="N329" s="325">
        <v>0</v>
      </c>
      <c r="O329" s="325">
        <v>0</v>
      </c>
      <c r="P329" s="325">
        <v>0</v>
      </c>
      <c r="Q329" s="325">
        <v>0</v>
      </c>
      <c r="R329" s="325">
        <v>0</v>
      </c>
      <c r="S329" s="325">
        <v>0</v>
      </c>
      <c r="T329" s="325">
        <v>0</v>
      </c>
      <c r="U329" s="325">
        <v>0</v>
      </c>
      <c r="V329" s="325">
        <v>0</v>
      </c>
      <c r="W329" s="325">
        <v>0</v>
      </c>
      <c r="X329" s="325">
        <v>0</v>
      </c>
      <c r="Y329" s="325">
        <v>0</v>
      </c>
      <c r="Z329" s="325">
        <v>0</v>
      </c>
      <c r="AA329" s="325">
        <v>0</v>
      </c>
      <c r="AB329" s="327">
        <v>2020</v>
      </c>
      <c r="AD329" s="4">
        <v>0</v>
      </c>
    </row>
    <row r="330" spans="1:30" s="4" customFormat="1" ht="35.25" customHeight="1" x14ac:dyDescent="0.5">
      <c r="A330" s="4">
        <v>1</v>
      </c>
      <c r="B330" s="171">
        <f>SUBTOTAL(103,$A$8:A330)</f>
        <v>318</v>
      </c>
      <c r="C330" s="323" t="s">
        <v>1798</v>
      </c>
      <c r="D330" s="324">
        <f t="shared" si="13"/>
        <v>1972978</v>
      </c>
      <c r="E330" s="325">
        <v>0</v>
      </c>
      <c r="F330" s="325">
        <v>0</v>
      </c>
      <c r="G330" s="325">
        <v>0</v>
      </c>
      <c r="H330" s="325">
        <v>0</v>
      </c>
      <c r="I330" s="325">
        <v>0</v>
      </c>
      <c r="J330" s="325">
        <v>0</v>
      </c>
      <c r="K330" s="326">
        <v>0</v>
      </c>
      <c r="L330" s="325">
        <v>0</v>
      </c>
      <c r="M330" s="325">
        <v>0</v>
      </c>
      <c r="N330" s="325">
        <v>0</v>
      </c>
      <c r="O330" s="325">
        <v>1972978</v>
      </c>
      <c r="P330" s="325">
        <v>0</v>
      </c>
      <c r="Q330" s="325">
        <v>0</v>
      </c>
      <c r="R330" s="325">
        <v>0</v>
      </c>
      <c r="S330" s="325">
        <v>0</v>
      </c>
      <c r="T330" s="325">
        <v>0</v>
      </c>
      <c r="U330" s="325">
        <v>0</v>
      </c>
      <c r="V330" s="325">
        <v>0</v>
      </c>
      <c r="W330" s="325">
        <v>0</v>
      </c>
      <c r="X330" s="325">
        <v>0</v>
      </c>
      <c r="Y330" s="325">
        <v>0</v>
      </c>
      <c r="Z330" s="325">
        <v>0</v>
      </c>
      <c r="AA330" s="325">
        <v>0</v>
      </c>
      <c r="AB330" s="327">
        <v>2020</v>
      </c>
      <c r="AD330" s="4">
        <v>0</v>
      </c>
    </row>
    <row r="331" spans="1:30" s="4" customFormat="1" ht="35.25" customHeight="1" x14ac:dyDescent="0.5">
      <c r="A331" s="4">
        <v>1</v>
      </c>
      <c r="B331" s="171">
        <f>SUBTOTAL(103,$A$8:A331)</f>
        <v>319</v>
      </c>
      <c r="C331" s="323" t="s">
        <v>1799</v>
      </c>
      <c r="D331" s="324">
        <f t="shared" si="13"/>
        <v>5202748</v>
      </c>
      <c r="E331" s="325">
        <v>0</v>
      </c>
      <c r="F331" s="325">
        <v>0</v>
      </c>
      <c r="G331" s="325">
        <v>0</v>
      </c>
      <c r="H331" s="325">
        <v>0</v>
      </c>
      <c r="I331" s="325">
        <v>0</v>
      </c>
      <c r="J331" s="325">
        <v>0</v>
      </c>
      <c r="K331" s="326">
        <v>2</v>
      </c>
      <c r="L331" s="325">
        <f>2120417+2292000</f>
        <v>4412417</v>
      </c>
      <c r="M331" s="325">
        <v>790331</v>
      </c>
      <c r="N331" s="325">
        <v>0</v>
      </c>
      <c r="O331" s="325">
        <v>0</v>
      </c>
      <c r="P331" s="325">
        <v>0</v>
      </c>
      <c r="Q331" s="325">
        <v>0</v>
      </c>
      <c r="R331" s="325">
        <v>0</v>
      </c>
      <c r="S331" s="325">
        <v>0</v>
      </c>
      <c r="T331" s="325">
        <v>0</v>
      </c>
      <c r="U331" s="325">
        <v>0</v>
      </c>
      <c r="V331" s="325">
        <v>0</v>
      </c>
      <c r="W331" s="325">
        <v>0</v>
      </c>
      <c r="X331" s="325">
        <v>0</v>
      </c>
      <c r="Y331" s="325">
        <v>0</v>
      </c>
      <c r="Z331" s="325">
        <v>0</v>
      </c>
      <c r="AA331" s="325">
        <v>0</v>
      </c>
      <c r="AB331" s="327">
        <v>2020</v>
      </c>
      <c r="AD331" s="4" t="e">
        <v>#N/A</v>
      </c>
    </row>
    <row r="332" spans="1:30" s="4" customFormat="1" ht="35.25" customHeight="1" x14ac:dyDescent="0.5">
      <c r="A332" s="4">
        <v>1</v>
      </c>
      <c r="B332" s="171">
        <f>SUBTOTAL(103,$A$8:A332)</f>
        <v>320</v>
      </c>
      <c r="C332" s="323" t="s">
        <v>1800</v>
      </c>
      <c r="D332" s="324">
        <f t="shared" si="13"/>
        <v>2200000</v>
      </c>
      <c r="E332" s="325">
        <v>0</v>
      </c>
      <c r="F332" s="325">
        <v>0</v>
      </c>
      <c r="G332" s="325">
        <v>0</v>
      </c>
      <c r="H332" s="325">
        <v>0</v>
      </c>
      <c r="I332" s="325">
        <v>0</v>
      </c>
      <c r="J332" s="325">
        <v>0</v>
      </c>
      <c r="K332" s="326">
        <v>1</v>
      </c>
      <c r="L332" s="325">
        <v>2200000</v>
      </c>
      <c r="M332" s="325">
        <v>0</v>
      </c>
      <c r="N332" s="325">
        <v>0</v>
      </c>
      <c r="O332" s="325">
        <v>0</v>
      </c>
      <c r="P332" s="325">
        <v>0</v>
      </c>
      <c r="Q332" s="325">
        <v>0</v>
      </c>
      <c r="R332" s="325">
        <v>0</v>
      </c>
      <c r="S332" s="325">
        <v>0</v>
      </c>
      <c r="T332" s="325">
        <v>0</v>
      </c>
      <c r="U332" s="325">
        <v>0</v>
      </c>
      <c r="V332" s="325">
        <v>0</v>
      </c>
      <c r="W332" s="325">
        <v>0</v>
      </c>
      <c r="X332" s="325">
        <v>0</v>
      </c>
      <c r="Y332" s="325">
        <v>0</v>
      </c>
      <c r="Z332" s="325">
        <v>0</v>
      </c>
      <c r="AA332" s="325">
        <v>0</v>
      </c>
      <c r="AB332" s="327">
        <v>2020</v>
      </c>
      <c r="AD332" s="4" t="e">
        <v>#N/A</v>
      </c>
    </row>
    <row r="333" spans="1:30" s="4" customFormat="1" ht="35.25" customHeight="1" x14ac:dyDescent="0.5">
      <c r="A333" s="4">
        <v>1</v>
      </c>
      <c r="B333" s="171">
        <f>SUBTOTAL(103,$A$8:A333)</f>
        <v>321</v>
      </c>
      <c r="C333" s="323" t="s">
        <v>1801</v>
      </c>
      <c r="D333" s="324">
        <f t="shared" si="13"/>
        <v>3261013.2700000005</v>
      </c>
      <c r="E333" s="325">
        <v>0</v>
      </c>
      <c r="F333" s="325">
        <v>0</v>
      </c>
      <c r="G333" s="325">
        <v>0</v>
      </c>
      <c r="H333" s="325">
        <v>0</v>
      </c>
      <c r="I333" s="325">
        <v>0</v>
      </c>
      <c r="J333" s="325">
        <v>0</v>
      </c>
      <c r="K333" s="326">
        <v>0</v>
      </c>
      <c r="L333" s="325">
        <v>0</v>
      </c>
      <c r="M333" s="325">
        <v>2635509.2700000005</v>
      </c>
      <c r="N333" s="325">
        <v>0</v>
      </c>
      <c r="O333" s="325">
        <v>625504</v>
      </c>
      <c r="P333" s="325">
        <v>0</v>
      </c>
      <c r="Q333" s="325">
        <v>0</v>
      </c>
      <c r="R333" s="325">
        <v>0</v>
      </c>
      <c r="S333" s="325">
        <v>0</v>
      </c>
      <c r="T333" s="325">
        <v>0</v>
      </c>
      <c r="U333" s="325">
        <v>0</v>
      </c>
      <c r="V333" s="325">
        <v>0</v>
      </c>
      <c r="W333" s="325">
        <v>0</v>
      </c>
      <c r="X333" s="325">
        <v>0</v>
      </c>
      <c r="Y333" s="325">
        <v>0</v>
      </c>
      <c r="Z333" s="325">
        <v>0</v>
      </c>
      <c r="AA333" s="325">
        <v>0</v>
      </c>
      <c r="AB333" s="327">
        <v>2020</v>
      </c>
      <c r="AD333" s="4">
        <v>0</v>
      </c>
    </row>
    <row r="334" spans="1:30" s="4" customFormat="1" ht="35.25" customHeight="1" x14ac:dyDescent="0.5">
      <c r="A334" s="4">
        <v>1</v>
      </c>
      <c r="B334" s="171">
        <f>SUBTOTAL(103,$A$8:A334)</f>
        <v>322</v>
      </c>
      <c r="C334" s="323" t="s">
        <v>1802</v>
      </c>
      <c r="D334" s="324">
        <f t="shared" si="13"/>
        <v>4818845</v>
      </c>
      <c r="E334" s="325">
        <v>218845</v>
      </c>
      <c r="F334" s="325">
        <v>0</v>
      </c>
      <c r="G334" s="325">
        <v>0</v>
      </c>
      <c r="H334" s="325">
        <v>0</v>
      </c>
      <c r="I334" s="325">
        <v>0</v>
      </c>
      <c r="J334" s="325">
        <v>0</v>
      </c>
      <c r="K334" s="326">
        <v>2</v>
      </c>
      <c r="L334" s="325">
        <v>4600000</v>
      </c>
      <c r="M334" s="325">
        <v>0</v>
      </c>
      <c r="N334" s="325">
        <v>0</v>
      </c>
      <c r="O334" s="325">
        <v>0</v>
      </c>
      <c r="P334" s="325">
        <v>0</v>
      </c>
      <c r="Q334" s="325">
        <v>0</v>
      </c>
      <c r="R334" s="325">
        <v>0</v>
      </c>
      <c r="S334" s="325">
        <v>0</v>
      </c>
      <c r="T334" s="325">
        <v>0</v>
      </c>
      <c r="U334" s="325">
        <v>0</v>
      </c>
      <c r="V334" s="325">
        <v>0</v>
      </c>
      <c r="W334" s="325">
        <v>0</v>
      </c>
      <c r="X334" s="325">
        <v>0</v>
      </c>
      <c r="Y334" s="325">
        <v>0</v>
      </c>
      <c r="Z334" s="325">
        <v>0</v>
      </c>
      <c r="AA334" s="325">
        <v>0</v>
      </c>
      <c r="AB334" s="327">
        <v>2020</v>
      </c>
      <c r="AD334" s="4" t="e">
        <v>#N/A</v>
      </c>
    </row>
    <row r="335" spans="1:30" s="4" customFormat="1" ht="35.25" customHeight="1" x14ac:dyDescent="0.5">
      <c r="A335" s="4">
        <v>1</v>
      </c>
      <c r="B335" s="171">
        <f>SUBTOTAL(103,$A$8:A335)</f>
        <v>323</v>
      </c>
      <c r="C335" s="323" t="s">
        <v>1803</v>
      </c>
      <c r="D335" s="324">
        <f t="shared" si="13"/>
        <v>2271787</v>
      </c>
      <c r="E335" s="325">
        <v>0</v>
      </c>
      <c r="F335" s="325">
        <v>0</v>
      </c>
      <c r="G335" s="325">
        <v>0</v>
      </c>
      <c r="H335" s="325">
        <v>0</v>
      </c>
      <c r="I335" s="325">
        <v>0</v>
      </c>
      <c r="J335" s="325">
        <v>0</v>
      </c>
      <c r="K335" s="326">
        <v>1</v>
      </c>
      <c r="L335" s="325">
        <f>1247828+534783</f>
        <v>1782611</v>
      </c>
      <c r="M335" s="325">
        <v>489176</v>
      </c>
      <c r="N335" s="325">
        <v>0</v>
      </c>
      <c r="O335" s="325">
        <v>0</v>
      </c>
      <c r="P335" s="325">
        <v>0</v>
      </c>
      <c r="Q335" s="325">
        <v>0</v>
      </c>
      <c r="R335" s="325">
        <v>0</v>
      </c>
      <c r="S335" s="325">
        <v>0</v>
      </c>
      <c r="T335" s="325">
        <v>0</v>
      </c>
      <c r="U335" s="325">
        <v>0</v>
      </c>
      <c r="V335" s="325">
        <v>0</v>
      </c>
      <c r="W335" s="325">
        <v>0</v>
      </c>
      <c r="X335" s="325">
        <v>0</v>
      </c>
      <c r="Y335" s="325">
        <v>0</v>
      </c>
      <c r="Z335" s="325">
        <v>0</v>
      </c>
      <c r="AA335" s="325">
        <v>0</v>
      </c>
      <c r="AB335" s="327">
        <v>2020</v>
      </c>
      <c r="AD335" s="4" t="e">
        <v>#N/A</v>
      </c>
    </row>
    <row r="336" spans="1:30" s="4" customFormat="1" ht="35.25" customHeight="1" x14ac:dyDescent="0.5">
      <c r="A336" s="4">
        <v>1</v>
      </c>
      <c r="B336" s="171">
        <f>SUBTOTAL(103,$A$8:A336)</f>
        <v>324</v>
      </c>
      <c r="C336" s="323" t="s">
        <v>1804</v>
      </c>
      <c r="D336" s="324">
        <f t="shared" si="13"/>
        <v>1820000</v>
      </c>
      <c r="E336" s="325">
        <v>0</v>
      </c>
      <c r="F336" s="325">
        <v>0</v>
      </c>
      <c r="G336" s="325">
        <v>0</v>
      </c>
      <c r="H336" s="325">
        <v>0</v>
      </c>
      <c r="I336" s="325">
        <v>0</v>
      </c>
      <c r="J336" s="325">
        <v>0</v>
      </c>
      <c r="K336" s="326">
        <v>1</v>
      </c>
      <c r="L336" s="325">
        <v>1820000</v>
      </c>
      <c r="M336" s="325">
        <v>0</v>
      </c>
      <c r="N336" s="325">
        <v>0</v>
      </c>
      <c r="O336" s="325">
        <v>0</v>
      </c>
      <c r="P336" s="325">
        <v>0</v>
      </c>
      <c r="Q336" s="325">
        <v>0</v>
      </c>
      <c r="R336" s="325">
        <v>0</v>
      </c>
      <c r="S336" s="325">
        <v>0</v>
      </c>
      <c r="T336" s="325">
        <v>0</v>
      </c>
      <c r="U336" s="325">
        <v>0</v>
      </c>
      <c r="V336" s="325">
        <v>0</v>
      </c>
      <c r="W336" s="325">
        <v>0</v>
      </c>
      <c r="X336" s="325">
        <v>0</v>
      </c>
      <c r="Y336" s="325">
        <v>0</v>
      </c>
      <c r="Z336" s="325">
        <v>0</v>
      </c>
      <c r="AA336" s="325">
        <v>0</v>
      </c>
      <c r="AB336" s="327">
        <v>2020</v>
      </c>
      <c r="AD336" s="4">
        <v>0</v>
      </c>
    </row>
    <row r="337" spans="1:30" s="4" customFormat="1" ht="35.25" customHeight="1" x14ac:dyDescent="0.5">
      <c r="A337" s="4">
        <v>1</v>
      </c>
      <c r="B337" s="171">
        <f>SUBTOTAL(103,$A$8:A337)</f>
        <v>325</v>
      </c>
      <c r="C337" s="323" t="s">
        <v>1805</v>
      </c>
      <c r="D337" s="324">
        <f t="shared" si="13"/>
        <v>1519461</v>
      </c>
      <c r="E337" s="325">
        <v>0</v>
      </c>
      <c r="F337" s="325">
        <v>0</v>
      </c>
      <c r="G337" s="325">
        <v>0</v>
      </c>
      <c r="H337" s="325">
        <v>0</v>
      </c>
      <c r="I337" s="325">
        <v>0</v>
      </c>
      <c r="J337" s="325">
        <v>0</v>
      </c>
      <c r="K337" s="326">
        <v>0</v>
      </c>
      <c r="L337" s="325">
        <v>0</v>
      </c>
      <c r="M337" s="325">
        <f>687000+832461</f>
        <v>1519461</v>
      </c>
      <c r="N337" s="325">
        <v>0</v>
      </c>
      <c r="O337" s="325">
        <v>0</v>
      </c>
      <c r="P337" s="325">
        <v>0</v>
      </c>
      <c r="Q337" s="325">
        <v>0</v>
      </c>
      <c r="R337" s="325">
        <v>0</v>
      </c>
      <c r="S337" s="325">
        <v>0</v>
      </c>
      <c r="T337" s="325">
        <v>0</v>
      </c>
      <c r="U337" s="325">
        <v>0</v>
      </c>
      <c r="V337" s="325">
        <v>0</v>
      </c>
      <c r="W337" s="325">
        <v>0</v>
      </c>
      <c r="X337" s="325">
        <v>0</v>
      </c>
      <c r="Y337" s="325">
        <v>0</v>
      </c>
      <c r="Z337" s="325">
        <v>0</v>
      </c>
      <c r="AA337" s="325">
        <v>0</v>
      </c>
      <c r="AB337" s="327">
        <v>2020</v>
      </c>
      <c r="AD337" s="4" t="e">
        <v>#N/A</v>
      </c>
    </row>
    <row r="338" spans="1:30" s="4" customFormat="1" ht="35.25" customHeight="1" x14ac:dyDescent="0.5">
      <c r="A338" s="4">
        <v>1</v>
      </c>
      <c r="B338" s="171">
        <f>SUBTOTAL(103,$A$8:A338)</f>
        <v>326</v>
      </c>
      <c r="C338" s="323" t="s">
        <v>1806</v>
      </c>
      <c r="D338" s="324">
        <f t="shared" si="13"/>
        <v>1735000</v>
      </c>
      <c r="E338" s="325">
        <v>0</v>
      </c>
      <c r="F338" s="325">
        <v>0</v>
      </c>
      <c r="G338" s="325">
        <v>0</v>
      </c>
      <c r="H338" s="325">
        <v>0</v>
      </c>
      <c r="I338" s="325">
        <v>0</v>
      </c>
      <c r="J338" s="325">
        <v>0</v>
      </c>
      <c r="K338" s="326">
        <v>1</v>
      </c>
      <c r="L338" s="325">
        <v>1735000</v>
      </c>
      <c r="M338" s="325">
        <v>0</v>
      </c>
      <c r="N338" s="325">
        <v>0</v>
      </c>
      <c r="O338" s="325">
        <v>0</v>
      </c>
      <c r="P338" s="325">
        <v>0</v>
      </c>
      <c r="Q338" s="325">
        <v>0</v>
      </c>
      <c r="R338" s="325">
        <v>0</v>
      </c>
      <c r="S338" s="325">
        <v>0</v>
      </c>
      <c r="T338" s="325">
        <v>0</v>
      </c>
      <c r="U338" s="325">
        <v>0</v>
      </c>
      <c r="V338" s="325">
        <v>0</v>
      </c>
      <c r="W338" s="325">
        <v>0</v>
      </c>
      <c r="X338" s="325">
        <v>0</v>
      </c>
      <c r="Y338" s="325">
        <v>0</v>
      </c>
      <c r="Z338" s="325">
        <v>0</v>
      </c>
      <c r="AA338" s="325">
        <v>0</v>
      </c>
      <c r="AB338" s="327">
        <v>2020</v>
      </c>
      <c r="AD338" s="4" t="e">
        <v>#N/A</v>
      </c>
    </row>
    <row r="339" spans="1:30" s="4" customFormat="1" ht="35.25" customHeight="1" x14ac:dyDescent="0.5">
      <c r="A339" s="4">
        <v>1</v>
      </c>
      <c r="B339" s="171">
        <f>SUBTOTAL(103,$A$8:A339)</f>
        <v>327</v>
      </c>
      <c r="C339" s="323" t="s">
        <v>2518</v>
      </c>
      <c r="D339" s="324">
        <f t="shared" si="13"/>
        <v>15863.49</v>
      </c>
      <c r="E339" s="325">
        <v>15863.49</v>
      </c>
      <c r="F339" s="325">
        <v>0</v>
      </c>
      <c r="G339" s="325">
        <v>0</v>
      </c>
      <c r="H339" s="325">
        <v>0</v>
      </c>
      <c r="I339" s="325">
        <v>0</v>
      </c>
      <c r="J339" s="325">
        <v>0</v>
      </c>
      <c r="K339" s="326">
        <v>0</v>
      </c>
      <c r="L339" s="325">
        <v>0</v>
      </c>
      <c r="M339" s="325">
        <v>0</v>
      </c>
      <c r="N339" s="325">
        <v>0</v>
      </c>
      <c r="O339" s="325">
        <v>0</v>
      </c>
      <c r="P339" s="325">
        <v>0</v>
      </c>
      <c r="Q339" s="325">
        <v>0</v>
      </c>
      <c r="R339" s="325">
        <v>0</v>
      </c>
      <c r="S339" s="325">
        <v>0</v>
      </c>
      <c r="T339" s="325">
        <v>0</v>
      </c>
      <c r="U339" s="325">
        <v>0</v>
      </c>
      <c r="V339" s="325">
        <v>0</v>
      </c>
      <c r="W339" s="325">
        <v>0</v>
      </c>
      <c r="X339" s="325">
        <v>0</v>
      </c>
      <c r="Y339" s="325">
        <v>0</v>
      </c>
      <c r="Z339" s="325">
        <v>0</v>
      </c>
      <c r="AA339" s="325">
        <v>0</v>
      </c>
      <c r="AB339" s="327">
        <v>2020</v>
      </c>
      <c r="AD339" s="4">
        <v>0</v>
      </c>
    </row>
    <row r="340" spans="1:30" s="4" customFormat="1" ht="35.25" customHeight="1" x14ac:dyDescent="0.5">
      <c r="A340" s="4">
        <v>1</v>
      </c>
      <c r="B340" s="171">
        <f>SUBTOTAL(103,$A$8:A340)</f>
        <v>328</v>
      </c>
      <c r="C340" s="323" t="s">
        <v>1807</v>
      </c>
      <c r="D340" s="324">
        <f t="shared" si="13"/>
        <v>1135891.8</v>
      </c>
      <c r="E340" s="325">
        <v>0</v>
      </c>
      <c r="F340" s="325">
        <v>0</v>
      </c>
      <c r="G340" s="325">
        <v>0</v>
      </c>
      <c r="H340" s="325">
        <v>0</v>
      </c>
      <c r="I340" s="325">
        <v>0</v>
      </c>
      <c r="J340" s="325">
        <v>0</v>
      </c>
      <c r="K340" s="326">
        <v>0</v>
      </c>
      <c r="L340" s="325">
        <v>0</v>
      </c>
      <c r="M340" s="325">
        <v>0</v>
      </c>
      <c r="N340" s="325">
        <v>0</v>
      </c>
      <c r="O340" s="325">
        <v>1135891.8</v>
      </c>
      <c r="P340" s="325">
        <v>0</v>
      </c>
      <c r="Q340" s="325">
        <v>0</v>
      </c>
      <c r="R340" s="325">
        <v>0</v>
      </c>
      <c r="S340" s="325">
        <v>0</v>
      </c>
      <c r="T340" s="325">
        <v>0</v>
      </c>
      <c r="U340" s="325">
        <v>0</v>
      </c>
      <c r="V340" s="325">
        <v>0</v>
      </c>
      <c r="W340" s="325">
        <v>0</v>
      </c>
      <c r="X340" s="325">
        <v>0</v>
      </c>
      <c r="Y340" s="325">
        <v>0</v>
      </c>
      <c r="Z340" s="325">
        <v>0</v>
      </c>
      <c r="AA340" s="325">
        <v>0</v>
      </c>
      <c r="AB340" s="327">
        <v>2020</v>
      </c>
      <c r="AD340" s="4">
        <v>0</v>
      </c>
    </row>
    <row r="341" spans="1:30" s="4" customFormat="1" ht="35.25" customHeight="1" x14ac:dyDescent="0.5">
      <c r="A341" s="4">
        <v>1</v>
      </c>
      <c r="B341" s="171">
        <f>SUBTOTAL(103,$A$8:A341)</f>
        <v>329</v>
      </c>
      <c r="C341" s="323" t="s">
        <v>1808</v>
      </c>
      <c r="D341" s="324">
        <f t="shared" si="13"/>
        <v>1815298</v>
      </c>
      <c r="E341" s="325">
        <v>0</v>
      </c>
      <c r="F341" s="325">
        <v>0</v>
      </c>
      <c r="G341" s="325">
        <v>0</v>
      </c>
      <c r="H341" s="325">
        <v>0</v>
      </c>
      <c r="I341" s="325">
        <v>0</v>
      </c>
      <c r="J341" s="325">
        <v>0</v>
      </c>
      <c r="K341" s="326">
        <v>0</v>
      </c>
      <c r="L341" s="325">
        <v>0</v>
      </c>
      <c r="M341" s="325">
        <v>1815298</v>
      </c>
      <c r="N341" s="325">
        <v>0</v>
      </c>
      <c r="O341" s="325">
        <v>0</v>
      </c>
      <c r="P341" s="325">
        <v>0</v>
      </c>
      <c r="Q341" s="325">
        <v>0</v>
      </c>
      <c r="R341" s="325">
        <v>0</v>
      </c>
      <c r="S341" s="325">
        <v>0</v>
      </c>
      <c r="T341" s="325">
        <v>0</v>
      </c>
      <c r="U341" s="325">
        <v>0</v>
      </c>
      <c r="V341" s="325">
        <v>0</v>
      </c>
      <c r="W341" s="325">
        <v>0</v>
      </c>
      <c r="X341" s="325">
        <v>0</v>
      </c>
      <c r="Y341" s="325">
        <v>0</v>
      </c>
      <c r="Z341" s="325">
        <v>0</v>
      </c>
      <c r="AA341" s="325">
        <v>0</v>
      </c>
      <c r="AB341" s="327">
        <v>2020</v>
      </c>
      <c r="AD341" s="4">
        <v>0</v>
      </c>
    </row>
    <row r="342" spans="1:30" s="4" customFormat="1" ht="35.25" customHeight="1" x14ac:dyDescent="0.5">
      <c r="A342" s="4">
        <v>1</v>
      </c>
      <c r="B342" s="171">
        <f>SUBTOTAL(103,$A$8:A342)</f>
        <v>330</v>
      </c>
      <c r="C342" s="323" t="s">
        <v>1809</v>
      </c>
      <c r="D342" s="324">
        <f t="shared" si="13"/>
        <v>773255</v>
      </c>
      <c r="E342" s="325">
        <v>0</v>
      </c>
      <c r="F342" s="325">
        <v>0</v>
      </c>
      <c r="G342" s="325">
        <v>0</v>
      </c>
      <c r="H342" s="325">
        <v>604137</v>
      </c>
      <c r="I342" s="325">
        <v>0</v>
      </c>
      <c r="J342" s="325">
        <v>0</v>
      </c>
      <c r="K342" s="326">
        <v>0</v>
      </c>
      <c r="L342" s="325">
        <v>0</v>
      </c>
      <c r="M342" s="325">
        <v>0</v>
      </c>
      <c r="N342" s="325">
        <v>0</v>
      </c>
      <c r="O342" s="325">
        <v>169118</v>
      </c>
      <c r="P342" s="325">
        <v>0</v>
      </c>
      <c r="Q342" s="325">
        <v>0</v>
      </c>
      <c r="R342" s="325">
        <v>0</v>
      </c>
      <c r="S342" s="325">
        <v>0</v>
      </c>
      <c r="T342" s="325">
        <v>0</v>
      </c>
      <c r="U342" s="325">
        <v>0</v>
      </c>
      <c r="V342" s="325">
        <v>0</v>
      </c>
      <c r="W342" s="325">
        <v>0</v>
      </c>
      <c r="X342" s="325">
        <v>0</v>
      </c>
      <c r="Y342" s="325">
        <v>0</v>
      </c>
      <c r="Z342" s="325">
        <v>0</v>
      </c>
      <c r="AA342" s="325">
        <v>0</v>
      </c>
      <c r="AB342" s="327">
        <v>2020</v>
      </c>
      <c r="AD342" s="4" t="e">
        <v>#N/A</v>
      </c>
    </row>
    <row r="343" spans="1:30" s="4" customFormat="1" ht="35.25" customHeight="1" x14ac:dyDescent="0.5">
      <c r="A343" s="4">
        <v>1</v>
      </c>
      <c r="B343" s="171">
        <f>SUBTOTAL(103,$A$8:A343)</f>
        <v>331</v>
      </c>
      <c r="C343" s="323" t="s">
        <v>1810</v>
      </c>
      <c r="D343" s="324">
        <f t="shared" si="13"/>
        <v>1102124.94</v>
      </c>
      <c r="E343" s="325">
        <v>0</v>
      </c>
      <c r="F343" s="325">
        <v>0</v>
      </c>
      <c r="G343" s="325">
        <v>0</v>
      </c>
      <c r="H343" s="325">
        <v>0</v>
      </c>
      <c r="I343" s="325">
        <v>0</v>
      </c>
      <c r="J343" s="325">
        <v>0</v>
      </c>
      <c r="K343" s="326">
        <v>0</v>
      </c>
      <c r="L343" s="325">
        <v>0</v>
      </c>
      <c r="M343" s="325">
        <v>1102124.94</v>
      </c>
      <c r="N343" s="325">
        <v>0</v>
      </c>
      <c r="O343" s="325">
        <v>0</v>
      </c>
      <c r="P343" s="325">
        <v>0</v>
      </c>
      <c r="Q343" s="325">
        <v>0</v>
      </c>
      <c r="R343" s="325">
        <v>0</v>
      </c>
      <c r="S343" s="325">
        <v>0</v>
      </c>
      <c r="T343" s="325">
        <v>0</v>
      </c>
      <c r="U343" s="325">
        <v>0</v>
      </c>
      <c r="V343" s="325">
        <v>0</v>
      </c>
      <c r="W343" s="325">
        <v>0</v>
      </c>
      <c r="X343" s="325">
        <v>0</v>
      </c>
      <c r="Y343" s="325">
        <v>0</v>
      </c>
      <c r="Z343" s="325">
        <v>0</v>
      </c>
      <c r="AA343" s="325">
        <v>0</v>
      </c>
      <c r="AB343" s="327">
        <v>2020</v>
      </c>
      <c r="AD343" s="4">
        <v>0</v>
      </c>
    </row>
    <row r="344" spans="1:30" s="4" customFormat="1" ht="35.25" customHeight="1" x14ac:dyDescent="0.5">
      <c r="A344" s="4">
        <v>1</v>
      </c>
      <c r="B344" s="171">
        <f>SUBTOTAL(103,$A$8:A344)</f>
        <v>332</v>
      </c>
      <c r="C344" s="323" t="s">
        <v>2519</v>
      </c>
      <c r="D344" s="324">
        <f t="shared" si="13"/>
        <v>520000</v>
      </c>
      <c r="E344" s="325">
        <v>0</v>
      </c>
      <c r="F344" s="325">
        <v>0</v>
      </c>
      <c r="G344" s="325">
        <v>0</v>
      </c>
      <c r="H344" s="325">
        <v>0</v>
      </c>
      <c r="I344" s="325">
        <v>0</v>
      </c>
      <c r="J344" s="325">
        <v>0</v>
      </c>
      <c r="K344" s="326">
        <v>0</v>
      </c>
      <c r="L344" s="325">
        <v>0</v>
      </c>
      <c r="M344" s="325">
        <v>520000</v>
      </c>
      <c r="N344" s="325">
        <v>0</v>
      </c>
      <c r="O344" s="325">
        <v>0</v>
      </c>
      <c r="P344" s="325">
        <v>0</v>
      </c>
      <c r="Q344" s="325">
        <v>0</v>
      </c>
      <c r="R344" s="325">
        <v>0</v>
      </c>
      <c r="S344" s="325">
        <v>0</v>
      </c>
      <c r="T344" s="325">
        <v>0</v>
      </c>
      <c r="U344" s="325">
        <v>0</v>
      </c>
      <c r="V344" s="325">
        <v>0</v>
      </c>
      <c r="W344" s="325">
        <v>0</v>
      </c>
      <c r="X344" s="325">
        <v>0</v>
      </c>
      <c r="Y344" s="325">
        <v>0</v>
      </c>
      <c r="Z344" s="325">
        <v>0</v>
      </c>
      <c r="AA344" s="325">
        <v>0</v>
      </c>
      <c r="AB344" s="327">
        <v>2020</v>
      </c>
      <c r="AD344" s="4">
        <v>0</v>
      </c>
    </row>
    <row r="345" spans="1:30" s="4" customFormat="1" ht="35.25" customHeight="1" x14ac:dyDescent="0.5">
      <c r="A345" s="4">
        <v>1</v>
      </c>
      <c r="B345" s="171">
        <f>SUBTOTAL(103,$A$8:A345)</f>
        <v>333</v>
      </c>
      <c r="C345" s="323" t="s">
        <v>2520</v>
      </c>
      <c r="D345" s="324">
        <f t="shared" si="13"/>
        <v>669140.56000000006</v>
      </c>
      <c r="E345" s="325">
        <v>0</v>
      </c>
      <c r="F345" s="325">
        <v>0</v>
      </c>
      <c r="G345" s="325">
        <v>0</v>
      </c>
      <c r="H345" s="325">
        <v>0</v>
      </c>
      <c r="I345" s="325">
        <v>0</v>
      </c>
      <c r="J345" s="325">
        <v>0</v>
      </c>
      <c r="K345" s="326">
        <v>1</v>
      </c>
      <c r="L345" s="325">
        <v>669140.56000000006</v>
      </c>
      <c r="M345" s="325">
        <v>0</v>
      </c>
      <c r="N345" s="325">
        <v>0</v>
      </c>
      <c r="O345" s="325">
        <v>0</v>
      </c>
      <c r="P345" s="325">
        <v>0</v>
      </c>
      <c r="Q345" s="325">
        <v>0</v>
      </c>
      <c r="R345" s="325">
        <v>0</v>
      </c>
      <c r="S345" s="325">
        <v>0</v>
      </c>
      <c r="T345" s="325">
        <v>0</v>
      </c>
      <c r="U345" s="325">
        <v>0</v>
      </c>
      <c r="V345" s="325">
        <v>0</v>
      </c>
      <c r="W345" s="325">
        <v>0</v>
      </c>
      <c r="X345" s="325">
        <v>0</v>
      </c>
      <c r="Y345" s="325">
        <v>0</v>
      </c>
      <c r="Z345" s="325">
        <v>0</v>
      </c>
      <c r="AA345" s="325">
        <v>0</v>
      </c>
      <c r="AB345" s="327">
        <v>2020</v>
      </c>
      <c r="AD345" s="4">
        <v>0</v>
      </c>
    </row>
    <row r="346" spans="1:30" s="4" customFormat="1" ht="35.25" customHeight="1" x14ac:dyDescent="0.5">
      <c r="A346" s="4">
        <v>1</v>
      </c>
      <c r="B346" s="171">
        <f>SUBTOTAL(103,$A$8:A346)</f>
        <v>334</v>
      </c>
      <c r="C346" s="323" t="s">
        <v>2521</v>
      </c>
      <c r="D346" s="324">
        <f>E346+F346+G346+H346+I346+J346+L346+M346+N346+O346+P346+Q346+R346+S346+T346+U346+V346+W346+X346+Y346+Z346+AA346</f>
        <v>582000</v>
      </c>
      <c r="E346" s="325">
        <v>0</v>
      </c>
      <c r="F346" s="325">
        <v>0</v>
      </c>
      <c r="G346" s="325">
        <v>0</v>
      </c>
      <c r="H346" s="325">
        <v>0</v>
      </c>
      <c r="I346" s="325">
        <v>0</v>
      </c>
      <c r="J346" s="325">
        <v>0</v>
      </c>
      <c r="K346" s="326">
        <v>1</v>
      </c>
      <c r="L346" s="325">
        <v>582000</v>
      </c>
      <c r="M346" s="325">
        <v>0</v>
      </c>
      <c r="N346" s="325">
        <v>0</v>
      </c>
      <c r="O346" s="325">
        <v>0</v>
      </c>
      <c r="P346" s="325">
        <v>0</v>
      </c>
      <c r="Q346" s="325">
        <v>0</v>
      </c>
      <c r="R346" s="325">
        <v>0</v>
      </c>
      <c r="S346" s="325">
        <v>0</v>
      </c>
      <c r="T346" s="325">
        <v>0</v>
      </c>
      <c r="U346" s="325">
        <v>0</v>
      </c>
      <c r="V346" s="325">
        <v>0</v>
      </c>
      <c r="W346" s="325">
        <v>0</v>
      </c>
      <c r="X346" s="325">
        <v>0</v>
      </c>
      <c r="Y346" s="325">
        <v>0</v>
      </c>
      <c r="Z346" s="325">
        <v>0</v>
      </c>
      <c r="AA346" s="325">
        <v>0</v>
      </c>
      <c r="AB346" s="327">
        <v>2020</v>
      </c>
      <c r="AD346" s="4">
        <v>0</v>
      </c>
    </row>
    <row r="347" spans="1:30" s="4" customFormat="1" ht="35.25" customHeight="1" x14ac:dyDescent="0.5">
      <c r="A347" s="4">
        <v>1</v>
      </c>
      <c r="B347" s="171">
        <f>SUBTOTAL(103,$A$8:A347)</f>
        <v>335</v>
      </c>
      <c r="C347" s="323" t="s">
        <v>1811</v>
      </c>
      <c r="D347" s="324">
        <f t="shared" si="13"/>
        <v>190602.5</v>
      </c>
      <c r="E347" s="325">
        <v>0</v>
      </c>
      <c r="F347" s="325">
        <v>0</v>
      </c>
      <c r="G347" s="325">
        <v>0</v>
      </c>
      <c r="H347" s="325">
        <v>0</v>
      </c>
      <c r="I347" s="325">
        <v>0</v>
      </c>
      <c r="J347" s="325">
        <v>0</v>
      </c>
      <c r="K347" s="326">
        <v>0</v>
      </c>
      <c r="L347" s="325">
        <v>0</v>
      </c>
      <c r="M347" s="325">
        <v>0</v>
      </c>
      <c r="N347" s="325">
        <v>0</v>
      </c>
      <c r="O347" s="325">
        <f>107200+18400</f>
        <v>125600</v>
      </c>
      <c r="P347" s="325">
        <v>65002.5</v>
      </c>
      <c r="Q347" s="325">
        <v>0</v>
      </c>
      <c r="R347" s="325">
        <v>0</v>
      </c>
      <c r="S347" s="325">
        <v>0</v>
      </c>
      <c r="T347" s="325">
        <v>0</v>
      </c>
      <c r="U347" s="325">
        <v>0</v>
      </c>
      <c r="V347" s="325">
        <v>0</v>
      </c>
      <c r="W347" s="325">
        <v>0</v>
      </c>
      <c r="X347" s="325">
        <v>0</v>
      </c>
      <c r="Y347" s="325">
        <v>0</v>
      </c>
      <c r="Z347" s="325">
        <v>0</v>
      </c>
      <c r="AA347" s="325">
        <v>0</v>
      </c>
      <c r="AB347" s="327">
        <v>2020</v>
      </c>
      <c r="AD347" s="4">
        <v>0</v>
      </c>
    </row>
    <row r="348" spans="1:30" s="4" customFormat="1" ht="35.25" customHeight="1" x14ac:dyDescent="0.5">
      <c r="A348" s="4">
        <v>1</v>
      </c>
      <c r="B348" s="171">
        <f>SUBTOTAL(103,$A$8:A348)</f>
        <v>336</v>
      </c>
      <c r="C348" s="323" t="s">
        <v>1812</v>
      </c>
      <c r="D348" s="324">
        <f t="shared" si="13"/>
        <v>499878</v>
      </c>
      <c r="E348" s="325">
        <v>0</v>
      </c>
      <c r="F348" s="325">
        <v>0</v>
      </c>
      <c r="G348" s="325">
        <v>0</v>
      </c>
      <c r="H348" s="325">
        <v>0</v>
      </c>
      <c r="I348" s="325">
        <v>30850</v>
      </c>
      <c r="J348" s="325">
        <v>0</v>
      </c>
      <c r="K348" s="326">
        <v>0</v>
      </c>
      <c r="L348" s="325">
        <v>0</v>
      </c>
      <c r="M348" s="325">
        <v>0</v>
      </c>
      <c r="N348" s="325">
        <v>0</v>
      </c>
      <c r="O348" s="325">
        <v>469028</v>
      </c>
      <c r="P348" s="325">
        <v>0</v>
      </c>
      <c r="Q348" s="325">
        <v>0</v>
      </c>
      <c r="R348" s="325">
        <v>0</v>
      </c>
      <c r="S348" s="325">
        <v>0</v>
      </c>
      <c r="T348" s="325">
        <v>0</v>
      </c>
      <c r="U348" s="325">
        <v>0</v>
      </c>
      <c r="V348" s="325">
        <v>0</v>
      </c>
      <c r="W348" s="325">
        <v>0</v>
      </c>
      <c r="X348" s="325">
        <v>0</v>
      </c>
      <c r="Y348" s="325">
        <v>0</v>
      </c>
      <c r="Z348" s="325">
        <v>0</v>
      </c>
      <c r="AA348" s="325">
        <v>0</v>
      </c>
      <c r="AB348" s="327">
        <v>2020</v>
      </c>
      <c r="AD348" s="4">
        <v>0</v>
      </c>
    </row>
    <row r="349" spans="1:30" s="4" customFormat="1" ht="35.25" customHeight="1" x14ac:dyDescent="0.5">
      <c r="A349" s="4">
        <v>1</v>
      </c>
      <c r="B349" s="171">
        <f>SUBTOTAL(103,$A$8:A349)</f>
        <v>337</v>
      </c>
      <c r="C349" s="323" t="s">
        <v>1813</v>
      </c>
      <c r="D349" s="324">
        <f t="shared" si="13"/>
        <v>1715000</v>
      </c>
      <c r="E349" s="325">
        <v>0</v>
      </c>
      <c r="F349" s="325">
        <v>0</v>
      </c>
      <c r="G349" s="325">
        <v>0</v>
      </c>
      <c r="H349" s="325">
        <v>0</v>
      </c>
      <c r="I349" s="325">
        <v>0</v>
      </c>
      <c r="J349" s="325">
        <v>0</v>
      </c>
      <c r="K349" s="326">
        <v>1</v>
      </c>
      <c r="L349" s="325">
        <v>1715000</v>
      </c>
      <c r="M349" s="325">
        <v>0</v>
      </c>
      <c r="N349" s="325">
        <v>0</v>
      </c>
      <c r="O349" s="325">
        <v>0</v>
      </c>
      <c r="P349" s="325">
        <v>0</v>
      </c>
      <c r="Q349" s="325">
        <v>0</v>
      </c>
      <c r="R349" s="325">
        <v>0</v>
      </c>
      <c r="S349" s="325">
        <v>0</v>
      </c>
      <c r="T349" s="325">
        <v>0</v>
      </c>
      <c r="U349" s="325">
        <v>0</v>
      </c>
      <c r="V349" s="325">
        <v>0</v>
      </c>
      <c r="W349" s="325">
        <v>0</v>
      </c>
      <c r="X349" s="325">
        <v>0</v>
      </c>
      <c r="Y349" s="325">
        <v>0</v>
      </c>
      <c r="Z349" s="325">
        <v>0</v>
      </c>
      <c r="AA349" s="325">
        <v>0</v>
      </c>
      <c r="AB349" s="327">
        <v>2020</v>
      </c>
      <c r="AD349" s="4" t="e">
        <v>#N/A</v>
      </c>
    </row>
    <row r="350" spans="1:30" s="4" customFormat="1" ht="35.25" customHeight="1" x14ac:dyDescent="0.5">
      <c r="A350" s="4">
        <v>1</v>
      </c>
      <c r="B350" s="171">
        <f>SUBTOTAL(103,$A$8:A350)</f>
        <v>338</v>
      </c>
      <c r="C350" s="323" t="s">
        <v>2522</v>
      </c>
      <c r="D350" s="324">
        <f t="shared" si="13"/>
        <v>740000</v>
      </c>
      <c r="E350" s="325">
        <v>0</v>
      </c>
      <c r="F350" s="325">
        <v>0</v>
      </c>
      <c r="G350" s="325">
        <v>0</v>
      </c>
      <c r="H350" s="325">
        <v>0</v>
      </c>
      <c r="I350" s="325">
        <v>0</v>
      </c>
      <c r="J350" s="325">
        <v>0</v>
      </c>
      <c r="K350" s="403">
        <v>1</v>
      </c>
      <c r="L350" s="325">
        <v>740000</v>
      </c>
      <c r="M350" s="325">
        <v>0</v>
      </c>
      <c r="N350" s="325">
        <v>0</v>
      </c>
      <c r="O350" s="325">
        <v>0</v>
      </c>
      <c r="P350" s="325">
        <v>0</v>
      </c>
      <c r="Q350" s="325">
        <v>0</v>
      </c>
      <c r="R350" s="325">
        <v>0</v>
      </c>
      <c r="S350" s="325">
        <v>0</v>
      </c>
      <c r="T350" s="325">
        <v>0</v>
      </c>
      <c r="U350" s="325">
        <v>0</v>
      </c>
      <c r="V350" s="325">
        <v>0</v>
      </c>
      <c r="W350" s="325">
        <v>0</v>
      </c>
      <c r="X350" s="325">
        <v>0</v>
      </c>
      <c r="Y350" s="325">
        <v>0</v>
      </c>
      <c r="Z350" s="325">
        <v>0</v>
      </c>
      <c r="AA350" s="325">
        <v>0</v>
      </c>
      <c r="AB350" s="327">
        <v>2020</v>
      </c>
      <c r="AD350" s="4">
        <v>0</v>
      </c>
    </row>
    <row r="351" spans="1:30" s="4" customFormat="1" ht="35.25" customHeight="1" x14ac:dyDescent="0.5">
      <c r="A351" s="4">
        <v>1</v>
      </c>
      <c r="B351" s="171">
        <f>SUBTOTAL(103,$A$8:A351)</f>
        <v>339</v>
      </c>
      <c r="C351" s="323" t="s">
        <v>2070</v>
      </c>
      <c r="D351" s="324">
        <f t="shared" si="13"/>
        <v>242201.66</v>
      </c>
      <c r="E351" s="400">
        <v>0</v>
      </c>
      <c r="F351" s="400">
        <v>0</v>
      </c>
      <c r="G351" s="400">
        <v>0</v>
      </c>
      <c r="H351" s="400">
        <v>0</v>
      </c>
      <c r="I351" s="400">
        <v>0</v>
      </c>
      <c r="J351" s="400">
        <v>0</v>
      </c>
      <c r="K351" s="401">
        <v>0</v>
      </c>
      <c r="L351" s="400">
        <v>0</v>
      </c>
      <c r="M351" s="400">
        <v>0</v>
      </c>
      <c r="N351" s="400">
        <v>0</v>
      </c>
      <c r="O351" s="400">
        <v>242201.66</v>
      </c>
      <c r="P351" s="400">
        <v>0</v>
      </c>
      <c r="Q351" s="400">
        <v>0</v>
      </c>
      <c r="R351" s="400">
        <v>0</v>
      </c>
      <c r="S351" s="400">
        <v>0</v>
      </c>
      <c r="T351" s="400">
        <v>0</v>
      </c>
      <c r="U351" s="400">
        <v>0</v>
      </c>
      <c r="V351" s="400">
        <v>0</v>
      </c>
      <c r="W351" s="400">
        <v>0</v>
      </c>
      <c r="X351" s="400">
        <v>0</v>
      </c>
      <c r="Y351" s="400">
        <v>0</v>
      </c>
      <c r="Z351" s="400">
        <v>0</v>
      </c>
      <c r="AA351" s="400">
        <v>0</v>
      </c>
      <c r="AB351" s="327">
        <v>2020</v>
      </c>
      <c r="AD351" s="4" t="e">
        <v>#N/A</v>
      </c>
    </row>
    <row r="352" spans="1:30" s="4" customFormat="1" ht="35.25" customHeight="1" x14ac:dyDescent="0.5">
      <c r="A352" s="4">
        <v>1</v>
      </c>
      <c r="B352" s="171">
        <f>SUBTOTAL(103,$A$8:A352)</f>
        <v>340</v>
      </c>
      <c r="C352" s="323" t="s">
        <v>2071</v>
      </c>
      <c r="D352" s="324">
        <f t="shared" si="13"/>
        <v>508550.07</v>
      </c>
      <c r="E352" s="400">
        <v>0</v>
      </c>
      <c r="F352" s="400">
        <v>0</v>
      </c>
      <c r="G352" s="400">
        <v>0</v>
      </c>
      <c r="H352" s="400">
        <v>0</v>
      </c>
      <c r="I352" s="400">
        <v>0</v>
      </c>
      <c r="J352" s="400">
        <v>0</v>
      </c>
      <c r="K352" s="401">
        <v>0</v>
      </c>
      <c r="L352" s="400">
        <v>0</v>
      </c>
      <c r="M352" s="400">
        <v>0</v>
      </c>
      <c r="N352" s="400">
        <v>0</v>
      </c>
      <c r="O352" s="400">
        <v>508550.07</v>
      </c>
      <c r="P352" s="400">
        <v>0</v>
      </c>
      <c r="Q352" s="400">
        <v>0</v>
      </c>
      <c r="R352" s="400">
        <v>0</v>
      </c>
      <c r="S352" s="400">
        <v>0</v>
      </c>
      <c r="T352" s="400">
        <v>0</v>
      </c>
      <c r="U352" s="400">
        <v>0</v>
      </c>
      <c r="V352" s="400">
        <v>0</v>
      </c>
      <c r="W352" s="400">
        <v>0</v>
      </c>
      <c r="X352" s="400">
        <v>0</v>
      </c>
      <c r="Y352" s="400">
        <v>0</v>
      </c>
      <c r="Z352" s="400">
        <v>0</v>
      </c>
      <c r="AA352" s="400">
        <v>0</v>
      </c>
      <c r="AB352" s="327">
        <v>2020</v>
      </c>
      <c r="AD352" s="4" t="e">
        <v>#N/A</v>
      </c>
    </row>
    <row r="353" spans="1:30" s="4" customFormat="1" ht="35.25" customHeight="1" x14ac:dyDescent="0.5">
      <c r="A353" s="4">
        <v>1</v>
      </c>
      <c r="B353" s="171">
        <f>SUBTOTAL(103,$A$8:A353)</f>
        <v>341</v>
      </c>
      <c r="C353" s="323" t="s">
        <v>2523</v>
      </c>
      <c r="D353" s="324">
        <f t="shared" si="13"/>
        <v>91462</v>
      </c>
      <c r="E353" s="324">
        <v>0</v>
      </c>
      <c r="F353" s="324">
        <v>45334</v>
      </c>
      <c r="G353" s="324">
        <v>46128</v>
      </c>
      <c r="H353" s="324">
        <v>0</v>
      </c>
      <c r="I353" s="324">
        <v>0</v>
      </c>
      <c r="J353" s="324">
        <v>0</v>
      </c>
      <c r="K353" s="404">
        <v>0</v>
      </c>
      <c r="L353" s="324">
        <v>0</v>
      </c>
      <c r="M353" s="324">
        <v>0</v>
      </c>
      <c r="N353" s="324">
        <v>0</v>
      </c>
      <c r="O353" s="324">
        <v>0</v>
      </c>
      <c r="P353" s="324">
        <v>0</v>
      </c>
      <c r="Q353" s="324">
        <v>0</v>
      </c>
      <c r="R353" s="324">
        <v>0</v>
      </c>
      <c r="S353" s="324">
        <v>0</v>
      </c>
      <c r="T353" s="324">
        <v>0</v>
      </c>
      <c r="U353" s="324">
        <v>0</v>
      </c>
      <c r="V353" s="324">
        <v>0</v>
      </c>
      <c r="W353" s="324">
        <v>0</v>
      </c>
      <c r="X353" s="324">
        <v>0</v>
      </c>
      <c r="Y353" s="324">
        <v>0</v>
      </c>
      <c r="Z353" s="324">
        <v>0</v>
      </c>
      <c r="AA353" s="324">
        <v>0</v>
      </c>
      <c r="AB353" s="327">
        <v>2020</v>
      </c>
      <c r="AD353" s="4">
        <v>0</v>
      </c>
    </row>
    <row r="354" spans="1:30" s="4" customFormat="1" ht="35.25" customHeight="1" x14ac:dyDescent="0.5">
      <c r="A354" s="4">
        <v>1</v>
      </c>
      <c r="B354" s="171">
        <f>SUBTOTAL(103,$A$8:A354)</f>
        <v>342</v>
      </c>
      <c r="C354" s="323" t="s">
        <v>2072</v>
      </c>
      <c r="D354" s="324">
        <f t="shared" si="13"/>
        <v>1247325.5900000001</v>
      </c>
      <c r="E354" s="400">
        <v>0</v>
      </c>
      <c r="F354" s="400">
        <v>0</v>
      </c>
      <c r="G354" s="400">
        <v>0</v>
      </c>
      <c r="H354" s="400">
        <v>0</v>
      </c>
      <c r="I354" s="400">
        <v>0</v>
      </c>
      <c r="J354" s="400">
        <v>0</v>
      </c>
      <c r="K354" s="401">
        <v>0</v>
      </c>
      <c r="L354" s="400">
        <v>0</v>
      </c>
      <c r="M354" s="400">
        <v>1247325.5900000001</v>
      </c>
      <c r="N354" s="400">
        <v>0</v>
      </c>
      <c r="O354" s="400">
        <v>0</v>
      </c>
      <c r="P354" s="400">
        <v>0</v>
      </c>
      <c r="Q354" s="400">
        <v>0</v>
      </c>
      <c r="R354" s="400">
        <v>0</v>
      </c>
      <c r="S354" s="400">
        <v>0</v>
      </c>
      <c r="T354" s="400">
        <v>0</v>
      </c>
      <c r="U354" s="400">
        <v>0</v>
      </c>
      <c r="V354" s="400">
        <v>0</v>
      </c>
      <c r="W354" s="400">
        <v>0</v>
      </c>
      <c r="X354" s="400">
        <v>0</v>
      </c>
      <c r="Y354" s="400">
        <v>0</v>
      </c>
      <c r="Z354" s="400">
        <v>0</v>
      </c>
      <c r="AA354" s="400">
        <v>0</v>
      </c>
      <c r="AB354" s="327">
        <v>2020</v>
      </c>
      <c r="AD354" s="4" t="e">
        <v>#N/A</v>
      </c>
    </row>
    <row r="355" spans="1:30" s="4" customFormat="1" ht="35.25" customHeight="1" x14ac:dyDescent="0.5">
      <c r="A355" s="4">
        <v>1</v>
      </c>
      <c r="B355" s="171">
        <f>SUBTOTAL(103,$A$8:A355)</f>
        <v>343</v>
      </c>
      <c r="C355" s="323" t="s">
        <v>2073</v>
      </c>
      <c r="D355" s="324">
        <f t="shared" si="13"/>
        <v>1278007.1000000001</v>
      </c>
      <c r="E355" s="400">
        <v>0</v>
      </c>
      <c r="F355" s="400">
        <v>0</v>
      </c>
      <c r="G355" s="400">
        <v>0</v>
      </c>
      <c r="H355" s="400">
        <v>0</v>
      </c>
      <c r="I355" s="400">
        <v>0</v>
      </c>
      <c r="J355" s="400">
        <v>0</v>
      </c>
      <c r="K355" s="401">
        <v>0</v>
      </c>
      <c r="L355" s="400">
        <v>0</v>
      </c>
      <c r="M355" s="400">
        <v>0</v>
      </c>
      <c r="N355" s="400">
        <v>0</v>
      </c>
      <c r="O355" s="400">
        <v>1278007.1000000001</v>
      </c>
      <c r="P355" s="400">
        <v>0</v>
      </c>
      <c r="Q355" s="400">
        <v>0</v>
      </c>
      <c r="R355" s="400">
        <v>0</v>
      </c>
      <c r="S355" s="400">
        <v>0</v>
      </c>
      <c r="T355" s="400">
        <v>0</v>
      </c>
      <c r="U355" s="400">
        <v>0</v>
      </c>
      <c r="V355" s="400">
        <v>0</v>
      </c>
      <c r="W355" s="400">
        <v>0</v>
      </c>
      <c r="X355" s="400">
        <v>0</v>
      </c>
      <c r="Y355" s="400">
        <v>0</v>
      </c>
      <c r="Z355" s="400">
        <v>0</v>
      </c>
      <c r="AA355" s="400">
        <v>0</v>
      </c>
      <c r="AB355" s="327">
        <v>2020</v>
      </c>
      <c r="AD355" s="4" t="e">
        <v>#N/A</v>
      </c>
    </row>
    <row r="356" spans="1:30" s="4" customFormat="1" ht="35.25" customHeight="1" x14ac:dyDescent="0.5">
      <c r="A356" s="4">
        <v>1</v>
      </c>
      <c r="B356" s="171">
        <f>SUBTOTAL(103,$A$8:A356)</f>
        <v>344</v>
      </c>
      <c r="C356" s="323" t="s">
        <v>2074</v>
      </c>
      <c r="D356" s="324">
        <f t="shared" si="13"/>
        <v>1573506.01</v>
      </c>
      <c r="E356" s="400">
        <v>0</v>
      </c>
      <c r="F356" s="400">
        <v>0</v>
      </c>
      <c r="G356" s="400">
        <v>0</v>
      </c>
      <c r="H356" s="400">
        <v>0</v>
      </c>
      <c r="I356" s="400">
        <v>0</v>
      </c>
      <c r="J356" s="400">
        <v>0</v>
      </c>
      <c r="K356" s="401">
        <v>0</v>
      </c>
      <c r="L356" s="400">
        <v>0</v>
      </c>
      <c r="M356" s="400">
        <v>1573506.01</v>
      </c>
      <c r="N356" s="400">
        <v>0</v>
      </c>
      <c r="O356" s="400">
        <v>0</v>
      </c>
      <c r="P356" s="400">
        <v>0</v>
      </c>
      <c r="Q356" s="400">
        <v>0</v>
      </c>
      <c r="R356" s="400">
        <v>0</v>
      </c>
      <c r="S356" s="400">
        <v>0</v>
      </c>
      <c r="T356" s="400">
        <v>0</v>
      </c>
      <c r="U356" s="400">
        <v>0</v>
      </c>
      <c r="V356" s="400">
        <v>0</v>
      </c>
      <c r="W356" s="400">
        <v>0</v>
      </c>
      <c r="X356" s="400">
        <v>0</v>
      </c>
      <c r="Y356" s="400">
        <v>0</v>
      </c>
      <c r="Z356" s="400">
        <v>0</v>
      </c>
      <c r="AA356" s="400">
        <v>0</v>
      </c>
      <c r="AB356" s="327">
        <v>2020</v>
      </c>
      <c r="AD356" s="4" t="e">
        <v>#N/A</v>
      </c>
    </row>
    <row r="357" spans="1:30" s="4" customFormat="1" ht="35.25" customHeight="1" x14ac:dyDescent="0.5">
      <c r="A357" s="4">
        <v>1</v>
      </c>
      <c r="B357" s="171">
        <f>SUBTOTAL(103,$A$8:A357)</f>
        <v>345</v>
      </c>
      <c r="C357" s="323" t="s">
        <v>1919</v>
      </c>
      <c r="D357" s="324">
        <f t="shared" si="13"/>
        <v>589794.53</v>
      </c>
      <c r="E357" s="400">
        <v>0</v>
      </c>
      <c r="F357" s="400">
        <v>0</v>
      </c>
      <c r="G357" s="400">
        <v>0</v>
      </c>
      <c r="H357" s="400">
        <v>0</v>
      </c>
      <c r="I357" s="400">
        <v>0</v>
      </c>
      <c r="J357" s="400">
        <v>0</v>
      </c>
      <c r="K357" s="401">
        <v>0</v>
      </c>
      <c r="L357" s="400">
        <v>0</v>
      </c>
      <c r="M357" s="400">
        <v>0</v>
      </c>
      <c r="N357" s="400">
        <v>0</v>
      </c>
      <c r="O357" s="400">
        <v>589794.53</v>
      </c>
      <c r="P357" s="400">
        <v>0</v>
      </c>
      <c r="Q357" s="400">
        <v>0</v>
      </c>
      <c r="R357" s="400">
        <v>0</v>
      </c>
      <c r="S357" s="400">
        <v>0</v>
      </c>
      <c r="T357" s="400">
        <v>0</v>
      </c>
      <c r="U357" s="400">
        <v>0</v>
      </c>
      <c r="V357" s="400">
        <v>0</v>
      </c>
      <c r="W357" s="400">
        <v>0</v>
      </c>
      <c r="X357" s="400">
        <v>0</v>
      </c>
      <c r="Y357" s="400">
        <v>0</v>
      </c>
      <c r="Z357" s="400">
        <v>0</v>
      </c>
      <c r="AA357" s="400">
        <v>0</v>
      </c>
      <c r="AB357" s="327">
        <v>2020</v>
      </c>
      <c r="AD357" s="4" t="e">
        <v>#N/A</v>
      </c>
    </row>
    <row r="358" spans="1:30" s="4" customFormat="1" ht="35.25" customHeight="1" x14ac:dyDescent="0.5">
      <c r="A358" s="4">
        <v>1</v>
      </c>
      <c r="B358" s="171">
        <f>SUBTOTAL(103,$A$8:A358)</f>
        <v>346</v>
      </c>
      <c r="C358" s="323" t="s">
        <v>2075</v>
      </c>
      <c r="D358" s="324">
        <f t="shared" si="13"/>
        <v>1815600.86</v>
      </c>
      <c r="E358" s="400">
        <v>0</v>
      </c>
      <c r="F358" s="400">
        <v>0</v>
      </c>
      <c r="G358" s="400">
        <v>1815600.86</v>
      </c>
      <c r="H358" s="400">
        <v>0</v>
      </c>
      <c r="I358" s="400">
        <v>0</v>
      </c>
      <c r="J358" s="400">
        <v>0</v>
      </c>
      <c r="K358" s="401">
        <v>0</v>
      </c>
      <c r="L358" s="400">
        <v>0</v>
      </c>
      <c r="M358" s="400">
        <v>0</v>
      </c>
      <c r="N358" s="400">
        <v>0</v>
      </c>
      <c r="O358" s="400">
        <v>0</v>
      </c>
      <c r="P358" s="400">
        <v>0</v>
      </c>
      <c r="Q358" s="400">
        <v>0</v>
      </c>
      <c r="R358" s="400">
        <v>0</v>
      </c>
      <c r="S358" s="400">
        <v>0</v>
      </c>
      <c r="T358" s="400">
        <v>0</v>
      </c>
      <c r="U358" s="400">
        <v>0</v>
      </c>
      <c r="V358" s="400">
        <v>0</v>
      </c>
      <c r="W358" s="400">
        <v>0</v>
      </c>
      <c r="X358" s="400">
        <v>0</v>
      </c>
      <c r="Y358" s="400">
        <v>0</v>
      </c>
      <c r="Z358" s="400">
        <v>0</v>
      </c>
      <c r="AA358" s="400">
        <v>0</v>
      </c>
      <c r="AB358" s="327">
        <v>2020</v>
      </c>
      <c r="AD358" s="4" t="e">
        <v>#N/A</v>
      </c>
    </row>
    <row r="359" spans="1:30" s="4" customFormat="1" ht="35.25" customHeight="1" x14ac:dyDescent="0.5">
      <c r="A359" s="4">
        <v>1</v>
      </c>
      <c r="B359" s="171">
        <f>SUBTOTAL(103,$A$8:A359)</f>
        <v>347</v>
      </c>
      <c r="C359" s="323" t="s">
        <v>2076</v>
      </c>
      <c r="D359" s="324">
        <f t="shared" si="13"/>
        <v>1078229.55</v>
      </c>
      <c r="E359" s="400">
        <v>0</v>
      </c>
      <c r="F359" s="400">
        <v>0</v>
      </c>
      <c r="G359" s="400">
        <v>0</v>
      </c>
      <c r="H359" s="400">
        <v>0</v>
      </c>
      <c r="I359" s="400">
        <v>0</v>
      </c>
      <c r="J359" s="400">
        <v>0</v>
      </c>
      <c r="K359" s="401">
        <v>0</v>
      </c>
      <c r="L359" s="400">
        <v>0</v>
      </c>
      <c r="M359" s="400">
        <v>0</v>
      </c>
      <c r="N359" s="400">
        <v>0</v>
      </c>
      <c r="O359" s="400">
        <v>1078229.55</v>
      </c>
      <c r="P359" s="400">
        <v>0</v>
      </c>
      <c r="Q359" s="400">
        <v>0</v>
      </c>
      <c r="R359" s="400">
        <v>0</v>
      </c>
      <c r="S359" s="400">
        <v>0</v>
      </c>
      <c r="T359" s="400">
        <v>0</v>
      </c>
      <c r="U359" s="400">
        <v>0</v>
      </c>
      <c r="V359" s="400">
        <v>0</v>
      </c>
      <c r="W359" s="400">
        <v>0</v>
      </c>
      <c r="X359" s="400">
        <v>0</v>
      </c>
      <c r="Y359" s="400">
        <v>0</v>
      </c>
      <c r="Z359" s="400">
        <v>0</v>
      </c>
      <c r="AA359" s="400">
        <v>0</v>
      </c>
      <c r="AB359" s="327">
        <v>2020</v>
      </c>
      <c r="AD359" s="4" t="e">
        <v>#N/A</v>
      </c>
    </row>
    <row r="360" spans="1:30" s="4" customFormat="1" ht="35.25" customHeight="1" x14ac:dyDescent="0.5">
      <c r="A360" s="4">
        <v>1</v>
      </c>
      <c r="B360" s="171">
        <f>SUBTOTAL(103,$A$8:A360)</f>
        <v>348</v>
      </c>
      <c r="C360" s="323" t="s">
        <v>2524</v>
      </c>
      <c r="D360" s="324">
        <f t="shared" si="13"/>
        <v>475402</v>
      </c>
      <c r="E360" s="400">
        <v>0</v>
      </c>
      <c r="F360" s="400">
        <v>0</v>
      </c>
      <c r="G360" s="400">
        <v>0</v>
      </c>
      <c r="H360" s="400">
        <v>0</v>
      </c>
      <c r="I360" s="400">
        <v>475402</v>
      </c>
      <c r="J360" s="400">
        <v>0</v>
      </c>
      <c r="K360" s="401">
        <v>0</v>
      </c>
      <c r="L360" s="400">
        <v>0</v>
      </c>
      <c r="M360" s="400">
        <v>0</v>
      </c>
      <c r="N360" s="400">
        <v>0</v>
      </c>
      <c r="O360" s="400">
        <v>0</v>
      </c>
      <c r="P360" s="400">
        <v>0</v>
      </c>
      <c r="Q360" s="400">
        <v>0</v>
      </c>
      <c r="R360" s="400">
        <v>0</v>
      </c>
      <c r="S360" s="400">
        <v>0</v>
      </c>
      <c r="T360" s="400">
        <v>0</v>
      </c>
      <c r="U360" s="400">
        <v>0</v>
      </c>
      <c r="V360" s="400">
        <v>0</v>
      </c>
      <c r="W360" s="400">
        <v>0</v>
      </c>
      <c r="X360" s="400">
        <v>0</v>
      </c>
      <c r="Y360" s="400">
        <v>0</v>
      </c>
      <c r="Z360" s="400">
        <v>0</v>
      </c>
      <c r="AA360" s="400">
        <v>0</v>
      </c>
      <c r="AB360" s="327">
        <v>2020</v>
      </c>
      <c r="AD360" s="4">
        <v>0</v>
      </c>
    </row>
    <row r="361" spans="1:30" s="4" customFormat="1" ht="35.25" customHeight="1" x14ac:dyDescent="0.5">
      <c r="A361" s="4">
        <v>1</v>
      </c>
      <c r="B361" s="171">
        <f>SUBTOTAL(103,$A$8:A361)</f>
        <v>349</v>
      </c>
      <c r="C361" s="323" t="s">
        <v>2077</v>
      </c>
      <c r="D361" s="324">
        <f t="shared" si="13"/>
        <v>231984</v>
      </c>
      <c r="E361" s="400">
        <v>0</v>
      </c>
      <c r="F361" s="400">
        <v>0</v>
      </c>
      <c r="G361" s="400">
        <v>0</v>
      </c>
      <c r="H361" s="400">
        <v>0</v>
      </c>
      <c r="I361" s="400">
        <v>0</v>
      </c>
      <c r="J361" s="400">
        <v>0</v>
      </c>
      <c r="K361" s="401">
        <v>0</v>
      </c>
      <c r="L361" s="400">
        <v>0</v>
      </c>
      <c r="M361" s="400">
        <v>0</v>
      </c>
      <c r="N361" s="400">
        <v>0</v>
      </c>
      <c r="O361" s="400">
        <v>0</v>
      </c>
      <c r="P361" s="400">
        <v>231984</v>
      </c>
      <c r="Q361" s="400">
        <v>0</v>
      </c>
      <c r="R361" s="400">
        <v>0</v>
      </c>
      <c r="S361" s="400">
        <v>0</v>
      </c>
      <c r="T361" s="400">
        <v>0</v>
      </c>
      <c r="U361" s="400">
        <v>0</v>
      </c>
      <c r="V361" s="400">
        <v>0</v>
      </c>
      <c r="W361" s="400">
        <v>0</v>
      </c>
      <c r="X361" s="400">
        <v>0</v>
      </c>
      <c r="Y361" s="400">
        <v>0</v>
      </c>
      <c r="Z361" s="400">
        <v>0</v>
      </c>
      <c r="AA361" s="400">
        <v>0</v>
      </c>
      <c r="AB361" s="327">
        <v>2020</v>
      </c>
      <c r="AD361" s="4" t="e">
        <v>#N/A</v>
      </c>
    </row>
    <row r="362" spans="1:30" s="4" customFormat="1" ht="35.25" customHeight="1" x14ac:dyDescent="0.5">
      <c r="A362" s="4">
        <v>1</v>
      </c>
      <c r="B362" s="171">
        <f>SUBTOTAL(103,$A$8:A362)</f>
        <v>350</v>
      </c>
      <c r="C362" s="323" t="s">
        <v>2078</v>
      </c>
      <c r="D362" s="324">
        <f t="shared" si="13"/>
        <v>1578380.8</v>
      </c>
      <c r="E362" s="400">
        <v>0</v>
      </c>
      <c r="F362" s="400">
        <v>0</v>
      </c>
      <c r="G362" s="400">
        <v>0</v>
      </c>
      <c r="H362" s="400">
        <v>0</v>
      </c>
      <c r="I362" s="400">
        <v>0</v>
      </c>
      <c r="J362" s="400">
        <v>0</v>
      </c>
      <c r="K362" s="401">
        <v>0</v>
      </c>
      <c r="L362" s="400">
        <v>0</v>
      </c>
      <c r="M362" s="400">
        <v>1028291</v>
      </c>
      <c r="N362" s="400">
        <v>0</v>
      </c>
      <c r="O362" s="400">
        <v>550089.80000000005</v>
      </c>
      <c r="P362" s="400">
        <v>0</v>
      </c>
      <c r="Q362" s="400">
        <v>0</v>
      </c>
      <c r="R362" s="400">
        <v>0</v>
      </c>
      <c r="S362" s="400">
        <v>0</v>
      </c>
      <c r="T362" s="400">
        <v>0</v>
      </c>
      <c r="U362" s="400">
        <v>0</v>
      </c>
      <c r="V362" s="400">
        <v>0</v>
      </c>
      <c r="W362" s="400">
        <v>0</v>
      </c>
      <c r="X362" s="400">
        <v>0</v>
      </c>
      <c r="Y362" s="400">
        <v>0</v>
      </c>
      <c r="Z362" s="400">
        <v>0</v>
      </c>
      <c r="AA362" s="400">
        <v>0</v>
      </c>
      <c r="AB362" s="327">
        <v>2020</v>
      </c>
      <c r="AD362" s="4" t="e">
        <v>#N/A</v>
      </c>
    </row>
    <row r="363" spans="1:30" s="4" customFormat="1" ht="35.25" customHeight="1" x14ac:dyDescent="0.5">
      <c r="A363" s="4">
        <v>1</v>
      </c>
      <c r="B363" s="171">
        <f>SUBTOTAL(103,$A$8:A363)</f>
        <v>351</v>
      </c>
      <c r="C363" s="323" t="s">
        <v>2079</v>
      </c>
      <c r="D363" s="324">
        <f t="shared" si="13"/>
        <v>567062.04</v>
      </c>
      <c r="E363" s="400">
        <v>0</v>
      </c>
      <c r="F363" s="400">
        <v>0</v>
      </c>
      <c r="G363" s="400">
        <v>0</v>
      </c>
      <c r="H363" s="400">
        <v>0</v>
      </c>
      <c r="I363" s="400">
        <v>567062.04</v>
      </c>
      <c r="J363" s="400">
        <v>0</v>
      </c>
      <c r="K363" s="401">
        <v>0</v>
      </c>
      <c r="L363" s="400">
        <v>0</v>
      </c>
      <c r="M363" s="400">
        <v>0</v>
      </c>
      <c r="N363" s="400">
        <v>0</v>
      </c>
      <c r="O363" s="400">
        <v>0</v>
      </c>
      <c r="P363" s="400">
        <v>0</v>
      </c>
      <c r="Q363" s="400">
        <v>0</v>
      </c>
      <c r="R363" s="400">
        <v>0</v>
      </c>
      <c r="S363" s="400">
        <v>0</v>
      </c>
      <c r="T363" s="400">
        <v>0</v>
      </c>
      <c r="U363" s="400">
        <v>0</v>
      </c>
      <c r="V363" s="400">
        <v>0</v>
      </c>
      <c r="W363" s="400">
        <v>0</v>
      </c>
      <c r="X363" s="400">
        <v>0</v>
      </c>
      <c r="Y363" s="400">
        <v>0</v>
      </c>
      <c r="Z363" s="400">
        <v>0</v>
      </c>
      <c r="AA363" s="400">
        <v>0</v>
      </c>
      <c r="AB363" s="327">
        <v>2020</v>
      </c>
      <c r="AD363" s="4" t="e">
        <v>#N/A</v>
      </c>
    </row>
    <row r="364" spans="1:30" s="4" customFormat="1" ht="35.25" customHeight="1" x14ac:dyDescent="0.5">
      <c r="A364" s="4">
        <v>1</v>
      </c>
      <c r="B364" s="171">
        <f>SUBTOTAL(103,$A$8:A364)</f>
        <v>352</v>
      </c>
      <c r="C364" s="323" t="s">
        <v>2080</v>
      </c>
      <c r="D364" s="324">
        <f t="shared" si="13"/>
        <v>2516334.0499999998</v>
      </c>
      <c r="E364" s="400">
        <v>0</v>
      </c>
      <c r="F364" s="400">
        <v>0</v>
      </c>
      <c r="G364" s="400">
        <v>0</v>
      </c>
      <c r="H364" s="400">
        <v>0</v>
      </c>
      <c r="I364" s="400">
        <v>0</v>
      </c>
      <c r="J364" s="400">
        <v>0</v>
      </c>
      <c r="K364" s="401">
        <v>0</v>
      </c>
      <c r="L364" s="400">
        <v>0</v>
      </c>
      <c r="M364" s="400">
        <v>2516334.0499999998</v>
      </c>
      <c r="N364" s="400">
        <v>0</v>
      </c>
      <c r="O364" s="400">
        <v>0</v>
      </c>
      <c r="P364" s="400">
        <v>0</v>
      </c>
      <c r="Q364" s="400">
        <v>0</v>
      </c>
      <c r="R364" s="400">
        <v>0</v>
      </c>
      <c r="S364" s="400">
        <v>0</v>
      </c>
      <c r="T364" s="400">
        <v>0</v>
      </c>
      <c r="U364" s="400">
        <v>0</v>
      </c>
      <c r="V364" s="400">
        <v>0</v>
      </c>
      <c r="W364" s="400">
        <v>0</v>
      </c>
      <c r="X364" s="400">
        <v>0</v>
      </c>
      <c r="Y364" s="400">
        <v>0</v>
      </c>
      <c r="Z364" s="400">
        <v>0</v>
      </c>
      <c r="AA364" s="400">
        <v>0</v>
      </c>
      <c r="AB364" s="327">
        <v>2020</v>
      </c>
      <c r="AD364" s="4" t="e">
        <v>#N/A</v>
      </c>
    </row>
    <row r="365" spans="1:30" s="4" customFormat="1" ht="35.25" customHeight="1" x14ac:dyDescent="0.5">
      <c r="A365" s="4">
        <v>1</v>
      </c>
      <c r="B365" s="171">
        <f>SUBTOTAL(103,$A$8:A365)</f>
        <v>353</v>
      </c>
      <c r="C365" s="323" t="s">
        <v>2081</v>
      </c>
      <c r="D365" s="324">
        <f t="shared" si="13"/>
        <v>294657.71999999997</v>
      </c>
      <c r="E365" s="400">
        <v>294657.71999999997</v>
      </c>
      <c r="F365" s="400">
        <v>0</v>
      </c>
      <c r="G365" s="400">
        <v>0</v>
      </c>
      <c r="H365" s="400">
        <v>0</v>
      </c>
      <c r="I365" s="400">
        <v>0</v>
      </c>
      <c r="J365" s="400">
        <v>0</v>
      </c>
      <c r="K365" s="401">
        <v>0</v>
      </c>
      <c r="L365" s="400">
        <v>0</v>
      </c>
      <c r="M365" s="400">
        <v>0</v>
      </c>
      <c r="N365" s="400">
        <v>0</v>
      </c>
      <c r="O365" s="400">
        <v>0</v>
      </c>
      <c r="P365" s="400">
        <v>0</v>
      </c>
      <c r="Q365" s="400">
        <v>0</v>
      </c>
      <c r="R365" s="400">
        <v>0</v>
      </c>
      <c r="S365" s="400">
        <v>0</v>
      </c>
      <c r="T365" s="400">
        <v>0</v>
      </c>
      <c r="U365" s="400">
        <v>0</v>
      </c>
      <c r="V365" s="400">
        <v>0</v>
      </c>
      <c r="W365" s="400">
        <v>0</v>
      </c>
      <c r="X365" s="400">
        <v>0</v>
      </c>
      <c r="Y365" s="400">
        <v>0</v>
      </c>
      <c r="Z365" s="400">
        <v>0</v>
      </c>
      <c r="AA365" s="400">
        <v>0</v>
      </c>
      <c r="AB365" s="327">
        <v>2020</v>
      </c>
      <c r="AD365" s="4" t="e">
        <v>#N/A</v>
      </c>
    </row>
    <row r="366" spans="1:30" s="4" customFormat="1" ht="35.25" customHeight="1" x14ac:dyDescent="0.5">
      <c r="A366" s="4">
        <v>1</v>
      </c>
      <c r="B366" s="171">
        <f>SUBTOTAL(103,$A$8:A366)</f>
        <v>354</v>
      </c>
      <c r="C366" s="323" t="s">
        <v>2082</v>
      </c>
      <c r="D366" s="324">
        <f t="shared" si="13"/>
        <v>1230830.94</v>
      </c>
      <c r="E366" s="400">
        <v>0</v>
      </c>
      <c r="F366" s="400">
        <v>0</v>
      </c>
      <c r="G366" s="400">
        <v>0</v>
      </c>
      <c r="H366" s="400">
        <v>0</v>
      </c>
      <c r="I366" s="400">
        <v>0</v>
      </c>
      <c r="J366" s="400">
        <v>0</v>
      </c>
      <c r="K366" s="401">
        <v>0</v>
      </c>
      <c r="L366" s="400">
        <v>0</v>
      </c>
      <c r="M366" s="400">
        <v>1230830.94</v>
      </c>
      <c r="N366" s="400">
        <v>0</v>
      </c>
      <c r="O366" s="400">
        <v>0</v>
      </c>
      <c r="P366" s="400">
        <v>0</v>
      </c>
      <c r="Q366" s="400">
        <v>0</v>
      </c>
      <c r="R366" s="400">
        <v>0</v>
      </c>
      <c r="S366" s="400">
        <v>0</v>
      </c>
      <c r="T366" s="400">
        <v>0</v>
      </c>
      <c r="U366" s="400">
        <v>0</v>
      </c>
      <c r="V366" s="400">
        <v>0</v>
      </c>
      <c r="W366" s="400">
        <v>0</v>
      </c>
      <c r="X366" s="400">
        <v>0</v>
      </c>
      <c r="Y366" s="400">
        <v>0</v>
      </c>
      <c r="Z366" s="400">
        <v>0</v>
      </c>
      <c r="AA366" s="400">
        <v>0</v>
      </c>
      <c r="AB366" s="327">
        <v>2020</v>
      </c>
      <c r="AD366" s="4">
        <v>0</v>
      </c>
    </row>
    <row r="367" spans="1:30" s="4" customFormat="1" ht="35.25" customHeight="1" x14ac:dyDescent="0.5">
      <c r="A367" s="4">
        <v>1</v>
      </c>
      <c r="B367" s="171">
        <f>SUBTOTAL(103,$A$8:A367)</f>
        <v>355</v>
      </c>
      <c r="C367" s="323" t="s">
        <v>2083</v>
      </c>
      <c r="D367" s="324">
        <f t="shared" si="13"/>
        <v>1052055</v>
      </c>
      <c r="E367" s="400">
        <v>0</v>
      </c>
      <c r="F367" s="400">
        <v>0</v>
      </c>
      <c r="G367" s="400">
        <v>1052055</v>
      </c>
      <c r="H367" s="400">
        <v>0</v>
      </c>
      <c r="I367" s="400">
        <v>0</v>
      </c>
      <c r="J367" s="400">
        <v>0</v>
      </c>
      <c r="K367" s="401">
        <v>0</v>
      </c>
      <c r="L367" s="400">
        <v>0</v>
      </c>
      <c r="M367" s="400">
        <v>0</v>
      </c>
      <c r="N367" s="400">
        <v>0</v>
      </c>
      <c r="O367" s="400">
        <v>0</v>
      </c>
      <c r="P367" s="400">
        <v>0</v>
      </c>
      <c r="Q367" s="400">
        <v>0</v>
      </c>
      <c r="R367" s="400">
        <v>0</v>
      </c>
      <c r="S367" s="400">
        <v>0</v>
      </c>
      <c r="T367" s="400">
        <v>0</v>
      </c>
      <c r="U367" s="400">
        <v>0</v>
      </c>
      <c r="V367" s="400">
        <v>0</v>
      </c>
      <c r="W367" s="400">
        <v>0</v>
      </c>
      <c r="X367" s="400">
        <v>0</v>
      </c>
      <c r="Y367" s="400">
        <v>0</v>
      </c>
      <c r="Z367" s="400">
        <v>0</v>
      </c>
      <c r="AA367" s="400">
        <v>0</v>
      </c>
      <c r="AB367" s="327">
        <v>2020</v>
      </c>
      <c r="AD367" s="4" t="e">
        <v>#N/A</v>
      </c>
    </row>
    <row r="368" spans="1:30" s="4" customFormat="1" ht="35.25" customHeight="1" x14ac:dyDescent="0.5">
      <c r="A368" s="4">
        <v>1</v>
      </c>
      <c r="B368" s="171">
        <f>SUBTOTAL(103,$A$8:A368)</f>
        <v>356</v>
      </c>
      <c r="C368" s="323" t="s">
        <v>2084</v>
      </c>
      <c r="D368" s="324">
        <f t="shared" si="13"/>
        <v>527399.5</v>
      </c>
      <c r="E368" s="400">
        <v>0</v>
      </c>
      <c r="F368" s="400">
        <v>0</v>
      </c>
      <c r="G368" s="400">
        <v>0</v>
      </c>
      <c r="H368" s="400">
        <v>0</v>
      </c>
      <c r="I368" s="400">
        <v>0</v>
      </c>
      <c r="J368" s="400">
        <v>0</v>
      </c>
      <c r="K368" s="401">
        <v>0</v>
      </c>
      <c r="L368" s="400">
        <v>0</v>
      </c>
      <c r="M368" s="400">
        <v>527399.5</v>
      </c>
      <c r="N368" s="400">
        <v>0</v>
      </c>
      <c r="O368" s="400">
        <v>0</v>
      </c>
      <c r="P368" s="400">
        <v>0</v>
      </c>
      <c r="Q368" s="400">
        <v>0</v>
      </c>
      <c r="R368" s="400">
        <v>0</v>
      </c>
      <c r="S368" s="400">
        <v>0</v>
      </c>
      <c r="T368" s="400">
        <v>0</v>
      </c>
      <c r="U368" s="400">
        <v>0</v>
      </c>
      <c r="V368" s="400">
        <v>0</v>
      </c>
      <c r="W368" s="400">
        <v>0</v>
      </c>
      <c r="X368" s="400">
        <v>0</v>
      </c>
      <c r="Y368" s="400">
        <v>0</v>
      </c>
      <c r="Z368" s="400">
        <v>0</v>
      </c>
      <c r="AA368" s="400">
        <v>0</v>
      </c>
      <c r="AB368" s="327">
        <v>2020</v>
      </c>
      <c r="AD368" s="4" t="e">
        <v>#N/A</v>
      </c>
    </row>
    <row r="369" spans="1:30" s="4" customFormat="1" ht="35.25" customHeight="1" x14ac:dyDescent="0.5">
      <c r="A369" s="4">
        <v>1</v>
      </c>
      <c r="B369" s="171">
        <f>SUBTOTAL(103,$A$8:A369)</f>
        <v>357</v>
      </c>
      <c r="C369" s="323" t="s">
        <v>2085</v>
      </c>
      <c r="D369" s="324">
        <f t="shared" si="13"/>
        <v>687319</v>
      </c>
      <c r="E369" s="400">
        <v>0</v>
      </c>
      <c r="F369" s="400">
        <v>0</v>
      </c>
      <c r="G369" s="400">
        <v>0</v>
      </c>
      <c r="H369" s="400">
        <v>0</v>
      </c>
      <c r="I369" s="400">
        <v>0</v>
      </c>
      <c r="J369" s="400">
        <v>0</v>
      </c>
      <c r="K369" s="401">
        <v>0</v>
      </c>
      <c r="L369" s="400">
        <v>0</v>
      </c>
      <c r="M369" s="400">
        <v>687319</v>
      </c>
      <c r="N369" s="400">
        <v>0</v>
      </c>
      <c r="O369" s="400">
        <v>0</v>
      </c>
      <c r="P369" s="400">
        <v>0</v>
      </c>
      <c r="Q369" s="400">
        <v>0</v>
      </c>
      <c r="R369" s="400">
        <v>0</v>
      </c>
      <c r="S369" s="400">
        <v>0</v>
      </c>
      <c r="T369" s="400">
        <v>0</v>
      </c>
      <c r="U369" s="400">
        <v>0</v>
      </c>
      <c r="V369" s="400">
        <v>0</v>
      </c>
      <c r="W369" s="400">
        <v>0</v>
      </c>
      <c r="X369" s="400">
        <v>0</v>
      </c>
      <c r="Y369" s="400">
        <v>0</v>
      </c>
      <c r="Z369" s="400">
        <v>0</v>
      </c>
      <c r="AA369" s="400">
        <v>0</v>
      </c>
      <c r="AB369" s="327">
        <v>2020</v>
      </c>
      <c r="AD369" s="4" t="e">
        <v>#N/A</v>
      </c>
    </row>
    <row r="370" spans="1:30" s="4" customFormat="1" ht="35.25" customHeight="1" x14ac:dyDescent="0.5">
      <c r="A370" s="4">
        <v>1</v>
      </c>
      <c r="B370" s="171">
        <f>SUBTOTAL(103,$A$8:A370)</f>
        <v>358</v>
      </c>
      <c r="C370" s="323" t="s">
        <v>2086</v>
      </c>
      <c r="D370" s="324">
        <f t="shared" si="13"/>
        <v>350000</v>
      </c>
      <c r="E370" s="400">
        <v>0</v>
      </c>
      <c r="F370" s="400">
        <v>0</v>
      </c>
      <c r="G370" s="400">
        <v>0</v>
      </c>
      <c r="H370" s="400">
        <v>0</v>
      </c>
      <c r="I370" s="400">
        <v>0</v>
      </c>
      <c r="J370" s="400">
        <v>0</v>
      </c>
      <c r="K370" s="401">
        <v>0</v>
      </c>
      <c r="L370" s="400">
        <v>0</v>
      </c>
      <c r="M370" s="400">
        <v>350000</v>
      </c>
      <c r="N370" s="400">
        <v>0</v>
      </c>
      <c r="O370" s="400">
        <v>0</v>
      </c>
      <c r="P370" s="400">
        <v>0</v>
      </c>
      <c r="Q370" s="400">
        <v>0</v>
      </c>
      <c r="R370" s="400">
        <v>0</v>
      </c>
      <c r="S370" s="400">
        <v>0</v>
      </c>
      <c r="T370" s="400">
        <v>0</v>
      </c>
      <c r="U370" s="400">
        <v>0</v>
      </c>
      <c r="V370" s="400">
        <v>0</v>
      </c>
      <c r="W370" s="400">
        <v>0</v>
      </c>
      <c r="X370" s="400">
        <v>0</v>
      </c>
      <c r="Y370" s="400">
        <v>0</v>
      </c>
      <c r="Z370" s="400">
        <v>0</v>
      </c>
      <c r="AA370" s="400">
        <v>0</v>
      </c>
      <c r="AB370" s="327">
        <v>2020</v>
      </c>
      <c r="AD370" s="4" t="e">
        <v>#N/A</v>
      </c>
    </row>
    <row r="371" spans="1:30" s="4" customFormat="1" ht="35.25" customHeight="1" x14ac:dyDescent="0.5">
      <c r="A371" s="4">
        <v>1</v>
      </c>
      <c r="B371" s="171">
        <f>SUBTOTAL(103,$A$8:A371)</f>
        <v>359</v>
      </c>
      <c r="C371" s="323" t="s">
        <v>2087</v>
      </c>
      <c r="D371" s="324">
        <f t="shared" si="13"/>
        <v>571302</v>
      </c>
      <c r="E371" s="400">
        <v>0</v>
      </c>
      <c r="F371" s="400">
        <v>0</v>
      </c>
      <c r="G371" s="400">
        <v>0</v>
      </c>
      <c r="H371" s="400">
        <v>0</v>
      </c>
      <c r="I371" s="400">
        <v>0</v>
      </c>
      <c r="J371" s="400">
        <v>0</v>
      </c>
      <c r="K371" s="401">
        <v>0</v>
      </c>
      <c r="L371" s="400">
        <v>0</v>
      </c>
      <c r="M371" s="400">
        <v>0</v>
      </c>
      <c r="N371" s="400">
        <v>0</v>
      </c>
      <c r="O371" s="400">
        <v>571302</v>
      </c>
      <c r="P371" s="400">
        <v>0</v>
      </c>
      <c r="Q371" s="400">
        <v>0</v>
      </c>
      <c r="R371" s="400">
        <v>0</v>
      </c>
      <c r="S371" s="400">
        <v>0</v>
      </c>
      <c r="T371" s="400">
        <v>0</v>
      </c>
      <c r="U371" s="400">
        <v>0</v>
      </c>
      <c r="V371" s="400">
        <v>0</v>
      </c>
      <c r="W371" s="400">
        <v>0</v>
      </c>
      <c r="X371" s="400">
        <v>0</v>
      </c>
      <c r="Y371" s="400">
        <v>0</v>
      </c>
      <c r="Z371" s="400">
        <v>0</v>
      </c>
      <c r="AA371" s="400">
        <v>0</v>
      </c>
      <c r="AB371" s="327">
        <v>2020</v>
      </c>
      <c r="AD371" s="4" t="e">
        <v>#N/A</v>
      </c>
    </row>
    <row r="372" spans="1:30" s="4" customFormat="1" ht="35.25" customHeight="1" x14ac:dyDescent="0.5">
      <c r="A372" s="4">
        <v>1</v>
      </c>
      <c r="B372" s="171">
        <f>SUBTOTAL(103,$A$8:A372)</f>
        <v>360</v>
      </c>
      <c r="C372" s="323" t="s">
        <v>2088</v>
      </c>
      <c r="D372" s="324">
        <f t="shared" si="13"/>
        <v>283242</v>
      </c>
      <c r="E372" s="400">
        <v>0</v>
      </c>
      <c r="F372" s="400">
        <v>0</v>
      </c>
      <c r="G372" s="400">
        <v>0</v>
      </c>
      <c r="H372" s="400">
        <v>0</v>
      </c>
      <c r="I372" s="400">
        <v>0</v>
      </c>
      <c r="J372" s="400">
        <v>0</v>
      </c>
      <c r="K372" s="401">
        <v>0</v>
      </c>
      <c r="L372" s="400">
        <v>0</v>
      </c>
      <c r="M372" s="400">
        <v>283242</v>
      </c>
      <c r="N372" s="400">
        <v>0</v>
      </c>
      <c r="O372" s="400">
        <v>0</v>
      </c>
      <c r="P372" s="400">
        <v>0</v>
      </c>
      <c r="Q372" s="400">
        <v>0</v>
      </c>
      <c r="R372" s="400">
        <v>0</v>
      </c>
      <c r="S372" s="400">
        <v>0</v>
      </c>
      <c r="T372" s="400">
        <v>0</v>
      </c>
      <c r="U372" s="400">
        <v>0</v>
      </c>
      <c r="V372" s="400">
        <v>0</v>
      </c>
      <c r="W372" s="400">
        <v>0</v>
      </c>
      <c r="X372" s="400">
        <v>0</v>
      </c>
      <c r="Y372" s="400">
        <v>0</v>
      </c>
      <c r="Z372" s="400">
        <v>0</v>
      </c>
      <c r="AA372" s="400">
        <v>0</v>
      </c>
      <c r="AB372" s="327">
        <v>2020</v>
      </c>
      <c r="AD372" s="4" t="e">
        <v>#N/A</v>
      </c>
    </row>
    <row r="373" spans="1:30" s="4" customFormat="1" ht="35.25" customHeight="1" x14ac:dyDescent="0.5">
      <c r="A373" s="4">
        <v>1</v>
      </c>
      <c r="B373" s="171">
        <f>SUBTOTAL(103,$A$8:A373)</f>
        <v>361</v>
      </c>
      <c r="C373" s="323" t="s">
        <v>2089</v>
      </c>
      <c r="D373" s="324">
        <f t="shared" si="13"/>
        <v>210000</v>
      </c>
      <c r="E373" s="400">
        <v>0</v>
      </c>
      <c r="F373" s="400">
        <v>0</v>
      </c>
      <c r="G373" s="400">
        <v>0</v>
      </c>
      <c r="H373" s="400">
        <v>0</v>
      </c>
      <c r="I373" s="400">
        <v>0</v>
      </c>
      <c r="J373" s="400">
        <v>0</v>
      </c>
      <c r="K373" s="401">
        <v>0</v>
      </c>
      <c r="L373" s="400">
        <v>0</v>
      </c>
      <c r="M373" s="400">
        <v>210000</v>
      </c>
      <c r="N373" s="400">
        <v>0</v>
      </c>
      <c r="O373" s="400">
        <v>0</v>
      </c>
      <c r="P373" s="400">
        <v>0</v>
      </c>
      <c r="Q373" s="400">
        <v>0</v>
      </c>
      <c r="R373" s="400">
        <v>0</v>
      </c>
      <c r="S373" s="400">
        <v>0</v>
      </c>
      <c r="T373" s="400">
        <v>0</v>
      </c>
      <c r="U373" s="400">
        <v>0</v>
      </c>
      <c r="V373" s="400">
        <v>0</v>
      </c>
      <c r="W373" s="400">
        <v>0</v>
      </c>
      <c r="X373" s="400">
        <v>0</v>
      </c>
      <c r="Y373" s="400">
        <v>0</v>
      </c>
      <c r="Z373" s="400">
        <v>0</v>
      </c>
      <c r="AA373" s="400">
        <v>0</v>
      </c>
      <c r="AB373" s="327">
        <v>2020</v>
      </c>
      <c r="AD373" s="4" t="e">
        <v>#N/A</v>
      </c>
    </row>
    <row r="374" spans="1:30" s="4" customFormat="1" ht="35.25" customHeight="1" x14ac:dyDescent="0.5">
      <c r="A374" s="4">
        <v>1</v>
      </c>
      <c r="B374" s="171">
        <f>SUBTOTAL(103,$A$8:A374)</f>
        <v>362</v>
      </c>
      <c r="C374" s="323" t="s">
        <v>2090</v>
      </c>
      <c r="D374" s="324">
        <f t="shared" si="13"/>
        <v>482863</v>
      </c>
      <c r="E374" s="400">
        <v>0</v>
      </c>
      <c r="F374" s="400">
        <v>0</v>
      </c>
      <c r="G374" s="400">
        <v>482863</v>
      </c>
      <c r="H374" s="400">
        <v>0</v>
      </c>
      <c r="I374" s="400">
        <v>0</v>
      </c>
      <c r="J374" s="400">
        <v>0</v>
      </c>
      <c r="K374" s="401">
        <v>0</v>
      </c>
      <c r="L374" s="400">
        <v>0</v>
      </c>
      <c r="M374" s="400">
        <v>0</v>
      </c>
      <c r="N374" s="400">
        <v>0</v>
      </c>
      <c r="O374" s="400">
        <v>0</v>
      </c>
      <c r="P374" s="400">
        <v>0</v>
      </c>
      <c r="Q374" s="400">
        <v>0</v>
      </c>
      <c r="R374" s="400">
        <v>0</v>
      </c>
      <c r="S374" s="400">
        <v>0</v>
      </c>
      <c r="T374" s="400">
        <v>0</v>
      </c>
      <c r="U374" s="400">
        <v>0</v>
      </c>
      <c r="V374" s="400">
        <v>0</v>
      </c>
      <c r="W374" s="400">
        <v>0</v>
      </c>
      <c r="X374" s="400">
        <v>0</v>
      </c>
      <c r="Y374" s="400">
        <v>0</v>
      </c>
      <c r="Z374" s="400">
        <v>0</v>
      </c>
      <c r="AA374" s="400">
        <v>0</v>
      </c>
      <c r="AB374" s="327">
        <v>2020</v>
      </c>
      <c r="AD374" s="4" t="e">
        <v>#N/A</v>
      </c>
    </row>
    <row r="375" spans="1:30" s="4" customFormat="1" ht="35.25" customHeight="1" x14ac:dyDescent="0.5">
      <c r="A375" s="4">
        <v>1</v>
      </c>
      <c r="B375" s="171">
        <f>SUBTOTAL(103,$A$8:A375)</f>
        <v>363</v>
      </c>
      <c r="C375" s="323" t="s">
        <v>2091</v>
      </c>
      <c r="D375" s="324">
        <f t="shared" si="13"/>
        <v>237404</v>
      </c>
      <c r="E375" s="400">
        <v>0</v>
      </c>
      <c r="F375" s="400">
        <v>0</v>
      </c>
      <c r="G375" s="400">
        <v>0</v>
      </c>
      <c r="H375" s="400">
        <v>0</v>
      </c>
      <c r="I375" s="400">
        <v>0</v>
      </c>
      <c r="J375" s="400">
        <v>0</v>
      </c>
      <c r="K375" s="401">
        <v>0</v>
      </c>
      <c r="L375" s="400">
        <v>0</v>
      </c>
      <c r="M375" s="400">
        <v>237404</v>
      </c>
      <c r="N375" s="400">
        <v>0</v>
      </c>
      <c r="O375" s="400">
        <v>0</v>
      </c>
      <c r="P375" s="400">
        <v>0</v>
      </c>
      <c r="Q375" s="400">
        <v>0</v>
      </c>
      <c r="R375" s="400">
        <v>0</v>
      </c>
      <c r="S375" s="400">
        <v>0</v>
      </c>
      <c r="T375" s="400">
        <v>0</v>
      </c>
      <c r="U375" s="400">
        <v>0</v>
      </c>
      <c r="V375" s="400">
        <v>0</v>
      </c>
      <c r="W375" s="400">
        <v>0</v>
      </c>
      <c r="X375" s="400">
        <v>0</v>
      </c>
      <c r="Y375" s="400">
        <v>0</v>
      </c>
      <c r="Z375" s="400">
        <v>0</v>
      </c>
      <c r="AA375" s="400">
        <v>0</v>
      </c>
      <c r="AB375" s="327">
        <v>2020</v>
      </c>
      <c r="AD375" s="4">
        <v>0</v>
      </c>
    </row>
    <row r="376" spans="1:30" s="4" customFormat="1" ht="35.25" customHeight="1" x14ac:dyDescent="0.5">
      <c r="A376" s="4">
        <v>1</v>
      </c>
      <c r="B376" s="171">
        <f>SUBTOTAL(103,$A$8:A376)</f>
        <v>364</v>
      </c>
      <c r="C376" s="323" t="s">
        <v>2092</v>
      </c>
      <c r="D376" s="324">
        <f t="shared" si="13"/>
        <v>265768</v>
      </c>
      <c r="E376" s="400">
        <v>0</v>
      </c>
      <c r="F376" s="400">
        <v>0</v>
      </c>
      <c r="G376" s="400">
        <v>265768</v>
      </c>
      <c r="H376" s="400">
        <v>0</v>
      </c>
      <c r="I376" s="400">
        <v>0</v>
      </c>
      <c r="J376" s="400">
        <v>0</v>
      </c>
      <c r="K376" s="401">
        <v>0</v>
      </c>
      <c r="L376" s="400">
        <v>0</v>
      </c>
      <c r="M376" s="400">
        <v>0</v>
      </c>
      <c r="N376" s="400">
        <v>0</v>
      </c>
      <c r="O376" s="400">
        <v>0</v>
      </c>
      <c r="P376" s="400">
        <v>0</v>
      </c>
      <c r="Q376" s="400">
        <v>0</v>
      </c>
      <c r="R376" s="400">
        <v>0</v>
      </c>
      <c r="S376" s="400">
        <v>0</v>
      </c>
      <c r="T376" s="400">
        <v>0</v>
      </c>
      <c r="U376" s="400">
        <v>0</v>
      </c>
      <c r="V376" s="400">
        <v>0</v>
      </c>
      <c r="W376" s="400">
        <v>0</v>
      </c>
      <c r="X376" s="400">
        <v>0</v>
      </c>
      <c r="Y376" s="400">
        <v>0</v>
      </c>
      <c r="Z376" s="400">
        <v>0</v>
      </c>
      <c r="AA376" s="400">
        <v>0</v>
      </c>
      <c r="AB376" s="327">
        <v>2020</v>
      </c>
      <c r="AD376" s="4" t="e">
        <v>#N/A</v>
      </c>
    </row>
    <row r="377" spans="1:30" s="4" customFormat="1" ht="35.25" customHeight="1" x14ac:dyDescent="0.5">
      <c r="A377" s="4">
        <v>1</v>
      </c>
      <c r="B377" s="171">
        <f>SUBTOTAL(103,$A$8:A377)</f>
        <v>365</v>
      </c>
      <c r="C377" s="323" t="s">
        <v>2093</v>
      </c>
      <c r="D377" s="324">
        <f t="shared" si="13"/>
        <v>643076</v>
      </c>
      <c r="E377" s="400">
        <v>0</v>
      </c>
      <c r="F377" s="400">
        <v>0</v>
      </c>
      <c r="G377" s="400">
        <v>0</v>
      </c>
      <c r="H377" s="400">
        <v>13076</v>
      </c>
      <c r="I377" s="400">
        <v>0</v>
      </c>
      <c r="J377" s="400">
        <v>0</v>
      </c>
      <c r="K377" s="401">
        <v>0</v>
      </c>
      <c r="L377" s="400">
        <v>0</v>
      </c>
      <c r="M377" s="400">
        <v>0</v>
      </c>
      <c r="N377" s="400">
        <v>0</v>
      </c>
      <c r="O377" s="400">
        <v>630000</v>
      </c>
      <c r="P377" s="400">
        <v>0</v>
      </c>
      <c r="Q377" s="400">
        <v>0</v>
      </c>
      <c r="R377" s="400">
        <v>0</v>
      </c>
      <c r="S377" s="400">
        <v>0</v>
      </c>
      <c r="T377" s="400">
        <v>0</v>
      </c>
      <c r="U377" s="400">
        <v>0</v>
      </c>
      <c r="V377" s="400">
        <v>0</v>
      </c>
      <c r="W377" s="400">
        <v>0</v>
      </c>
      <c r="X377" s="400">
        <v>0</v>
      </c>
      <c r="Y377" s="400">
        <v>0</v>
      </c>
      <c r="Z377" s="400">
        <v>0</v>
      </c>
      <c r="AA377" s="400">
        <v>0</v>
      </c>
      <c r="AB377" s="327">
        <v>2020</v>
      </c>
      <c r="AD377" s="4">
        <v>0</v>
      </c>
    </row>
    <row r="378" spans="1:30" s="4" customFormat="1" ht="35.25" customHeight="1" x14ac:dyDescent="0.5">
      <c r="A378" s="4">
        <v>1</v>
      </c>
      <c r="B378" s="171">
        <f>SUBTOTAL(103,$A$8:A378)</f>
        <v>366</v>
      </c>
      <c r="C378" s="323" t="s">
        <v>2094</v>
      </c>
      <c r="D378" s="324">
        <f t="shared" si="13"/>
        <v>682931</v>
      </c>
      <c r="E378" s="400">
        <v>0</v>
      </c>
      <c r="F378" s="400">
        <v>0</v>
      </c>
      <c r="G378" s="400">
        <v>0</v>
      </c>
      <c r="H378" s="400">
        <v>0</v>
      </c>
      <c r="I378" s="400">
        <v>0</v>
      </c>
      <c r="J378" s="400">
        <v>0</v>
      </c>
      <c r="K378" s="401">
        <v>0</v>
      </c>
      <c r="L378" s="400">
        <v>0</v>
      </c>
      <c r="M378" s="400">
        <v>0</v>
      </c>
      <c r="N378" s="400">
        <v>0</v>
      </c>
      <c r="O378" s="400">
        <v>682931</v>
      </c>
      <c r="P378" s="400">
        <v>0</v>
      </c>
      <c r="Q378" s="400">
        <v>0</v>
      </c>
      <c r="R378" s="400">
        <v>0</v>
      </c>
      <c r="S378" s="400">
        <v>0</v>
      </c>
      <c r="T378" s="400">
        <v>0</v>
      </c>
      <c r="U378" s="400">
        <v>0</v>
      </c>
      <c r="V378" s="400">
        <v>0</v>
      </c>
      <c r="W378" s="400">
        <v>0</v>
      </c>
      <c r="X378" s="400">
        <v>0</v>
      </c>
      <c r="Y378" s="400">
        <v>0</v>
      </c>
      <c r="Z378" s="400">
        <v>0</v>
      </c>
      <c r="AA378" s="400">
        <v>0</v>
      </c>
      <c r="AB378" s="327">
        <v>2020</v>
      </c>
      <c r="AD378" s="4" t="e">
        <v>#N/A</v>
      </c>
    </row>
    <row r="379" spans="1:30" s="4" customFormat="1" ht="35.25" customHeight="1" x14ac:dyDescent="0.5">
      <c r="A379" s="4">
        <v>1</v>
      </c>
      <c r="B379" s="171">
        <f>SUBTOTAL(103,$A$8:A379)</f>
        <v>367</v>
      </c>
      <c r="C379" s="323" t="s">
        <v>2095</v>
      </c>
      <c r="D379" s="324">
        <f t="shared" si="13"/>
        <v>67129</v>
      </c>
      <c r="E379" s="400">
        <v>0</v>
      </c>
      <c r="F379" s="400">
        <v>0</v>
      </c>
      <c r="G379" s="400">
        <v>0</v>
      </c>
      <c r="H379" s="400">
        <v>0</v>
      </c>
      <c r="I379" s="400">
        <v>0</v>
      </c>
      <c r="J379" s="400">
        <v>0</v>
      </c>
      <c r="K379" s="401">
        <v>0</v>
      </c>
      <c r="L379" s="400">
        <v>0</v>
      </c>
      <c r="M379" s="400">
        <v>0</v>
      </c>
      <c r="N379" s="400">
        <v>0</v>
      </c>
      <c r="O379" s="400">
        <v>67129</v>
      </c>
      <c r="P379" s="400">
        <v>0</v>
      </c>
      <c r="Q379" s="400">
        <v>0</v>
      </c>
      <c r="R379" s="400">
        <v>0</v>
      </c>
      <c r="S379" s="400">
        <v>0</v>
      </c>
      <c r="T379" s="400">
        <v>0</v>
      </c>
      <c r="U379" s="400">
        <v>0</v>
      </c>
      <c r="V379" s="400">
        <v>0</v>
      </c>
      <c r="W379" s="400">
        <v>0</v>
      </c>
      <c r="X379" s="400">
        <v>0</v>
      </c>
      <c r="Y379" s="400">
        <v>0</v>
      </c>
      <c r="Z379" s="400">
        <v>0</v>
      </c>
      <c r="AA379" s="400">
        <v>0</v>
      </c>
      <c r="AB379" s="327">
        <v>2020</v>
      </c>
      <c r="AD379" s="4" t="e">
        <v>#N/A</v>
      </c>
    </row>
    <row r="380" spans="1:30" s="4" customFormat="1" ht="35.25" customHeight="1" x14ac:dyDescent="0.5">
      <c r="A380" s="4">
        <v>1</v>
      </c>
      <c r="B380" s="171">
        <f>SUBTOTAL(103,$A$8:A380)</f>
        <v>368</v>
      </c>
      <c r="C380" s="323" t="s">
        <v>2525</v>
      </c>
      <c r="D380" s="324">
        <f t="shared" si="13"/>
        <v>1150780</v>
      </c>
      <c r="E380" s="400">
        <v>0</v>
      </c>
      <c r="F380" s="400">
        <v>0</v>
      </c>
      <c r="G380" s="400">
        <v>0</v>
      </c>
      <c r="H380" s="400">
        <v>0</v>
      </c>
      <c r="I380" s="400">
        <v>0</v>
      </c>
      <c r="J380" s="400">
        <v>0</v>
      </c>
      <c r="K380" s="401">
        <v>0</v>
      </c>
      <c r="L380" s="400">
        <v>0</v>
      </c>
      <c r="M380" s="400">
        <v>0</v>
      </c>
      <c r="N380" s="400">
        <v>0</v>
      </c>
      <c r="O380" s="400">
        <v>1150780</v>
      </c>
      <c r="P380" s="400">
        <v>0</v>
      </c>
      <c r="Q380" s="400">
        <v>0</v>
      </c>
      <c r="R380" s="400">
        <v>0</v>
      </c>
      <c r="S380" s="400">
        <v>0</v>
      </c>
      <c r="T380" s="400">
        <v>0</v>
      </c>
      <c r="U380" s="400">
        <v>0</v>
      </c>
      <c r="V380" s="400">
        <v>0</v>
      </c>
      <c r="W380" s="400">
        <v>0</v>
      </c>
      <c r="X380" s="400">
        <v>0</v>
      </c>
      <c r="Y380" s="400">
        <v>0</v>
      </c>
      <c r="Z380" s="400">
        <v>0</v>
      </c>
      <c r="AA380" s="400">
        <v>0</v>
      </c>
      <c r="AB380" s="327">
        <v>2020</v>
      </c>
      <c r="AD380" s="4">
        <v>0</v>
      </c>
    </row>
    <row r="381" spans="1:30" s="4" customFormat="1" ht="35.25" customHeight="1" x14ac:dyDescent="0.5">
      <c r="A381" s="4">
        <v>1</v>
      </c>
      <c r="B381" s="171">
        <f>SUBTOTAL(103,$A$8:A381)</f>
        <v>369</v>
      </c>
      <c r="C381" s="323" t="s">
        <v>2526</v>
      </c>
      <c r="D381" s="324">
        <f t="shared" si="13"/>
        <v>1950220</v>
      </c>
      <c r="E381" s="400">
        <v>0</v>
      </c>
      <c r="F381" s="400">
        <v>0</v>
      </c>
      <c r="G381" s="400">
        <v>0</v>
      </c>
      <c r="H381" s="400">
        <v>0</v>
      </c>
      <c r="I381" s="400">
        <v>0</v>
      </c>
      <c r="J381" s="400">
        <v>0</v>
      </c>
      <c r="K381" s="401">
        <v>1</v>
      </c>
      <c r="L381" s="400">
        <v>1950220</v>
      </c>
      <c r="M381" s="400">
        <v>0</v>
      </c>
      <c r="N381" s="400">
        <v>0</v>
      </c>
      <c r="O381" s="400">
        <v>0</v>
      </c>
      <c r="P381" s="400">
        <v>0</v>
      </c>
      <c r="Q381" s="400">
        <v>0</v>
      </c>
      <c r="R381" s="400">
        <v>0</v>
      </c>
      <c r="S381" s="400">
        <v>0</v>
      </c>
      <c r="T381" s="400">
        <v>0</v>
      </c>
      <c r="U381" s="400">
        <v>0</v>
      </c>
      <c r="V381" s="400">
        <v>0</v>
      </c>
      <c r="W381" s="400">
        <v>0</v>
      </c>
      <c r="X381" s="400">
        <v>0</v>
      </c>
      <c r="Y381" s="400">
        <v>0</v>
      </c>
      <c r="Z381" s="400">
        <v>0</v>
      </c>
      <c r="AA381" s="400">
        <v>0</v>
      </c>
      <c r="AB381" s="327">
        <v>2020</v>
      </c>
      <c r="AD381" s="4">
        <v>0</v>
      </c>
    </row>
    <row r="382" spans="1:30" s="4" customFormat="1" ht="35.25" customHeight="1" x14ac:dyDescent="0.5">
      <c r="A382" s="4">
        <v>1</v>
      </c>
      <c r="B382" s="171">
        <f>SUBTOTAL(103,$A$8:A382)</f>
        <v>370</v>
      </c>
      <c r="C382" s="323" t="s">
        <v>2527</v>
      </c>
      <c r="D382" s="324">
        <f t="shared" si="13"/>
        <v>1170000</v>
      </c>
      <c r="E382" s="400">
        <v>0</v>
      </c>
      <c r="F382" s="400">
        <v>0</v>
      </c>
      <c r="G382" s="400">
        <v>0</v>
      </c>
      <c r="H382" s="400">
        <v>0</v>
      </c>
      <c r="I382" s="400">
        <v>0</v>
      </c>
      <c r="J382" s="400">
        <v>0</v>
      </c>
      <c r="K382" s="401">
        <v>2</v>
      </c>
      <c r="L382" s="400">
        <v>1170000</v>
      </c>
      <c r="M382" s="400">
        <v>0</v>
      </c>
      <c r="N382" s="400">
        <v>0</v>
      </c>
      <c r="O382" s="400">
        <v>0</v>
      </c>
      <c r="P382" s="400">
        <v>0</v>
      </c>
      <c r="Q382" s="400">
        <v>0</v>
      </c>
      <c r="R382" s="400">
        <v>0</v>
      </c>
      <c r="S382" s="400">
        <v>0</v>
      </c>
      <c r="T382" s="400">
        <v>0</v>
      </c>
      <c r="U382" s="400">
        <v>0</v>
      </c>
      <c r="V382" s="400">
        <v>0</v>
      </c>
      <c r="W382" s="400">
        <v>0</v>
      </c>
      <c r="X382" s="400">
        <v>0</v>
      </c>
      <c r="Y382" s="400">
        <v>0</v>
      </c>
      <c r="Z382" s="400">
        <v>0</v>
      </c>
      <c r="AA382" s="400">
        <v>0</v>
      </c>
      <c r="AB382" s="327">
        <v>2020</v>
      </c>
      <c r="AD382" s="4">
        <v>0</v>
      </c>
    </row>
    <row r="383" spans="1:30" s="4" customFormat="1" ht="35.25" customHeight="1" x14ac:dyDescent="0.5">
      <c r="A383" s="4">
        <v>1</v>
      </c>
      <c r="B383" s="171">
        <f>SUBTOTAL(103,$A$8:A383)</f>
        <v>371</v>
      </c>
      <c r="C383" s="323" t="s">
        <v>2096</v>
      </c>
      <c r="D383" s="324">
        <f t="shared" si="13"/>
        <v>304016</v>
      </c>
      <c r="E383" s="400">
        <v>0</v>
      </c>
      <c r="F383" s="400">
        <v>0</v>
      </c>
      <c r="G383" s="400">
        <v>0</v>
      </c>
      <c r="H383" s="400">
        <v>0</v>
      </c>
      <c r="I383" s="400">
        <v>0</v>
      </c>
      <c r="J383" s="400">
        <v>0</v>
      </c>
      <c r="K383" s="401">
        <v>0</v>
      </c>
      <c r="L383" s="400">
        <v>0</v>
      </c>
      <c r="M383" s="400">
        <v>304016</v>
      </c>
      <c r="N383" s="400">
        <v>0</v>
      </c>
      <c r="O383" s="400">
        <v>0</v>
      </c>
      <c r="P383" s="400">
        <v>0</v>
      </c>
      <c r="Q383" s="400">
        <v>0</v>
      </c>
      <c r="R383" s="400">
        <v>0</v>
      </c>
      <c r="S383" s="400">
        <v>0</v>
      </c>
      <c r="T383" s="400">
        <v>0</v>
      </c>
      <c r="U383" s="400">
        <v>0</v>
      </c>
      <c r="V383" s="400">
        <v>0</v>
      </c>
      <c r="W383" s="400">
        <v>0</v>
      </c>
      <c r="X383" s="400">
        <v>0</v>
      </c>
      <c r="Y383" s="400">
        <v>0</v>
      </c>
      <c r="Z383" s="400">
        <v>0</v>
      </c>
      <c r="AA383" s="400">
        <v>0</v>
      </c>
      <c r="AB383" s="327">
        <v>2020</v>
      </c>
      <c r="AD383" s="4" t="e">
        <v>#N/A</v>
      </c>
    </row>
    <row r="384" spans="1:30" s="4" customFormat="1" ht="35.25" customHeight="1" x14ac:dyDescent="0.5">
      <c r="A384" s="4">
        <v>1</v>
      </c>
      <c r="B384" s="171">
        <f>SUBTOTAL(103,$A$8:A384)</f>
        <v>372</v>
      </c>
      <c r="C384" s="323" t="s">
        <v>2097</v>
      </c>
      <c r="D384" s="324">
        <f t="shared" si="13"/>
        <v>155485</v>
      </c>
      <c r="E384" s="400">
        <v>0</v>
      </c>
      <c r="F384" s="400">
        <v>0</v>
      </c>
      <c r="G384" s="400">
        <v>0</v>
      </c>
      <c r="H384" s="400">
        <v>0</v>
      </c>
      <c r="I384" s="400">
        <v>0</v>
      </c>
      <c r="J384" s="400">
        <v>0</v>
      </c>
      <c r="K384" s="401">
        <v>0</v>
      </c>
      <c r="L384" s="400">
        <v>0</v>
      </c>
      <c r="M384" s="400">
        <v>0</v>
      </c>
      <c r="N384" s="400">
        <v>0</v>
      </c>
      <c r="O384" s="400">
        <v>155485</v>
      </c>
      <c r="P384" s="400">
        <v>0</v>
      </c>
      <c r="Q384" s="400">
        <v>0</v>
      </c>
      <c r="R384" s="400">
        <v>0</v>
      </c>
      <c r="S384" s="400">
        <v>0</v>
      </c>
      <c r="T384" s="400">
        <v>0</v>
      </c>
      <c r="U384" s="400">
        <v>0</v>
      </c>
      <c r="V384" s="400">
        <v>0</v>
      </c>
      <c r="W384" s="400">
        <v>0</v>
      </c>
      <c r="X384" s="400">
        <v>0</v>
      </c>
      <c r="Y384" s="400">
        <v>0</v>
      </c>
      <c r="Z384" s="400">
        <v>0</v>
      </c>
      <c r="AA384" s="400">
        <v>0</v>
      </c>
      <c r="AB384" s="327">
        <v>2020</v>
      </c>
      <c r="AD384" s="4" t="e">
        <v>#N/A</v>
      </c>
    </row>
    <row r="385" spans="1:30" s="4" customFormat="1" ht="35.25" customHeight="1" x14ac:dyDescent="0.5">
      <c r="A385" s="4">
        <v>1</v>
      </c>
      <c r="B385" s="171">
        <f>SUBTOTAL(103,$A$8:A385)</f>
        <v>373</v>
      </c>
      <c r="C385" s="323" t="s">
        <v>2098</v>
      </c>
      <c r="D385" s="324">
        <f t="shared" si="13"/>
        <v>690218</v>
      </c>
      <c r="E385" s="400">
        <v>0</v>
      </c>
      <c r="F385" s="400">
        <v>0</v>
      </c>
      <c r="G385" s="400">
        <v>0</v>
      </c>
      <c r="H385" s="400">
        <v>0</v>
      </c>
      <c r="I385" s="400">
        <v>0</v>
      </c>
      <c r="J385" s="400">
        <v>0</v>
      </c>
      <c r="K385" s="401">
        <v>0</v>
      </c>
      <c r="L385" s="400">
        <v>0</v>
      </c>
      <c r="M385" s="400">
        <v>690218</v>
      </c>
      <c r="N385" s="400">
        <v>0</v>
      </c>
      <c r="O385" s="400">
        <v>0</v>
      </c>
      <c r="P385" s="400">
        <v>0</v>
      </c>
      <c r="Q385" s="400">
        <v>0</v>
      </c>
      <c r="R385" s="400">
        <v>0</v>
      </c>
      <c r="S385" s="400">
        <v>0</v>
      </c>
      <c r="T385" s="400">
        <v>0</v>
      </c>
      <c r="U385" s="400">
        <v>0</v>
      </c>
      <c r="V385" s="400">
        <v>0</v>
      </c>
      <c r="W385" s="400">
        <v>0</v>
      </c>
      <c r="X385" s="400">
        <v>0</v>
      </c>
      <c r="Y385" s="400">
        <v>0</v>
      </c>
      <c r="Z385" s="400">
        <v>0</v>
      </c>
      <c r="AA385" s="400">
        <v>0</v>
      </c>
      <c r="AB385" s="327">
        <v>2020</v>
      </c>
      <c r="AD385" s="4" t="e">
        <v>#N/A</v>
      </c>
    </row>
    <row r="386" spans="1:30" s="4" customFormat="1" ht="35.25" customHeight="1" x14ac:dyDescent="0.5">
      <c r="A386" s="4">
        <v>1</v>
      </c>
      <c r="B386" s="171">
        <f>SUBTOTAL(103,$A$8:A386)</f>
        <v>374</v>
      </c>
      <c r="C386" s="323" t="s">
        <v>2099</v>
      </c>
      <c r="D386" s="324">
        <f t="shared" si="13"/>
        <v>714020</v>
      </c>
      <c r="E386" s="400">
        <v>0</v>
      </c>
      <c r="F386" s="400">
        <v>0</v>
      </c>
      <c r="G386" s="400">
        <v>0</v>
      </c>
      <c r="H386" s="400">
        <v>0</v>
      </c>
      <c r="I386" s="400">
        <v>0</v>
      </c>
      <c r="J386" s="400">
        <v>0</v>
      </c>
      <c r="K386" s="401">
        <v>0</v>
      </c>
      <c r="L386" s="400">
        <v>0</v>
      </c>
      <c r="M386" s="400">
        <v>714020</v>
      </c>
      <c r="N386" s="400">
        <v>0</v>
      </c>
      <c r="O386" s="400">
        <v>0</v>
      </c>
      <c r="P386" s="400">
        <v>0</v>
      </c>
      <c r="Q386" s="400">
        <v>0</v>
      </c>
      <c r="R386" s="400">
        <v>0</v>
      </c>
      <c r="S386" s="400">
        <v>0</v>
      </c>
      <c r="T386" s="400">
        <v>0</v>
      </c>
      <c r="U386" s="400">
        <v>0</v>
      </c>
      <c r="V386" s="400">
        <v>0</v>
      </c>
      <c r="W386" s="400">
        <v>0</v>
      </c>
      <c r="X386" s="400">
        <v>0</v>
      </c>
      <c r="Y386" s="400">
        <v>0</v>
      </c>
      <c r="Z386" s="400">
        <v>0</v>
      </c>
      <c r="AA386" s="400">
        <v>0</v>
      </c>
      <c r="AB386" s="327">
        <v>2020</v>
      </c>
      <c r="AD386" s="4" t="e">
        <v>#N/A</v>
      </c>
    </row>
    <row r="387" spans="1:30" s="4" customFormat="1" ht="35.25" customHeight="1" x14ac:dyDescent="0.5">
      <c r="A387" s="4">
        <v>1</v>
      </c>
      <c r="B387" s="171">
        <f>SUBTOTAL(103,$A$8:A387)</f>
        <v>375</v>
      </c>
      <c r="C387" s="323" t="s">
        <v>2100</v>
      </c>
      <c r="D387" s="324">
        <f t="shared" si="13"/>
        <v>362535</v>
      </c>
      <c r="E387" s="400">
        <v>0</v>
      </c>
      <c r="F387" s="400">
        <v>0</v>
      </c>
      <c r="G387" s="400">
        <v>0</v>
      </c>
      <c r="H387" s="400">
        <v>131566</v>
      </c>
      <c r="I387" s="400">
        <v>0</v>
      </c>
      <c r="J387" s="400">
        <v>0</v>
      </c>
      <c r="K387" s="401">
        <v>0</v>
      </c>
      <c r="L387" s="400">
        <v>0</v>
      </c>
      <c r="M387" s="400">
        <v>0</v>
      </c>
      <c r="N387" s="400">
        <v>0</v>
      </c>
      <c r="O387" s="400">
        <v>230969</v>
      </c>
      <c r="P387" s="400">
        <v>0</v>
      </c>
      <c r="Q387" s="400">
        <v>0</v>
      </c>
      <c r="R387" s="400">
        <v>0</v>
      </c>
      <c r="S387" s="400">
        <v>0</v>
      </c>
      <c r="T387" s="400">
        <v>0</v>
      </c>
      <c r="U387" s="400">
        <v>0</v>
      </c>
      <c r="V387" s="400">
        <v>0</v>
      </c>
      <c r="W387" s="400">
        <v>0</v>
      </c>
      <c r="X387" s="400">
        <v>0</v>
      </c>
      <c r="Y387" s="400">
        <v>0</v>
      </c>
      <c r="Z387" s="400">
        <v>0</v>
      </c>
      <c r="AA387" s="400">
        <v>0</v>
      </c>
      <c r="AB387" s="327">
        <v>2020</v>
      </c>
      <c r="AD387" s="4">
        <v>0</v>
      </c>
    </row>
    <row r="388" spans="1:30" s="4" customFormat="1" ht="35.25" customHeight="1" x14ac:dyDescent="0.5">
      <c r="A388" s="4">
        <v>1</v>
      </c>
      <c r="B388" s="171">
        <f>SUBTOTAL(103,$A$8:A388)</f>
        <v>376</v>
      </c>
      <c r="C388" s="323" t="s">
        <v>2101</v>
      </c>
      <c r="D388" s="324">
        <f t="shared" ref="D388:D451" si="14">E388+F388+G388+H388+I388+J388+L388+M388+N388+O388+P388+Q388+R388+S388+T388+U388+V388+W388+X388+Y388+Z388+AA388</f>
        <v>1143898</v>
      </c>
      <c r="E388" s="400">
        <v>0</v>
      </c>
      <c r="F388" s="400">
        <v>0</v>
      </c>
      <c r="G388" s="400">
        <v>0</v>
      </c>
      <c r="H388" s="400">
        <v>0</v>
      </c>
      <c r="I388" s="400">
        <v>0</v>
      </c>
      <c r="J388" s="400">
        <v>0</v>
      </c>
      <c r="K388" s="401">
        <v>0</v>
      </c>
      <c r="L388" s="400">
        <v>0</v>
      </c>
      <c r="M388" s="400">
        <v>0</v>
      </c>
      <c r="N388" s="400">
        <v>0</v>
      </c>
      <c r="O388" s="400">
        <v>1143898</v>
      </c>
      <c r="P388" s="400">
        <v>0</v>
      </c>
      <c r="Q388" s="400">
        <v>0</v>
      </c>
      <c r="R388" s="400">
        <v>0</v>
      </c>
      <c r="S388" s="400">
        <v>0</v>
      </c>
      <c r="T388" s="400">
        <v>0</v>
      </c>
      <c r="U388" s="400">
        <v>0</v>
      </c>
      <c r="V388" s="400">
        <v>0</v>
      </c>
      <c r="W388" s="400">
        <v>0</v>
      </c>
      <c r="X388" s="400">
        <v>0</v>
      </c>
      <c r="Y388" s="400">
        <v>0</v>
      </c>
      <c r="Z388" s="400">
        <v>0</v>
      </c>
      <c r="AA388" s="400">
        <v>0</v>
      </c>
      <c r="AB388" s="327">
        <v>2020</v>
      </c>
      <c r="AD388" s="4" t="e">
        <v>#N/A</v>
      </c>
    </row>
    <row r="389" spans="1:30" s="4" customFormat="1" ht="35.25" customHeight="1" x14ac:dyDescent="0.5">
      <c r="A389" s="4">
        <v>1</v>
      </c>
      <c r="B389" s="171">
        <f>SUBTOTAL(103,$A$8:A389)</f>
        <v>377</v>
      </c>
      <c r="C389" s="323" t="s">
        <v>2102</v>
      </c>
      <c r="D389" s="324">
        <f t="shared" si="14"/>
        <v>295760</v>
      </c>
      <c r="E389" s="400">
        <v>0</v>
      </c>
      <c r="F389" s="400">
        <v>0</v>
      </c>
      <c r="G389" s="400">
        <v>0</v>
      </c>
      <c r="H389" s="400">
        <v>0</v>
      </c>
      <c r="I389" s="400">
        <v>0</v>
      </c>
      <c r="J389" s="400">
        <v>0</v>
      </c>
      <c r="K389" s="401">
        <v>0</v>
      </c>
      <c r="L389" s="400">
        <v>0</v>
      </c>
      <c r="M389" s="400">
        <v>0</v>
      </c>
      <c r="N389" s="400">
        <v>0</v>
      </c>
      <c r="O389" s="400">
        <v>295760</v>
      </c>
      <c r="P389" s="400">
        <v>0</v>
      </c>
      <c r="Q389" s="400">
        <v>0</v>
      </c>
      <c r="R389" s="400">
        <v>0</v>
      </c>
      <c r="S389" s="400">
        <v>0</v>
      </c>
      <c r="T389" s="400">
        <v>0</v>
      </c>
      <c r="U389" s="400">
        <v>0</v>
      </c>
      <c r="V389" s="400">
        <v>0</v>
      </c>
      <c r="W389" s="400">
        <v>0</v>
      </c>
      <c r="X389" s="400">
        <v>0</v>
      </c>
      <c r="Y389" s="400">
        <v>0</v>
      </c>
      <c r="Z389" s="400">
        <v>0</v>
      </c>
      <c r="AA389" s="400">
        <v>0</v>
      </c>
      <c r="AB389" s="327">
        <v>2020</v>
      </c>
      <c r="AD389" s="4" t="e">
        <v>#N/A</v>
      </c>
    </row>
    <row r="390" spans="1:30" s="4" customFormat="1" ht="35.25" customHeight="1" x14ac:dyDescent="0.5">
      <c r="A390" s="4">
        <v>1</v>
      </c>
      <c r="B390" s="171">
        <f>SUBTOTAL(103,$A$8:A390)</f>
        <v>378</v>
      </c>
      <c r="C390" s="323" t="s">
        <v>2103</v>
      </c>
      <c r="D390" s="324">
        <f t="shared" si="14"/>
        <v>998880</v>
      </c>
      <c r="E390" s="400">
        <v>0</v>
      </c>
      <c r="F390" s="400">
        <v>0</v>
      </c>
      <c r="G390" s="400">
        <v>0</v>
      </c>
      <c r="H390" s="400">
        <v>0</v>
      </c>
      <c r="I390" s="400">
        <v>0</v>
      </c>
      <c r="J390" s="400">
        <v>0</v>
      </c>
      <c r="K390" s="401">
        <v>0</v>
      </c>
      <c r="L390" s="400">
        <v>0</v>
      </c>
      <c r="M390" s="400">
        <v>998880</v>
      </c>
      <c r="N390" s="400">
        <v>0</v>
      </c>
      <c r="O390" s="400">
        <v>0</v>
      </c>
      <c r="P390" s="400">
        <v>0</v>
      </c>
      <c r="Q390" s="400">
        <v>0</v>
      </c>
      <c r="R390" s="400">
        <v>0</v>
      </c>
      <c r="S390" s="400">
        <v>0</v>
      </c>
      <c r="T390" s="400">
        <v>0</v>
      </c>
      <c r="U390" s="400">
        <v>0</v>
      </c>
      <c r="V390" s="400">
        <v>0</v>
      </c>
      <c r="W390" s="400">
        <v>0</v>
      </c>
      <c r="X390" s="400">
        <v>0</v>
      </c>
      <c r="Y390" s="400">
        <v>0</v>
      </c>
      <c r="Z390" s="400">
        <v>0</v>
      </c>
      <c r="AA390" s="400">
        <v>0</v>
      </c>
      <c r="AB390" s="327">
        <v>2020</v>
      </c>
      <c r="AD390" s="4">
        <v>0</v>
      </c>
    </row>
    <row r="391" spans="1:30" s="4" customFormat="1" ht="35.25" customHeight="1" x14ac:dyDescent="0.5">
      <c r="A391" s="4">
        <v>1</v>
      </c>
      <c r="B391" s="171">
        <f>SUBTOTAL(103,$A$8:A391)</f>
        <v>379</v>
      </c>
      <c r="C391" s="323" t="s">
        <v>2528</v>
      </c>
      <c r="D391" s="324">
        <f t="shared" si="14"/>
        <v>27770</v>
      </c>
      <c r="E391" s="400">
        <v>27770</v>
      </c>
      <c r="F391" s="400">
        <v>0</v>
      </c>
      <c r="G391" s="400">
        <v>0</v>
      </c>
      <c r="H391" s="400">
        <v>0</v>
      </c>
      <c r="I391" s="400">
        <v>0</v>
      </c>
      <c r="J391" s="400">
        <v>0</v>
      </c>
      <c r="K391" s="401">
        <v>0</v>
      </c>
      <c r="L391" s="400">
        <v>0</v>
      </c>
      <c r="M391" s="400">
        <v>0</v>
      </c>
      <c r="N391" s="400">
        <v>0</v>
      </c>
      <c r="O391" s="400">
        <v>0</v>
      </c>
      <c r="P391" s="400">
        <v>0</v>
      </c>
      <c r="Q391" s="400">
        <v>0</v>
      </c>
      <c r="R391" s="400">
        <v>0</v>
      </c>
      <c r="S391" s="400">
        <v>0</v>
      </c>
      <c r="T391" s="400">
        <v>0</v>
      </c>
      <c r="U391" s="400">
        <v>0</v>
      </c>
      <c r="V391" s="400">
        <v>0</v>
      </c>
      <c r="W391" s="400">
        <v>0</v>
      </c>
      <c r="X391" s="400">
        <v>0</v>
      </c>
      <c r="Y391" s="400">
        <v>0</v>
      </c>
      <c r="Z391" s="400">
        <v>0</v>
      </c>
      <c r="AA391" s="400">
        <v>0</v>
      </c>
      <c r="AB391" s="327">
        <v>2020</v>
      </c>
      <c r="AD391" s="4">
        <v>0</v>
      </c>
    </row>
    <row r="392" spans="1:30" s="4" customFormat="1" ht="35.25" customHeight="1" x14ac:dyDescent="0.5">
      <c r="A392" s="4">
        <v>1</v>
      </c>
      <c r="B392" s="171">
        <f>SUBTOTAL(103,$A$8:A392)</f>
        <v>380</v>
      </c>
      <c r="C392" s="323" t="s">
        <v>2104</v>
      </c>
      <c r="D392" s="324">
        <f t="shared" si="14"/>
        <v>169491</v>
      </c>
      <c r="E392" s="400">
        <v>0</v>
      </c>
      <c r="F392" s="400">
        <v>0</v>
      </c>
      <c r="G392" s="400">
        <v>0</v>
      </c>
      <c r="H392" s="400">
        <v>0</v>
      </c>
      <c r="I392" s="400">
        <v>0</v>
      </c>
      <c r="J392" s="400">
        <v>0</v>
      </c>
      <c r="K392" s="401">
        <v>0</v>
      </c>
      <c r="L392" s="400">
        <v>0</v>
      </c>
      <c r="M392" s="400">
        <v>169491</v>
      </c>
      <c r="N392" s="400">
        <v>0</v>
      </c>
      <c r="O392" s="400">
        <v>0</v>
      </c>
      <c r="P392" s="400">
        <v>0</v>
      </c>
      <c r="Q392" s="400">
        <v>0</v>
      </c>
      <c r="R392" s="400">
        <v>0</v>
      </c>
      <c r="S392" s="400">
        <v>0</v>
      </c>
      <c r="T392" s="400">
        <v>0</v>
      </c>
      <c r="U392" s="400">
        <v>0</v>
      </c>
      <c r="V392" s="400">
        <v>0</v>
      </c>
      <c r="W392" s="400">
        <v>0</v>
      </c>
      <c r="X392" s="400">
        <v>0</v>
      </c>
      <c r="Y392" s="400">
        <v>0</v>
      </c>
      <c r="Z392" s="400">
        <v>0</v>
      </c>
      <c r="AA392" s="400">
        <v>0</v>
      </c>
      <c r="AB392" s="327">
        <v>2020</v>
      </c>
      <c r="AD392" s="4" t="e">
        <v>#N/A</v>
      </c>
    </row>
    <row r="393" spans="1:30" s="4" customFormat="1" ht="35.25" customHeight="1" x14ac:dyDescent="0.5">
      <c r="A393" s="4">
        <v>1</v>
      </c>
      <c r="B393" s="171">
        <f>SUBTOTAL(103,$A$8:A393)</f>
        <v>381</v>
      </c>
      <c r="C393" s="323" t="s">
        <v>2105</v>
      </c>
      <c r="D393" s="324">
        <f t="shared" si="14"/>
        <v>563800</v>
      </c>
      <c r="E393" s="400">
        <v>0</v>
      </c>
      <c r="F393" s="400">
        <v>0</v>
      </c>
      <c r="G393" s="400">
        <v>563800</v>
      </c>
      <c r="H393" s="400">
        <v>0</v>
      </c>
      <c r="I393" s="400">
        <v>0</v>
      </c>
      <c r="J393" s="400">
        <v>0</v>
      </c>
      <c r="K393" s="401">
        <v>0</v>
      </c>
      <c r="L393" s="400">
        <v>0</v>
      </c>
      <c r="M393" s="400">
        <v>0</v>
      </c>
      <c r="N393" s="400">
        <v>0</v>
      </c>
      <c r="O393" s="400">
        <v>0</v>
      </c>
      <c r="P393" s="400">
        <v>0</v>
      </c>
      <c r="Q393" s="400">
        <v>0</v>
      </c>
      <c r="R393" s="400">
        <v>0</v>
      </c>
      <c r="S393" s="400">
        <v>0</v>
      </c>
      <c r="T393" s="400">
        <v>0</v>
      </c>
      <c r="U393" s="400">
        <v>0</v>
      </c>
      <c r="V393" s="400">
        <v>0</v>
      </c>
      <c r="W393" s="400">
        <v>0</v>
      </c>
      <c r="X393" s="400">
        <v>0</v>
      </c>
      <c r="Y393" s="400">
        <v>0</v>
      </c>
      <c r="Z393" s="400">
        <v>0</v>
      </c>
      <c r="AA393" s="400">
        <v>0</v>
      </c>
      <c r="AB393" s="327">
        <v>2020</v>
      </c>
      <c r="AD393" s="4" t="e">
        <v>#N/A</v>
      </c>
    </row>
    <row r="394" spans="1:30" s="4" customFormat="1" ht="35.25" customHeight="1" x14ac:dyDescent="0.5">
      <c r="A394" s="4">
        <v>1</v>
      </c>
      <c r="B394" s="171">
        <f>SUBTOTAL(103,$A$8:A394)</f>
        <v>382</v>
      </c>
      <c r="C394" s="323" t="s">
        <v>2106</v>
      </c>
      <c r="D394" s="324">
        <f t="shared" si="14"/>
        <v>806650</v>
      </c>
      <c r="E394" s="400">
        <v>0</v>
      </c>
      <c r="F394" s="400">
        <v>0</v>
      </c>
      <c r="G394" s="400">
        <v>0</v>
      </c>
      <c r="H394" s="400">
        <v>0</v>
      </c>
      <c r="I394" s="400">
        <v>0</v>
      </c>
      <c r="J394" s="400">
        <v>0</v>
      </c>
      <c r="K394" s="401">
        <v>0</v>
      </c>
      <c r="L394" s="400">
        <v>0</v>
      </c>
      <c r="M394" s="400">
        <v>0</v>
      </c>
      <c r="N394" s="400">
        <v>0</v>
      </c>
      <c r="O394" s="400">
        <v>806650</v>
      </c>
      <c r="P394" s="400">
        <v>0</v>
      </c>
      <c r="Q394" s="400">
        <v>0</v>
      </c>
      <c r="R394" s="400">
        <v>0</v>
      </c>
      <c r="S394" s="400">
        <v>0</v>
      </c>
      <c r="T394" s="400">
        <v>0</v>
      </c>
      <c r="U394" s="400">
        <v>0</v>
      </c>
      <c r="V394" s="400">
        <v>0</v>
      </c>
      <c r="W394" s="400">
        <v>0</v>
      </c>
      <c r="X394" s="400">
        <v>0</v>
      </c>
      <c r="Y394" s="400">
        <v>0</v>
      </c>
      <c r="Z394" s="400">
        <v>0</v>
      </c>
      <c r="AA394" s="400">
        <v>0</v>
      </c>
      <c r="AB394" s="327">
        <v>2020</v>
      </c>
      <c r="AD394" s="4" t="e">
        <v>#N/A</v>
      </c>
    </row>
    <row r="395" spans="1:30" s="4" customFormat="1" ht="35.25" customHeight="1" x14ac:dyDescent="0.5">
      <c r="A395" s="4">
        <v>1</v>
      </c>
      <c r="B395" s="171">
        <f>SUBTOTAL(103,$A$8:A395)</f>
        <v>383</v>
      </c>
      <c r="C395" s="323" t="s">
        <v>2107</v>
      </c>
      <c r="D395" s="324">
        <f t="shared" si="14"/>
        <v>454614</v>
      </c>
      <c r="E395" s="400">
        <v>0</v>
      </c>
      <c r="F395" s="400">
        <v>0</v>
      </c>
      <c r="G395" s="400">
        <v>0</v>
      </c>
      <c r="H395" s="400">
        <v>0</v>
      </c>
      <c r="I395" s="400">
        <v>0</v>
      </c>
      <c r="J395" s="400">
        <v>0</v>
      </c>
      <c r="K395" s="401">
        <v>0</v>
      </c>
      <c r="L395" s="400">
        <v>0</v>
      </c>
      <c r="M395" s="400">
        <v>0</v>
      </c>
      <c r="N395" s="400">
        <v>0</v>
      </c>
      <c r="O395" s="400">
        <v>454614</v>
      </c>
      <c r="P395" s="400">
        <v>0</v>
      </c>
      <c r="Q395" s="400">
        <v>0</v>
      </c>
      <c r="R395" s="400">
        <v>0</v>
      </c>
      <c r="S395" s="400">
        <v>0</v>
      </c>
      <c r="T395" s="400">
        <v>0</v>
      </c>
      <c r="U395" s="400">
        <v>0</v>
      </c>
      <c r="V395" s="400">
        <v>0</v>
      </c>
      <c r="W395" s="400">
        <v>0</v>
      </c>
      <c r="X395" s="400">
        <v>0</v>
      </c>
      <c r="Y395" s="400">
        <v>0</v>
      </c>
      <c r="Z395" s="400">
        <v>0</v>
      </c>
      <c r="AA395" s="400">
        <v>0</v>
      </c>
      <c r="AB395" s="327">
        <v>2020</v>
      </c>
      <c r="AD395" s="4" t="e">
        <v>#N/A</v>
      </c>
    </row>
    <row r="396" spans="1:30" s="4" customFormat="1" ht="35.25" customHeight="1" x14ac:dyDescent="0.5">
      <c r="A396" s="4">
        <v>1</v>
      </c>
      <c r="B396" s="171">
        <f>SUBTOTAL(103,$A$8:A396)</f>
        <v>384</v>
      </c>
      <c r="C396" s="323" t="s">
        <v>2108</v>
      </c>
      <c r="D396" s="324">
        <f t="shared" si="14"/>
        <v>131148</v>
      </c>
      <c r="E396" s="400">
        <v>0</v>
      </c>
      <c r="F396" s="400">
        <v>0</v>
      </c>
      <c r="G396" s="400">
        <v>0</v>
      </c>
      <c r="H396" s="400">
        <v>0</v>
      </c>
      <c r="I396" s="400">
        <v>0</v>
      </c>
      <c r="J396" s="400">
        <v>0</v>
      </c>
      <c r="K396" s="401">
        <v>0</v>
      </c>
      <c r="L396" s="400">
        <v>0</v>
      </c>
      <c r="M396" s="400">
        <v>131148</v>
      </c>
      <c r="N396" s="400">
        <v>0</v>
      </c>
      <c r="O396" s="400">
        <v>0</v>
      </c>
      <c r="P396" s="400">
        <v>0</v>
      </c>
      <c r="Q396" s="400">
        <v>0</v>
      </c>
      <c r="R396" s="400">
        <v>0</v>
      </c>
      <c r="S396" s="400">
        <v>0</v>
      </c>
      <c r="T396" s="400">
        <v>0</v>
      </c>
      <c r="U396" s="400">
        <v>0</v>
      </c>
      <c r="V396" s="400">
        <v>0</v>
      </c>
      <c r="W396" s="400">
        <v>0</v>
      </c>
      <c r="X396" s="400">
        <v>0</v>
      </c>
      <c r="Y396" s="400">
        <v>0</v>
      </c>
      <c r="Z396" s="400">
        <v>0</v>
      </c>
      <c r="AA396" s="400">
        <v>0</v>
      </c>
      <c r="AB396" s="327">
        <v>2020</v>
      </c>
      <c r="AD396" s="4" t="e">
        <v>#N/A</v>
      </c>
    </row>
    <row r="397" spans="1:30" s="4" customFormat="1" ht="35.25" customHeight="1" x14ac:dyDescent="0.5">
      <c r="A397" s="4">
        <v>1</v>
      </c>
      <c r="B397" s="171">
        <f>SUBTOTAL(103,$A$8:A397)</f>
        <v>385</v>
      </c>
      <c r="C397" s="323" t="s">
        <v>2109</v>
      </c>
      <c r="D397" s="324">
        <f t="shared" si="14"/>
        <v>228931</v>
      </c>
      <c r="E397" s="400">
        <v>0</v>
      </c>
      <c r="F397" s="400">
        <v>0</v>
      </c>
      <c r="G397" s="400">
        <v>0</v>
      </c>
      <c r="H397" s="400">
        <v>0</v>
      </c>
      <c r="I397" s="400">
        <v>0</v>
      </c>
      <c r="J397" s="400">
        <v>0</v>
      </c>
      <c r="K397" s="401">
        <v>0</v>
      </c>
      <c r="L397" s="400">
        <v>0</v>
      </c>
      <c r="M397" s="400">
        <v>0</v>
      </c>
      <c r="N397" s="400">
        <v>0</v>
      </c>
      <c r="O397" s="400">
        <v>228931</v>
      </c>
      <c r="P397" s="400">
        <v>0</v>
      </c>
      <c r="Q397" s="400">
        <v>0</v>
      </c>
      <c r="R397" s="400">
        <v>0</v>
      </c>
      <c r="S397" s="400">
        <v>0</v>
      </c>
      <c r="T397" s="400">
        <v>0</v>
      </c>
      <c r="U397" s="400">
        <v>0</v>
      </c>
      <c r="V397" s="400">
        <v>0</v>
      </c>
      <c r="W397" s="400">
        <v>0</v>
      </c>
      <c r="X397" s="400">
        <v>0</v>
      </c>
      <c r="Y397" s="400">
        <v>0</v>
      </c>
      <c r="Z397" s="400">
        <v>0</v>
      </c>
      <c r="AA397" s="400">
        <v>0</v>
      </c>
      <c r="AB397" s="327">
        <v>2020</v>
      </c>
      <c r="AD397" s="4">
        <v>0</v>
      </c>
    </row>
    <row r="398" spans="1:30" s="4" customFormat="1" ht="35.25" customHeight="1" x14ac:dyDescent="0.5">
      <c r="A398" s="4">
        <v>1</v>
      </c>
      <c r="B398" s="171">
        <f>SUBTOTAL(103,$A$8:A398)</f>
        <v>386</v>
      </c>
      <c r="C398" s="323" t="s">
        <v>2110</v>
      </c>
      <c r="D398" s="324">
        <f t="shared" si="14"/>
        <v>409967</v>
      </c>
      <c r="E398" s="400">
        <v>409967</v>
      </c>
      <c r="F398" s="400">
        <v>0</v>
      </c>
      <c r="G398" s="400">
        <v>0</v>
      </c>
      <c r="H398" s="400">
        <v>0</v>
      </c>
      <c r="I398" s="400">
        <v>0</v>
      </c>
      <c r="J398" s="400">
        <v>0</v>
      </c>
      <c r="K398" s="401">
        <v>0</v>
      </c>
      <c r="L398" s="400">
        <v>0</v>
      </c>
      <c r="M398" s="400">
        <v>0</v>
      </c>
      <c r="N398" s="400">
        <v>0</v>
      </c>
      <c r="O398" s="400">
        <v>0</v>
      </c>
      <c r="P398" s="400">
        <v>0</v>
      </c>
      <c r="Q398" s="400">
        <v>0</v>
      </c>
      <c r="R398" s="400">
        <v>0</v>
      </c>
      <c r="S398" s="400">
        <v>0</v>
      </c>
      <c r="T398" s="400">
        <v>0</v>
      </c>
      <c r="U398" s="400">
        <v>0</v>
      </c>
      <c r="V398" s="400">
        <v>0</v>
      </c>
      <c r="W398" s="400">
        <v>0</v>
      </c>
      <c r="X398" s="400">
        <v>0</v>
      </c>
      <c r="Y398" s="400">
        <v>0</v>
      </c>
      <c r="Z398" s="400">
        <v>0</v>
      </c>
      <c r="AA398" s="400">
        <v>0</v>
      </c>
      <c r="AB398" s="327">
        <v>2020</v>
      </c>
      <c r="AD398" s="4" t="e">
        <v>#N/A</v>
      </c>
    </row>
    <row r="399" spans="1:30" s="4" customFormat="1" ht="35.25" customHeight="1" x14ac:dyDescent="0.5">
      <c r="A399" s="4">
        <v>1</v>
      </c>
      <c r="B399" s="171">
        <f>SUBTOTAL(103,$A$8:A399)</f>
        <v>387</v>
      </c>
      <c r="C399" s="323" t="s">
        <v>2111</v>
      </c>
      <c r="D399" s="324">
        <f t="shared" si="14"/>
        <v>216187</v>
      </c>
      <c r="E399" s="400">
        <v>0</v>
      </c>
      <c r="F399" s="400">
        <v>0</v>
      </c>
      <c r="G399" s="400">
        <v>0</v>
      </c>
      <c r="H399" s="400">
        <v>0</v>
      </c>
      <c r="I399" s="400">
        <v>0</v>
      </c>
      <c r="J399" s="400">
        <v>0</v>
      </c>
      <c r="K399" s="401">
        <v>0</v>
      </c>
      <c r="L399" s="400">
        <v>0</v>
      </c>
      <c r="M399" s="400">
        <v>0</v>
      </c>
      <c r="N399" s="400">
        <v>0</v>
      </c>
      <c r="O399" s="400">
        <v>95414</v>
      </c>
      <c r="P399" s="400">
        <v>120773</v>
      </c>
      <c r="Q399" s="400">
        <v>0</v>
      </c>
      <c r="R399" s="400">
        <v>0</v>
      </c>
      <c r="S399" s="400">
        <v>0</v>
      </c>
      <c r="T399" s="400">
        <v>0</v>
      </c>
      <c r="U399" s="400">
        <v>0</v>
      </c>
      <c r="V399" s="400">
        <v>0</v>
      </c>
      <c r="W399" s="400">
        <v>0</v>
      </c>
      <c r="X399" s="400">
        <v>0</v>
      </c>
      <c r="Y399" s="400">
        <v>0</v>
      </c>
      <c r="Z399" s="400">
        <v>0</v>
      </c>
      <c r="AA399" s="400">
        <v>0</v>
      </c>
      <c r="AB399" s="327">
        <v>2020</v>
      </c>
      <c r="AD399" s="4" t="e">
        <v>#N/A</v>
      </c>
    </row>
    <row r="400" spans="1:30" s="4" customFormat="1" ht="35.25" customHeight="1" x14ac:dyDescent="0.5">
      <c r="A400" s="4">
        <v>1</v>
      </c>
      <c r="B400" s="171">
        <f>SUBTOTAL(103,$A$8:A400)</f>
        <v>388</v>
      </c>
      <c r="C400" s="323" t="s">
        <v>2529</v>
      </c>
      <c r="D400" s="324">
        <f t="shared" si="14"/>
        <v>888203</v>
      </c>
      <c r="E400" s="400">
        <v>0</v>
      </c>
      <c r="F400" s="400">
        <v>0</v>
      </c>
      <c r="G400" s="400">
        <v>0</v>
      </c>
      <c r="H400" s="400">
        <v>0</v>
      </c>
      <c r="I400" s="400">
        <v>0</v>
      </c>
      <c r="J400" s="400">
        <v>0</v>
      </c>
      <c r="K400" s="401">
        <v>0</v>
      </c>
      <c r="L400" s="400">
        <v>0</v>
      </c>
      <c r="M400" s="400">
        <v>0</v>
      </c>
      <c r="N400" s="400">
        <v>0</v>
      </c>
      <c r="O400" s="400">
        <v>888203</v>
      </c>
      <c r="P400" s="400">
        <v>0</v>
      </c>
      <c r="Q400" s="400">
        <v>0</v>
      </c>
      <c r="R400" s="400">
        <v>0</v>
      </c>
      <c r="S400" s="400">
        <v>0</v>
      </c>
      <c r="T400" s="400">
        <v>0</v>
      </c>
      <c r="U400" s="400">
        <v>0</v>
      </c>
      <c r="V400" s="400">
        <v>0</v>
      </c>
      <c r="W400" s="400">
        <v>0</v>
      </c>
      <c r="X400" s="400">
        <v>0</v>
      </c>
      <c r="Y400" s="400">
        <v>0</v>
      </c>
      <c r="Z400" s="400">
        <v>0</v>
      </c>
      <c r="AA400" s="400">
        <v>0</v>
      </c>
      <c r="AB400" s="327">
        <v>2020</v>
      </c>
      <c r="AD400" s="4">
        <v>0</v>
      </c>
    </row>
    <row r="401" spans="1:30" s="4" customFormat="1" ht="35.25" customHeight="1" x14ac:dyDescent="0.5">
      <c r="A401" s="4">
        <v>1</v>
      </c>
      <c r="B401" s="171">
        <f>SUBTOTAL(103,$A$8:A401)</f>
        <v>389</v>
      </c>
      <c r="C401" s="323" t="s">
        <v>2530</v>
      </c>
      <c r="D401" s="324">
        <f t="shared" si="14"/>
        <v>138268</v>
      </c>
      <c r="E401" s="400">
        <v>0</v>
      </c>
      <c r="F401" s="400">
        <v>0</v>
      </c>
      <c r="G401" s="400">
        <v>0</v>
      </c>
      <c r="H401" s="400">
        <v>0</v>
      </c>
      <c r="I401" s="400">
        <v>0</v>
      </c>
      <c r="J401" s="400">
        <v>0</v>
      </c>
      <c r="K401" s="401">
        <v>0</v>
      </c>
      <c r="L401" s="400">
        <v>0</v>
      </c>
      <c r="M401" s="400">
        <v>0</v>
      </c>
      <c r="N401" s="400">
        <v>0</v>
      </c>
      <c r="O401" s="400">
        <v>138268</v>
      </c>
      <c r="P401" s="400">
        <v>0</v>
      </c>
      <c r="Q401" s="400">
        <v>0</v>
      </c>
      <c r="R401" s="400">
        <v>0</v>
      </c>
      <c r="S401" s="400">
        <v>0</v>
      </c>
      <c r="T401" s="400">
        <v>0</v>
      </c>
      <c r="U401" s="400">
        <v>0</v>
      </c>
      <c r="V401" s="400">
        <v>0</v>
      </c>
      <c r="W401" s="400">
        <v>0</v>
      </c>
      <c r="X401" s="400">
        <v>0</v>
      </c>
      <c r="Y401" s="400">
        <v>0</v>
      </c>
      <c r="Z401" s="400">
        <v>0</v>
      </c>
      <c r="AA401" s="400">
        <v>0</v>
      </c>
      <c r="AB401" s="327">
        <v>2020</v>
      </c>
      <c r="AD401" s="4">
        <v>0</v>
      </c>
    </row>
    <row r="402" spans="1:30" s="4" customFormat="1" ht="35.25" customHeight="1" x14ac:dyDescent="0.5">
      <c r="A402" s="4">
        <v>1</v>
      </c>
      <c r="B402" s="171">
        <f>SUBTOTAL(103,$A$8:A402)</f>
        <v>390</v>
      </c>
      <c r="C402" s="323" t="s">
        <v>2112</v>
      </c>
      <c r="D402" s="324">
        <f t="shared" si="14"/>
        <v>151306</v>
      </c>
      <c r="E402" s="400">
        <v>0</v>
      </c>
      <c r="F402" s="400">
        <v>0</v>
      </c>
      <c r="G402" s="400">
        <v>151306</v>
      </c>
      <c r="H402" s="400">
        <v>0</v>
      </c>
      <c r="I402" s="400">
        <v>0</v>
      </c>
      <c r="J402" s="400">
        <v>0</v>
      </c>
      <c r="K402" s="401">
        <v>0</v>
      </c>
      <c r="L402" s="400">
        <v>0</v>
      </c>
      <c r="M402" s="400">
        <v>0</v>
      </c>
      <c r="N402" s="400">
        <v>0</v>
      </c>
      <c r="O402" s="400">
        <v>0</v>
      </c>
      <c r="P402" s="400">
        <v>0</v>
      </c>
      <c r="Q402" s="400">
        <v>0</v>
      </c>
      <c r="R402" s="400">
        <v>0</v>
      </c>
      <c r="S402" s="400">
        <v>0</v>
      </c>
      <c r="T402" s="400">
        <v>0</v>
      </c>
      <c r="U402" s="400">
        <v>0</v>
      </c>
      <c r="V402" s="400">
        <v>0</v>
      </c>
      <c r="W402" s="400">
        <v>0</v>
      </c>
      <c r="X402" s="400">
        <v>0</v>
      </c>
      <c r="Y402" s="400">
        <v>0</v>
      </c>
      <c r="Z402" s="400">
        <v>0</v>
      </c>
      <c r="AA402" s="400">
        <v>0</v>
      </c>
      <c r="AB402" s="327">
        <v>2020</v>
      </c>
      <c r="AD402" s="4">
        <v>0</v>
      </c>
    </row>
    <row r="403" spans="1:30" s="4" customFormat="1" ht="35.25" customHeight="1" x14ac:dyDescent="0.5">
      <c r="A403" s="4">
        <v>1</v>
      </c>
      <c r="B403" s="171">
        <f>SUBTOTAL(103,$A$8:A403)</f>
        <v>391</v>
      </c>
      <c r="C403" s="323" t="s">
        <v>2531</v>
      </c>
      <c r="D403" s="324">
        <f t="shared" si="14"/>
        <v>46213</v>
      </c>
      <c r="E403" s="400">
        <v>0</v>
      </c>
      <c r="F403" s="400">
        <v>0</v>
      </c>
      <c r="G403" s="400">
        <v>46213</v>
      </c>
      <c r="H403" s="400">
        <v>0</v>
      </c>
      <c r="I403" s="400">
        <v>0</v>
      </c>
      <c r="J403" s="400">
        <v>0</v>
      </c>
      <c r="K403" s="401">
        <v>0</v>
      </c>
      <c r="L403" s="400">
        <v>0</v>
      </c>
      <c r="M403" s="400">
        <v>0</v>
      </c>
      <c r="N403" s="400">
        <v>0</v>
      </c>
      <c r="O403" s="400">
        <v>0</v>
      </c>
      <c r="P403" s="400">
        <v>0</v>
      </c>
      <c r="Q403" s="400">
        <v>0</v>
      </c>
      <c r="R403" s="400">
        <v>0</v>
      </c>
      <c r="S403" s="400">
        <v>0</v>
      </c>
      <c r="T403" s="400">
        <v>0</v>
      </c>
      <c r="U403" s="400">
        <v>0</v>
      </c>
      <c r="V403" s="400">
        <v>0</v>
      </c>
      <c r="W403" s="400">
        <v>0</v>
      </c>
      <c r="X403" s="400">
        <v>0</v>
      </c>
      <c r="Y403" s="400">
        <v>0</v>
      </c>
      <c r="Z403" s="400">
        <v>0</v>
      </c>
      <c r="AA403" s="400">
        <v>0</v>
      </c>
      <c r="AB403" s="327">
        <v>2020</v>
      </c>
      <c r="AD403" s="4">
        <v>0</v>
      </c>
    </row>
    <row r="404" spans="1:30" s="4" customFormat="1" ht="35.25" customHeight="1" x14ac:dyDescent="0.5">
      <c r="A404" s="4">
        <v>1</v>
      </c>
      <c r="B404" s="171">
        <f>SUBTOTAL(103,$A$8:A404)</f>
        <v>392</v>
      </c>
      <c r="C404" s="323" t="s">
        <v>2113</v>
      </c>
      <c r="D404" s="324">
        <f t="shared" si="14"/>
        <v>1078317</v>
      </c>
      <c r="E404" s="400">
        <v>0</v>
      </c>
      <c r="F404" s="400">
        <v>0</v>
      </c>
      <c r="G404" s="400">
        <v>0</v>
      </c>
      <c r="H404" s="400">
        <v>0</v>
      </c>
      <c r="I404" s="400">
        <v>0</v>
      </c>
      <c r="J404" s="400">
        <v>0</v>
      </c>
      <c r="K404" s="401">
        <v>0</v>
      </c>
      <c r="L404" s="400">
        <v>0</v>
      </c>
      <c r="M404" s="400">
        <v>0</v>
      </c>
      <c r="N404" s="400">
        <v>0</v>
      </c>
      <c r="O404" s="400">
        <v>1078317</v>
      </c>
      <c r="P404" s="400">
        <v>0</v>
      </c>
      <c r="Q404" s="400">
        <v>0</v>
      </c>
      <c r="R404" s="400">
        <v>0</v>
      </c>
      <c r="S404" s="400">
        <v>0</v>
      </c>
      <c r="T404" s="400">
        <v>0</v>
      </c>
      <c r="U404" s="400">
        <v>0</v>
      </c>
      <c r="V404" s="400">
        <v>0</v>
      </c>
      <c r="W404" s="400">
        <v>0</v>
      </c>
      <c r="X404" s="400">
        <v>0</v>
      </c>
      <c r="Y404" s="400">
        <v>0</v>
      </c>
      <c r="Z404" s="400">
        <v>0</v>
      </c>
      <c r="AA404" s="400">
        <v>0</v>
      </c>
      <c r="AB404" s="327">
        <v>2020</v>
      </c>
      <c r="AD404" s="4">
        <v>0</v>
      </c>
    </row>
    <row r="405" spans="1:30" s="4" customFormat="1" ht="35.25" customHeight="1" x14ac:dyDescent="0.5">
      <c r="A405" s="4">
        <v>1</v>
      </c>
      <c r="B405" s="171">
        <f>SUBTOTAL(103,$A$8:A405)</f>
        <v>393</v>
      </c>
      <c r="C405" s="323" t="s">
        <v>2532</v>
      </c>
      <c r="D405" s="324">
        <f t="shared" si="14"/>
        <v>240000</v>
      </c>
      <c r="E405" s="400">
        <v>189200</v>
      </c>
      <c r="F405" s="400">
        <v>0</v>
      </c>
      <c r="G405" s="400">
        <v>0</v>
      </c>
      <c r="H405" s="400">
        <v>50800</v>
      </c>
      <c r="I405" s="400">
        <v>0</v>
      </c>
      <c r="J405" s="400">
        <v>0</v>
      </c>
      <c r="K405" s="401">
        <v>0</v>
      </c>
      <c r="L405" s="400">
        <v>0</v>
      </c>
      <c r="M405" s="400">
        <v>0</v>
      </c>
      <c r="N405" s="400">
        <v>0</v>
      </c>
      <c r="O405" s="400">
        <v>0</v>
      </c>
      <c r="P405" s="400">
        <v>0</v>
      </c>
      <c r="Q405" s="400">
        <v>0</v>
      </c>
      <c r="R405" s="400">
        <v>0</v>
      </c>
      <c r="S405" s="400">
        <v>0</v>
      </c>
      <c r="T405" s="400">
        <v>0</v>
      </c>
      <c r="U405" s="400">
        <v>0</v>
      </c>
      <c r="V405" s="400">
        <v>0</v>
      </c>
      <c r="W405" s="400">
        <v>0</v>
      </c>
      <c r="X405" s="400">
        <v>0</v>
      </c>
      <c r="Y405" s="400">
        <v>0</v>
      </c>
      <c r="Z405" s="400">
        <v>0</v>
      </c>
      <c r="AA405" s="400">
        <v>0</v>
      </c>
      <c r="AB405" s="327">
        <v>2020</v>
      </c>
      <c r="AD405" s="4">
        <v>0</v>
      </c>
    </row>
    <row r="406" spans="1:30" s="4" customFormat="1" ht="35.25" customHeight="1" x14ac:dyDescent="0.5">
      <c r="A406" s="4">
        <v>1</v>
      </c>
      <c r="B406" s="171">
        <f>SUBTOTAL(103,$A$8:A406)</f>
        <v>394</v>
      </c>
      <c r="C406" s="323" t="s">
        <v>2114</v>
      </c>
      <c r="D406" s="324">
        <f t="shared" si="14"/>
        <v>617228.15999999992</v>
      </c>
      <c r="E406" s="400">
        <v>0</v>
      </c>
      <c r="F406" s="400">
        <v>0</v>
      </c>
      <c r="G406" s="400">
        <v>0</v>
      </c>
      <c r="H406" s="400">
        <v>0</v>
      </c>
      <c r="I406" s="400">
        <v>0</v>
      </c>
      <c r="J406" s="400">
        <v>0</v>
      </c>
      <c r="K406" s="401">
        <v>0</v>
      </c>
      <c r="L406" s="400">
        <v>0</v>
      </c>
      <c r="M406" s="400">
        <v>0</v>
      </c>
      <c r="N406" s="400">
        <v>0</v>
      </c>
      <c r="O406" s="400">
        <v>617228.15999999992</v>
      </c>
      <c r="P406" s="400">
        <v>0</v>
      </c>
      <c r="Q406" s="400">
        <v>0</v>
      </c>
      <c r="R406" s="400">
        <v>0</v>
      </c>
      <c r="S406" s="400">
        <v>0</v>
      </c>
      <c r="T406" s="400">
        <v>0</v>
      </c>
      <c r="U406" s="400">
        <v>0</v>
      </c>
      <c r="V406" s="400">
        <v>0</v>
      </c>
      <c r="W406" s="400">
        <v>0</v>
      </c>
      <c r="X406" s="400">
        <v>0</v>
      </c>
      <c r="Y406" s="400">
        <v>0</v>
      </c>
      <c r="Z406" s="400">
        <v>0</v>
      </c>
      <c r="AA406" s="400">
        <v>0</v>
      </c>
      <c r="AB406" s="327">
        <v>2020</v>
      </c>
      <c r="AD406" s="4">
        <v>0</v>
      </c>
    </row>
    <row r="407" spans="1:30" s="4" customFormat="1" ht="35.25" customHeight="1" x14ac:dyDescent="0.5">
      <c r="A407" s="4">
        <v>1</v>
      </c>
      <c r="B407" s="171">
        <f>SUBTOTAL(103,$A$8:A407)</f>
        <v>395</v>
      </c>
      <c r="C407" s="323" t="s">
        <v>2115</v>
      </c>
      <c r="D407" s="324">
        <f t="shared" si="14"/>
        <v>536083</v>
      </c>
      <c r="E407" s="400">
        <v>127342</v>
      </c>
      <c r="F407" s="400">
        <v>161294</v>
      </c>
      <c r="G407" s="400">
        <v>0</v>
      </c>
      <c r="H407" s="400">
        <v>0</v>
      </c>
      <c r="I407" s="400">
        <v>48447</v>
      </c>
      <c r="J407" s="400">
        <v>0</v>
      </c>
      <c r="K407" s="401">
        <v>0</v>
      </c>
      <c r="L407" s="400">
        <v>0</v>
      </c>
      <c r="M407" s="400">
        <v>0</v>
      </c>
      <c r="N407" s="400">
        <v>0</v>
      </c>
      <c r="O407" s="400">
        <v>199000</v>
      </c>
      <c r="P407" s="400">
        <v>0</v>
      </c>
      <c r="Q407" s="400">
        <v>0</v>
      </c>
      <c r="R407" s="400">
        <v>0</v>
      </c>
      <c r="S407" s="400">
        <v>0</v>
      </c>
      <c r="T407" s="400">
        <v>0</v>
      </c>
      <c r="U407" s="400">
        <v>0</v>
      </c>
      <c r="V407" s="400">
        <v>0</v>
      </c>
      <c r="W407" s="400">
        <v>0</v>
      </c>
      <c r="X407" s="400">
        <v>0</v>
      </c>
      <c r="Y407" s="400">
        <v>0</v>
      </c>
      <c r="Z407" s="400">
        <v>0</v>
      </c>
      <c r="AA407" s="400">
        <v>0</v>
      </c>
      <c r="AB407" s="327">
        <v>2020</v>
      </c>
      <c r="AD407" s="4" t="e">
        <v>#N/A</v>
      </c>
    </row>
    <row r="408" spans="1:30" s="4" customFormat="1" ht="35.25" customHeight="1" x14ac:dyDescent="0.5">
      <c r="A408" s="4">
        <v>1</v>
      </c>
      <c r="B408" s="171">
        <f>SUBTOTAL(103,$A$8:A408)</f>
        <v>396</v>
      </c>
      <c r="C408" s="323" t="s">
        <v>2533</v>
      </c>
      <c r="D408" s="324">
        <f t="shared" si="14"/>
        <v>637884.4</v>
      </c>
      <c r="E408" s="400">
        <v>0</v>
      </c>
      <c r="F408" s="400">
        <v>0</v>
      </c>
      <c r="G408" s="400">
        <v>0</v>
      </c>
      <c r="H408" s="400">
        <v>0</v>
      </c>
      <c r="I408" s="400">
        <v>0</v>
      </c>
      <c r="J408" s="400">
        <v>0</v>
      </c>
      <c r="K408" s="401">
        <v>0</v>
      </c>
      <c r="L408" s="400">
        <v>0</v>
      </c>
      <c r="M408" s="400">
        <v>498604.4</v>
      </c>
      <c r="N408" s="400">
        <v>0</v>
      </c>
      <c r="O408" s="400">
        <v>139280</v>
      </c>
      <c r="P408" s="400">
        <v>0</v>
      </c>
      <c r="Q408" s="400">
        <v>0</v>
      </c>
      <c r="R408" s="400">
        <v>0</v>
      </c>
      <c r="S408" s="400">
        <v>0</v>
      </c>
      <c r="T408" s="400">
        <v>0</v>
      </c>
      <c r="U408" s="400">
        <v>0</v>
      </c>
      <c r="V408" s="400">
        <v>0</v>
      </c>
      <c r="W408" s="400">
        <v>0</v>
      </c>
      <c r="X408" s="400">
        <v>0</v>
      </c>
      <c r="Y408" s="400">
        <v>0</v>
      </c>
      <c r="Z408" s="400">
        <v>0</v>
      </c>
      <c r="AA408" s="400">
        <v>0</v>
      </c>
      <c r="AB408" s="327">
        <v>2020</v>
      </c>
      <c r="AD408" s="4">
        <v>0</v>
      </c>
    </row>
    <row r="409" spans="1:30" s="4" customFormat="1" ht="35.25" customHeight="1" x14ac:dyDescent="0.5">
      <c r="A409" s="4">
        <v>1</v>
      </c>
      <c r="B409" s="171">
        <f>SUBTOTAL(103,$A$8:A409)</f>
        <v>397</v>
      </c>
      <c r="C409" s="323" t="s">
        <v>2116</v>
      </c>
      <c r="D409" s="324">
        <f t="shared" si="14"/>
        <v>1195423</v>
      </c>
      <c r="E409" s="400">
        <v>0</v>
      </c>
      <c r="F409" s="400">
        <v>0</v>
      </c>
      <c r="G409" s="400">
        <v>0</v>
      </c>
      <c r="H409" s="400">
        <v>0</v>
      </c>
      <c r="I409" s="400">
        <v>0</v>
      </c>
      <c r="J409" s="400">
        <v>0</v>
      </c>
      <c r="K409" s="401">
        <v>0</v>
      </c>
      <c r="L409" s="400">
        <v>0</v>
      </c>
      <c r="M409" s="400">
        <v>0</v>
      </c>
      <c r="N409" s="400">
        <v>0</v>
      </c>
      <c r="O409" s="400">
        <v>1195423</v>
      </c>
      <c r="P409" s="400">
        <v>0</v>
      </c>
      <c r="Q409" s="400">
        <v>0</v>
      </c>
      <c r="R409" s="400">
        <v>0</v>
      </c>
      <c r="S409" s="400">
        <v>0</v>
      </c>
      <c r="T409" s="400">
        <v>0</v>
      </c>
      <c r="U409" s="400">
        <v>0</v>
      </c>
      <c r="V409" s="400">
        <v>0</v>
      </c>
      <c r="W409" s="400">
        <v>0</v>
      </c>
      <c r="X409" s="400">
        <v>0</v>
      </c>
      <c r="Y409" s="400">
        <v>0</v>
      </c>
      <c r="Z409" s="400">
        <v>0</v>
      </c>
      <c r="AA409" s="400">
        <v>0</v>
      </c>
      <c r="AB409" s="327">
        <v>2020</v>
      </c>
      <c r="AD409" s="4" t="e">
        <v>#N/A</v>
      </c>
    </row>
    <row r="410" spans="1:30" s="4" customFormat="1" ht="35.25" customHeight="1" x14ac:dyDescent="0.5">
      <c r="A410" s="4">
        <v>1</v>
      </c>
      <c r="B410" s="171">
        <f>SUBTOTAL(103,$A$8:A410)</f>
        <v>398</v>
      </c>
      <c r="C410" s="323" t="s">
        <v>2117</v>
      </c>
      <c r="D410" s="324">
        <f t="shared" si="14"/>
        <v>381537</v>
      </c>
      <c r="E410" s="400">
        <v>0</v>
      </c>
      <c r="F410" s="400">
        <v>0</v>
      </c>
      <c r="G410" s="400">
        <v>0</v>
      </c>
      <c r="H410" s="400">
        <v>0</v>
      </c>
      <c r="I410" s="400">
        <v>170882</v>
      </c>
      <c r="J410" s="400">
        <v>0</v>
      </c>
      <c r="K410" s="401">
        <v>0</v>
      </c>
      <c r="L410" s="400">
        <v>0</v>
      </c>
      <c r="M410" s="400">
        <v>0</v>
      </c>
      <c r="N410" s="400">
        <v>0</v>
      </c>
      <c r="O410" s="400">
        <v>210655</v>
      </c>
      <c r="P410" s="400">
        <v>0</v>
      </c>
      <c r="Q410" s="400">
        <v>0</v>
      </c>
      <c r="R410" s="400">
        <v>0</v>
      </c>
      <c r="S410" s="400">
        <v>0</v>
      </c>
      <c r="T410" s="400">
        <v>0</v>
      </c>
      <c r="U410" s="400">
        <v>0</v>
      </c>
      <c r="V410" s="400">
        <v>0</v>
      </c>
      <c r="W410" s="400">
        <v>0</v>
      </c>
      <c r="X410" s="400">
        <v>0</v>
      </c>
      <c r="Y410" s="400">
        <v>0</v>
      </c>
      <c r="Z410" s="400">
        <v>0</v>
      </c>
      <c r="AA410" s="400">
        <v>0</v>
      </c>
      <c r="AB410" s="327">
        <v>2020</v>
      </c>
      <c r="AD410" s="4" t="e">
        <v>#N/A</v>
      </c>
    </row>
    <row r="411" spans="1:30" s="4" customFormat="1" ht="35.25" customHeight="1" x14ac:dyDescent="0.5">
      <c r="A411" s="4">
        <v>1</v>
      </c>
      <c r="B411" s="171">
        <f>SUBTOTAL(103,$A$8:A411)</f>
        <v>399</v>
      </c>
      <c r="C411" s="323" t="s">
        <v>2118</v>
      </c>
      <c r="D411" s="324">
        <f t="shared" si="14"/>
        <v>239525</v>
      </c>
      <c r="E411" s="400">
        <v>0</v>
      </c>
      <c r="F411" s="400">
        <v>0</v>
      </c>
      <c r="G411" s="400">
        <v>0</v>
      </c>
      <c r="H411" s="400">
        <v>0</v>
      </c>
      <c r="I411" s="400">
        <v>0</v>
      </c>
      <c r="J411" s="400">
        <v>0</v>
      </c>
      <c r="K411" s="401">
        <v>0</v>
      </c>
      <c r="L411" s="400">
        <v>0</v>
      </c>
      <c r="M411" s="400">
        <v>0</v>
      </c>
      <c r="N411" s="400">
        <v>0</v>
      </c>
      <c r="O411" s="400">
        <v>239525</v>
      </c>
      <c r="P411" s="400">
        <v>0</v>
      </c>
      <c r="Q411" s="400">
        <v>0</v>
      </c>
      <c r="R411" s="400">
        <v>0</v>
      </c>
      <c r="S411" s="400">
        <v>0</v>
      </c>
      <c r="T411" s="400">
        <v>0</v>
      </c>
      <c r="U411" s="400">
        <v>0</v>
      </c>
      <c r="V411" s="400">
        <v>0</v>
      </c>
      <c r="W411" s="400">
        <v>0</v>
      </c>
      <c r="X411" s="400">
        <v>0</v>
      </c>
      <c r="Y411" s="400">
        <v>0</v>
      </c>
      <c r="Z411" s="400">
        <v>0</v>
      </c>
      <c r="AA411" s="400">
        <v>0</v>
      </c>
      <c r="AB411" s="327">
        <v>2020</v>
      </c>
      <c r="AD411" s="4" t="e">
        <v>#N/A</v>
      </c>
    </row>
    <row r="412" spans="1:30" s="4" customFormat="1" ht="35.25" customHeight="1" x14ac:dyDescent="0.5">
      <c r="A412" s="4">
        <v>1</v>
      </c>
      <c r="B412" s="171">
        <f>SUBTOTAL(103,$A$8:A412)</f>
        <v>400</v>
      </c>
      <c r="C412" s="323" t="s">
        <v>2304</v>
      </c>
      <c r="D412" s="324">
        <f t="shared" si="14"/>
        <v>926256</v>
      </c>
      <c r="E412" s="400">
        <v>0</v>
      </c>
      <c r="F412" s="400">
        <v>0</v>
      </c>
      <c r="G412" s="400">
        <v>0</v>
      </c>
      <c r="H412" s="400">
        <v>0</v>
      </c>
      <c r="I412" s="400">
        <v>0</v>
      </c>
      <c r="J412" s="400">
        <v>0</v>
      </c>
      <c r="K412" s="401">
        <v>0</v>
      </c>
      <c r="L412" s="400">
        <v>0</v>
      </c>
      <c r="M412" s="400">
        <v>0</v>
      </c>
      <c r="N412" s="400">
        <v>0</v>
      </c>
      <c r="O412" s="400">
        <v>926256</v>
      </c>
      <c r="P412" s="400">
        <v>0</v>
      </c>
      <c r="Q412" s="400">
        <v>0</v>
      </c>
      <c r="R412" s="400">
        <v>0</v>
      </c>
      <c r="S412" s="400">
        <v>0</v>
      </c>
      <c r="T412" s="400">
        <v>0</v>
      </c>
      <c r="U412" s="400">
        <v>0</v>
      </c>
      <c r="V412" s="400">
        <v>0</v>
      </c>
      <c r="W412" s="400">
        <v>0</v>
      </c>
      <c r="X412" s="400">
        <v>0</v>
      </c>
      <c r="Y412" s="400">
        <v>0</v>
      </c>
      <c r="Z412" s="400">
        <v>0</v>
      </c>
      <c r="AA412" s="400">
        <v>0</v>
      </c>
      <c r="AB412" s="327">
        <v>2020</v>
      </c>
      <c r="AD412" s="4">
        <v>0</v>
      </c>
    </row>
    <row r="413" spans="1:30" s="4" customFormat="1" ht="35.25" customHeight="1" x14ac:dyDescent="0.5">
      <c r="A413" s="4">
        <v>1</v>
      </c>
      <c r="B413" s="171">
        <f>SUBTOTAL(103,$A$8:A413)</f>
        <v>401</v>
      </c>
      <c r="C413" s="323" t="s">
        <v>2305</v>
      </c>
      <c r="D413" s="324">
        <f t="shared" si="14"/>
        <v>815800</v>
      </c>
      <c r="E413" s="400">
        <v>0</v>
      </c>
      <c r="F413" s="400">
        <v>0</v>
      </c>
      <c r="G413" s="400">
        <v>0</v>
      </c>
      <c r="H413" s="400">
        <v>0</v>
      </c>
      <c r="I413" s="400">
        <v>0</v>
      </c>
      <c r="J413" s="400">
        <v>0</v>
      </c>
      <c r="K413" s="401">
        <v>0</v>
      </c>
      <c r="L413" s="400">
        <v>0</v>
      </c>
      <c r="M413" s="400">
        <v>0</v>
      </c>
      <c r="N413" s="400">
        <v>0</v>
      </c>
      <c r="O413" s="400">
        <v>815800</v>
      </c>
      <c r="P413" s="400">
        <v>0</v>
      </c>
      <c r="Q413" s="400">
        <v>0</v>
      </c>
      <c r="R413" s="400">
        <v>0</v>
      </c>
      <c r="S413" s="400">
        <v>0</v>
      </c>
      <c r="T413" s="400">
        <v>0</v>
      </c>
      <c r="U413" s="400">
        <v>0</v>
      </c>
      <c r="V413" s="400">
        <v>0</v>
      </c>
      <c r="W413" s="400">
        <v>0</v>
      </c>
      <c r="X413" s="400">
        <v>0</v>
      </c>
      <c r="Y413" s="400">
        <v>0</v>
      </c>
      <c r="Z413" s="400">
        <v>0</v>
      </c>
      <c r="AA413" s="400">
        <v>0</v>
      </c>
      <c r="AB413" s="327">
        <v>2020</v>
      </c>
      <c r="AD413" s="4">
        <v>0</v>
      </c>
    </row>
    <row r="414" spans="1:30" s="4" customFormat="1" ht="35.25" customHeight="1" x14ac:dyDescent="0.5">
      <c r="A414" s="4">
        <v>1</v>
      </c>
      <c r="B414" s="171">
        <f>SUBTOTAL(103,$A$8:A414)</f>
        <v>402</v>
      </c>
      <c r="C414" s="323" t="s">
        <v>2306</v>
      </c>
      <c r="D414" s="324">
        <f t="shared" si="14"/>
        <v>902997</v>
      </c>
      <c r="E414" s="400">
        <v>0</v>
      </c>
      <c r="F414" s="400">
        <v>0</v>
      </c>
      <c r="G414" s="400">
        <v>0</v>
      </c>
      <c r="H414" s="400">
        <v>0</v>
      </c>
      <c r="I414" s="400">
        <v>0</v>
      </c>
      <c r="J414" s="400">
        <v>0</v>
      </c>
      <c r="K414" s="401">
        <v>0</v>
      </c>
      <c r="L414" s="400">
        <v>0</v>
      </c>
      <c r="M414" s="400">
        <v>0</v>
      </c>
      <c r="N414" s="400">
        <v>0</v>
      </c>
      <c r="O414" s="400">
        <v>902997</v>
      </c>
      <c r="P414" s="400">
        <v>0</v>
      </c>
      <c r="Q414" s="400">
        <v>0</v>
      </c>
      <c r="R414" s="400">
        <v>0</v>
      </c>
      <c r="S414" s="400">
        <v>0</v>
      </c>
      <c r="T414" s="400">
        <v>0</v>
      </c>
      <c r="U414" s="400">
        <v>0</v>
      </c>
      <c r="V414" s="400">
        <v>0</v>
      </c>
      <c r="W414" s="400">
        <v>0</v>
      </c>
      <c r="X414" s="400">
        <v>0</v>
      </c>
      <c r="Y414" s="400">
        <v>0</v>
      </c>
      <c r="Z414" s="400">
        <v>0</v>
      </c>
      <c r="AA414" s="400">
        <v>0</v>
      </c>
      <c r="AB414" s="327">
        <v>2020</v>
      </c>
      <c r="AD414" s="4">
        <v>0</v>
      </c>
    </row>
    <row r="415" spans="1:30" s="4" customFormat="1" ht="35.25" customHeight="1" x14ac:dyDescent="0.5">
      <c r="A415" s="4">
        <v>1</v>
      </c>
      <c r="B415" s="171">
        <f>SUBTOTAL(103,$A$8:A415)</f>
        <v>403</v>
      </c>
      <c r="C415" s="323" t="s">
        <v>2119</v>
      </c>
      <c r="D415" s="324">
        <f t="shared" si="14"/>
        <v>443675</v>
      </c>
      <c r="E415" s="400">
        <v>0</v>
      </c>
      <c r="F415" s="400">
        <v>0</v>
      </c>
      <c r="G415" s="400">
        <v>0</v>
      </c>
      <c r="H415" s="400">
        <v>0</v>
      </c>
      <c r="I415" s="400">
        <v>0</v>
      </c>
      <c r="J415" s="400">
        <v>0</v>
      </c>
      <c r="K415" s="401">
        <v>0</v>
      </c>
      <c r="L415" s="400">
        <v>0</v>
      </c>
      <c r="M415" s="400">
        <v>0</v>
      </c>
      <c r="N415" s="400">
        <v>0</v>
      </c>
      <c r="O415" s="400">
        <v>443675</v>
      </c>
      <c r="P415" s="400">
        <v>0</v>
      </c>
      <c r="Q415" s="400">
        <v>0</v>
      </c>
      <c r="R415" s="400">
        <v>0</v>
      </c>
      <c r="S415" s="400">
        <v>0</v>
      </c>
      <c r="T415" s="400">
        <v>0</v>
      </c>
      <c r="U415" s="400">
        <v>0</v>
      </c>
      <c r="V415" s="400">
        <v>0</v>
      </c>
      <c r="W415" s="400">
        <v>0</v>
      </c>
      <c r="X415" s="400">
        <v>0</v>
      </c>
      <c r="Y415" s="400">
        <v>0</v>
      </c>
      <c r="Z415" s="400">
        <v>0</v>
      </c>
      <c r="AA415" s="400">
        <v>0</v>
      </c>
      <c r="AB415" s="327">
        <v>2020</v>
      </c>
      <c r="AD415" s="4" t="e">
        <v>#N/A</v>
      </c>
    </row>
    <row r="416" spans="1:30" s="4" customFormat="1" ht="35.25" customHeight="1" x14ac:dyDescent="0.5">
      <c r="A416" s="4">
        <v>1</v>
      </c>
      <c r="B416" s="171">
        <f>SUBTOTAL(103,$A$8:A416)</f>
        <v>404</v>
      </c>
      <c r="C416" s="323" t="s">
        <v>2120</v>
      </c>
      <c r="D416" s="324">
        <f t="shared" si="14"/>
        <v>278300</v>
      </c>
      <c r="E416" s="400">
        <v>0</v>
      </c>
      <c r="F416" s="400">
        <v>0</v>
      </c>
      <c r="G416" s="400">
        <v>0</v>
      </c>
      <c r="H416" s="400">
        <v>0</v>
      </c>
      <c r="I416" s="400">
        <v>0</v>
      </c>
      <c r="J416" s="400">
        <v>0</v>
      </c>
      <c r="K416" s="401">
        <v>0</v>
      </c>
      <c r="L416" s="400">
        <v>0</v>
      </c>
      <c r="M416" s="400">
        <v>0</v>
      </c>
      <c r="N416" s="400">
        <v>0</v>
      </c>
      <c r="O416" s="400">
        <v>278300</v>
      </c>
      <c r="P416" s="400">
        <v>0</v>
      </c>
      <c r="Q416" s="400">
        <v>0</v>
      </c>
      <c r="R416" s="400">
        <v>0</v>
      </c>
      <c r="S416" s="400">
        <v>0</v>
      </c>
      <c r="T416" s="400">
        <v>0</v>
      </c>
      <c r="U416" s="400">
        <v>0</v>
      </c>
      <c r="V416" s="400">
        <v>0</v>
      </c>
      <c r="W416" s="400">
        <v>0</v>
      </c>
      <c r="X416" s="400">
        <v>0</v>
      </c>
      <c r="Y416" s="400">
        <v>0</v>
      </c>
      <c r="Z416" s="400">
        <v>0</v>
      </c>
      <c r="AA416" s="400">
        <v>0</v>
      </c>
      <c r="AB416" s="327">
        <v>2020</v>
      </c>
      <c r="AD416" s="4" t="e">
        <v>#N/A</v>
      </c>
    </row>
    <row r="417" spans="1:30" s="4" customFormat="1" ht="35.25" customHeight="1" x14ac:dyDescent="0.5">
      <c r="A417" s="4">
        <v>1</v>
      </c>
      <c r="B417" s="171">
        <f>SUBTOTAL(103,$A$8:A417)</f>
        <v>405</v>
      </c>
      <c r="C417" s="323" t="s">
        <v>2121</v>
      </c>
      <c r="D417" s="324">
        <f t="shared" si="14"/>
        <v>400000</v>
      </c>
      <c r="E417" s="400">
        <v>0</v>
      </c>
      <c r="F417" s="400">
        <v>0</v>
      </c>
      <c r="G417" s="400">
        <v>0</v>
      </c>
      <c r="H417" s="400">
        <v>0</v>
      </c>
      <c r="I417" s="400">
        <v>0</v>
      </c>
      <c r="J417" s="400">
        <v>0</v>
      </c>
      <c r="K417" s="401">
        <v>0</v>
      </c>
      <c r="L417" s="400">
        <v>0</v>
      </c>
      <c r="M417" s="400">
        <v>0</v>
      </c>
      <c r="N417" s="400">
        <v>0</v>
      </c>
      <c r="O417" s="400">
        <v>400000</v>
      </c>
      <c r="P417" s="400">
        <v>0</v>
      </c>
      <c r="Q417" s="400">
        <v>0</v>
      </c>
      <c r="R417" s="400">
        <v>0</v>
      </c>
      <c r="S417" s="400">
        <v>0</v>
      </c>
      <c r="T417" s="400">
        <v>0</v>
      </c>
      <c r="U417" s="400">
        <v>0</v>
      </c>
      <c r="V417" s="400">
        <v>0</v>
      </c>
      <c r="W417" s="400">
        <v>0</v>
      </c>
      <c r="X417" s="400">
        <v>0</v>
      </c>
      <c r="Y417" s="400">
        <v>0</v>
      </c>
      <c r="Z417" s="400">
        <v>0</v>
      </c>
      <c r="AA417" s="400">
        <v>0</v>
      </c>
      <c r="AB417" s="327">
        <v>2020</v>
      </c>
      <c r="AD417" s="4" t="e">
        <v>#N/A</v>
      </c>
    </row>
    <row r="418" spans="1:30" s="4" customFormat="1" ht="35.25" customHeight="1" x14ac:dyDescent="0.5">
      <c r="A418" s="4">
        <v>1</v>
      </c>
      <c r="B418" s="171">
        <f>SUBTOTAL(103,$A$8:A418)</f>
        <v>406</v>
      </c>
      <c r="C418" s="323" t="s">
        <v>2122</v>
      </c>
      <c r="D418" s="324">
        <f t="shared" si="14"/>
        <v>223100</v>
      </c>
      <c r="E418" s="400">
        <v>0</v>
      </c>
      <c r="F418" s="400">
        <v>0</v>
      </c>
      <c r="G418" s="400">
        <v>0</v>
      </c>
      <c r="H418" s="400">
        <v>0</v>
      </c>
      <c r="I418" s="400">
        <v>0</v>
      </c>
      <c r="J418" s="400">
        <v>0</v>
      </c>
      <c r="K418" s="401">
        <v>0</v>
      </c>
      <c r="L418" s="400">
        <v>0</v>
      </c>
      <c r="M418" s="400">
        <v>223100</v>
      </c>
      <c r="N418" s="400">
        <v>0</v>
      </c>
      <c r="O418" s="400">
        <v>0</v>
      </c>
      <c r="P418" s="400">
        <v>0</v>
      </c>
      <c r="Q418" s="400">
        <v>0</v>
      </c>
      <c r="R418" s="400">
        <v>0</v>
      </c>
      <c r="S418" s="400">
        <v>0</v>
      </c>
      <c r="T418" s="400">
        <v>0</v>
      </c>
      <c r="U418" s="400">
        <v>0</v>
      </c>
      <c r="V418" s="400">
        <v>0</v>
      </c>
      <c r="W418" s="400">
        <v>0</v>
      </c>
      <c r="X418" s="400">
        <v>0</v>
      </c>
      <c r="Y418" s="400">
        <v>0</v>
      </c>
      <c r="Z418" s="400">
        <v>0</v>
      </c>
      <c r="AA418" s="400">
        <v>0</v>
      </c>
      <c r="AB418" s="327">
        <v>2020</v>
      </c>
      <c r="AD418" s="4" t="e">
        <v>#N/A</v>
      </c>
    </row>
    <row r="419" spans="1:30" s="4" customFormat="1" ht="35.25" customHeight="1" x14ac:dyDescent="0.5">
      <c r="A419" s="4">
        <v>1</v>
      </c>
      <c r="B419" s="171">
        <f>SUBTOTAL(103,$A$8:A419)</f>
        <v>407</v>
      </c>
      <c r="C419" s="323" t="s">
        <v>2123</v>
      </c>
      <c r="D419" s="324">
        <f t="shared" si="14"/>
        <v>255750</v>
      </c>
      <c r="E419" s="400">
        <v>0</v>
      </c>
      <c r="F419" s="400">
        <v>0</v>
      </c>
      <c r="G419" s="400">
        <v>0</v>
      </c>
      <c r="H419" s="400">
        <v>0</v>
      </c>
      <c r="I419" s="400">
        <v>0</v>
      </c>
      <c r="J419" s="400">
        <v>0</v>
      </c>
      <c r="K419" s="401">
        <v>0</v>
      </c>
      <c r="L419" s="400">
        <v>0</v>
      </c>
      <c r="M419" s="400">
        <v>255750</v>
      </c>
      <c r="N419" s="400">
        <v>0</v>
      </c>
      <c r="O419" s="400">
        <v>0</v>
      </c>
      <c r="P419" s="400">
        <v>0</v>
      </c>
      <c r="Q419" s="400">
        <v>0</v>
      </c>
      <c r="R419" s="400">
        <v>0</v>
      </c>
      <c r="S419" s="400">
        <v>0</v>
      </c>
      <c r="T419" s="400">
        <v>0</v>
      </c>
      <c r="U419" s="400">
        <v>0</v>
      </c>
      <c r="V419" s="400">
        <v>0</v>
      </c>
      <c r="W419" s="400">
        <v>0</v>
      </c>
      <c r="X419" s="400">
        <v>0</v>
      </c>
      <c r="Y419" s="400">
        <v>0</v>
      </c>
      <c r="Z419" s="400">
        <v>0</v>
      </c>
      <c r="AA419" s="400">
        <v>0</v>
      </c>
      <c r="AB419" s="327">
        <v>2020</v>
      </c>
      <c r="AD419" s="4">
        <v>0</v>
      </c>
    </row>
    <row r="420" spans="1:30" s="4" customFormat="1" ht="35.25" customHeight="1" x14ac:dyDescent="0.5">
      <c r="A420" s="4">
        <v>1</v>
      </c>
      <c r="B420" s="171">
        <f>SUBTOTAL(103,$A$8:A420)</f>
        <v>408</v>
      </c>
      <c r="C420" s="323" t="s">
        <v>2124</v>
      </c>
      <c r="D420" s="324">
        <f t="shared" si="14"/>
        <v>333783</v>
      </c>
      <c r="E420" s="400">
        <v>0</v>
      </c>
      <c r="F420" s="400">
        <v>0</v>
      </c>
      <c r="G420" s="400">
        <v>0</v>
      </c>
      <c r="H420" s="400">
        <v>0</v>
      </c>
      <c r="I420" s="400">
        <v>0</v>
      </c>
      <c r="J420" s="400">
        <v>0</v>
      </c>
      <c r="K420" s="401">
        <v>0</v>
      </c>
      <c r="L420" s="400">
        <v>0</v>
      </c>
      <c r="M420" s="400">
        <v>0</v>
      </c>
      <c r="N420" s="400">
        <v>0</v>
      </c>
      <c r="O420" s="400">
        <v>0</v>
      </c>
      <c r="P420" s="400">
        <v>333783</v>
      </c>
      <c r="Q420" s="400">
        <v>0</v>
      </c>
      <c r="R420" s="400">
        <v>0</v>
      </c>
      <c r="S420" s="400">
        <v>0</v>
      </c>
      <c r="T420" s="400">
        <v>0</v>
      </c>
      <c r="U420" s="400">
        <v>0</v>
      </c>
      <c r="V420" s="400">
        <v>0</v>
      </c>
      <c r="W420" s="400">
        <v>0</v>
      </c>
      <c r="X420" s="400">
        <v>0</v>
      </c>
      <c r="Y420" s="400">
        <v>0</v>
      </c>
      <c r="Z420" s="400">
        <v>0</v>
      </c>
      <c r="AA420" s="400">
        <v>0</v>
      </c>
      <c r="AB420" s="327">
        <v>2020</v>
      </c>
      <c r="AD420" s="4" t="e">
        <v>#N/A</v>
      </c>
    </row>
    <row r="421" spans="1:30" s="4" customFormat="1" ht="35.25" customHeight="1" x14ac:dyDescent="0.5">
      <c r="A421" s="4">
        <v>1</v>
      </c>
      <c r="B421" s="171">
        <f>SUBTOTAL(103,$A$8:A421)</f>
        <v>409</v>
      </c>
      <c r="C421" s="323" t="s">
        <v>2534</v>
      </c>
      <c r="D421" s="324">
        <f t="shared" si="14"/>
        <v>1198793</v>
      </c>
      <c r="E421" s="400">
        <v>0</v>
      </c>
      <c r="F421" s="400">
        <v>0</v>
      </c>
      <c r="G421" s="400">
        <v>0</v>
      </c>
      <c r="H421" s="400">
        <v>0</v>
      </c>
      <c r="I421" s="400">
        <v>0</v>
      </c>
      <c r="J421" s="400">
        <v>0</v>
      </c>
      <c r="K421" s="401">
        <v>0</v>
      </c>
      <c r="L421" s="400">
        <v>0</v>
      </c>
      <c r="M421" s="400">
        <v>1198793</v>
      </c>
      <c r="N421" s="400">
        <v>0</v>
      </c>
      <c r="O421" s="400">
        <v>0</v>
      </c>
      <c r="P421" s="400">
        <v>0</v>
      </c>
      <c r="Q421" s="400">
        <v>0</v>
      </c>
      <c r="R421" s="400">
        <v>0</v>
      </c>
      <c r="S421" s="400">
        <v>0</v>
      </c>
      <c r="T421" s="400">
        <v>0</v>
      </c>
      <c r="U421" s="400">
        <v>0</v>
      </c>
      <c r="V421" s="400">
        <v>0</v>
      </c>
      <c r="W421" s="400">
        <v>0</v>
      </c>
      <c r="X421" s="400">
        <v>0</v>
      </c>
      <c r="Y421" s="400">
        <v>0</v>
      </c>
      <c r="Z421" s="400">
        <v>0</v>
      </c>
      <c r="AA421" s="400">
        <v>0</v>
      </c>
      <c r="AB421" s="327">
        <v>2020</v>
      </c>
      <c r="AD421" s="4">
        <v>0</v>
      </c>
    </row>
    <row r="422" spans="1:30" s="4" customFormat="1" ht="35.25" customHeight="1" x14ac:dyDescent="0.5">
      <c r="A422" s="4">
        <v>1</v>
      </c>
      <c r="B422" s="171">
        <f>SUBTOTAL(103,$A$8:A422)</f>
        <v>410</v>
      </c>
      <c r="C422" s="323" t="s">
        <v>2535</v>
      </c>
      <c r="D422" s="324">
        <f t="shared" si="14"/>
        <v>709838</v>
      </c>
      <c r="E422" s="400">
        <v>0</v>
      </c>
      <c r="F422" s="400">
        <v>0</v>
      </c>
      <c r="G422" s="400">
        <v>0</v>
      </c>
      <c r="H422" s="400">
        <v>0</v>
      </c>
      <c r="I422" s="400">
        <v>0</v>
      </c>
      <c r="J422" s="400">
        <v>0</v>
      </c>
      <c r="K422" s="401">
        <v>0</v>
      </c>
      <c r="L422" s="400">
        <v>0</v>
      </c>
      <c r="M422" s="400">
        <v>709838</v>
      </c>
      <c r="N422" s="400">
        <v>0</v>
      </c>
      <c r="O422" s="400">
        <v>0</v>
      </c>
      <c r="P422" s="400">
        <v>0</v>
      </c>
      <c r="Q422" s="400">
        <v>0</v>
      </c>
      <c r="R422" s="400">
        <v>0</v>
      </c>
      <c r="S422" s="400">
        <v>0</v>
      </c>
      <c r="T422" s="400">
        <v>0</v>
      </c>
      <c r="U422" s="400">
        <v>0</v>
      </c>
      <c r="V422" s="400">
        <v>0</v>
      </c>
      <c r="W422" s="400">
        <v>0</v>
      </c>
      <c r="X422" s="400">
        <v>0</v>
      </c>
      <c r="Y422" s="400">
        <v>0</v>
      </c>
      <c r="Z422" s="400">
        <v>0</v>
      </c>
      <c r="AA422" s="400">
        <v>0</v>
      </c>
      <c r="AB422" s="327">
        <v>2020</v>
      </c>
      <c r="AD422" s="4">
        <v>0</v>
      </c>
    </row>
    <row r="423" spans="1:30" s="4" customFormat="1" ht="35.25" customHeight="1" x14ac:dyDescent="0.5">
      <c r="A423" s="4">
        <v>1</v>
      </c>
      <c r="B423" s="171">
        <f>SUBTOTAL(103,$A$8:A423)</f>
        <v>411</v>
      </c>
      <c r="C423" s="323" t="s">
        <v>2125</v>
      </c>
      <c r="D423" s="324">
        <f t="shared" si="14"/>
        <v>524585</v>
      </c>
      <c r="E423" s="400">
        <v>0</v>
      </c>
      <c r="F423" s="400">
        <v>0</v>
      </c>
      <c r="G423" s="400">
        <v>0</v>
      </c>
      <c r="H423" s="400">
        <v>0</v>
      </c>
      <c r="I423" s="400">
        <v>0</v>
      </c>
      <c r="J423" s="400">
        <v>0</v>
      </c>
      <c r="K423" s="401">
        <v>0</v>
      </c>
      <c r="L423" s="400">
        <v>0</v>
      </c>
      <c r="M423" s="400">
        <v>0</v>
      </c>
      <c r="N423" s="400">
        <v>0</v>
      </c>
      <c r="O423" s="400">
        <v>524585</v>
      </c>
      <c r="P423" s="400">
        <v>0</v>
      </c>
      <c r="Q423" s="400">
        <v>0</v>
      </c>
      <c r="R423" s="400">
        <v>0</v>
      </c>
      <c r="S423" s="400">
        <v>0</v>
      </c>
      <c r="T423" s="400">
        <v>0</v>
      </c>
      <c r="U423" s="400">
        <v>0</v>
      </c>
      <c r="V423" s="400">
        <v>0</v>
      </c>
      <c r="W423" s="400">
        <v>0</v>
      </c>
      <c r="X423" s="400">
        <v>0</v>
      </c>
      <c r="Y423" s="400">
        <v>0</v>
      </c>
      <c r="Z423" s="400">
        <v>0</v>
      </c>
      <c r="AA423" s="400">
        <v>0</v>
      </c>
      <c r="AB423" s="327">
        <v>2020</v>
      </c>
      <c r="AD423" s="4" t="e">
        <v>#N/A</v>
      </c>
    </row>
    <row r="424" spans="1:30" s="4" customFormat="1" ht="35.25" customHeight="1" x14ac:dyDescent="0.5">
      <c r="A424" s="4">
        <v>1</v>
      </c>
      <c r="B424" s="171">
        <f>SUBTOTAL(103,$A$8:A424)</f>
        <v>412</v>
      </c>
      <c r="C424" s="323" t="s">
        <v>2126</v>
      </c>
      <c r="D424" s="324">
        <f t="shared" si="14"/>
        <v>523713.59</v>
      </c>
      <c r="E424" s="400">
        <v>0</v>
      </c>
      <c r="F424" s="400">
        <v>0</v>
      </c>
      <c r="G424" s="400">
        <v>0</v>
      </c>
      <c r="H424" s="400">
        <v>0</v>
      </c>
      <c r="I424" s="400">
        <v>0</v>
      </c>
      <c r="J424" s="400">
        <v>0</v>
      </c>
      <c r="K424" s="401">
        <v>0</v>
      </c>
      <c r="L424" s="400">
        <v>0</v>
      </c>
      <c r="M424" s="400">
        <v>0</v>
      </c>
      <c r="N424" s="400">
        <v>0</v>
      </c>
      <c r="O424" s="400">
        <v>523713.59</v>
      </c>
      <c r="P424" s="400">
        <v>0</v>
      </c>
      <c r="Q424" s="400">
        <v>0</v>
      </c>
      <c r="R424" s="400">
        <v>0</v>
      </c>
      <c r="S424" s="400">
        <v>0</v>
      </c>
      <c r="T424" s="400">
        <v>0</v>
      </c>
      <c r="U424" s="400">
        <v>0</v>
      </c>
      <c r="V424" s="400">
        <v>0</v>
      </c>
      <c r="W424" s="400">
        <v>0</v>
      </c>
      <c r="X424" s="400">
        <v>0</v>
      </c>
      <c r="Y424" s="400">
        <v>0</v>
      </c>
      <c r="Z424" s="400">
        <v>0</v>
      </c>
      <c r="AA424" s="400">
        <v>0</v>
      </c>
      <c r="AB424" s="327">
        <v>2020</v>
      </c>
      <c r="AD424" s="4" t="e">
        <v>#N/A</v>
      </c>
    </row>
    <row r="425" spans="1:30" s="4" customFormat="1" ht="35.25" customHeight="1" x14ac:dyDescent="0.5">
      <c r="A425" s="4">
        <v>1</v>
      </c>
      <c r="B425" s="171">
        <f>SUBTOTAL(103,$A$8:A425)</f>
        <v>413</v>
      </c>
      <c r="C425" s="323" t="s">
        <v>2127</v>
      </c>
      <c r="D425" s="324">
        <f t="shared" si="14"/>
        <v>1050321.76</v>
      </c>
      <c r="E425" s="400">
        <v>0</v>
      </c>
      <c r="F425" s="400">
        <v>0</v>
      </c>
      <c r="G425" s="400">
        <v>637270</v>
      </c>
      <c r="H425" s="400">
        <v>0</v>
      </c>
      <c r="I425" s="400">
        <v>0</v>
      </c>
      <c r="J425" s="400">
        <v>0</v>
      </c>
      <c r="K425" s="401">
        <v>0</v>
      </c>
      <c r="L425" s="400">
        <v>0</v>
      </c>
      <c r="M425" s="400">
        <v>0</v>
      </c>
      <c r="N425" s="400">
        <v>0</v>
      </c>
      <c r="O425" s="400">
        <v>413051.76</v>
      </c>
      <c r="P425" s="400">
        <v>0</v>
      </c>
      <c r="Q425" s="400">
        <v>0</v>
      </c>
      <c r="R425" s="400">
        <v>0</v>
      </c>
      <c r="S425" s="400">
        <v>0</v>
      </c>
      <c r="T425" s="400">
        <v>0</v>
      </c>
      <c r="U425" s="400">
        <v>0</v>
      </c>
      <c r="V425" s="400">
        <v>0</v>
      </c>
      <c r="W425" s="400">
        <v>0</v>
      </c>
      <c r="X425" s="400">
        <v>0</v>
      </c>
      <c r="Y425" s="400">
        <v>0</v>
      </c>
      <c r="Z425" s="400">
        <v>0</v>
      </c>
      <c r="AA425" s="400">
        <v>0</v>
      </c>
      <c r="AB425" s="327">
        <v>2020</v>
      </c>
      <c r="AD425" s="4" t="e">
        <v>#N/A</v>
      </c>
    </row>
    <row r="426" spans="1:30" s="4" customFormat="1" ht="35.25" customHeight="1" x14ac:dyDescent="0.5">
      <c r="A426" s="4">
        <v>1</v>
      </c>
      <c r="B426" s="171">
        <f>SUBTOTAL(103,$A$8:A426)</f>
        <v>414</v>
      </c>
      <c r="C426" s="323" t="s">
        <v>2128</v>
      </c>
      <c r="D426" s="324">
        <f t="shared" si="14"/>
        <v>46494</v>
      </c>
      <c r="E426" s="400">
        <v>0</v>
      </c>
      <c r="F426" s="400">
        <v>0</v>
      </c>
      <c r="G426" s="400">
        <v>46494</v>
      </c>
      <c r="H426" s="400">
        <v>0</v>
      </c>
      <c r="I426" s="400">
        <v>0</v>
      </c>
      <c r="J426" s="400">
        <v>0</v>
      </c>
      <c r="K426" s="401">
        <v>0</v>
      </c>
      <c r="L426" s="400">
        <v>0</v>
      </c>
      <c r="M426" s="400">
        <v>0</v>
      </c>
      <c r="N426" s="400">
        <v>0</v>
      </c>
      <c r="O426" s="400">
        <v>0</v>
      </c>
      <c r="P426" s="400">
        <v>0</v>
      </c>
      <c r="Q426" s="400">
        <v>0</v>
      </c>
      <c r="R426" s="400">
        <v>0</v>
      </c>
      <c r="S426" s="400">
        <v>0</v>
      </c>
      <c r="T426" s="400">
        <v>0</v>
      </c>
      <c r="U426" s="400">
        <v>0</v>
      </c>
      <c r="V426" s="400">
        <v>0</v>
      </c>
      <c r="W426" s="400">
        <v>0</v>
      </c>
      <c r="X426" s="400">
        <v>0</v>
      </c>
      <c r="Y426" s="400">
        <v>0</v>
      </c>
      <c r="Z426" s="400">
        <v>0</v>
      </c>
      <c r="AA426" s="400">
        <v>0</v>
      </c>
      <c r="AB426" s="327">
        <v>2020</v>
      </c>
      <c r="AD426" s="4" t="e">
        <v>#N/A</v>
      </c>
    </row>
    <row r="427" spans="1:30" s="4" customFormat="1" ht="35.25" customHeight="1" x14ac:dyDescent="0.5">
      <c r="A427" s="4">
        <v>1</v>
      </c>
      <c r="B427" s="171">
        <f>SUBTOTAL(103,$A$8:A427)</f>
        <v>415</v>
      </c>
      <c r="C427" s="323" t="s">
        <v>2129</v>
      </c>
      <c r="D427" s="324">
        <f t="shared" si="14"/>
        <v>160278</v>
      </c>
      <c r="E427" s="400">
        <v>0</v>
      </c>
      <c r="F427" s="400">
        <v>0</v>
      </c>
      <c r="G427" s="400">
        <v>160278</v>
      </c>
      <c r="H427" s="400">
        <v>0</v>
      </c>
      <c r="I427" s="400">
        <v>0</v>
      </c>
      <c r="J427" s="400">
        <v>0</v>
      </c>
      <c r="K427" s="401">
        <v>0</v>
      </c>
      <c r="L427" s="400">
        <v>0</v>
      </c>
      <c r="M427" s="400">
        <v>0</v>
      </c>
      <c r="N427" s="400">
        <v>0</v>
      </c>
      <c r="O427" s="400">
        <v>0</v>
      </c>
      <c r="P427" s="400">
        <v>0</v>
      </c>
      <c r="Q427" s="400">
        <v>0</v>
      </c>
      <c r="R427" s="400">
        <v>0</v>
      </c>
      <c r="S427" s="400">
        <v>0</v>
      </c>
      <c r="T427" s="400">
        <v>0</v>
      </c>
      <c r="U427" s="400">
        <v>0</v>
      </c>
      <c r="V427" s="400">
        <v>0</v>
      </c>
      <c r="W427" s="400">
        <v>0</v>
      </c>
      <c r="X427" s="400">
        <v>0</v>
      </c>
      <c r="Y427" s="400">
        <v>0</v>
      </c>
      <c r="Z427" s="400">
        <v>0</v>
      </c>
      <c r="AA427" s="400">
        <v>0</v>
      </c>
      <c r="AB427" s="327">
        <v>2020</v>
      </c>
      <c r="AD427" s="4">
        <v>0</v>
      </c>
    </row>
    <row r="428" spans="1:30" s="4" customFormat="1" ht="35.25" customHeight="1" x14ac:dyDescent="0.5">
      <c r="A428" s="4">
        <v>1</v>
      </c>
      <c r="B428" s="171">
        <f>SUBTOTAL(103,$A$8:A428)</f>
        <v>416</v>
      </c>
      <c r="C428" s="323" t="s">
        <v>2536</v>
      </c>
      <c r="D428" s="324">
        <f t="shared" si="14"/>
        <v>588000</v>
      </c>
      <c r="E428" s="400">
        <v>0</v>
      </c>
      <c r="F428" s="400">
        <v>0</v>
      </c>
      <c r="G428" s="400">
        <v>0</v>
      </c>
      <c r="H428" s="400">
        <v>0</v>
      </c>
      <c r="I428" s="400">
        <v>0</v>
      </c>
      <c r="J428" s="400">
        <v>0</v>
      </c>
      <c r="K428" s="401">
        <v>1</v>
      </c>
      <c r="L428" s="400">
        <v>588000</v>
      </c>
      <c r="M428" s="400">
        <v>0</v>
      </c>
      <c r="N428" s="400">
        <v>0</v>
      </c>
      <c r="O428" s="400">
        <v>0</v>
      </c>
      <c r="P428" s="400">
        <v>0</v>
      </c>
      <c r="Q428" s="400">
        <v>0</v>
      </c>
      <c r="R428" s="400">
        <v>0</v>
      </c>
      <c r="S428" s="400">
        <v>0</v>
      </c>
      <c r="T428" s="400">
        <v>0</v>
      </c>
      <c r="U428" s="400">
        <v>0</v>
      </c>
      <c r="V428" s="400">
        <v>0</v>
      </c>
      <c r="W428" s="400">
        <v>0</v>
      </c>
      <c r="X428" s="400">
        <v>0</v>
      </c>
      <c r="Y428" s="400">
        <v>0</v>
      </c>
      <c r="Z428" s="400">
        <v>0</v>
      </c>
      <c r="AA428" s="400">
        <v>0</v>
      </c>
      <c r="AB428" s="327">
        <v>2020</v>
      </c>
      <c r="AD428" s="4">
        <v>0</v>
      </c>
    </row>
    <row r="429" spans="1:30" s="4" customFormat="1" ht="35.25" customHeight="1" x14ac:dyDescent="0.5">
      <c r="A429" s="4">
        <v>1</v>
      </c>
      <c r="B429" s="171">
        <f>SUBTOTAL(103,$A$8:A429)</f>
        <v>417</v>
      </c>
      <c r="C429" s="323" t="s">
        <v>2537</v>
      </c>
      <c r="D429" s="324">
        <f t="shared" si="14"/>
        <v>1431814.77</v>
      </c>
      <c r="E429" s="400">
        <v>0</v>
      </c>
      <c r="F429" s="400">
        <v>0</v>
      </c>
      <c r="G429" s="400">
        <v>0</v>
      </c>
      <c r="H429" s="400">
        <v>0</v>
      </c>
      <c r="I429" s="400">
        <v>0</v>
      </c>
      <c r="J429" s="400">
        <v>0</v>
      </c>
      <c r="K429" s="401">
        <v>0</v>
      </c>
      <c r="L429" s="400">
        <v>0</v>
      </c>
      <c r="M429" s="400">
        <v>1431814.77</v>
      </c>
      <c r="N429" s="400">
        <v>0</v>
      </c>
      <c r="O429" s="400">
        <v>0</v>
      </c>
      <c r="P429" s="400">
        <v>0</v>
      </c>
      <c r="Q429" s="400">
        <v>0</v>
      </c>
      <c r="R429" s="400">
        <v>0</v>
      </c>
      <c r="S429" s="400">
        <v>0</v>
      </c>
      <c r="T429" s="400">
        <v>0</v>
      </c>
      <c r="U429" s="400">
        <v>0</v>
      </c>
      <c r="V429" s="400">
        <v>0</v>
      </c>
      <c r="W429" s="400">
        <v>0</v>
      </c>
      <c r="X429" s="400">
        <v>0</v>
      </c>
      <c r="Y429" s="400">
        <v>0</v>
      </c>
      <c r="Z429" s="400">
        <v>0</v>
      </c>
      <c r="AA429" s="400">
        <v>0</v>
      </c>
      <c r="AB429" s="327">
        <v>2020</v>
      </c>
      <c r="AD429" s="4">
        <v>0</v>
      </c>
    </row>
    <row r="430" spans="1:30" s="4" customFormat="1" ht="35.25" customHeight="1" x14ac:dyDescent="0.5">
      <c r="A430" s="4">
        <v>1</v>
      </c>
      <c r="B430" s="171">
        <f>SUBTOTAL(103,$A$8:A430)</f>
        <v>418</v>
      </c>
      <c r="C430" s="323" t="s">
        <v>2130</v>
      </c>
      <c r="D430" s="324">
        <f t="shared" si="14"/>
        <v>174550</v>
      </c>
      <c r="E430" s="400">
        <v>0</v>
      </c>
      <c r="F430" s="400">
        <v>174550</v>
      </c>
      <c r="G430" s="400">
        <v>0</v>
      </c>
      <c r="H430" s="400">
        <v>0</v>
      </c>
      <c r="I430" s="400">
        <v>0</v>
      </c>
      <c r="J430" s="400">
        <v>0</v>
      </c>
      <c r="K430" s="401">
        <v>0</v>
      </c>
      <c r="L430" s="400">
        <v>0</v>
      </c>
      <c r="M430" s="400">
        <v>0</v>
      </c>
      <c r="N430" s="400">
        <v>0</v>
      </c>
      <c r="O430" s="400">
        <v>0</v>
      </c>
      <c r="P430" s="400">
        <v>0</v>
      </c>
      <c r="Q430" s="400">
        <v>0</v>
      </c>
      <c r="R430" s="400">
        <v>0</v>
      </c>
      <c r="S430" s="400">
        <v>0</v>
      </c>
      <c r="T430" s="400">
        <v>0</v>
      </c>
      <c r="U430" s="400">
        <v>0</v>
      </c>
      <c r="V430" s="400">
        <v>0</v>
      </c>
      <c r="W430" s="400">
        <v>0</v>
      </c>
      <c r="X430" s="400">
        <v>0</v>
      </c>
      <c r="Y430" s="400">
        <v>0</v>
      </c>
      <c r="Z430" s="400">
        <v>0</v>
      </c>
      <c r="AA430" s="400">
        <v>0</v>
      </c>
      <c r="AB430" s="327">
        <v>2020</v>
      </c>
      <c r="AD430" s="4" t="e">
        <v>#N/A</v>
      </c>
    </row>
    <row r="431" spans="1:30" s="4" customFormat="1" ht="35.25" customHeight="1" x14ac:dyDescent="0.5">
      <c r="A431" s="4">
        <v>1</v>
      </c>
      <c r="B431" s="171">
        <f>SUBTOTAL(103,$A$8:A431)</f>
        <v>419</v>
      </c>
      <c r="C431" s="323" t="s">
        <v>2131</v>
      </c>
      <c r="D431" s="324">
        <f t="shared" si="14"/>
        <v>403107</v>
      </c>
      <c r="E431" s="400">
        <v>0</v>
      </c>
      <c r="F431" s="400">
        <v>0</v>
      </c>
      <c r="G431" s="400">
        <v>0</v>
      </c>
      <c r="H431" s="400">
        <v>0</v>
      </c>
      <c r="I431" s="400">
        <v>0</v>
      </c>
      <c r="J431" s="400">
        <v>0</v>
      </c>
      <c r="K431" s="401">
        <v>0</v>
      </c>
      <c r="L431" s="400">
        <v>0</v>
      </c>
      <c r="M431" s="400">
        <v>0</v>
      </c>
      <c r="N431" s="400">
        <v>0</v>
      </c>
      <c r="O431" s="400">
        <v>403107</v>
      </c>
      <c r="P431" s="400">
        <v>0</v>
      </c>
      <c r="Q431" s="400">
        <v>0</v>
      </c>
      <c r="R431" s="400">
        <v>0</v>
      </c>
      <c r="S431" s="400">
        <v>0</v>
      </c>
      <c r="T431" s="400">
        <v>0</v>
      </c>
      <c r="U431" s="400">
        <v>0</v>
      </c>
      <c r="V431" s="400">
        <v>0</v>
      </c>
      <c r="W431" s="400">
        <v>0</v>
      </c>
      <c r="X431" s="400">
        <v>0</v>
      </c>
      <c r="Y431" s="400">
        <v>0</v>
      </c>
      <c r="Z431" s="400">
        <v>0</v>
      </c>
      <c r="AA431" s="400">
        <v>0</v>
      </c>
      <c r="AB431" s="327">
        <v>2020</v>
      </c>
      <c r="AD431" s="4" t="e">
        <v>#N/A</v>
      </c>
    </row>
    <row r="432" spans="1:30" s="4" customFormat="1" ht="35.25" customHeight="1" x14ac:dyDescent="0.5">
      <c r="A432" s="4">
        <v>1</v>
      </c>
      <c r="B432" s="171">
        <f>SUBTOTAL(103,$A$8:A432)</f>
        <v>420</v>
      </c>
      <c r="C432" s="323" t="s">
        <v>2132</v>
      </c>
      <c r="D432" s="324">
        <f t="shared" si="14"/>
        <v>431437</v>
      </c>
      <c r="E432" s="400">
        <v>0</v>
      </c>
      <c r="F432" s="400">
        <v>0</v>
      </c>
      <c r="G432" s="400">
        <v>0</v>
      </c>
      <c r="H432" s="400">
        <v>0</v>
      </c>
      <c r="I432" s="400">
        <v>0</v>
      </c>
      <c r="J432" s="400">
        <v>0</v>
      </c>
      <c r="K432" s="401">
        <v>0</v>
      </c>
      <c r="L432" s="400">
        <v>0</v>
      </c>
      <c r="M432" s="400">
        <v>0</v>
      </c>
      <c r="N432" s="400">
        <v>0</v>
      </c>
      <c r="O432" s="400">
        <v>431437</v>
      </c>
      <c r="P432" s="400">
        <v>0</v>
      </c>
      <c r="Q432" s="400">
        <v>0</v>
      </c>
      <c r="R432" s="400">
        <v>0</v>
      </c>
      <c r="S432" s="400">
        <v>0</v>
      </c>
      <c r="T432" s="400">
        <v>0</v>
      </c>
      <c r="U432" s="400">
        <v>0</v>
      </c>
      <c r="V432" s="400">
        <v>0</v>
      </c>
      <c r="W432" s="400">
        <v>0</v>
      </c>
      <c r="X432" s="400">
        <v>0</v>
      </c>
      <c r="Y432" s="400">
        <v>0</v>
      </c>
      <c r="Z432" s="400">
        <v>0</v>
      </c>
      <c r="AA432" s="400">
        <v>0</v>
      </c>
      <c r="AB432" s="327">
        <v>2020</v>
      </c>
      <c r="AD432" s="4" t="e">
        <v>#N/A</v>
      </c>
    </row>
    <row r="433" spans="1:30" s="4" customFormat="1" ht="35.25" customHeight="1" x14ac:dyDescent="0.5">
      <c r="A433" s="4">
        <v>1</v>
      </c>
      <c r="B433" s="171">
        <f>SUBTOTAL(103,$A$8:A433)</f>
        <v>421</v>
      </c>
      <c r="C433" s="323" t="s">
        <v>2133</v>
      </c>
      <c r="D433" s="324">
        <f t="shared" si="14"/>
        <v>380000</v>
      </c>
      <c r="E433" s="400">
        <v>0</v>
      </c>
      <c r="F433" s="400">
        <v>0</v>
      </c>
      <c r="G433" s="400">
        <v>0</v>
      </c>
      <c r="H433" s="400">
        <v>0</v>
      </c>
      <c r="I433" s="400">
        <v>0</v>
      </c>
      <c r="J433" s="400">
        <v>0</v>
      </c>
      <c r="K433" s="401">
        <v>0</v>
      </c>
      <c r="L433" s="400">
        <v>0</v>
      </c>
      <c r="M433" s="400">
        <v>380000</v>
      </c>
      <c r="N433" s="400">
        <v>0</v>
      </c>
      <c r="O433" s="400">
        <v>0</v>
      </c>
      <c r="P433" s="400">
        <v>0</v>
      </c>
      <c r="Q433" s="400">
        <v>0</v>
      </c>
      <c r="R433" s="400">
        <v>0</v>
      </c>
      <c r="S433" s="400">
        <v>0</v>
      </c>
      <c r="T433" s="400">
        <v>0</v>
      </c>
      <c r="U433" s="400">
        <v>0</v>
      </c>
      <c r="V433" s="400">
        <v>0</v>
      </c>
      <c r="W433" s="400">
        <v>0</v>
      </c>
      <c r="X433" s="400">
        <v>0</v>
      </c>
      <c r="Y433" s="400">
        <v>0</v>
      </c>
      <c r="Z433" s="400">
        <v>0</v>
      </c>
      <c r="AA433" s="400">
        <v>0</v>
      </c>
      <c r="AB433" s="327">
        <v>2020</v>
      </c>
      <c r="AD433" s="4" t="e">
        <v>#N/A</v>
      </c>
    </row>
    <row r="434" spans="1:30" s="4" customFormat="1" ht="35.25" customHeight="1" x14ac:dyDescent="0.5">
      <c r="A434" s="4">
        <v>1</v>
      </c>
      <c r="B434" s="171">
        <f>SUBTOTAL(103,$A$8:A434)</f>
        <v>422</v>
      </c>
      <c r="C434" s="323" t="s">
        <v>2134</v>
      </c>
      <c r="D434" s="324">
        <f t="shared" si="14"/>
        <v>379775.77</v>
      </c>
      <c r="E434" s="400">
        <v>0</v>
      </c>
      <c r="F434" s="400">
        <v>0</v>
      </c>
      <c r="G434" s="400">
        <v>0</v>
      </c>
      <c r="H434" s="400">
        <v>0</v>
      </c>
      <c r="I434" s="400">
        <v>0</v>
      </c>
      <c r="J434" s="400">
        <v>0</v>
      </c>
      <c r="K434" s="401">
        <v>0</v>
      </c>
      <c r="L434" s="400">
        <v>0</v>
      </c>
      <c r="M434" s="400">
        <v>379775.77</v>
      </c>
      <c r="N434" s="400">
        <v>0</v>
      </c>
      <c r="O434" s="400">
        <v>0</v>
      </c>
      <c r="P434" s="400">
        <v>0</v>
      </c>
      <c r="Q434" s="400">
        <v>0</v>
      </c>
      <c r="R434" s="400">
        <v>0</v>
      </c>
      <c r="S434" s="400">
        <v>0</v>
      </c>
      <c r="T434" s="400">
        <v>0</v>
      </c>
      <c r="U434" s="400">
        <v>0</v>
      </c>
      <c r="V434" s="400">
        <v>0</v>
      </c>
      <c r="W434" s="400">
        <v>0</v>
      </c>
      <c r="X434" s="400">
        <v>0</v>
      </c>
      <c r="Y434" s="400">
        <v>0</v>
      </c>
      <c r="Z434" s="400">
        <v>0</v>
      </c>
      <c r="AA434" s="400">
        <v>0</v>
      </c>
      <c r="AB434" s="327">
        <v>2020</v>
      </c>
      <c r="AD434" s="4" t="e">
        <v>#N/A</v>
      </c>
    </row>
    <row r="435" spans="1:30" s="4" customFormat="1" ht="35.25" customHeight="1" x14ac:dyDescent="0.5">
      <c r="A435" s="4">
        <v>1</v>
      </c>
      <c r="B435" s="171">
        <f>SUBTOTAL(103,$A$8:A435)</f>
        <v>423</v>
      </c>
      <c r="C435" s="323" t="s">
        <v>2135</v>
      </c>
      <c r="D435" s="324">
        <f t="shared" si="14"/>
        <v>220000</v>
      </c>
      <c r="E435" s="400">
        <v>0</v>
      </c>
      <c r="F435" s="400">
        <v>0</v>
      </c>
      <c r="G435" s="400">
        <v>0</v>
      </c>
      <c r="H435" s="400">
        <v>0</v>
      </c>
      <c r="I435" s="400">
        <v>0</v>
      </c>
      <c r="J435" s="400">
        <v>0</v>
      </c>
      <c r="K435" s="401">
        <v>0</v>
      </c>
      <c r="L435" s="400">
        <v>0</v>
      </c>
      <c r="M435" s="400">
        <v>0</v>
      </c>
      <c r="N435" s="400">
        <v>0</v>
      </c>
      <c r="O435" s="400">
        <v>220000</v>
      </c>
      <c r="P435" s="400">
        <v>0</v>
      </c>
      <c r="Q435" s="400">
        <v>0</v>
      </c>
      <c r="R435" s="400">
        <v>0</v>
      </c>
      <c r="S435" s="400">
        <v>0</v>
      </c>
      <c r="T435" s="400">
        <v>0</v>
      </c>
      <c r="U435" s="400">
        <v>0</v>
      </c>
      <c r="V435" s="400">
        <v>0</v>
      </c>
      <c r="W435" s="400">
        <v>0</v>
      </c>
      <c r="X435" s="400">
        <v>0</v>
      </c>
      <c r="Y435" s="400">
        <v>0</v>
      </c>
      <c r="Z435" s="400">
        <v>0</v>
      </c>
      <c r="AA435" s="400">
        <v>0</v>
      </c>
      <c r="AB435" s="327">
        <v>2020</v>
      </c>
      <c r="AD435" s="4" t="e">
        <v>#N/A</v>
      </c>
    </row>
    <row r="436" spans="1:30" s="4" customFormat="1" ht="35.25" customHeight="1" x14ac:dyDescent="0.5">
      <c r="A436" s="4">
        <v>1</v>
      </c>
      <c r="B436" s="171">
        <f>SUBTOTAL(103,$A$8:A436)</f>
        <v>424</v>
      </c>
      <c r="C436" s="323" t="s">
        <v>2136</v>
      </c>
      <c r="D436" s="324">
        <f t="shared" si="14"/>
        <v>964015</v>
      </c>
      <c r="E436" s="400">
        <v>0</v>
      </c>
      <c r="F436" s="400">
        <v>0</v>
      </c>
      <c r="G436" s="400">
        <v>0</v>
      </c>
      <c r="H436" s="400">
        <v>0</v>
      </c>
      <c r="I436" s="400">
        <v>0</v>
      </c>
      <c r="J436" s="400">
        <v>0</v>
      </c>
      <c r="K436" s="401">
        <v>0</v>
      </c>
      <c r="L436" s="400">
        <v>0</v>
      </c>
      <c r="M436" s="400">
        <v>0</v>
      </c>
      <c r="N436" s="400">
        <v>0</v>
      </c>
      <c r="O436" s="400">
        <v>964015</v>
      </c>
      <c r="P436" s="400">
        <v>0</v>
      </c>
      <c r="Q436" s="400">
        <v>0</v>
      </c>
      <c r="R436" s="400">
        <v>0</v>
      </c>
      <c r="S436" s="400">
        <v>0</v>
      </c>
      <c r="T436" s="400">
        <v>0</v>
      </c>
      <c r="U436" s="400">
        <v>0</v>
      </c>
      <c r="V436" s="400">
        <v>0</v>
      </c>
      <c r="W436" s="400">
        <v>0</v>
      </c>
      <c r="X436" s="400">
        <v>0</v>
      </c>
      <c r="Y436" s="400">
        <v>0</v>
      </c>
      <c r="Z436" s="400">
        <v>0</v>
      </c>
      <c r="AA436" s="400">
        <v>0</v>
      </c>
      <c r="AB436" s="327">
        <v>2020</v>
      </c>
      <c r="AD436" s="4" t="e">
        <v>#N/A</v>
      </c>
    </row>
    <row r="437" spans="1:30" s="4" customFormat="1" ht="35.25" customHeight="1" x14ac:dyDescent="0.5">
      <c r="A437" s="4">
        <v>1</v>
      </c>
      <c r="B437" s="171">
        <f>SUBTOTAL(103,$A$8:A437)</f>
        <v>425</v>
      </c>
      <c r="C437" s="323" t="s">
        <v>2137</v>
      </c>
      <c r="D437" s="324">
        <f t="shared" si="14"/>
        <v>290444</v>
      </c>
      <c r="E437" s="400">
        <v>0</v>
      </c>
      <c r="F437" s="400">
        <v>0</v>
      </c>
      <c r="G437" s="400">
        <v>0</v>
      </c>
      <c r="H437" s="400">
        <v>0</v>
      </c>
      <c r="I437" s="400">
        <v>0</v>
      </c>
      <c r="J437" s="400">
        <v>0</v>
      </c>
      <c r="K437" s="401">
        <v>0</v>
      </c>
      <c r="L437" s="400">
        <v>0</v>
      </c>
      <c r="M437" s="400">
        <v>290444</v>
      </c>
      <c r="N437" s="400">
        <v>0</v>
      </c>
      <c r="O437" s="400">
        <v>0</v>
      </c>
      <c r="P437" s="400">
        <v>0</v>
      </c>
      <c r="Q437" s="400">
        <v>0</v>
      </c>
      <c r="R437" s="400">
        <v>0</v>
      </c>
      <c r="S437" s="400">
        <v>0</v>
      </c>
      <c r="T437" s="400">
        <v>0</v>
      </c>
      <c r="U437" s="400">
        <v>0</v>
      </c>
      <c r="V437" s="400">
        <v>0</v>
      </c>
      <c r="W437" s="400">
        <v>0</v>
      </c>
      <c r="X437" s="400">
        <v>0</v>
      </c>
      <c r="Y437" s="400">
        <v>0</v>
      </c>
      <c r="Z437" s="400">
        <v>0</v>
      </c>
      <c r="AA437" s="400">
        <v>0</v>
      </c>
      <c r="AB437" s="327">
        <v>2020</v>
      </c>
      <c r="AD437" s="4" t="e">
        <v>#N/A</v>
      </c>
    </row>
    <row r="438" spans="1:30" s="4" customFormat="1" ht="35.25" customHeight="1" x14ac:dyDescent="0.5">
      <c r="A438" s="4">
        <v>1</v>
      </c>
      <c r="B438" s="171">
        <f>SUBTOTAL(103,$A$8:A438)</f>
        <v>426</v>
      </c>
      <c r="C438" s="323" t="s">
        <v>2138</v>
      </c>
      <c r="D438" s="324">
        <f t="shared" si="14"/>
        <v>897533</v>
      </c>
      <c r="E438" s="400">
        <v>0</v>
      </c>
      <c r="F438" s="400">
        <v>0</v>
      </c>
      <c r="G438" s="400">
        <v>0</v>
      </c>
      <c r="H438" s="400">
        <v>0</v>
      </c>
      <c r="I438" s="400">
        <v>0</v>
      </c>
      <c r="J438" s="400">
        <v>0</v>
      </c>
      <c r="K438" s="401">
        <v>0</v>
      </c>
      <c r="L438" s="400">
        <v>0</v>
      </c>
      <c r="M438" s="400">
        <v>0</v>
      </c>
      <c r="N438" s="400">
        <v>0</v>
      </c>
      <c r="O438" s="400">
        <v>897533</v>
      </c>
      <c r="P438" s="400">
        <v>0</v>
      </c>
      <c r="Q438" s="400">
        <v>0</v>
      </c>
      <c r="R438" s="400">
        <v>0</v>
      </c>
      <c r="S438" s="400">
        <v>0</v>
      </c>
      <c r="T438" s="400">
        <v>0</v>
      </c>
      <c r="U438" s="400">
        <v>0</v>
      </c>
      <c r="V438" s="400">
        <v>0</v>
      </c>
      <c r="W438" s="400">
        <v>0</v>
      </c>
      <c r="X438" s="400">
        <v>0</v>
      </c>
      <c r="Y438" s="400">
        <v>0</v>
      </c>
      <c r="Z438" s="400">
        <v>0</v>
      </c>
      <c r="AA438" s="400">
        <v>0</v>
      </c>
      <c r="AB438" s="327">
        <v>2020</v>
      </c>
      <c r="AD438" s="4" t="e">
        <v>#N/A</v>
      </c>
    </row>
    <row r="439" spans="1:30" s="4" customFormat="1" ht="35.25" customHeight="1" x14ac:dyDescent="0.5">
      <c r="A439" s="4">
        <v>1</v>
      </c>
      <c r="B439" s="171">
        <f>SUBTOTAL(103,$A$8:A439)</f>
        <v>427</v>
      </c>
      <c r="C439" s="323" t="s">
        <v>2139</v>
      </c>
      <c r="D439" s="324">
        <f t="shared" si="14"/>
        <v>1077326.6200000001</v>
      </c>
      <c r="E439" s="400">
        <v>0</v>
      </c>
      <c r="F439" s="400">
        <v>0</v>
      </c>
      <c r="G439" s="400">
        <v>0</v>
      </c>
      <c r="H439" s="400">
        <v>0</v>
      </c>
      <c r="I439" s="400">
        <v>0</v>
      </c>
      <c r="J439" s="400">
        <v>0</v>
      </c>
      <c r="K439" s="401">
        <v>0</v>
      </c>
      <c r="L439" s="400">
        <v>0</v>
      </c>
      <c r="M439" s="400">
        <v>498818.62</v>
      </c>
      <c r="N439" s="400">
        <v>0</v>
      </c>
      <c r="O439" s="400">
        <v>578508</v>
      </c>
      <c r="P439" s="400">
        <v>0</v>
      </c>
      <c r="Q439" s="400">
        <v>0</v>
      </c>
      <c r="R439" s="400">
        <v>0</v>
      </c>
      <c r="S439" s="400">
        <v>0</v>
      </c>
      <c r="T439" s="400">
        <v>0</v>
      </c>
      <c r="U439" s="400">
        <v>0</v>
      </c>
      <c r="V439" s="400">
        <v>0</v>
      </c>
      <c r="W439" s="400">
        <v>0</v>
      </c>
      <c r="X439" s="400">
        <v>0</v>
      </c>
      <c r="Y439" s="400">
        <v>0</v>
      </c>
      <c r="Z439" s="400">
        <v>0</v>
      </c>
      <c r="AA439" s="400">
        <v>0</v>
      </c>
      <c r="AB439" s="327">
        <v>2020</v>
      </c>
      <c r="AD439" s="4">
        <v>0</v>
      </c>
    </row>
    <row r="440" spans="1:30" s="4" customFormat="1" ht="35.25" customHeight="1" x14ac:dyDescent="0.5">
      <c r="A440" s="4">
        <v>1</v>
      </c>
      <c r="B440" s="171">
        <f>SUBTOTAL(103,$A$8:A440)</f>
        <v>428</v>
      </c>
      <c r="C440" s="323" t="s">
        <v>2538</v>
      </c>
      <c r="D440" s="324">
        <f t="shared" si="14"/>
        <v>520000</v>
      </c>
      <c r="E440" s="400">
        <v>0</v>
      </c>
      <c r="F440" s="400">
        <v>0</v>
      </c>
      <c r="G440" s="400">
        <v>0</v>
      </c>
      <c r="H440" s="400">
        <v>0</v>
      </c>
      <c r="I440" s="400">
        <v>0</v>
      </c>
      <c r="J440" s="400">
        <v>0</v>
      </c>
      <c r="K440" s="401">
        <v>0</v>
      </c>
      <c r="L440" s="400">
        <v>0</v>
      </c>
      <c r="M440" s="400">
        <v>0</v>
      </c>
      <c r="N440" s="400">
        <v>0</v>
      </c>
      <c r="O440" s="400">
        <v>520000</v>
      </c>
      <c r="P440" s="400">
        <v>0</v>
      </c>
      <c r="Q440" s="400">
        <v>0</v>
      </c>
      <c r="R440" s="400">
        <v>0</v>
      </c>
      <c r="S440" s="400">
        <v>0</v>
      </c>
      <c r="T440" s="400">
        <v>0</v>
      </c>
      <c r="U440" s="400">
        <v>0</v>
      </c>
      <c r="V440" s="400">
        <v>0</v>
      </c>
      <c r="W440" s="400">
        <v>0</v>
      </c>
      <c r="X440" s="400">
        <v>0</v>
      </c>
      <c r="Y440" s="400">
        <v>0</v>
      </c>
      <c r="Z440" s="400">
        <v>0</v>
      </c>
      <c r="AA440" s="400">
        <v>0</v>
      </c>
      <c r="AB440" s="327">
        <v>2020</v>
      </c>
      <c r="AD440" s="4">
        <v>0</v>
      </c>
    </row>
    <row r="441" spans="1:30" s="4" customFormat="1" ht="35.25" customHeight="1" x14ac:dyDescent="0.5">
      <c r="A441" s="4">
        <v>1</v>
      </c>
      <c r="B441" s="171">
        <f>SUBTOTAL(103,$A$8:A441)</f>
        <v>429</v>
      </c>
      <c r="C441" s="323" t="s">
        <v>2140</v>
      </c>
      <c r="D441" s="324">
        <f t="shared" si="14"/>
        <v>444403</v>
      </c>
      <c r="E441" s="400">
        <v>0</v>
      </c>
      <c r="F441" s="400">
        <v>0</v>
      </c>
      <c r="G441" s="400">
        <v>0</v>
      </c>
      <c r="H441" s="400">
        <v>0</v>
      </c>
      <c r="I441" s="400">
        <v>0</v>
      </c>
      <c r="J441" s="400">
        <v>0</v>
      </c>
      <c r="K441" s="401">
        <v>0</v>
      </c>
      <c r="L441" s="400">
        <v>0</v>
      </c>
      <c r="M441" s="400">
        <v>444403</v>
      </c>
      <c r="N441" s="400">
        <v>0</v>
      </c>
      <c r="O441" s="400">
        <v>0</v>
      </c>
      <c r="P441" s="400">
        <v>0</v>
      </c>
      <c r="Q441" s="400">
        <v>0</v>
      </c>
      <c r="R441" s="400">
        <v>0</v>
      </c>
      <c r="S441" s="400">
        <v>0</v>
      </c>
      <c r="T441" s="400">
        <v>0</v>
      </c>
      <c r="U441" s="400">
        <v>0</v>
      </c>
      <c r="V441" s="400">
        <v>0</v>
      </c>
      <c r="W441" s="400">
        <v>0</v>
      </c>
      <c r="X441" s="400">
        <v>0</v>
      </c>
      <c r="Y441" s="400">
        <v>0</v>
      </c>
      <c r="Z441" s="400">
        <v>0</v>
      </c>
      <c r="AA441" s="400">
        <v>0</v>
      </c>
      <c r="AB441" s="327">
        <v>2020</v>
      </c>
      <c r="AD441" s="4" t="e">
        <v>#N/A</v>
      </c>
    </row>
    <row r="442" spans="1:30" s="4" customFormat="1" ht="35.25" customHeight="1" x14ac:dyDescent="0.5">
      <c r="A442" s="4">
        <v>1</v>
      </c>
      <c r="B442" s="171">
        <f>SUBTOTAL(103,$A$8:A442)</f>
        <v>430</v>
      </c>
      <c r="C442" s="323" t="s">
        <v>2141</v>
      </c>
      <c r="D442" s="324">
        <f t="shared" si="14"/>
        <v>379619</v>
      </c>
      <c r="E442" s="400">
        <v>0</v>
      </c>
      <c r="F442" s="400">
        <v>0</v>
      </c>
      <c r="G442" s="400">
        <v>0</v>
      </c>
      <c r="H442" s="400">
        <v>0</v>
      </c>
      <c r="I442" s="400">
        <v>0</v>
      </c>
      <c r="J442" s="400">
        <v>0</v>
      </c>
      <c r="K442" s="401">
        <v>0</v>
      </c>
      <c r="L442" s="400">
        <v>0</v>
      </c>
      <c r="M442" s="400">
        <v>0</v>
      </c>
      <c r="N442" s="400">
        <v>0</v>
      </c>
      <c r="O442" s="400">
        <v>0</v>
      </c>
      <c r="P442" s="400">
        <v>379619</v>
      </c>
      <c r="Q442" s="400">
        <v>0</v>
      </c>
      <c r="R442" s="400">
        <v>0</v>
      </c>
      <c r="S442" s="400">
        <v>0</v>
      </c>
      <c r="T442" s="400">
        <v>0</v>
      </c>
      <c r="U442" s="400">
        <v>0</v>
      </c>
      <c r="V442" s="400">
        <v>0</v>
      </c>
      <c r="W442" s="400">
        <v>0</v>
      </c>
      <c r="X442" s="400">
        <v>0</v>
      </c>
      <c r="Y442" s="400">
        <v>0</v>
      </c>
      <c r="Z442" s="400">
        <v>0</v>
      </c>
      <c r="AA442" s="400">
        <v>0</v>
      </c>
      <c r="AB442" s="327">
        <v>2020</v>
      </c>
      <c r="AD442" s="4" t="e">
        <v>#N/A</v>
      </c>
    </row>
    <row r="443" spans="1:30" s="4" customFormat="1" ht="35.25" customHeight="1" x14ac:dyDescent="0.5">
      <c r="A443" s="4">
        <v>1</v>
      </c>
      <c r="B443" s="171">
        <f>SUBTOTAL(103,$A$8:A443)</f>
        <v>431</v>
      </c>
      <c r="C443" s="323" t="s">
        <v>2142</v>
      </c>
      <c r="D443" s="324">
        <f t="shared" si="14"/>
        <v>796865</v>
      </c>
      <c r="E443" s="400">
        <v>0</v>
      </c>
      <c r="F443" s="400">
        <v>0</v>
      </c>
      <c r="G443" s="400">
        <v>0</v>
      </c>
      <c r="H443" s="400">
        <v>0</v>
      </c>
      <c r="I443" s="400">
        <v>0</v>
      </c>
      <c r="J443" s="400">
        <v>0</v>
      </c>
      <c r="K443" s="401">
        <v>0</v>
      </c>
      <c r="L443" s="400">
        <v>0</v>
      </c>
      <c r="M443" s="400">
        <v>796865</v>
      </c>
      <c r="N443" s="400">
        <v>0</v>
      </c>
      <c r="O443" s="400">
        <v>0</v>
      </c>
      <c r="P443" s="400">
        <v>0</v>
      </c>
      <c r="Q443" s="400">
        <v>0</v>
      </c>
      <c r="R443" s="400">
        <v>0</v>
      </c>
      <c r="S443" s="400">
        <v>0</v>
      </c>
      <c r="T443" s="400">
        <v>0</v>
      </c>
      <c r="U443" s="400">
        <v>0</v>
      </c>
      <c r="V443" s="400">
        <v>0</v>
      </c>
      <c r="W443" s="400">
        <v>0</v>
      </c>
      <c r="X443" s="400">
        <v>0</v>
      </c>
      <c r="Y443" s="400">
        <v>0</v>
      </c>
      <c r="Z443" s="400">
        <v>0</v>
      </c>
      <c r="AA443" s="400">
        <v>0</v>
      </c>
      <c r="AB443" s="327">
        <v>2020</v>
      </c>
      <c r="AD443" s="4" t="e">
        <v>#N/A</v>
      </c>
    </row>
    <row r="444" spans="1:30" s="4" customFormat="1" ht="35.25" customHeight="1" x14ac:dyDescent="0.5">
      <c r="A444" s="4">
        <v>1</v>
      </c>
      <c r="B444" s="171">
        <f>SUBTOTAL(103,$A$8:A444)</f>
        <v>432</v>
      </c>
      <c r="C444" s="323" t="s">
        <v>2143</v>
      </c>
      <c r="D444" s="324">
        <f t="shared" si="14"/>
        <v>363729</v>
      </c>
      <c r="E444" s="400">
        <v>0</v>
      </c>
      <c r="F444" s="400">
        <v>0</v>
      </c>
      <c r="G444" s="400">
        <v>0</v>
      </c>
      <c r="H444" s="400">
        <v>0</v>
      </c>
      <c r="I444" s="400">
        <v>0</v>
      </c>
      <c r="J444" s="400">
        <v>0</v>
      </c>
      <c r="K444" s="401">
        <v>0</v>
      </c>
      <c r="L444" s="400">
        <v>0</v>
      </c>
      <c r="M444" s="400">
        <v>363729</v>
      </c>
      <c r="N444" s="400">
        <v>0</v>
      </c>
      <c r="O444" s="400">
        <v>0</v>
      </c>
      <c r="P444" s="400">
        <v>0</v>
      </c>
      <c r="Q444" s="400">
        <v>0</v>
      </c>
      <c r="R444" s="400">
        <v>0</v>
      </c>
      <c r="S444" s="400">
        <v>0</v>
      </c>
      <c r="T444" s="400">
        <v>0</v>
      </c>
      <c r="U444" s="400">
        <v>0</v>
      </c>
      <c r="V444" s="400">
        <v>0</v>
      </c>
      <c r="W444" s="400">
        <v>0</v>
      </c>
      <c r="X444" s="400">
        <v>0</v>
      </c>
      <c r="Y444" s="400">
        <v>0</v>
      </c>
      <c r="Z444" s="400">
        <v>0</v>
      </c>
      <c r="AA444" s="400">
        <v>0</v>
      </c>
      <c r="AB444" s="327">
        <v>2020</v>
      </c>
      <c r="AD444" s="4" t="e">
        <v>#N/A</v>
      </c>
    </row>
    <row r="445" spans="1:30" s="4" customFormat="1" ht="35.25" customHeight="1" x14ac:dyDescent="0.5">
      <c r="A445" s="4">
        <v>1</v>
      </c>
      <c r="B445" s="171">
        <f>SUBTOTAL(103,$A$8:A445)</f>
        <v>433</v>
      </c>
      <c r="C445" s="323" t="s">
        <v>2144</v>
      </c>
      <c r="D445" s="324">
        <f t="shared" si="14"/>
        <v>294325</v>
      </c>
      <c r="E445" s="400">
        <v>0</v>
      </c>
      <c r="F445" s="400">
        <v>0</v>
      </c>
      <c r="G445" s="400">
        <v>0</v>
      </c>
      <c r="H445" s="400">
        <v>0</v>
      </c>
      <c r="I445" s="400">
        <v>0</v>
      </c>
      <c r="J445" s="400">
        <v>0</v>
      </c>
      <c r="K445" s="401">
        <v>0</v>
      </c>
      <c r="L445" s="400">
        <v>0</v>
      </c>
      <c r="M445" s="400">
        <v>0</v>
      </c>
      <c r="N445" s="400">
        <v>0</v>
      </c>
      <c r="O445" s="400">
        <v>294325</v>
      </c>
      <c r="P445" s="400">
        <v>0</v>
      </c>
      <c r="Q445" s="400">
        <v>0</v>
      </c>
      <c r="R445" s="400">
        <v>0</v>
      </c>
      <c r="S445" s="400">
        <v>0</v>
      </c>
      <c r="T445" s="400">
        <v>0</v>
      </c>
      <c r="U445" s="400">
        <v>0</v>
      </c>
      <c r="V445" s="400">
        <v>0</v>
      </c>
      <c r="W445" s="400">
        <v>0</v>
      </c>
      <c r="X445" s="400">
        <v>0</v>
      </c>
      <c r="Y445" s="400">
        <v>0</v>
      </c>
      <c r="Z445" s="400">
        <v>0</v>
      </c>
      <c r="AA445" s="400">
        <v>0</v>
      </c>
      <c r="AB445" s="327">
        <v>2020</v>
      </c>
      <c r="AD445" s="4" t="e">
        <v>#N/A</v>
      </c>
    </row>
    <row r="446" spans="1:30" s="4" customFormat="1" ht="35.25" customHeight="1" x14ac:dyDescent="0.5">
      <c r="A446" s="4">
        <v>1</v>
      </c>
      <c r="B446" s="171">
        <f>SUBTOTAL(103,$A$8:A446)</f>
        <v>434</v>
      </c>
      <c r="C446" s="323" t="s">
        <v>2539</v>
      </c>
      <c r="D446" s="324">
        <f t="shared" si="14"/>
        <v>1350806.19</v>
      </c>
      <c r="E446" s="400">
        <v>0</v>
      </c>
      <c r="F446" s="400">
        <v>0</v>
      </c>
      <c r="G446" s="400">
        <v>0</v>
      </c>
      <c r="H446" s="400">
        <v>0</v>
      </c>
      <c r="I446" s="400">
        <v>0</v>
      </c>
      <c r="J446" s="400">
        <v>0</v>
      </c>
      <c r="K446" s="401">
        <v>0</v>
      </c>
      <c r="L446" s="400">
        <v>0</v>
      </c>
      <c r="M446" s="400">
        <v>1350806.19</v>
      </c>
      <c r="N446" s="400">
        <v>0</v>
      </c>
      <c r="O446" s="400">
        <v>0</v>
      </c>
      <c r="P446" s="400">
        <v>0</v>
      </c>
      <c r="Q446" s="400">
        <v>0</v>
      </c>
      <c r="R446" s="400">
        <v>0</v>
      </c>
      <c r="S446" s="400">
        <v>0</v>
      </c>
      <c r="T446" s="400">
        <v>0</v>
      </c>
      <c r="U446" s="400">
        <v>0</v>
      </c>
      <c r="V446" s="400">
        <v>0</v>
      </c>
      <c r="W446" s="400">
        <v>0</v>
      </c>
      <c r="X446" s="400">
        <v>0</v>
      </c>
      <c r="Y446" s="400">
        <v>0</v>
      </c>
      <c r="Z446" s="400">
        <v>0</v>
      </c>
      <c r="AA446" s="400">
        <v>0</v>
      </c>
      <c r="AB446" s="327">
        <v>2020</v>
      </c>
      <c r="AD446" s="4">
        <v>0</v>
      </c>
    </row>
    <row r="447" spans="1:30" s="4" customFormat="1" ht="35.25" customHeight="1" x14ac:dyDescent="0.5">
      <c r="A447" s="4">
        <v>1</v>
      </c>
      <c r="B447" s="171">
        <f>SUBTOTAL(103,$A$8:A447)</f>
        <v>435</v>
      </c>
      <c r="C447" s="323" t="s">
        <v>2540</v>
      </c>
      <c r="D447" s="324">
        <f t="shared" si="14"/>
        <v>1687575.33</v>
      </c>
      <c r="E447" s="400">
        <v>0</v>
      </c>
      <c r="F447" s="400">
        <v>0</v>
      </c>
      <c r="G447" s="400">
        <v>0</v>
      </c>
      <c r="H447" s="400">
        <v>0</v>
      </c>
      <c r="I447" s="400">
        <v>0</v>
      </c>
      <c r="J447" s="400">
        <v>0</v>
      </c>
      <c r="K447" s="401">
        <v>0</v>
      </c>
      <c r="L447" s="400">
        <v>0</v>
      </c>
      <c r="M447" s="400">
        <v>1390355.33</v>
      </c>
      <c r="N447" s="400">
        <v>0</v>
      </c>
      <c r="O447" s="400">
        <v>297220</v>
      </c>
      <c r="P447" s="400">
        <v>0</v>
      </c>
      <c r="Q447" s="400">
        <v>0</v>
      </c>
      <c r="R447" s="400">
        <v>0</v>
      </c>
      <c r="S447" s="400">
        <v>0</v>
      </c>
      <c r="T447" s="400">
        <v>0</v>
      </c>
      <c r="U447" s="400">
        <v>0</v>
      </c>
      <c r="V447" s="400">
        <v>0</v>
      </c>
      <c r="W447" s="400">
        <v>0</v>
      </c>
      <c r="X447" s="400">
        <v>0</v>
      </c>
      <c r="Y447" s="400">
        <v>0</v>
      </c>
      <c r="Z447" s="400">
        <v>0</v>
      </c>
      <c r="AA447" s="400">
        <v>0</v>
      </c>
      <c r="AB447" s="327">
        <v>2020</v>
      </c>
      <c r="AD447" s="4">
        <v>0</v>
      </c>
    </row>
    <row r="448" spans="1:30" s="4" customFormat="1" ht="35.25" customHeight="1" x14ac:dyDescent="0.5">
      <c r="A448" s="4">
        <v>1</v>
      </c>
      <c r="B448" s="171">
        <f>SUBTOTAL(103,$A$8:A448)</f>
        <v>436</v>
      </c>
      <c r="C448" s="323" t="s">
        <v>2541</v>
      </c>
      <c r="D448" s="324">
        <f t="shared" si="14"/>
        <v>189919</v>
      </c>
      <c r="E448" s="400">
        <v>0</v>
      </c>
      <c r="F448" s="400">
        <v>0</v>
      </c>
      <c r="G448" s="400">
        <v>0</v>
      </c>
      <c r="H448" s="400">
        <v>0</v>
      </c>
      <c r="I448" s="400">
        <v>189919</v>
      </c>
      <c r="J448" s="400">
        <v>0</v>
      </c>
      <c r="K448" s="401">
        <v>0</v>
      </c>
      <c r="L448" s="400">
        <v>0</v>
      </c>
      <c r="M448" s="400">
        <v>0</v>
      </c>
      <c r="N448" s="400">
        <v>0</v>
      </c>
      <c r="O448" s="400">
        <v>0</v>
      </c>
      <c r="P448" s="400">
        <v>0</v>
      </c>
      <c r="Q448" s="400">
        <v>0</v>
      </c>
      <c r="R448" s="400">
        <v>0</v>
      </c>
      <c r="S448" s="400">
        <v>0</v>
      </c>
      <c r="T448" s="400">
        <v>0</v>
      </c>
      <c r="U448" s="400">
        <v>0</v>
      </c>
      <c r="V448" s="400">
        <v>0</v>
      </c>
      <c r="W448" s="400">
        <v>0</v>
      </c>
      <c r="X448" s="400">
        <v>0</v>
      </c>
      <c r="Y448" s="400">
        <v>0</v>
      </c>
      <c r="Z448" s="400">
        <v>0</v>
      </c>
      <c r="AA448" s="400">
        <v>0</v>
      </c>
      <c r="AB448" s="327">
        <v>2020</v>
      </c>
      <c r="AD448" s="4">
        <v>0</v>
      </c>
    </row>
    <row r="449" spans="1:30" s="4" customFormat="1" ht="35.25" customHeight="1" x14ac:dyDescent="0.5">
      <c r="A449" s="4">
        <v>1</v>
      </c>
      <c r="B449" s="171">
        <f>SUBTOTAL(103,$A$8:A449)</f>
        <v>437</v>
      </c>
      <c r="C449" s="323" t="s">
        <v>2145</v>
      </c>
      <c r="D449" s="324">
        <f t="shared" si="14"/>
        <v>412286</v>
      </c>
      <c r="E449" s="400">
        <v>0</v>
      </c>
      <c r="F449" s="400">
        <v>0</v>
      </c>
      <c r="G449" s="400">
        <v>0</v>
      </c>
      <c r="H449" s="400">
        <v>0</v>
      </c>
      <c r="I449" s="400">
        <v>0</v>
      </c>
      <c r="J449" s="400">
        <v>0</v>
      </c>
      <c r="K449" s="401">
        <v>0</v>
      </c>
      <c r="L449" s="400">
        <v>0</v>
      </c>
      <c r="M449" s="400">
        <v>0</v>
      </c>
      <c r="N449" s="400">
        <v>0</v>
      </c>
      <c r="O449" s="400">
        <v>412286</v>
      </c>
      <c r="P449" s="400">
        <v>0</v>
      </c>
      <c r="Q449" s="400">
        <v>0</v>
      </c>
      <c r="R449" s="400">
        <v>0</v>
      </c>
      <c r="S449" s="400">
        <v>0</v>
      </c>
      <c r="T449" s="400">
        <v>0</v>
      </c>
      <c r="U449" s="400">
        <v>0</v>
      </c>
      <c r="V449" s="400">
        <v>0</v>
      </c>
      <c r="W449" s="400">
        <v>0</v>
      </c>
      <c r="X449" s="400">
        <v>0</v>
      </c>
      <c r="Y449" s="400">
        <v>0</v>
      </c>
      <c r="Z449" s="400">
        <v>0</v>
      </c>
      <c r="AA449" s="400">
        <v>0</v>
      </c>
      <c r="AB449" s="327">
        <v>2020</v>
      </c>
      <c r="AD449" s="4" t="e">
        <v>#N/A</v>
      </c>
    </row>
    <row r="450" spans="1:30" s="4" customFormat="1" ht="35.25" customHeight="1" x14ac:dyDescent="0.5">
      <c r="A450" s="4">
        <v>1</v>
      </c>
      <c r="B450" s="171">
        <f>SUBTOTAL(103,$A$8:A450)</f>
        <v>438</v>
      </c>
      <c r="C450" s="323" t="s">
        <v>2146</v>
      </c>
      <c r="D450" s="324">
        <f t="shared" si="14"/>
        <v>544685</v>
      </c>
      <c r="E450" s="400">
        <v>0</v>
      </c>
      <c r="F450" s="400">
        <v>0</v>
      </c>
      <c r="G450" s="400">
        <v>0</v>
      </c>
      <c r="H450" s="400">
        <v>0</v>
      </c>
      <c r="I450" s="400">
        <v>0</v>
      </c>
      <c r="J450" s="400">
        <v>0</v>
      </c>
      <c r="K450" s="401">
        <v>0</v>
      </c>
      <c r="L450" s="400">
        <v>0</v>
      </c>
      <c r="M450" s="400">
        <v>0</v>
      </c>
      <c r="N450" s="400">
        <v>0</v>
      </c>
      <c r="O450" s="400">
        <v>544685</v>
      </c>
      <c r="P450" s="400">
        <v>0</v>
      </c>
      <c r="Q450" s="400">
        <v>0</v>
      </c>
      <c r="R450" s="400">
        <v>0</v>
      </c>
      <c r="S450" s="400">
        <v>0</v>
      </c>
      <c r="T450" s="400">
        <v>0</v>
      </c>
      <c r="U450" s="400">
        <v>0</v>
      </c>
      <c r="V450" s="400">
        <v>0</v>
      </c>
      <c r="W450" s="400">
        <v>0</v>
      </c>
      <c r="X450" s="400">
        <v>0</v>
      </c>
      <c r="Y450" s="400">
        <v>0</v>
      </c>
      <c r="Z450" s="400">
        <v>0</v>
      </c>
      <c r="AA450" s="400">
        <v>0</v>
      </c>
      <c r="AB450" s="327">
        <v>2020</v>
      </c>
      <c r="AD450" s="4" t="e">
        <v>#N/A</v>
      </c>
    </row>
    <row r="451" spans="1:30" s="4" customFormat="1" ht="35.25" customHeight="1" x14ac:dyDescent="0.5">
      <c r="A451" s="4">
        <v>1</v>
      </c>
      <c r="B451" s="171">
        <f>SUBTOTAL(103,$A$8:A451)</f>
        <v>439</v>
      </c>
      <c r="C451" s="323" t="s">
        <v>2147</v>
      </c>
      <c r="D451" s="324">
        <f t="shared" si="14"/>
        <v>48000</v>
      </c>
      <c r="E451" s="400">
        <v>0</v>
      </c>
      <c r="F451" s="400">
        <v>0</v>
      </c>
      <c r="G451" s="400">
        <v>48000</v>
      </c>
      <c r="H451" s="400">
        <v>0</v>
      </c>
      <c r="I451" s="400">
        <v>0</v>
      </c>
      <c r="J451" s="400">
        <v>0</v>
      </c>
      <c r="K451" s="401">
        <v>0</v>
      </c>
      <c r="L451" s="400">
        <v>0</v>
      </c>
      <c r="M451" s="400">
        <v>0</v>
      </c>
      <c r="N451" s="400">
        <v>0</v>
      </c>
      <c r="O451" s="400">
        <v>0</v>
      </c>
      <c r="P451" s="400">
        <v>0</v>
      </c>
      <c r="Q451" s="400">
        <v>0</v>
      </c>
      <c r="R451" s="400">
        <v>0</v>
      </c>
      <c r="S451" s="400">
        <v>0</v>
      </c>
      <c r="T451" s="400">
        <v>0</v>
      </c>
      <c r="U451" s="400">
        <v>0</v>
      </c>
      <c r="V451" s="400">
        <v>0</v>
      </c>
      <c r="W451" s="400">
        <v>0</v>
      </c>
      <c r="X451" s="400">
        <v>0</v>
      </c>
      <c r="Y451" s="400">
        <v>0</v>
      </c>
      <c r="Z451" s="400">
        <v>0</v>
      </c>
      <c r="AA451" s="400">
        <v>0</v>
      </c>
      <c r="AB451" s="327">
        <v>2020</v>
      </c>
      <c r="AD451" s="4" t="e">
        <v>#N/A</v>
      </c>
    </row>
    <row r="452" spans="1:30" s="4" customFormat="1" ht="35.25" customHeight="1" x14ac:dyDescent="0.5">
      <c r="A452" s="4">
        <v>1</v>
      </c>
      <c r="B452" s="171">
        <f>SUBTOTAL(103,$A$8:A452)</f>
        <v>440</v>
      </c>
      <c r="C452" s="323" t="s">
        <v>2542</v>
      </c>
      <c r="D452" s="324">
        <f t="shared" ref="D452:D471" si="15">E452+F452+G452+H452+I452+J452+L452+M452+N452+O452+P452+Q452+R452+S452+T452+U452+V452+W452+X452+Y452+Z452+AA452</f>
        <v>375000</v>
      </c>
      <c r="E452" s="400">
        <v>0</v>
      </c>
      <c r="F452" s="400">
        <v>0</v>
      </c>
      <c r="G452" s="400">
        <v>0</v>
      </c>
      <c r="H452" s="400">
        <v>0</v>
      </c>
      <c r="I452" s="400">
        <v>0</v>
      </c>
      <c r="J452" s="400">
        <v>0</v>
      </c>
      <c r="K452" s="401">
        <v>0</v>
      </c>
      <c r="L452" s="400">
        <v>0</v>
      </c>
      <c r="M452" s="400">
        <v>0</v>
      </c>
      <c r="N452" s="400">
        <v>0</v>
      </c>
      <c r="O452" s="400">
        <v>375000</v>
      </c>
      <c r="P452" s="400">
        <v>0</v>
      </c>
      <c r="Q452" s="400">
        <v>0</v>
      </c>
      <c r="R452" s="400">
        <v>0</v>
      </c>
      <c r="S452" s="400">
        <v>0</v>
      </c>
      <c r="T452" s="400">
        <v>0</v>
      </c>
      <c r="U452" s="400">
        <v>0</v>
      </c>
      <c r="V452" s="400">
        <v>0</v>
      </c>
      <c r="W452" s="400">
        <v>0</v>
      </c>
      <c r="X452" s="400">
        <v>0</v>
      </c>
      <c r="Y452" s="400">
        <v>0</v>
      </c>
      <c r="Z452" s="400">
        <v>0</v>
      </c>
      <c r="AA452" s="400">
        <v>0</v>
      </c>
      <c r="AB452" s="327">
        <v>2020</v>
      </c>
      <c r="AD452" s="4">
        <v>0</v>
      </c>
    </row>
    <row r="453" spans="1:30" s="4" customFormat="1" ht="35.25" customHeight="1" x14ac:dyDescent="0.5">
      <c r="A453" s="4">
        <v>1</v>
      </c>
      <c r="B453" s="171">
        <f>SUBTOTAL(103,$A$8:A453)</f>
        <v>441</v>
      </c>
      <c r="C453" s="323" t="s">
        <v>2148</v>
      </c>
      <c r="D453" s="324">
        <f t="shared" si="15"/>
        <v>46128</v>
      </c>
      <c r="E453" s="400">
        <v>0</v>
      </c>
      <c r="F453" s="400">
        <v>0</v>
      </c>
      <c r="G453" s="400">
        <v>46128</v>
      </c>
      <c r="H453" s="400">
        <v>0</v>
      </c>
      <c r="I453" s="400">
        <v>0</v>
      </c>
      <c r="J453" s="400">
        <v>0</v>
      </c>
      <c r="K453" s="401">
        <v>0</v>
      </c>
      <c r="L453" s="400">
        <v>0</v>
      </c>
      <c r="M453" s="400">
        <v>0</v>
      </c>
      <c r="N453" s="400">
        <v>0</v>
      </c>
      <c r="O453" s="400">
        <v>0</v>
      </c>
      <c r="P453" s="400">
        <v>0</v>
      </c>
      <c r="Q453" s="400">
        <v>0</v>
      </c>
      <c r="R453" s="400">
        <v>0</v>
      </c>
      <c r="S453" s="400">
        <v>0</v>
      </c>
      <c r="T453" s="400">
        <v>0</v>
      </c>
      <c r="U453" s="400">
        <v>0</v>
      </c>
      <c r="V453" s="400">
        <v>0</v>
      </c>
      <c r="W453" s="400">
        <v>0</v>
      </c>
      <c r="X453" s="400">
        <v>0</v>
      </c>
      <c r="Y453" s="400">
        <v>0</v>
      </c>
      <c r="Z453" s="400">
        <v>0</v>
      </c>
      <c r="AA453" s="400">
        <v>0</v>
      </c>
      <c r="AB453" s="327">
        <v>2020</v>
      </c>
      <c r="AD453" s="4" t="e">
        <v>#N/A</v>
      </c>
    </row>
    <row r="454" spans="1:30" s="4" customFormat="1" ht="35.25" customHeight="1" x14ac:dyDescent="0.5">
      <c r="A454" s="4">
        <v>1</v>
      </c>
      <c r="B454" s="171">
        <f>SUBTOTAL(103,$A$8:A454)</f>
        <v>442</v>
      </c>
      <c r="C454" s="323" t="s">
        <v>2149</v>
      </c>
      <c r="D454" s="324">
        <f t="shared" si="15"/>
        <v>46128</v>
      </c>
      <c r="E454" s="400">
        <v>0</v>
      </c>
      <c r="F454" s="400">
        <v>0</v>
      </c>
      <c r="G454" s="400">
        <v>46128</v>
      </c>
      <c r="H454" s="400">
        <v>0</v>
      </c>
      <c r="I454" s="400">
        <v>0</v>
      </c>
      <c r="J454" s="400">
        <v>0</v>
      </c>
      <c r="K454" s="401">
        <v>0</v>
      </c>
      <c r="L454" s="400">
        <v>0</v>
      </c>
      <c r="M454" s="400">
        <v>0</v>
      </c>
      <c r="N454" s="400">
        <v>0</v>
      </c>
      <c r="O454" s="400">
        <v>0</v>
      </c>
      <c r="P454" s="400">
        <v>0</v>
      </c>
      <c r="Q454" s="400">
        <v>0</v>
      </c>
      <c r="R454" s="400">
        <v>0</v>
      </c>
      <c r="S454" s="400">
        <v>0</v>
      </c>
      <c r="T454" s="400">
        <v>0</v>
      </c>
      <c r="U454" s="400">
        <v>0</v>
      </c>
      <c r="V454" s="400">
        <v>0</v>
      </c>
      <c r="W454" s="400">
        <v>0</v>
      </c>
      <c r="X454" s="400">
        <v>0</v>
      </c>
      <c r="Y454" s="400">
        <v>0</v>
      </c>
      <c r="Z454" s="400">
        <v>0</v>
      </c>
      <c r="AA454" s="400">
        <v>0</v>
      </c>
      <c r="AB454" s="327">
        <v>2020</v>
      </c>
      <c r="AD454" s="4" t="e">
        <v>#N/A</v>
      </c>
    </row>
    <row r="455" spans="1:30" s="4" customFormat="1" ht="35.25" customHeight="1" x14ac:dyDescent="0.5">
      <c r="A455" s="4">
        <v>1</v>
      </c>
      <c r="B455" s="171">
        <f>SUBTOTAL(103,$A$8:A455)</f>
        <v>443</v>
      </c>
      <c r="C455" s="323" t="s">
        <v>2150</v>
      </c>
      <c r="D455" s="324">
        <f t="shared" si="15"/>
        <v>1146813</v>
      </c>
      <c r="E455" s="400">
        <v>0</v>
      </c>
      <c r="F455" s="400">
        <v>0</v>
      </c>
      <c r="G455" s="400">
        <v>0</v>
      </c>
      <c r="H455" s="400">
        <v>0</v>
      </c>
      <c r="I455" s="400">
        <v>0</v>
      </c>
      <c r="J455" s="400">
        <v>0</v>
      </c>
      <c r="K455" s="401">
        <v>0</v>
      </c>
      <c r="L455" s="400">
        <v>0</v>
      </c>
      <c r="M455" s="400">
        <v>1146813</v>
      </c>
      <c r="N455" s="400">
        <v>0</v>
      </c>
      <c r="O455" s="400">
        <v>0</v>
      </c>
      <c r="P455" s="400">
        <v>0</v>
      </c>
      <c r="Q455" s="400">
        <v>0</v>
      </c>
      <c r="R455" s="400">
        <v>0</v>
      </c>
      <c r="S455" s="400">
        <v>0</v>
      </c>
      <c r="T455" s="400">
        <v>0</v>
      </c>
      <c r="U455" s="400">
        <v>0</v>
      </c>
      <c r="V455" s="400">
        <v>0</v>
      </c>
      <c r="W455" s="400">
        <v>0</v>
      </c>
      <c r="X455" s="400">
        <v>0</v>
      </c>
      <c r="Y455" s="400">
        <v>0</v>
      </c>
      <c r="Z455" s="400">
        <v>0</v>
      </c>
      <c r="AA455" s="400">
        <v>0</v>
      </c>
      <c r="AB455" s="327">
        <v>2020</v>
      </c>
      <c r="AD455" s="4" t="e">
        <v>#N/A</v>
      </c>
    </row>
    <row r="456" spans="1:30" s="4" customFormat="1" ht="35.25" customHeight="1" x14ac:dyDescent="0.5">
      <c r="A456" s="4">
        <v>1</v>
      </c>
      <c r="B456" s="171">
        <f>SUBTOTAL(103,$A$8:A456)</f>
        <v>444</v>
      </c>
      <c r="C456" s="323" t="s">
        <v>2356</v>
      </c>
      <c r="D456" s="324">
        <f t="shared" si="15"/>
        <v>1337521.6599999999</v>
      </c>
      <c r="E456" s="400">
        <v>0</v>
      </c>
      <c r="F456" s="400">
        <v>0</v>
      </c>
      <c r="G456" s="400">
        <v>0</v>
      </c>
      <c r="H456" s="400">
        <v>0</v>
      </c>
      <c r="I456" s="400">
        <v>0</v>
      </c>
      <c r="J456" s="400">
        <v>0</v>
      </c>
      <c r="K456" s="401">
        <v>0</v>
      </c>
      <c r="L456" s="400">
        <v>0</v>
      </c>
      <c r="M456" s="400">
        <v>0</v>
      </c>
      <c r="N456" s="400">
        <v>0</v>
      </c>
      <c r="O456" s="400">
        <v>1337521.6599999999</v>
      </c>
      <c r="P456" s="400">
        <v>0</v>
      </c>
      <c r="Q456" s="400">
        <v>0</v>
      </c>
      <c r="R456" s="400">
        <v>0</v>
      </c>
      <c r="S456" s="400">
        <v>0</v>
      </c>
      <c r="T456" s="400">
        <v>0</v>
      </c>
      <c r="U456" s="400">
        <v>0</v>
      </c>
      <c r="V456" s="400">
        <v>0</v>
      </c>
      <c r="W456" s="400">
        <v>0</v>
      </c>
      <c r="X456" s="400">
        <v>0</v>
      </c>
      <c r="Y456" s="400">
        <v>0</v>
      </c>
      <c r="Z456" s="400">
        <v>0</v>
      </c>
      <c r="AA456" s="400">
        <v>0</v>
      </c>
      <c r="AB456" s="327">
        <v>2020</v>
      </c>
      <c r="AD456" s="4" t="e">
        <v>#N/A</v>
      </c>
    </row>
    <row r="457" spans="1:30" s="4" customFormat="1" ht="35.25" customHeight="1" x14ac:dyDescent="0.5">
      <c r="A457" s="4">
        <v>1</v>
      </c>
      <c r="B457" s="171">
        <f>SUBTOTAL(103,$A$8:A457)</f>
        <v>445</v>
      </c>
      <c r="C457" s="323" t="s">
        <v>2357</v>
      </c>
      <c r="D457" s="324">
        <f t="shared" si="15"/>
        <v>1269369.8500000001</v>
      </c>
      <c r="E457" s="400">
        <v>0</v>
      </c>
      <c r="F457" s="400">
        <v>0</v>
      </c>
      <c r="G457" s="400">
        <v>0</v>
      </c>
      <c r="H457" s="400">
        <v>0</v>
      </c>
      <c r="I457" s="400">
        <v>0</v>
      </c>
      <c r="J457" s="400">
        <v>0</v>
      </c>
      <c r="K457" s="401">
        <v>0</v>
      </c>
      <c r="L457" s="400">
        <v>0</v>
      </c>
      <c r="M457" s="400">
        <v>1269369.8500000001</v>
      </c>
      <c r="N457" s="400">
        <v>0</v>
      </c>
      <c r="O457" s="400">
        <v>0</v>
      </c>
      <c r="P457" s="400">
        <v>0</v>
      </c>
      <c r="Q457" s="400">
        <v>0</v>
      </c>
      <c r="R457" s="400">
        <v>0</v>
      </c>
      <c r="S457" s="400">
        <v>0</v>
      </c>
      <c r="T457" s="400">
        <v>0</v>
      </c>
      <c r="U457" s="400">
        <v>0</v>
      </c>
      <c r="V457" s="400">
        <v>0</v>
      </c>
      <c r="W457" s="400">
        <v>0</v>
      </c>
      <c r="X457" s="400">
        <v>0</v>
      </c>
      <c r="Y457" s="400">
        <v>0</v>
      </c>
      <c r="Z457" s="400">
        <v>0</v>
      </c>
      <c r="AA457" s="400">
        <v>0</v>
      </c>
      <c r="AB457" s="327">
        <v>2020</v>
      </c>
      <c r="AD457" s="4" t="e">
        <v>#N/A</v>
      </c>
    </row>
    <row r="458" spans="1:30" s="4" customFormat="1" ht="35.25" customHeight="1" x14ac:dyDescent="0.5">
      <c r="A458" s="4">
        <v>1</v>
      </c>
      <c r="B458" s="171">
        <f>SUBTOTAL(103,$A$8:A458)</f>
        <v>446</v>
      </c>
      <c r="C458" s="323" t="s">
        <v>2358</v>
      </c>
      <c r="D458" s="324">
        <f t="shared" si="15"/>
        <v>1780000</v>
      </c>
      <c r="E458" s="400">
        <v>0</v>
      </c>
      <c r="F458" s="400">
        <v>0</v>
      </c>
      <c r="G458" s="400">
        <v>0</v>
      </c>
      <c r="H458" s="400">
        <v>0</v>
      </c>
      <c r="I458" s="400">
        <v>0</v>
      </c>
      <c r="J458" s="400">
        <v>0</v>
      </c>
      <c r="K458" s="401">
        <v>1</v>
      </c>
      <c r="L458" s="400">
        <v>1780000</v>
      </c>
      <c r="M458" s="400">
        <v>0</v>
      </c>
      <c r="N458" s="400">
        <v>0</v>
      </c>
      <c r="O458" s="400">
        <v>0</v>
      </c>
      <c r="P458" s="400">
        <v>0</v>
      </c>
      <c r="Q458" s="400">
        <v>0</v>
      </c>
      <c r="R458" s="400">
        <v>0</v>
      </c>
      <c r="S458" s="400">
        <v>0</v>
      </c>
      <c r="T458" s="400">
        <v>0</v>
      </c>
      <c r="U458" s="400">
        <v>0</v>
      </c>
      <c r="V458" s="400">
        <v>0</v>
      </c>
      <c r="W458" s="400">
        <v>0</v>
      </c>
      <c r="X458" s="400">
        <v>0</v>
      </c>
      <c r="Y458" s="400">
        <v>0</v>
      </c>
      <c r="Z458" s="400">
        <v>0</v>
      </c>
      <c r="AA458" s="400">
        <v>0</v>
      </c>
      <c r="AB458" s="327">
        <v>2020</v>
      </c>
      <c r="AD458" s="4" t="e">
        <v>#N/A</v>
      </c>
    </row>
    <row r="459" spans="1:30" s="4" customFormat="1" ht="35.25" customHeight="1" x14ac:dyDescent="0.5">
      <c r="A459" s="4">
        <v>1</v>
      </c>
      <c r="B459" s="171">
        <f>SUBTOTAL(103,$A$8:A459)</f>
        <v>447</v>
      </c>
      <c r="C459" s="323" t="s">
        <v>2359</v>
      </c>
      <c r="D459" s="324">
        <f t="shared" si="15"/>
        <v>320000</v>
      </c>
      <c r="E459" s="400">
        <v>0</v>
      </c>
      <c r="F459" s="400">
        <v>0</v>
      </c>
      <c r="G459" s="400">
        <v>0</v>
      </c>
      <c r="H459" s="400">
        <v>0</v>
      </c>
      <c r="I459" s="400">
        <v>0</v>
      </c>
      <c r="J459" s="400">
        <v>0</v>
      </c>
      <c r="K459" s="401">
        <v>0</v>
      </c>
      <c r="L459" s="400">
        <v>0</v>
      </c>
      <c r="M459" s="400">
        <v>0</v>
      </c>
      <c r="N459" s="400">
        <v>0</v>
      </c>
      <c r="O459" s="400">
        <v>320000</v>
      </c>
      <c r="P459" s="400">
        <v>0</v>
      </c>
      <c r="Q459" s="400">
        <v>0</v>
      </c>
      <c r="R459" s="400">
        <v>0</v>
      </c>
      <c r="S459" s="400">
        <v>0</v>
      </c>
      <c r="T459" s="400">
        <v>0</v>
      </c>
      <c r="U459" s="400">
        <v>0</v>
      </c>
      <c r="V459" s="400">
        <v>0</v>
      </c>
      <c r="W459" s="400">
        <v>0</v>
      </c>
      <c r="X459" s="400">
        <v>0</v>
      </c>
      <c r="Y459" s="400">
        <v>0</v>
      </c>
      <c r="Z459" s="400">
        <v>0</v>
      </c>
      <c r="AA459" s="400">
        <v>0</v>
      </c>
      <c r="AB459" s="327">
        <v>2020</v>
      </c>
      <c r="AD459" s="4" t="e">
        <v>#N/A</v>
      </c>
    </row>
    <row r="460" spans="1:30" s="4" customFormat="1" ht="35.25" customHeight="1" x14ac:dyDescent="0.5">
      <c r="A460" s="4">
        <v>1</v>
      </c>
      <c r="B460" s="171">
        <f>SUBTOTAL(103,$A$8:A460)</f>
        <v>448</v>
      </c>
      <c r="C460" s="323" t="s">
        <v>2360</v>
      </c>
      <c r="D460" s="324">
        <f t="shared" si="15"/>
        <v>616295.82999999996</v>
      </c>
      <c r="E460" s="400">
        <v>0</v>
      </c>
      <c r="F460" s="400">
        <v>0</v>
      </c>
      <c r="G460" s="400">
        <v>0</v>
      </c>
      <c r="H460" s="400">
        <v>0</v>
      </c>
      <c r="I460" s="400">
        <v>0</v>
      </c>
      <c r="J460" s="400">
        <v>0</v>
      </c>
      <c r="K460" s="401">
        <v>0</v>
      </c>
      <c r="L460" s="400">
        <v>0</v>
      </c>
      <c r="M460" s="400">
        <v>0</v>
      </c>
      <c r="N460" s="400">
        <v>0</v>
      </c>
      <c r="O460" s="400">
        <v>616295.82999999996</v>
      </c>
      <c r="P460" s="400">
        <v>0</v>
      </c>
      <c r="Q460" s="400">
        <v>0</v>
      </c>
      <c r="R460" s="400">
        <v>0</v>
      </c>
      <c r="S460" s="400">
        <v>0</v>
      </c>
      <c r="T460" s="400">
        <v>0</v>
      </c>
      <c r="U460" s="400">
        <v>0</v>
      </c>
      <c r="V460" s="400">
        <v>0</v>
      </c>
      <c r="W460" s="400">
        <v>0</v>
      </c>
      <c r="X460" s="400">
        <v>0</v>
      </c>
      <c r="Y460" s="400">
        <v>0</v>
      </c>
      <c r="Z460" s="400">
        <v>0</v>
      </c>
      <c r="AA460" s="400">
        <v>0</v>
      </c>
      <c r="AB460" s="327">
        <v>2020</v>
      </c>
      <c r="AD460" s="4" t="e">
        <v>#N/A</v>
      </c>
    </row>
    <row r="461" spans="1:30" s="4" customFormat="1" ht="35.25" customHeight="1" x14ac:dyDescent="0.5">
      <c r="A461" s="4">
        <v>1</v>
      </c>
      <c r="B461" s="171">
        <f>SUBTOTAL(103,$A$8:A461)</f>
        <v>449</v>
      </c>
      <c r="C461" s="323" t="s">
        <v>2361</v>
      </c>
      <c r="D461" s="324">
        <f t="shared" si="15"/>
        <v>1850000</v>
      </c>
      <c r="E461" s="400">
        <v>0</v>
      </c>
      <c r="F461" s="400">
        <v>0</v>
      </c>
      <c r="G461" s="400">
        <v>0</v>
      </c>
      <c r="H461" s="400">
        <v>0</v>
      </c>
      <c r="I461" s="400">
        <v>0</v>
      </c>
      <c r="J461" s="400">
        <v>0</v>
      </c>
      <c r="K461" s="401">
        <v>1</v>
      </c>
      <c r="L461" s="400">
        <v>1850000</v>
      </c>
      <c r="M461" s="400">
        <v>0</v>
      </c>
      <c r="N461" s="400">
        <v>0</v>
      </c>
      <c r="O461" s="400">
        <v>0</v>
      </c>
      <c r="P461" s="400">
        <v>0</v>
      </c>
      <c r="Q461" s="400">
        <v>0</v>
      </c>
      <c r="R461" s="400">
        <v>0</v>
      </c>
      <c r="S461" s="400">
        <v>0</v>
      </c>
      <c r="T461" s="400">
        <v>0</v>
      </c>
      <c r="U461" s="400">
        <v>0</v>
      </c>
      <c r="V461" s="400">
        <v>0</v>
      </c>
      <c r="W461" s="400">
        <v>0</v>
      </c>
      <c r="X461" s="400">
        <v>0</v>
      </c>
      <c r="Y461" s="400">
        <v>0</v>
      </c>
      <c r="Z461" s="400">
        <v>0</v>
      </c>
      <c r="AA461" s="400">
        <v>0</v>
      </c>
      <c r="AB461" s="327">
        <v>2020</v>
      </c>
      <c r="AD461" s="4" t="e">
        <v>#N/A</v>
      </c>
    </row>
    <row r="462" spans="1:30" s="4" customFormat="1" ht="35.25" customHeight="1" x14ac:dyDescent="0.5">
      <c r="A462" s="4">
        <v>1</v>
      </c>
      <c r="B462" s="171">
        <f>SUBTOTAL(103,$A$8:A462)</f>
        <v>450</v>
      </c>
      <c r="C462" s="323" t="s">
        <v>2362</v>
      </c>
      <c r="D462" s="324">
        <f t="shared" si="15"/>
        <v>2371003.2999999998</v>
      </c>
      <c r="E462" s="400">
        <v>0</v>
      </c>
      <c r="F462" s="400">
        <v>0</v>
      </c>
      <c r="G462" s="400">
        <v>0</v>
      </c>
      <c r="H462" s="400">
        <v>0</v>
      </c>
      <c r="I462" s="400">
        <v>0</v>
      </c>
      <c r="J462" s="400">
        <v>0</v>
      </c>
      <c r="K462" s="401">
        <v>0</v>
      </c>
      <c r="L462" s="400">
        <v>0</v>
      </c>
      <c r="M462" s="400">
        <v>2371003.2999999998</v>
      </c>
      <c r="N462" s="400">
        <v>0</v>
      </c>
      <c r="O462" s="400">
        <v>0</v>
      </c>
      <c r="P462" s="400">
        <v>0</v>
      </c>
      <c r="Q462" s="400">
        <v>0</v>
      </c>
      <c r="R462" s="400">
        <v>0</v>
      </c>
      <c r="S462" s="400">
        <v>0</v>
      </c>
      <c r="T462" s="400">
        <v>0</v>
      </c>
      <c r="U462" s="400">
        <v>0</v>
      </c>
      <c r="V462" s="400">
        <v>0</v>
      </c>
      <c r="W462" s="400">
        <v>0</v>
      </c>
      <c r="X462" s="400">
        <v>0</v>
      </c>
      <c r="Y462" s="400">
        <v>0</v>
      </c>
      <c r="Z462" s="400">
        <v>0</v>
      </c>
      <c r="AA462" s="400">
        <v>0</v>
      </c>
      <c r="AB462" s="327">
        <v>2020</v>
      </c>
      <c r="AD462" s="4" t="e">
        <v>#N/A</v>
      </c>
    </row>
    <row r="463" spans="1:30" s="4" customFormat="1" ht="35.25" customHeight="1" x14ac:dyDescent="0.5">
      <c r="A463" s="4">
        <v>1</v>
      </c>
      <c r="B463" s="171">
        <f>SUBTOTAL(103,$A$8:A463)</f>
        <v>451</v>
      </c>
      <c r="C463" s="323" t="s">
        <v>2363</v>
      </c>
      <c r="D463" s="324">
        <f t="shared" si="15"/>
        <v>928991.4</v>
      </c>
      <c r="E463" s="400">
        <v>0</v>
      </c>
      <c r="F463" s="400">
        <v>0</v>
      </c>
      <c r="G463" s="400">
        <v>0</v>
      </c>
      <c r="H463" s="400">
        <v>0</v>
      </c>
      <c r="I463" s="400">
        <v>0</v>
      </c>
      <c r="J463" s="400">
        <v>0</v>
      </c>
      <c r="K463" s="401">
        <v>0</v>
      </c>
      <c r="L463" s="400">
        <v>0</v>
      </c>
      <c r="M463" s="400">
        <v>928991.4</v>
      </c>
      <c r="N463" s="400">
        <v>0</v>
      </c>
      <c r="O463" s="400">
        <v>0</v>
      </c>
      <c r="P463" s="400">
        <v>0</v>
      </c>
      <c r="Q463" s="400">
        <v>0</v>
      </c>
      <c r="R463" s="400">
        <v>0</v>
      </c>
      <c r="S463" s="400">
        <v>0</v>
      </c>
      <c r="T463" s="400">
        <v>0</v>
      </c>
      <c r="U463" s="400">
        <v>0</v>
      </c>
      <c r="V463" s="400">
        <v>0</v>
      </c>
      <c r="W463" s="400">
        <v>0</v>
      </c>
      <c r="X463" s="400">
        <v>0</v>
      </c>
      <c r="Y463" s="400">
        <v>0</v>
      </c>
      <c r="Z463" s="400">
        <v>0</v>
      </c>
      <c r="AA463" s="400">
        <v>0</v>
      </c>
      <c r="AB463" s="327">
        <v>2020</v>
      </c>
      <c r="AD463" s="4" t="e">
        <v>#N/A</v>
      </c>
    </row>
    <row r="464" spans="1:30" s="4" customFormat="1" ht="35.25" customHeight="1" x14ac:dyDescent="0.5">
      <c r="A464" s="4">
        <v>1</v>
      </c>
      <c r="B464" s="171">
        <f>SUBTOTAL(103,$A$8:A464)</f>
        <v>452</v>
      </c>
      <c r="C464" s="323" t="s">
        <v>2364</v>
      </c>
      <c r="D464" s="324">
        <f t="shared" si="15"/>
        <v>244714.38</v>
      </c>
      <c r="E464" s="400">
        <v>0</v>
      </c>
      <c r="F464" s="400">
        <v>0</v>
      </c>
      <c r="G464" s="400">
        <v>0</v>
      </c>
      <c r="H464" s="400">
        <v>0</v>
      </c>
      <c r="I464" s="400">
        <v>244714.38</v>
      </c>
      <c r="J464" s="400">
        <v>0</v>
      </c>
      <c r="K464" s="401">
        <v>0</v>
      </c>
      <c r="L464" s="400">
        <v>0</v>
      </c>
      <c r="M464" s="400">
        <v>0</v>
      </c>
      <c r="N464" s="400">
        <v>0</v>
      </c>
      <c r="O464" s="400">
        <v>0</v>
      </c>
      <c r="P464" s="400">
        <v>0</v>
      </c>
      <c r="Q464" s="400">
        <v>0</v>
      </c>
      <c r="R464" s="400">
        <v>0</v>
      </c>
      <c r="S464" s="400">
        <v>0</v>
      </c>
      <c r="T464" s="400">
        <v>0</v>
      </c>
      <c r="U464" s="400">
        <v>0</v>
      </c>
      <c r="V464" s="400">
        <v>0</v>
      </c>
      <c r="W464" s="400">
        <v>0</v>
      </c>
      <c r="X464" s="400">
        <v>0</v>
      </c>
      <c r="Y464" s="400">
        <v>0</v>
      </c>
      <c r="Z464" s="400">
        <v>0</v>
      </c>
      <c r="AA464" s="400">
        <v>0</v>
      </c>
      <c r="AB464" s="327">
        <v>2020</v>
      </c>
      <c r="AD464" s="4" t="e">
        <v>#N/A</v>
      </c>
    </row>
    <row r="465" spans="1:30" s="4" customFormat="1" ht="35.25" customHeight="1" x14ac:dyDescent="0.5">
      <c r="A465" s="4">
        <v>1</v>
      </c>
      <c r="B465" s="171">
        <f>SUBTOTAL(103,$A$8:A465)</f>
        <v>453</v>
      </c>
      <c r="C465" s="323" t="s">
        <v>2365</v>
      </c>
      <c r="D465" s="324">
        <f t="shared" si="15"/>
        <v>173096</v>
      </c>
      <c r="E465" s="400">
        <v>0</v>
      </c>
      <c r="F465" s="400">
        <v>0</v>
      </c>
      <c r="G465" s="400">
        <v>0</v>
      </c>
      <c r="H465" s="400">
        <v>0</v>
      </c>
      <c r="I465" s="400">
        <v>0</v>
      </c>
      <c r="J465" s="400">
        <v>0</v>
      </c>
      <c r="K465" s="401">
        <v>0</v>
      </c>
      <c r="L465" s="400">
        <v>0</v>
      </c>
      <c r="M465" s="400">
        <v>0</v>
      </c>
      <c r="N465" s="400">
        <v>0</v>
      </c>
      <c r="O465" s="400">
        <v>173096</v>
      </c>
      <c r="P465" s="400">
        <v>0</v>
      </c>
      <c r="Q465" s="400">
        <v>0</v>
      </c>
      <c r="R465" s="400">
        <v>0</v>
      </c>
      <c r="S465" s="400">
        <v>0</v>
      </c>
      <c r="T465" s="400">
        <v>0</v>
      </c>
      <c r="U465" s="400">
        <v>0</v>
      </c>
      <c r="V465" s="400">
        <v>0</v>
      </c>
      <c r="W465" s="400">
        <v>0</v>
      </c>
      <c r="X465" s="400">
        <v>0</v>
      </c>
      <c r="Y465" s="400">
        <v>0</v>
      </c>
      <c r="Z465" s="400">
        <v>0</v>
      </c>
      <c r="AA465" s="400">
        <v>0</v>
      </c>
      <c r="AB465" s="327">
        <v>2020</v>
      </c>
      <c r="AD465" s="4" t="e">
        <v>#N/A</v>
      </c>
    </row>
    <row r="466" spans="1:30" s="4" customFormat="1" ht="35.25" customHeight="1" x14ac:dyDescent="0.5">
      <c r="A466" s="4">
        <v>1</v>
      </c>
      <c r="B466" s="171">
        <f>SUBTOTAL(103,$A$8:A466)</f>
        <v>454</v>
      </c>
      <c r="C466" s="323" t="s">
        <v>2366</v>
      </c>
      <c r="D466" s="324">
        <f t="shared" si="15"/>
        <v>1395005.36</v>
      </c>
      <c r="E466" s="400">
        <v>0</v>
      </c>
      <c r="F466" s="400">
        <v>0</v>
      </c>
      <c r="G466" s="400">
        <v>0</v>
      </c>
      <c r="H466" s="400">
        <v>0</v>
      </c>
      <c r="I466" s="400">
        <v>0</v>
      </c>
      <c r="J466" s="400">
        <v>0</v>
      </c>
      <c r="K466" s="401">
        <v>0</v>
      </c>
      <c r="L466" s="400">
        <v>0</v>
      </c>
      <c r="M466" s="400">
        <v>1395005.36</v>
      </c>
      <c r="N466" s="400">
        <v>0</v>
      </c>
      <c r="O466" s="400">
        <v>0</v>
      </c>
      <c r="P466" s="400">
        <v>0</v>
      </c>
      <c r="Q466" s="400">
        <v>0</v>
      </c>
      <c r="R466" s="400">
        <v>0</v>
      </c>
      <c r="S466" s="400">
        <v>0</v>
      </c>
      <c r="T466" s="400">
        <v>0</v>
      </c>
      <c r="U466" s="400">
        <v>0</v>
      </c>
      <c r="V466" s="400">
        <v>0</v>
      </c>
      <c r="W466" s="400">
        <v>0</v>
      </c>
      <c r="X466" s="400">
        <v>0</v>
      </c>
      <c r="Y466" s="400">
        <v>0</v>
      </c>
      <c r="Z466" s="400">
        <v>0</v>
      </c>
      <c r="AA466" s="400">
        <v>0</v>
      </c>
      <c r="AB466" s="327">
        <v>2020</v>
      </c>
      <c r="AD466" s="4" t="e">
        <v>#N/A</v>
      </c>
    </row>
    <row r="467" spans="1:30" s="4" customFormat="1" ht="35.25" customHeight="1" x14ac:dyDescent="0.5">
      <c r="A467" s="4">
        <v>1</v>
      </c>
      <c r="B467" s="171">
        <f>SUBTOTAL(103,$A$8:A467)</f>
        <v>455</v>
      </c>
      <c r="C467" s="323" t="s">
        <v>2543</v>
      </c>
      <c r="D467" s="324">
        <f t="shared" si="15"/>
        <v>1850000</v>
      </c>
      <c r="E467" s="325">
        <v>0</v>
      </c>
      <c r="F467" s="325">
        <v>0</v>
      </c>
      <c r="G467" s="325">
        <v>0</v>
      </c>
      <c r="H467" s="325">
        <v>0</v>
      </c>
      <c r="I467" s="325">
        <v>0</v>
      </c>
      <c r="J467" s="325">
        <v>0</v>
      </c>
      <c r="K467" s="326">
        <v>1</v>
      </c>
      <c r="L467" s="325">
        <v>1850000</v>
      </c>
      <c r="M467" s="325">
        <v>0</v>
      </c>
      <c r="N467" s="325">
        <v>0</v>
      </c>
      <c r="O467" s="325">
        <v>0</v>
      </c>
      <c r="P467" s="325">
        <v>0</v>
      </c>
      <c r="Q467" s="325">
        <v>0</v>
      </c>
      <c r="R467" s="325">
        <v>0</v>
      </c>
      <c r="S467" s="325">
        <v>0</v>
      </c>
      <c r="T467" s="325">
        <v>0</v>
      </c>
      <c r="U467" s="325">
        <v>0</v>
      </c>
      <c r="V467" s="325">
        <v>0</v>
      </c>
      <c r="W467" s="325">
        <v>0</v>
      </c>
      <c r="X467" s="325">
        <v>0</v>
      </c>
      <c r="Y467" s="325">
        <v>0</v>
      </c>
      <c r="Z467" s="325">
        <v>0</v>
      </c>
      <c r="AA467" s="325">
        <v>0</v>
      </c>
      <c r="AB467" s="327">
        <v>2020</v>
      </c>
      <c r="AD467" s="4">
        <v>0</v>
      </c>
    </row>
    <row r="468" spans="1:30" s="4" customFormat="1" ht="35.25" customHeight="1" x14ac:dyDescent="0.5">
      <c r="A468" s="4">
        <v>1</v>
      </c>
      <c r="B468" s="171">
        <f>SUBTOTAL(103,$A$8:A468)</f>
        <v>456</v>
      </c>
      <c r="C468" s="323" t="s">
        <v>2544</v>
      </c>
      <c r="D468" s="324">
        <f t="shared" si="15"/>
        <v>588722</v>
      </c>
      <c r="E468" s="325">
        <v>0</v>
      </c>
      <c r="F468" s="325">
        <v>0</v>
      </c>
      <c r="G468" s="325">
        <v>0</v>
      </c>
      <c r="H468" s="325">
        <v>0</v>
      </c>
      <c r="I468" s="325">
        <v>0</v>
      </c>
      <c r="J468" s="325">
        <v>0</v>
      </c>
      <c r="K468" s="326">
        <v>0</v>
      </c>
      <c r="L468" s="325">
        <v>0</v>
      </c>
      <c r="M468" s="325">
        <v>588722</v>
      </c>
      <c r="N468" s="325">
        <v>0</v>
      </c>
      <c r="O468" s="325">
        <v>0</v>
      </c>
      <c r="P468" s="325">
        <v>0</v>
      </c>
      <c r="Q468" s="325">
        <v>0</v>
      </c>
      <c r="R468" s="325">
        <v>0</v>
      </c>
      <c r="S468" s="325">
        <v>0</v>
      </c>
      <c r="T468" s="325">
        <v>0</v>
      </c>
      <c r="U468" s="325">
        <v>0</v>
      </c>
      <c r="V468" s="325">
        <v>0</v>
      </c>
      <c r="W468" s="325">
        <v>0</v>
      </c>
      <c r="X468" s="325">
        <v>0</v>
      </c>
      <c r="Y468" s="325">
        <v>0</v>
      </c>
      <c r="Z468" s="325">
        <v>0</v>
      </c>
      <c r="AA468" s="325">
        <v>0</v>
      </c>
      <c r="AB468" s="327">
        <v>2020</v>
      </c>
      <c r="AD468" s="4">
        <v>0</v>
      </c>
    </row>
    <row r="469" spans="1:30" s="4" customFormat="1" ht="35.25" customHeight="1" x14ac:dyDescent="0.5">
      <c r="A469" s="4">
        <v>1</v>
      </c>
      <c r="B469" s="171">
        <f>SUBTOTAL(103,$A$8:A469)</f>
        <v>457</v>
      </c>
      <c r="C469" s="323" t="s">
        <v>2545</v>
      </c>
      <c r="D469" s="324">
        <f t="shared" si="15"/>
        <v>1370115.5</v>
      </c>
      <c r="E469" s="325">
        <v>0</v>
      </c>
      <c r="F469" s="325">
        <v>0</v>
      </c>
      <c r="G469" s="325">
        <v>0</v>
      </c>
      <c r="H469" s="325">
        <v>0</v>
      </c>
      <c r="I469" s="325">
        <v>0</v>
      </c>
      <c r="J469" s="325">
        <v>0</v>
      </c>
      <c r="K469" s="326">
        <v>0</v>
      </c>
      <c r="L469" s="325">
        <v>0</v>
      </c>
      <c r="M469" s="325">
        <v>1370115.5</v>
      </c>
      <c r="N469" s="325">
        <v>0</v>
      </c>
      <c r="O469" s="325">
        <v>0</v>
      </c>
      <c r="P469" s="325">
        <v>0</v>
      </c>
      <c r="Q469" s="325">
        <v>0</v>
      </c>
      <c r="R469" s="325">
        <v>0</v>
      </c>
      <c r="S469" s="325">
        <v>0</v>
      </c>
      <c r="T469" s="325">
        <v>0</v>
      </c>
      <c r="U469" s="325">
        <v>0</v>
      </c>
      <c r="V469" s="325">
        <v>0</v>
      </c>
      <c r="W469" s="325">
        <v>0</v>
      </c>
      <c r="X469" s="325">
        <v>0</v>
      </c>
      <c r="Y469" s="325">
        <v>0</v>
      </c>
      <c r="Z469" s="325">
        <v>0</v>
      </c>
      <c r="AA469" s="325">
        <v>0</v>
      </c>
      <c r="AB469" s="327">
        <v>2020</v>
      </c>
      <c r="AD469" s="4">
        <v>0</v>
      </c>
    </row>
    <row r="470" spans="1:30" s="4" customFormat="1" ht="35.25" customHeight="1" x14ac:dyDescent="0.5">
      <c r="A470" s="4">
        <v>1</v>
      </c>
      <c r="B470" s="171">
        <f>SUBTOTAL(103,$A$8:A470)</f>
        <v>458</v>
      </c>
      <c r="C470" s="323" t="s">
        <v>2546</v>
      </c>
      <c r="D470" s="324">
        <f t="shared" si="15"/>
        <v>1078498.99</v>
      </c>
      <c r="E470" s="325">
        <v>0</v>
      </c>
      <c r="F470" s="325">
        <v>0</v>
      </c>
      <c r="G470" s="325">
        <v>0</v>
      </c>
      <c r="H470" s="325">
        <v>0</v>
      </c>
      <c r="I470" s="325">
        <v>0</v>
      </c>
      <c r="J470" s="325">
        <v>0</v>
      </c>
      <c r="K470" s="326">
        <v>0</v>
      </c>
      <c r="L470" s="325">
        <v>0</v>
      </c>
      <c r="M470" s="325">
        <v>598047.86</v>
      </c>
      <c r="N470" s="325">
        <v>0</v>
      </c>
      <c r="O470" s="325">
        <v>480451.13</v>
      </c>
      <c r="P470" s="325">
        <v>0</v>
      </c>
      <c r="Q470" s="325">
        <v>0</v>
      </c>
      <c r="R470" s="325">
        <v>0</v>
      </c>
      <c r="S470" s="325">
        <v>0</v>
      </c>
      <c r="T470" s="325">
        <v>0</v>
      </c>
      <c r="U470" s="325">
        <v>0</v>
      </c>
      <c r="V470" s="325">
        <v>0</v>
      </c>
      <c r="W470" s="325">
        <v>0</v>
      </c>
      <c r="X470" s="325">
        <v>0</v>
      </c>
      <c r="Y470" s="325">
        <v>0</v>
      </c>
      <c r="Z470" s="325">
        <v>0</v>
      </c>
      <c r="AA470" s="325">
        <v>0</v>
      </c>
      <c r="AB470" s="327">
        <v>2020</v>
      </c>
      <c r="AD470" s="4">
        <v>0</v>
      </c>
    </row>
    <row r="471" spans="1:30" s="4" customFormat="1" ht="35.25" customHeight="1" x14ac:dyDescent="0.5">
      <c r="A471" s="4">
        <v>1</v>
      </c>
      <c r="B471" s="171">
        <f>SUBTOTAL(103,$A$8:A471)</f>
        <v>459</v>
      </c>
      <c r="C471" s="323" t="s">
        <v>2151</v>
      </c>
      <c r="D471" s="324">
        <f t="shared" si="15"/>
        <v>1198042.8500000001</v>
      </c>
      <c r="E471" s="400">
        <v>0</v>
      </c>
      <c r="F471" s="400">
        <v>0</v>
      </c>
      <c r="G471" s="400">
        <v>0</v>
      </c>
      <c r="H471" s="400">
        <v>0</v>
      </c>
      <c r="I471" s="400">
        <v>0</v>
      </c>
      <c r="J471" s="400">
        <v>0</v>
      </c>
      <c r="K471" s="401">
        <v>0</v>
      </c>
      <c r="L471" s="400">
        <v>0</v>
      </c>
      <c r="M471" s="400">
        <v>0</v>
      </c>
      <c r="N471" s="400">
        <v>0</v>
      </c>
      <c r="O471" s="400">
        <v>1198042.8500000001</v>
      </c>
      <c r="P471" s="400">
        <v>0</v>
      </c>
      <c r="Q471" s="400">
        <v>0</v>
      </c>
      <c r="R471" s="400">
        <v>0</v>
      </c>
      <c r="S471" s="400">
        <v>0</v>
      </c>
      <c r="T471" s="400">
        <v>0</v>
      </c>
      <c r="U471" s="400">
        <v>0</v>
      </c>
      <c r="V471" s="400">
        <v>0</v>
      </c>
      <c r="W471" s="400">
        <v>0</v>
      </c>
      <c r="X471" s="400">
        <v>0</v>
      </c>
      <c r="Y471" s="400">
        <v>0</v>
      </c>
      <c r="Z471" s="400">
        <v>0</v>
      </c>
      <c r="AA471" s="400">
        <v>0</v>
      </c>
      <c r="AB471" s="327">
        <v>2020</v>
      </c>
      <c r="AD471" s="4" t="e">
        <v>#N/A</v>
      </c>
    </row>
    <row r="472" spans="1:30" s="4" customFormat="1" ht="35.25" customHeight="1" x14ac:dyDescent="0.5">
      <c r="B472" s="323" t="s">
        <v>1814</v>
      </c>
      <c r="C472" s="323"/>
      <c r="D472" s="324">
        <f>SUM(D473:D476)</f>
        <v>1368433</v>
      </c>
      <c r="E472" s="324">
        <f t="shared" ref="E472:AA472" si="16">SUM(E473:E476)</f>
        <v>0</v>
      </c>
      <c r="F472" s="324">
        <f t="shared" si="16"/>
        <v>0</v>
      </c>
      <c r="G472" s="324">
        <f t="shared" si="16"/>
        <v>0</v>
      </c>
      <c r="H472" s="324">
        <f t="shared" si="16"/>
        <v>0</v>
      </c>
      <c r="I472" s="324">
        <f t="shared" si="16"/>
        <v>914164</v>
      </c>
      <c r="J472" s="324">
        <f t="shared" si="16"/>
        <v>0</v>
      </c>
      <c r="K472" s="399">
        <f t="shared" si="16"/>
        <v>0</v>
      </c>
      <c r="L472" s="324">
        <f t="shared" si="16"/>
        <v>0</v>
      </c>
      <c r="M472" s="324">
        <f t="shared" si="16"/>
        <v>0</v>
      </c>
      <c r="N472" s="324">
        <f t="shared" si="16"/>
        <v>0</v>
      </c>
      <c r="O472" s="324">
        <f t="shared" si="16"/>
        <v>454269</v>
      </c>
      <c r="P472" s="324">
        <f t="shared" si="16"/>
        <v>0</v>
      </c>
      <c r="Q472" s="324">
        <f t="shared" si="16"/>
        <v>0</v>
      </c>
      <c r="R472" s="324">
        <f t="shared" si="16"/>
        <v>0</v>
      </c>
      <c r="S472" s="324">
        <f t="shared" si="16"/>
        <v>0</v>
      </c>
      <c r="T472" s="324">
        <f t="shared" si="16"/>
        <v>0</v>
      </c>
      <c r="U472" s="324">
        <f t="shared" si="16"/>
        <v>0</v>
      </c>
      <c r="V472" s="324">
        <f t="shared" si="16"/>
        <v>0</v>
      </c>
      <c r="W472" s="324">
        <f t="shared" si="16"/>
        <v>0</v>
      </c>
      <c r="X472" s="324">
        <f t="shared" si="16"/>
        <v>0</v>
      </c>
      <c r="Y472" s="324">
        <f t="shared" si="16"/>
        <v>0</v>
      </c>
      <c r="Z472" s="324">
        <f t="shared" si="16"/>
        <v>0</v>
      </c>
      <c r="AA472" s="324">
        <f t="shared" si="16"/>
        <v>0</v>
      </c>
      <c r="AB472" s="396" t="s">
        <v>882</v>
      </c>
    </row>
    <row r="473" spans="1:30" s="4" customFormat="1" ht="35.25" customHeight="1" x14ac:dyDescent="0.5">
      <c r="A473" s="4">
        <v>1</v>
      </c>
      <c r="B473" s="171">
        <f>SUBTOTAL(103,$A$8:A473)</f>
        <v>460</v>
      </c>
      <c r="C473" s="323" t="s">
        <v>1815</v>
      </c>
      <c r="D473" s="324">
        <f>E473+F473+G473+H473+I473+J473+L473+M473+N473+O473+P473+Q473+R473+S473+T473+U473+V473+W473+X473+Y473+Z473+AA473</f>
        <v>228541</v>
      </c>
      <c r="E473" s="325">
        <v>0</v>
      </c>
      <c r="F473" s="325">
        <v>0</v>
      </c>
      <c r="G473" s="325">
        <v>0</v>
      </c>
      <c r="H473" s="325">
        <v>0</v>
      </c>
      <c r="I473" s="325">
        <v>228541</v>
      </c>
      <c r="J473" s="325">
        <v>0</v>
      </c>
      <c r="K473" s="326">
        <v>0</v>
      </c>
      <c r="L473" s="325">
        <v>0</v>
      </c>
      <c r="M473" s="325">
        <v>0</v>
      </c>
      <c r="N473" s="325">
        <v>0</v>
      </c>
      <c r="O473" s="325">
        <v>0</v>
      </c>
      <c r="P473" s="325">
        <v>0</v>
      </c>
      <c r="Q473" s="325">
        <v>0</v>
      </c>
      <c r="R473" s="325">
        <v>0</v>
      </c>
      <c r="S473" s="325">
        <v>0</v>
      </c>
      <c r="T473" s="325">
        <v>0</v>
      </c>
      <c r="U473" s="325">
        <v>0</v>
      </c>
      <c r="V473" s="325">
        <v>0</v>
      </c>
      <c r="W473" s="325">
        <v>0</v>
      </c>
      <c r="X473" s="325">
        <v>0</v>
      </c>
      <c r="Y473" s="325">
        <v>0</v>
      </c>
      <c r="Z473" s="325">
        <v>0</v>
      </c>
      <c r="AA473" s="325">
        <v>0</v>
      </c>
      <c r="AB473" s="327">
        <v>2020</v>
      </c>
      <c r="AD473" s="4" t="e">
        <v>#N/A</v>
      </c>
    </row>
    <row r="474" spans="1:30" s="4" customFormat="1" ht="35.25" customHeight="1" x14ac:dyDescent="0.5">
      <c r="A474" s="4">
        <v>1</v>
      </c>
      <c r="B474" s="171">
        <f>SUBTOTAL(103,$A$8:A474)</f>
        <v>461</v>
      </c>
      <c r="C474" s="323" t="s">
        <v>1816</v>
      </c>
      <c r="D474" s="324">
        <f>E474+F474+G474+H474+I474+J474+L474+M474+N474+O474+P474+Q474+R474+S474+T474+U474+V474+W474+X474+Y474+Z474+AA474</f>
        <v>228541</v>
      </c>
      <c r="E474" s="325">
        <v>0</v>
      </c>
      <c r="F474" s="325">
        <v>0</v>
      </c>
      <c r="G474" s="325">
        <v>0</v>
      </c>
      <c r="H474" s="325">
        <v>0</v>
      </c>
      <c r="I474" s="325">
        <v>228541</v>
      </c>
      <c r="J474" s="325">
        <v>0</v>
      </c>
      <c r="K474" s="326">
        <v>0</v>
      </c>
      <c r="L474" s="325">
        <v>0</v>
      </c>
      <c r="M474" s="325">
        <v>0</v>
      </c>
      <c r="N474" s="325">
        <v>0</v>
      </c>
      <c r="O474" s="325">
        <v>0</v>
      </c>
      <c r="P474" s="325">
        <v>0</v>
      </c>
      <c r="Q474" s="325">
        <v>0</v>
      </c>
      <c r="R474" s="325">
        <v>0</v>
      </c>
      <c r="S474" s="325">
        <v>0</v>
      </c>
      <c r="T474" s="325">
        <v>0</v>
      </c>
      <c r="U474" s="325">
        <v>0</v>
      </c>
      <c r="V474" s="325">
        <v>0</v>
      </c>
      <c r="W474" s="325">
        <v>0</v>
      </c>
      <c r="X474" s="325">
        <v>0</v>
      </c>
      <c r="Y474" s="325">
        <v>0</v>
      </c>
      <c r="Z474" s="325">
        <v>0</v>
      </c>
      <c r="AA474" s="325">
        <v>0</v>
      </c>
      <c r="AB474" s="327">
        <v>2020</v>
      </c>
      <c r="AD474" s="4" t="e">
        <v>#N/A</v>
      </c>
    </row>
    <row r="475" spans="1:30" s="4" customFormat="1" ht="35.25" customHeight="1" x14ac:dyDescent="0.5">
      <c r="A475" s="4">
        <v>1</v>
      </c>
      <c r="B475" s="171">
        <f>SUBTOTAL(103,$A$8:A475)</f>
        <v>462</v>
      </c>
      <c r="C475" s="323" t="s">
        <v>1817</v>
      </c>
      <c r="D475" s="324">
        <f>E475+F475+G475+H475+I475+J475+L475+M475+N475+O475+P475+Q475+R475+S475+T475+U475+V475+W475+X475+Y475+Z475+AA475</f>
        <v>274766</v>
      </c>
      <c r="E475" s="325">
        <v>0</v>
      </c>
      <c r="F475" s="325">
        <v>0</v>
      </c>
      <c r="G475" s="325">
        <v>0</v>
      </c>
      <c r="H475" s="325">
        <v>0</v>
      </c>
      <c r="I475" s="325">
        <v>228541</v>
      </c>
      <c r="J475" s="325">
        <v>0</v>
      </c>
      <c r="K475" s="326">
        <v>0</v>
      </c>
      <c r="L475" s="325">
        <v>0</v>
      </c>
      <c r="M475" s="325">
        <v>0</v>
      </c>
      <c r="N475" s="325">
        <v>0</v>
      </c>
      <c r="O475" s="325">
        <v>46225</v>
      </c>
      <c r="P475" s="325">
        <v>0</v>
      </c>
      <c r="Q475" s="325">
        <v>0</v>
      </c>
      <c r="R475" s="325">
        <v>0</v>
      </c>
      <c r="S475" s="325">
        <v>0</v>
      </c>
      <c r="T475" s="325">
        <v>0</v>
      </c>
      <c r="U475" s="325">
        <v>0</v>
      </c>
      <c r="V475" s="325">
        <v>0</v>
      </c>
      <c r="W475" s="325">
        <v>0</v>
      </c>
      <c r="X475" s="325">
        <v>0</v>
      </c>
      <c r="Y475" s="325">
        <v>0</v>
      </c>
      <c r="Z475" s="325">
        <v>0</v>
      </c>
      <c r="AA475" s="325">
        <v>0</v>
      </c>
      <c r="AB475" s="327">
        <v>2020</v>
      </c>
      <c r="AD475" s="4" t="e">
        <v>#N/A</v>
      </c>
    </row>
    <row r="476" spans="1:30" s="4" customFormat="1" ht="35.25" customHeight="1" x14ac:dyDescent="0.5">
      <c r="A476" s="4">
        <v>1</v>
      </c>
      <c r="B476" s="171">
        <f>SUBTOTAL(103,$A$8:A476)</f>
        <v>463</v>
      </c>
      <c r="C476" s="323" t="s">
        <v>1818</v>
      </c>
      <c r="D476" s="324">
        <f>E476+F476+G476+H476+I476+J476+L476+M476+N476+O476+P476+Q476+R476+S476+T476+U476+V476+W476+X476+Y476+Z476+AA476</f>
        <v>636585</v>
      </c>
      <c r="E476" s="325">
        <v>0</v>
      </c>
      <c r="F476" s="325">
        <v>0</v>
      </c>
      <c r="G476" s="325">
        <v>0</v>
      </c>
      <c r="H476" s="325">
        <v>0</v>
      </c>
      <c r="I476" s="325">
        <v>228541</v>
      </c>
      <c r="J476" s="325">
        <v>0</v>
      </c>
      <c r="K476" s="326">
        <v>0</v>
      </c>
      <c r="L476" s="325">
        <v>0</v>
      </c>
      <c r="M476" s="325">
        <v>0</v>
      </c>
      <c r="N476" s="325">
        <v>0</v>
      </c>
      <c r="O476" s="325">
        <v>408044</v>
      </c>
      <c r="P476" s="325">
        <v>0</v>
      </c>
      <c r="Q476" s="325">
        <v>0</v>
      </c>
      <c r="R476" s="325">
        <v>0</v>
      </c>
      <c r="S476" s="325">
        <v>0</v>
      </c>
      <c r="T476" s="325">
        <v>0</v>
      </c>
      <c r="U476" s="325">
        <v>0</v>
      </c>
      <c r="V476" s="325">
        <v>0</v>
      </c>
      <c r="W476" s="325">
        <v>0</v>
      </c>
      <c r="X476" s="325">
        <v>0</v>
      </c>
      <c r="Y476" s="325">
        <v>0</v>
      </c>
      <c r="Z476" s="325">
        <v>0</v>
      </c>
      <c r="AA476" s="325">
        <v>0</v>
      </c>
      <c r="AB476" s="327">
        <v>2020</v>
      </c>
      <c r="AD476" s="4">
        <v>0</v>
      </c>
    </row>
    <row r="477" spans="1:30" s="4" customFormat="1" ht="35.25" customHeight="1" x14ac:dyDescent="0.5">
      <c r="B477" s="323" t="s">
        <v>877</v>
      </c>
      <c r="C477" s="323"/>
      <c r="D477" s="324">
        <f>D478</f>
        <v>797497</v>
      </c>
      <c r="E477" s="324">
        <f t="shared" ref="E477:AA477" si="17">E478</f>
        <v>0</v>
      </c>
      <c r="F477" s="324">
        <f t="shared" si="17"/>
        <v>0</v>
      </c>
      <c r="G477" s="324">
        <f t="shared" si="17"/>
        <v>0</v>
      </c>
      <c r="H477" s="324">
        <f t="shared" si="17"/>
        <v>0</v>
      </c>
      <c r="I477" s="324">
        <f t="shared" si="17"/>
        <v>0</v>
      </c>
      <c r="J477" s="324">
        <f t="shared" si="17"/>
        <v>0</v>
      </c>
      <c r="K477" s="326">
        <f t="shared" si="17"/>
        <v>0</v>
      </c>
      <c r="L477" s="324">
        <f t="shared" si="17"/>
        <v>0</v>
      </c>
      <c r="M477" s="324">
        <f t="shared" si="17"/>
        <v>797497</v>
      </c>
      <c r="N477" s="324">
        <f t="shared" si="17"/>
        <v>0</v>
      </c>
      <c r="O477" s="324">
        <f t="shared" si="17"/>
        <v>0</v>
      </c>
      <c r="P477" s="324">
        <f t="shared" si="17"/>
        <v>0</v>
      </c>
      <c r="Q477" s="324">
        <f t="shared" si="17"/>
        <v>0</v>
      </c>
      <c r="R477" s="324">
        <f t="shared" si="17"/>
        <v>0</v>
      </c>
      <c r="S477" s="324">
        <f t="shared" si="17"/>
        <v>0</v>
      </c>
      <c r="T477" s="324">
        <f t="shared" si="17"/>
        <v>0</v>
      </c>
      <c r="U477" s="324">
        <f t="shared" si="17"/>
        <v>0</v>
      </c>
      <c r="V477" s="324">
        <f t="shared" si="17"/>
        <v>0</v>
      </c>
      <c r="W477" s="324">
        <f t="shared" si="17"/>
        <v>0</v>
      </c>
      <c r="X477" s="324">
        <f t="shared" si="17"/>
        <v>0</v>
      </c>
      <c r="Y477" s="324">
        <f t="shared" si="17"/>
        <v>0</v>
      </c>
      <c r="Z477" s="324">
        <f t="shared" si="17"/>
        <v>0</v>
      </c>
      <c r="AA477" s="324">
        <f t="shared" si="17"/>
        <v>0</v>
      </c>
      <c r="AB477" s="396" t="s">
        <v>882</v>
      </c>
    </row>
    <row r="478" spans="1:30" s="4" customFormat="1" ht="35.25" customHeight="1" x14ac:dyDescent="0.5">
      <c r="A478" s="4">
        <v>1</v>
      </c>
      <c r="B478" s="171">
        <f>SUBTOTAL(103,$A$8:A478)</f>
        <v>464</v>
      </c>
      <c r="C478" s="323" t="s">
        <v>2152</v>
      </c>
      <c r="D478" s="324">
        <f>E478+F478+G478+H478+I478+J478+L478+M478+N478+O478+P478+Q478+R478+S478+T478+U478+V478+W478+X478+Y478+Z478+AA478</f>
        <v>797497</v>
      </c>
      <c r="E478" s="324">
        <v>0</v>
      </c>
      <c r="F478" s="324">
        <v>0</v>
      </c>
      <c r="G478" s="324">
        <v>0</v>
      </c>
      <c r="H478" s="324">
        <v>0</v>
      </c>
      <c r="I478" s="324">
        <v>0</v>
      </c>
      <c r="J478" s="324">
        <v>0</v>
      </c>
      <c r="K478" s="326">
        <v>0</v>
      </c>
      <c r="L478" s="324">
        <v>0</v>
      </c>
      <c r="M478" s="325">
        <v>797497</v>
      </c>
      <c r="N478" s="325">
        <v>0</v>
      </c>
      <c r="O478" s="325">
        <v>0</v>
      </c>
      <c r="P478" s="325">
        <v>0</v>
      </c>
      <c r="Q478" s="325">
        <v>0</v>
      </c>
      <c r="R478" s="325">
        <v>0</v>
      </c>
      <c r="S478" s="325">
        <v>0</v>
      </c>
      <c r="T478" s="325">
        <v>0</v>
      </c>
      <c r="U478" s="325">
        <v>0</v>
      </c>
      <c r="V478" s="325">
        <v>0</v>
      </c>
      <c r="W478" s="325">
        <v>0</v>
      </c>
      <c r="X478" s="325">
        <v>0</v>
      </c>
      <c r="Y478" s="325">
        <v>0</v>
      </c>
      <c r="Z478" s="325">
        <v>0</v>
      </c>
      <c r="AA478" s="325">
        <v>0</v>
      </c>
      <c r="AB478" s="327">
        <v>2020</v>
      </c>
      <c r="AD478" s="4" t="e">
        <v>#N/A</v>
      </c>
    </row>
    <row r="479" spans="1:30" s="4" customFormat="1" ht="35.25" customHeight="1" x14ac:dyDescent="0.5">
      <c r="B479" s="323" t="s">
        <v>821</v>
      </c>
      <c r="C479" s="323"/>
      <c r="D479" s="324">
        <f>SUM(D480)</f>
        <v>967981.25</v>
      </c>
      <c r="E479" s="324">
        <f t="shared" ref="E479:AA479" si="18">SUM(E480)</f>
        <v>0</v>
      </c>
      <c r="F479" s="324">
        <f t="shared" si="18"/>
        <v>0</v>
      </c>
      <c r="G479" s="324">
        <f t="shared" si="18"/>
        <v>0</v>
      </c>
      <c r="H479" s="324">
        <f t="shared" si="18"/>
        <v>0</v>
      </c>
      <c r="I479" s="324">
        <f t="shared" si="18"/>
        <v>0</v>
      </c>
      <c r="J479" s="324">
        <f t="shared" si="18"/>
        <v>0</v>
      </c>
      <c r="K479" s="326">
        <f t="shared" si="18"/>
        <v>0</v>
      </c>
      <c r="L479" s="324">
        <f t="shared" si="18"/>
        <v>0</v>
      </c>
      <c r="M479" s="324">
        <f t="shared" si="18"/>
        <v>967981.25</v>
      </c>
      <c r="N479" s="324">
        <f t="shared" si="18"/>
        <v>0</v>
      </c>
      <c r="O479" s="324">
        <f t="shared" si="18"/>
        <v>0</v>
      </c>
      <c r="P479" s="324">
        <f t="shared" si="18"/>
        <v>0</v>
      </c>
      <c r="Q479" s="324">
        <f t="shared" si="18"/>
        <v>0</v>
      </c>
      <c r="R479" s="324">
        <f t="shared" si="18"/>
        <v>0</v>
      </c>
      <c r="S479" s="324">
        <f t="shared" si="18"/>
        <v>0</v>
      </c>
      <c r="T479" s="324">
        <f t="shared" si="18"/>
        <v>0</v>
      </c>
      <c r="U479" s="324">
        <f t="shared" si="18"/>
        <v>0</v>
      </c>
      <c r="V479" s="324">
        <f t="shared" si="18"/>
        <v>0</v>
      </c>
      <c r="W479" s="324">
        <f t="shared" si="18"/>
        <v>0</v>
      </c>
      <c r="X479" s="324">
        <f t="shared" si="18"/>
        <v>0</v>
      </c>
      <c r="Y479" s="324">
        <f t="shared" si="18"/>
        <v>0</v>
      </c>
      <c r="Z479" s="324">
        <f t="shared" si="18"/>
        <v>0</v>
      </c>
      <c r="AA479" s="324">
        <f t="shared" si="18"/>
        <v>0</v>
      </c>
      <c r="AB479" s="396" t="s">
        <v>882</v>
      </c>
    </row>
    <row r="480" spans="1:30" s="4" customFormat="1" ht="35.25" customHeight="1" x14ac:dyDescent="0.5">
      <c r="A480" s="4">
        <v>1</v>
      </c>
      <c r="B480" s="171">
        <f>SUBTOTAL(103,$A$8:A480)</f>
        <v>465</v>
      </c>
      <c r="C480" s="323" t="s">
        <v>1819</v>
      </c>
      <c r="D480" s="324">
        <f>E480+F480+G480+H480+I480+J480+L480+M480+N480+O480+P480+Q480+R480+S480+T480+U480+V480+W480+X480+Y480+Z480+AA480</f>
        <v>967981.25</v>
      </c>
      <c r="E480" s="325">
        <v>0</v>
      </c>
      <c r="F480" s="325">
        <v>0</v>
      </c>
      <c r="G480" s="325">
        <v>0</v>
      </c>
      <c r="H480" s="325">
        <v>0</v>
      </c>
      <c r="I480" s="325">
        <v>0</v>
      </c>
      <c r="J480" s="325">
        <v>0</v>
      </c>
      <c r="K480" s="326">
        <v>0</v>
      </c>
      <c r="L480" s="325">
        <v>0</v>
      </c>
      <c r="M480" s="325">
        <v>967981.25</v>
      </c>
      <c r="N480" s="325">
        <v>0</v>
      </c>
      <c r="O480" s="325">
        <v>0</v>
      </c>
      <c r="P480" s="325">
        <v>0</v>
      </c>
      <c r="Q480" s="325">
        <v>0</v>
      </c>
      <c r="R480" s="325">
        <v>0</v>
      </c>
      <c r="S480" s="325">
        <v>0</v>
      </c>
      <c r="T480" s="325">
        <v>0</v>
      </c>
      <c r="U480" s="325">
        <v>0</v>
      </c>
      <c r="V480" s="325">
        <v>0</v>
      </c>
      <c r="W480" s="325">
        <v>0</v>
      </c>
      <c r="X480" s="325">
        <v>0</v>
      </c>
      <c r="Y480" s="325">
        <v>0</v>
      </c>
      <c r="Z480" s="325">
        <v>0</v>
      </c>
      <c r="AA480" s="325">
        <v>0</v>
      </c>
      <c r="AB480" s="327">
        <v>2020</v>
      </c>
      <c r="AD480" s="4" t="e">
        <v>#N/A</v>
      </c>
    </row>
    <row r="481" spans="1:30" s="4" customFormat="1" ht="35.25" customHeight="1" x14ac:dyDescent="0.5">
      <c r="B481" s="323" t="s">
        <v>830</v>
      </c>
      <c r="C481" s="323"/>
      <c r="D481" s="324">
        <f>SUM(D482:D537)</f>
        <v>52624747.829999983</v>
      </c>
      <c r="E481" s="324">
        <f t="shared" ref="E481:AA481" si="19">SUM(E482:E537)</f>
        <v>444838.40000000002</v>
      </c>
      <c r="F481" s="324">
        <f t="shared" si="19"/>
        <v>2894835.5700000003</v>
      </c>
      <c r="G481" s="324">
        <f t="shared" si="19"/>
        <v>2938145.4699999997</v>
      </c>
      <c r="H481" s="324">
        <f t="shared" si="19"/>
        <v>499518.68999999994</v>
      </c>
      <c r="I481" s="324">
        <f t="shared" si="19"/>
        <v>1549375.81</v>
      </c>
      <c r="J481" s="324">
        <f t="shared" si="19"/>
        <v>88420.66</v>
      </c>
      <c r="K481" s="399">
        <f t="shared" si="19"/>
        <v>11</v>
      </c>
      <c r="L481" s="324">
        <f t="shared" si="19"/>
        <v>19741829</v>
      </c>
      <c r="M481" s="324">
        <f t="shared" si="19"/>
        <v>4830432</v>
      </c>
      <c r="N481" s="324">
        <f t="shared" si="19"/>
        <v>577598.57000000007</v>
      </c>
      <c r="O481" s="324">
        <f t="shared" si="19"/>
        <v>18773891.279999997</v>
      </c>
      <c r="P481" s="324">
        <f t="shared" si="19"/>
        <v>285862.38</v>
      </c>
      <c r="Q481" s="324">
        <f t="shared" si="19"/>
        <v>0</v>
      </c>
      <c r="R481" s="324">
        <f t="shared" si="19"/>
        <v>0</v>
      </c>
      <c r="S481" s="324">
        <f t="shared" si="19"/>
        <v>0</v>
      </c>
      <c r="T481" s="324">
        <f t="shared" si="19"/>
        <v>0</v>
      </c>
      <c r="U481" s="324">
        <f t="shared" si="19"/>
        <v>0</v>
      </c>
      <c r="V481" s="324">
        <f t="shared" si="19"/>
        <v>0</v>
      </c>
      <c r="W481" s="324">
        <f t="shared" si="19"/>
        <v>0</v>
      </c>
      <c r="X481" s="324">
        <f t="shared" si="19"/>
        <v>0</v>
      </c>
      <c r="Y481" s="324">
        <f t="shared" si="19"/>
        <v>0</v>
      </c>
      <c r="Z481" s="324">
        <f t="shared" si="19"/>
        <v>0</v>
      </c>
      <c r="AA481" s="324">
        <f t="shared" si="19"/>
        <v>0</v>
      </c>
      <c r="AB481" s="396" t="s">
        <v>882</v>
      </c>
    </row>
    <row r="482" spans="1:30" s="4" customFormat="1" ht="35.25" customHeight="1" x14ac:dyDescent="0.5">
      <c r="A482" s="4">
        <v>1</v>
      </c>
      <c r="B482" s="171">
        <f>SUBTOTAL(103,$A$8:A482)</f>
        <v>466</v>
      </c>
      <c r="C482" s="323" t="s">
        <v>1820</v>
      </c>
      <c r="D482" s="324">
        <f t="shared" ref="D482:D537" si="20">E482+F482+G482+H482+I482+J482+L482+M482+N482+O482+P482+Q482+R482+S482+T482+U482+V482+W482+X482+Y482+Z482+AA482</f>
        <v>78900</v>
      </c>
      <c r="E482" s="325">
        <v>0</v>
      </c>
      <c r="F482" s="325">
        <v>0</v>
      </c>
      <c r="G482" s="325">
        <v>0</v>
      </c>
      <c r="H482" s="325">
        <v>0</v>
      </c>
      <c r="I482" s="325">
        <v>0</v>
      </c>
      <c r="J482" s="325">
        <v>0</v>
      </c>
      <c r="K482" s="326">
        <v>0</v>
      </c>
      <c r="L482" s="325">
        <v>0</v>
      </c>
      <c r="M482" s="325">
        <v>0</v>
      </c>
      <c r="N482" s="325">
        <v>0</v>
      </c>
      <c r="O482" s="325">
        <v>78900</v>
      </c>
      <c r="P482" s="325">
        <v>0</v>
      </c>
      <c r="Q482" s="325">
        <v>0</v>
      </c>
      <c r="R482" s="325">
        <v>0</v>
      </c>
      <c r="S482" s="325">
        <v>0</v>
      </c>
      <c r="T482" s="325">
        <v>0</v>
      </c>
      <c r="U482" s="325">
        <v>0</v>
      </c>
      <c r="V482" s="325">
        <v>0</v>
      </c>
      <c r="W482" s="325">
        <v>0</v>
      </c>
      <c r="X482" s="325">
        <v>0</v>
      </c>
      <c r="Y482" s="325">
        <v>0</v>
      </c>
      <c r="Z482" s="325">
        <v>0</v>
      </c>
      <c r="AA482" s="325">
        <v>0</v>
      </c>
      <c r="AB482" s="327">
        <v>2020</v>
      </c>
      <c r="AD482" s="4" t="e">
        <v>#N/A</v>
      </c>
    </row>
    <row r="483" spans="1:30" s="4" customFormat="1" ht="35.25" customHeight="1" x14ac:dyDescent="0.5">
      <c r="A483" s="4">
        <v>1</v>
      </c>
      <c r="B483" s="171">
        <f>SUBTOTAL(103,$A$8:A483)</f>
        <v>467</v>
      </c>
      <c r="C483" s="323" t="s">
        <v>1822</v>
      </c>
      <c r="D483" s="324">
        <f t="shared" si="20"/>
        <v>1538017.81</v>
      </c>
      <c r="E483" s="325">
        <v>0</v>
      </c>
      <c r="F483" s="325">
        <v>0</v>
      </c>
      <c r="G483" s="325">
        <v>0</v>
      </c>
      <c r="H483" s="325">
        <v>0</v>
      </c>
      <c r="I483" s="325">
        <f>1200009.16+338008.65</f>
        <v>1538017.81</v>
      </c>
      <c r="J483" s="325">
        <v>0</v>
      </c>
      <c r="K483" s="326">
        <v>0</v>
      </c>
      <c r="L483" s="325">
        <v>0</v>
      </c>
      <c r="M483" s="325">
        <v>0</v>
      </c>
      <c r="N483" s="325">
        <v>0</v>
      </c>
      <c r="O483" s="325">
        <v>0</v>
      </c>
      <c r="P483" s="325">
        <v>0</v>
      </c>
      <c r="Q483" s="325">
        <v>0</v>
      </c>
      <c r="R483" s="325">
        <v>0</v>
      </c>
      <c r="S483" s="325">
        <v>0</v>
      </c>
      <c r="T483" s="325">
        <v>0</v>
      </c>
      <c r="U483" s="325">
        <v>0</v>
      </c>
      <c r="V483" s="325">
        <v>0</v>
      </c>
      <c r="W483" s="325">
        <v>0</v>
      </c>
      <c r="X483" s="325">
        <v>0</v>
      </c>
      <c r="Y483" s="325">
        <v>0</v>
      </c>
      <c r="Z483" s="325">
        <v>0</v>
      </c>
      <c r="AA483" s="325">
        <v>0</v>
      </c>
      <c r="AB483" s="327">
        <v>2020</v>
      </c>
      <c r="AD483" s="4" t="e">
        <v>#N/A</v>
      </c>
    </row>
    <row r="484" spans="1:30" s="4" customFormat="1" ht="35.25" customHeight="1" x14ac:dyDescent="0.5">
      <c r="A484" s="4">
        <v>1</v>
      </c>
      <c r="B484" s="171">
        <f>SUBTOTAL(103,$A$8:A484)</f>
        <v>468</v>
      </c>
      <c r="C484" s="323" t="s">
        <v>2547</v>
      </c>
      <c r="D484" s="324">
        <f t="shared" si="20"/>
        <v>132446</v>
      </c>
      <c r="E484" s="325">
        <v>0</v>
      </c>
      <c r="F484" s="325">
        <v>0</v>
      </c>
      <c r="G484" s="325">
        <v>0</v>
      </c>
      <c r="H484" s="325">
        <v>0</v>
      </c>
      <c r="I484" s="325">
        <v>0</v>
      </c>
      <c r="J484" s="325">
        <v>0</v>
      </c>
      <c r="K484" s="326">
        <v>0</v>
      </c>
      <c r="L484" s="325">
        <v>0</v>
      </c>
      <c r="M484" s="325">
        <v>0</v>
      </c>
      <c r="N484" s="325">
        <v>0</v>
      </c>
      <c r="O484" s="325">
        <v>132446</v>
      </c>
      <c r="P484" s="325">
        <v>0</v>
      </c>
      <c r="Q484" s="325">
        <v>0</v>
      </c>
      <c r="R484" s="325">
        <v>0</v>
      </c>
      <c r="S484" s="325">
        <v>0</v>
      </c>
      <c r="T484" s="325">
        <v>0</v>
      </c>
      <c r="U484" s="325">
        <v>0</v>
      </c>
      <c r="V484" s="325">
        <v>0</v>
      </c>
      <c r="W484" s="325">
        <v>0</v>
      </c>
      <c r="X484" s="325">
        <v>0</v>
      </c>
      <c r="Y484" s="325">
        <v>0</v>
      </c>
      <c r="Z484" s="325">
        <v>0</v>
      </c>
      <c r="AA484" s="325">
        <v>0</v>
      </c>
      <c r="AB484" s="327">
        <v>2020</v>
      </c>
      <c r="AD484" s="4" t="e">
        <v>#N/A</v>
      </c>
    </row>
    <row r="485" spans="1:30" s="4" customFormat="1" ht="35.25" customHeight="1" x14ac:dyDescent="0.5">
      <c r="A485" s="4">
        <v>1</v>
      </c>
      <c r="B485" s="171">
        <f>SUBTOTAL(103,$A$8:A485)</f>
        <v>469</v>
      </c>
      <c r="C485" s="323" t="s">
        <v>1823</v>
      </c>
      <c r="D485" s="324">
        <f t="shared" si="20"/>
        <v>1103428.53</v>
      </c>
      <c r="E485" s="325">
        <v>0</v>
      </c>
      <c r="F485" s="325">
        <v>0</v>
      </c>
      <c r="G485" s="325">
        <v>0</v>
      </c>
      <c r="H485" s="325">
        <v>0</v>
      </c>
      <c r="I485" s="325">
        <v>0</v>
      </c>
      <c r="J485" s="325">
        <v>0</v>
      </c>
      <c r="K485" s="326">
        <v>0</v>
      </c>
      <c r="L485" s="325">
        <v>0</v>
      </c>
      <c r="M485" s="325">
        <v>1103428.53</v>
      </c>
      <c r="N485" s="325">
        <v>0</v>
      </c>
      <c r="O485" s="325">
        <v>0</v>
      </c>
      <c r="P485" s="325">
        <v>0</v>
      </c>
      <c r="Q485" s="325">
        <v>0</v>
      </c>
      <c r="R485" s="325">
        <v>0</v>
      </c>
      <c r="S485" s="325">
        <v>0</v>
      </c>
      <c r="T485" s="325">
        <v>0</v>
      </c>
      <c r="U485" s="325">
        <v>0</v>
      </c>
      <c r="V485" s="325">
        <v>0</v>
      </c>
      <c r="W485" s="325">
        <v>0</v>
      </c>
      <c r="X485" s="325">
        <v>0</v>
      </c>
      <c r="Y485" s="325">
        <v>0</v>
      </c>
      <c r="Z485" s="325">
        <v>0</v>
      </c>
      <c r="AA485" s="325">
        <v>0</v>
      </c>
      <c r="AB485" s="327">
        <v>2020</v>
      </c>
      <c r="AD485" s="4" t="e">
        <v>#N/A</v>
      </c>
    </row>
    <row r="486" spans="1:30" s="4" customFormat="1" ht="35.25" customHeight="1" x14ac:dyDescent="0.5">
      <c r="A486" s="4">
        <v>1</v>
      </c>
      <c r="B486" s="171">
        <f>SUBTOTAL(103,$A$8:A486)</f>
        <v>470</v>
      </c>
      <c r="C486" s="323" t="s">
        <v>1824</v>
      </c>
      <c r="D486" s="324">
        <f t="shared" si="20"/>
        <v>270448.74</v>
      </c>
      <c r="E486" s="325">
        <v>0</v>
      </c>
      <c r="F486" s="325">
        <v>0</v>
      </c>
      <c r="G486" s="325">
        <v>0</v>
      </c>
      <c r="H486" s="325">
        <v>0</v>
      </c>
      <c r="I486" s="325">
        <v>0</v>
      </c>
      <c r="J486" s="325">
        <v>0</v>
      </c>
      <c r="K486" s="326">
        <v>0</v>
      </c>
      <c r="L486" s="325">
        <v>0</v>
      </c>
      <c r="M486" s="325">
        <v>0</v>
      </c>
      <c r="N486" s="325">
        <v>0</v>
      </c>
      <c r="O486" s="325">
        <v>270448.74</v>
      </c>
      <c r="P486" s="325">
        <v>0</v>
      </c>
      <c r="Q486" s="325">
        <v>0</v>
      </c>
      <c r="R486" s="325">
        <v>0</v>
      </c>
      <c r="S486" s="325">
        <v>0</v>
      </c>
      <c r="T486" s="325">
        <v>0</v>
      </c>
      <c r="U486" s="325">
        <v>0</v>
      </c>
      <c r="V486" s="325">
        <v>0</v>
      </c>
      <c r="W486" s="325">
        <v>0</v>
      </c>
      <c r="X486" s="325">
        <v>0</v>
      </c>
      <c r="Y486" s="325">
        <v>0</v>
      </c>
      <c r="Z486" s="325">
        <v>0</v>
      </c>
      <c r="AA486" s="325">
        <v>0</v>
      </c>
      <c r="AB486" s="327">
        <v>2020</v>
      </c>
      <c r="AD486" s="4" t="e">
        <v>#N/A</v>
      </c>
    </row>
    <row r="487" spans="1:30" s="4" customFormat="1" ht="35.25" customHeight="1" x14ac:dyDescent="0.5">
      <c r="A487" s="4">
        <v>1</v>
      </c>
      <c r="B487" s="171">
        <f>SUBTOTAL(103,$A$8:A487)</f>
        <v>471</v>
      </c>
      <c r="C487" s="323" t="s">
        <v>1825</v>
      </c>
      <c r="D487" s="324">
        <f t="shared" si="20"/>
        <v>663461.02</v>
      </c>
      <c r="E487" s="325">
        <v>0</v>
      </c>
      <c r="F487" s="325">
        <v>0</v>
      </c>
      <c r="G487" s="325">
        <v>0</v>
      </c>
      <c r="H487" s="325">
        <v>0</v>
      </c>
      <c r="I487" s="325">
        <v>0</v>
      </c>
      <c r="J487" s="325">
        <v>0</v>
      </c>
      <c r="K487" s="326">
        <v>0</v>
      </c>
      <c r="L487" s="325">
        <v>0</v>
      </c>
      <c r="M487" s="325">
        <v>0</v>
      </c>
      <c r="N487" s="325">
        <v>0</v>
      </c>
      <c r="O487" s="325">
        <f>375408+288053.02</f>
        <v>663461.02</v>
      </c>
      <c r="P487" s="325">
        <v>0</v>
      </c>
      <c r="Q487" s="325">
        <v>0</v>
      </c>
      <c r="R487" s="325">
        <v>0</v>
      </c>
      <c r="S487" s="325">
        <v>0</v>
      </c>
      <c r="T487" s="325">
        <v>0</v>
      </c>
      <c r="U487" s="325">
        <v>0</v>
      </c>
      <c r="V487" s="325">
        <v>0</v>
      </c>
      <c r="W487" s="325">
        <v>0</v>
      </c>
      <c r="X487" s="325">
        <v>0</v>
      </c>
      <c r="Y487" s="325">
        <v>0</v>
      </c>
      <c r="Z487" s="325">
        <v>0</v>
      </c>
      <c r="AA487" s="325">
        <v>0</v>
      </c>
      <c r="AB487" s="327">
        <v>2020</v>
      </c>
      <c r="AD487" s="4" t="e">
        <v>#N/A</v>
      </c>
    </row>
    <row r="488" spans="1:30" s="4" customFormat="1" ht="35.25" customHeight="1" x14ac:dyDescent="0.5">
      <c r="A488" s="4">
        <v>1</v>
      </c>
      <c r="B488" s="171">
        <f>SUBTOTAL(103,$A$8:A488)</f>
        <v>472</v>
      </c>
      <c r="C488" s="323" t="s">
        <v>1713</v>
      </c>
      <c r="D488" s="324">
        <f t="shared" si="20"/>
        <v>173538</v>
      </c>
      <c r="E488" s="325">
        <v>0</v>
      </c>
      <c r="F488" s="325">
        <v>0</v>
      </c>
      <c r="G488" s="325">
        <v>173538</v>
      </c>
      <c r="H488" s="325">
        <v>0</v>
      </c>
      <c r="I488" s="325">
        <v>0</v>
      </c>
      <c r="J488" s="325">
        <v>0</v>
      </c>
      <c r="K488" s="326">
        <v>0</v>
      </c>
      <c r="L488" s="325">
        <v>0</v>
      </c>
      <c r="M488" s="325">
        <v>0</v>
      </c>
      <c r="N488" s="325">
        <v>0</v>
      </c>
      <c r="O488" s="325">
        <v>0</v>
      </c>
      <c r="P488" s="325">
        <v>0</v>
      </c>
      <c r="Q488" s="325">
        <v>0</v>
      </c>
      <c r="R488" s="325">
        <v>0</v>
      </c>
      <c r="S488" s="325">
        <v>0</v>
      </c>
      <c r="T488" s="325">
        <v>0</v>
      </c>
      <c r="U488" s="325">
        <v>0</v>
      </c>
      <c r="V488" s="325">
        <v>0</v>
      </c>
      <c r="W488" s="325">
        <v>0</v>
      </c>
      <c r="X488" s="325">
        <v>0</v>
      </c>
      <c r="Y488" s="325">
        <v>0</v>
      </c>
      <c r="Z488" s="325">
        <v>0</v>
      </c>
      <c r="AA488" s="325">
        <v>0</v>
      </c>
      <c r="AB488" s="327">
        <v>2020</v>
      </c>
      <c r="AD488" s="4" t="e">
        <v>#N/A</v>
      </c>
    </row>
    <row r="489" spans="1:30" s="4" customFormat="1" ht="35.25" customHeight="1" x14ac:dyDescent="0.5">
      <c r="A489" s="4">
        <v>1</v>
      </c>
      <c r="B489" s="171">
        <f>SUBTOTAL(103,$A$8:A489)</f>
        <v>473</v>
      </c>
      <c r="C489" s="323" t="s">
        <v>1826</v>
      </c>
      <c r="D489" s="324">
        <f t="shared" si="20"/>
        <v>2021829</v>
      </c>
      <c r="E489" s="325">
        <v>0</v>
      </c>
      <c r="F489" s="325">
        <v>0</v>
      </c>
      <c r="G489" s="325">
        <v>0</v>
      </c>
      <c r="H489" s="325">
        <v>0</v>
      </c>
      <c r="I489" s="325">
        <v>0</v>
      </c>
      <c r="J489" s="325">
        <v>0</v>
      </c>
      <c r="K489" s="326">
        <v>1</v>
      </c>
      <c r="L489" s="325">
        <v>2021829</v>
      </c>
      <c r="M489" s="325">
        <v>0</v>
      </c>
      <c r="N489" s="325">
        <v>0</v>
      </c>
      <c r="O489" s="325">
        <v>0</v>
      </c>
      <c r="P489" s="325">
        <v>0</v>
      </c>
      <c r="Q489" s="325">
        <v>0</v>
      </c>
      <c r="R489" s="325">
        <v>0</v>
      </c>
      <c r="S489" s="325">
        <v>0</v>
      </c>
      <c r="T489" s="325">
        <v>0</v>
      </c>
      <c r="U489" s="325">
        <v>0</v>
      </c>
      <c r="V489" s="325">
        <v>0</v>
      </c>
      <c r="W489" s="325">
        <v>0</v>
      </c>
      <c r="X489" s="325">
        <v>0</v>
      </c>
      <c r="Y489" s="325">
        <v>0</v>
      </c>
      <c r="Z489" s="325">
        <v>0</v>
      </c>
      <c r="AA489" s="325">
        <v>0</v>
      </c>
      <c r="AB489" s="327">
        <v>2020</v>
      </c>
      <c r="AD489" s="4">
        <v>0</v>
      </c>
    </row>
    <row r="490" spans="1:30" s="4" customFormat="1" ht="35.25" customHeight="1" x14ac:dyDescent="0.5">
      <c r="A490" s="4">
        <v>1</v>
      </c>
      <c r="B490" s="171">
        <f>SUBTOTAL(103,$A$8:A490)</f>
        <v>474</v>
      </c>
      <c r="C490" s="323" t="s">
        <v>1827</v>
      </c>
      <c r="D490" s="324">
        <f t="shared" si="20"/>
        <v>1870000</v>
      </c>
      <c r="E490" s="325">
        <v>0</v>
      </c>
      <c r="F490" s="325">
        <v>0</v>
      </c>
      <c r="G490" s="325">
        <v>0</v>
      </c>
      <c r="H490" s="325">
        <v>0</v>
      </c>
      <c r="I490" s="325">
        <v>0</v>
      </c>
      <c r="J490" s="325">
        <v>0</v>
      </c>
      <c r="K490" s="326">
        <v>1</v>
      </c>
      <c r="L490" s="325">
        <v>1870000</v>
      </c>
      <c r="M490" s="325">
        <v>0</v>
      </c>
      <c r="N490" s="325">
        <v>0</v>
      </c>
      <c r="O490" s="325">
        <v>0</v>
      </c>
      <c r="P490" s="325">
        <v>0</v>
      </c>
      <c r="Q490" s="325">
        <v>0</v>
      </c>
      <c r="R490" s="325">
        <v>0</v>
      </c>
      <c r="S490" s="325">
        <v>0</v>
      </c>
      <c r="T490" s="325">
        <v>0</v>
      </c>
      <c r="U490" s="325">
        <v>0</v>
      </c>
      <c r="V490" s="325">
        <v>0</v>
      </c>
      <c r="W490" s="325">
        <v>0</v>
      </c>
      <c r="X490" s="325">
        <v>0</v>
      </c>
      <c r="Y490" s="325">
        <v>0</v>
      </c>
      <c r="Z490" s="325">
        <v>0</v>
      </c>
      <c r="AA490" s="325">
        <v>0</v>
      </c>
      <c r="AB490" s="327">
        <v>2020</v>
      </c>
      <c r="AD490" s="4" t="e">
        <v>#N/A</v>
      </c>
    </row>
    <row r="491" spans="1:30" s="4" customFormat="1" ht="35.25" customHeight="1" x14ac:dyDescent="0.5">
      <c r="A491" s="4">
        <v>1</v>
      </c>
      <c r="B491" s="171">
        <f>SUBTOTAL(103,$A$8:A491)</f>
        <v>475</v>
      </c>
      <c r="C491" s="323" t="s">
        <v>1828</v>
      </c>
      <c r="D491" s="324">
        <f t="shared" si="20"/>
        <v>1850000</v>
      </c>
      <c r="E491" s="325">
        <v>0</v>
      </c>
      <c r="F491" s="325">
        <v>0</v>
      </c>
      <c r="G491" s="325">
        <v>0</v>
      </c>
      <c r="H491" s="325">
        <v>0</v>
      </c>
      <c r="I491" s="325">
        <v>0</v>
      </c>
      <c r="J491" s="325">
        <v>0</v>
      </c>
      <c r="K491" s="326">
        <v>1</v>
      </c>
      <c r="L491" s="325">
        <v>1850000</v>
      </c>
      <c r="M491" s="325">
        <v>0</v>
      </c>
      <c r="N491" s="325">
        <v>0</v>
      </c>
      <c r="O491" s="325">
        <v>0</v>
      </c>
      <c r="P491" s="325">
        <v>0</v>
      </c>
      <c r="Q491" s="325">
        <v>0</v>
      </c>
      <c r="R491" s="325">
        <v>0</v>
      </c>
      <c r="S491" s="325">
        <v>0</v>
      </c>
      <c r="T491" s="325">
        <v>0</v>
      </c>
      <c r="U491" s="325">
        <v>0</v>
      </c>
      <c r="V491" s="325">
        <v>0</v>
      </c>
      <c r="W491" s="325">
        <v>0</v>
      </c>
      <c r="X491" s="325">
        <v>0</v>
      </c>
      <c r="Y491" s="325">
        <v>0</v>
      </c>
      <c r="Z491" s="325">
        <v>0</v>
      </c>
      <c r="AA491" s="325">
        <v>0</v>
      </c>
      <c r="AB491" s="327">
        <v>2020</v>
      </c>
      <c r="AD491" s="4" t="e">
        <v>#N/A</v>
      </c>
    </row>
    <row r="492" spans="1:30" s="4" customFormat="1" ht="35.25" customHeight="1" x14ac:dyDescent="0.5">
      <c r="A492" s="4">
        <v>1</v>
      </c>
      <c r="B492" s="171">
        <f>SUBTOTAL(103,$A$8:A492)</f>
        <v>476</v>
      </c>
      <c r="C492" s="323" t="s">
        <v>1829</v>
      </c>
      <c r="D492" s="324">
        <f t="shared" si="20"/>
        <v>1870000</v>
      </c>
      <c r="E492" s="325">
        <v>0</v>
      </c>
      <c r="F492" s="325">
        <v>0</v>
      </c>
      <c r="G492" s="325">
        <v>0</v>
      </c>
      <c r="H492" s="325">
        <v>0</v>
      </c>
      <c r="I492" s="325">
        <v>0</v>
      </c>
      <c r="J492" s="325">
        <v>0</v>
      </c>
      <c r="K492" s="326">
        <v>1</v>
      </c>
      <c r="L492" s="325">
        <v>1870000</v>
      </c>
      <c r="M492" s="325">
        <v>0</v>
      </c>
      <c r="N492" s="325">
        <v>0</v>
      </c>
      <c r="O492" s="325">
        <v>0</v>
      </c>
      <c r="P492" s="325">
        <v>0</v>
      </c>
      <c r="Q492" s="325">
        <v>0</v>
      </c>
      <c r="R492" s="325">
        <v>0</v>
      </c>
      <c r="S492" s="325">
        <v>0</v>
      </c>
      <c r="T492" s="325">
        <v>0</v>
      </c>
      <c r="U492" s="325">
        <v>0</v>
      </c>
      <c r="V492" s="325">
        <v>0</v>
      </c>
      <c r="W492" s="325">
        <v>0</v>
      </c>
      <c r="X492" s="325">
        <v>0</v>
      </c>
      <c r="Y492" s="325">
        <v>0</v>
      </c>
      <c r="Z492" s="325">
        <v>0</v>
      </c>
      <c r="AA492" s="325">
        <v>0</v>
      </c>
      <c r="AB492" s="327">
        <v>2020</v>
      </c>
      <c r="AD492" s="4" t="e">
        <v>#N/A</v>
      </c>
    </row>
    <row r="493" spans="1:30" s="4" customFormat="1" ht="35.25" customHeight="1" x14ac:dyDescent="0.5">
      <c r="A493" s="4">
        <v>1</v>
      </c>
      <c r="B493" s="171">
        <f>SUBTOTAL(103,$A$8:A493)</f>
        <v>477</v>
      </c>
      <c r="C493" s="323" t="s">
        <v>1830</v>
      </c>
      <c r="D493" s="324">
        <f t="shared" si="20"/>
        <v>1870000</v>
      </c>
      <c r="E493" s="325">
        <v>0</v>
      </c>
      <c r="F493" s="325">
        <v>0</v>
      </c>
      <c r="G493" s="325">
        <v>0</v>
      </c>
      <c r="H493" s="325">
        <v>0</v>
      </c>
      <c r="I493" s="325">
        <v>0</v>
      </c>
      <c r="J493" s="325">
        <v>0</v>
      </c>
      <c r="K493" s="326">
        <v>1</v>
      </c>
      <c r="L493" s="325">
        <v>1870000</v>
      </c>
      <c r="M493" s="325">
        <v>0</v>
      </c>
      <c r="N493" s="325">
        <v>0</v>
      </c>
      <c r="O493" s="325">
        <v>0</v>
      </c>
      <c r="P493" s="325">
        <v>0</v>
      </c>
      <c r="Q493" s="325">
        <v>0</v>
      </c>
      <c r="R493" s="325">
        <v>0</v>
      </c>
      <c r="S493" s="325">
        <v>0</v>
      </c>
      <c r="T493" s="325">
        <v>0</v>
      </c>
      <c r="U493" s="325">
        <v>0</v>
      </c>
      <c r="V493" s="325">
        <v>0</v>
      </c>
      <c r="W493" s="325">
        <v>0</v>
      </c>
      <c r="X493" s="325">
        <v>0</v>
      </c>
      <c r="Y493" s="325">
        <v>0</v>
      </c>
      <c r="Z493" s="325">
        <v>0</v>
      </c>
      <c r="AA493" s="325">
        <v>0</v>
      </c>
      <c r="AB493" s="327">
        <v>2020</v>
      </c>
      <c r="AD493" s="4" t="e">
        <v>#N/A</v>
      </c>
    </row>
    <row r="494" spans="1:30" s="4" customFormat="1" ht="35.25" customHeight="1" x14ac:dyDescent="0.5">
      <c r="A494" s="4">
        <v>1</v>
      </c>
      <c r="B494" s="171">
        <f>SUBTOTAL(103,$A$8:A494)</f>
        <v>478</v>
      </c>
      <c r="C494" s="323" t="s">
        <v>1831</v>
      </c>
      <c r="D494" s="324">
        <f t="shared" si="20"/>
        <v>5250000</v>
      </c>
      <c r="E494" s="325">
        <v>0</v>
      </c>
      <c r="F494" s="325">
        <v>0</v>
      </c>
      <c r="G494" s="325">
        <v>0</v>
      </c>
      <c r="H494" s="325">
        <v>0</v>
      </c>
      <c r="I494" s="325">
        <v>0</v>
      </c>
      <c r="J494" s="325">
        <v>0</v>
      </c>
      <c r="K494" s="326">
        <v>3</v>
      </c>
      <c r="L494" s="325">
        <v>5250000</v>
      </c>
      <c r="M494" s="325">
        <v>0</v>
      </c>
      <c r="N494" s="325">
        <v>0</v>
      </c>
      <c r="O494" s="325">
        <v>0</v>
      </c>
      <c r="P494" s="325">
        <v>0</v>
      </c>
      <c r="Q494" s="325">
        <v>0</v>
      </c>
      <c r="R494" s="325">
        <v>0</v>
      </c>
      <c r="S494" s="325">
        <v>0</v>
      </c>
      <c r="T494" s="325">
        <v>0</v>
      </c>
      <c r="U494" s="325">
        <v>0</v>
      </c>
      <c r="V494" s="325">
        <v>0</v>
      </c>
      <c r="W494" s="325">
        <v>0</v>
      </c>
      <c r="X494" s="325">
        <v>0</v>
      </c>
      <c r="Y494" s="325">
        <v>0</v>
      </c>
      <c r="Z494" s="325">
        <v>0</v>
      </c>
      <c r="AA494" s="325">
        <v>0</v>
      </c>
      <c r="AB494" s="327">
        <v>2020</v>
      </c>
      <c r="AD494" s="4">
        <v>0</v>
      </c>
    </row>
    <row r="495" spans="1:30" s="4" customFormat="1" ht="35.25" customHeight="1" x14ac:dyDescent="0.5">
      <c r="A495" s="4">
        <v>1</v>
      </c>
      <c r="B495" s="171">
        <f>SUBTOTAL(103,$A$8:A495)</f>
        <v>479</v>
      </c>
      <c r="C495" s="323" t="s">
        <v>1832</v>
      </c>
      <c r="D495" s="324">
        <f t="shared" si="20"/>
        <v>3840000</v>
      </c>
      <c r="E495" s="325">
        <v>0</v>
      </c>
      <c r="F495" s="325">
        <v>0</v>
      </c>
      <c r="G495" s="325">
        <v>0</v>
      </c>
      <c r="H495" s="325">
        <v>0</v>
      </c>
      <c r="I495" s="325">
        <v>0</v>
      </c>
      <c r="J495" s="325">
        <v>0</v>
      </c>
      <c r="K495" s="326">
        <v>2</v>
      </c>
      <c r="L495" s="325">
        <v>3840000</v>
      </c>
      <c r="M495" s="325">
        <v>0</v>
      </c>
      <c r="N495" s="325">
        <v>0</v>
      </c>
      <c r="O495" s="325">
        <v>0</v>
      </c>
      <c r="P495" s="325">
        <v>0</v>
      </c>
      <c r="Q495" s="325">
        <v>0</v>
      </c>
      <c r="R495" s="325">
        <v>0</v>
      </c>
      <c r="S495" s="325">
        <v>0</v>
      </c>
      <c r="T495" s="325">
        <v>0</v>
      </c>
      <c r="U495" s="325">
        <v>0</v>
      </c>
      <c r="V495" s="325">
        <v>0</v>
      </c>
      <c r="W495" s="325">
        <v>0</v>
      </c>
      <c r="X495" s="325">
        <v>0</v>
      </c>
      <c r="Y495" s="325">
        <v>0</v>
      </c>
      <c r="Z495" s="325">
        <v>0</v>
      </c>
      <c r="AA495" s="325">
        <v>0</v>
      </c>
      <c r="AB495" s="327">
        <v>2020</v>
      </c>
      <c r="AD495" s="4" t="e">
        <v>#N/A</v>
      </c>
    </row>
    <row r="496" spans="1:30" s="4" customFormat="1" ht="35.25" customHeight="1" x14ac:dyDescent="0.5">
      <c r="A496" s="4">
        <v>1</v>
      </c>
      <c r="B496" s="171">
        <f>SUBTOTAL(103,$A$8:A496)</f>
        <v>480</v>
      </c>
      <c r="C496" s="323" t="s">
        <v>2153</v>
      </c>
      <c r="D496" s="324">
        <f t="shared" si="20"/>
        <v>323223.66000000003</v>
      </c>
      <c r="E496" s="325">
        <v>0</v>
      </c>
      <c r="F496" s="325">
        <v>234803</v>
      </c>
      <c r="G496" s="325">
        <v>0</v>
      </c>
      <c r="H496" s="325">
        <v>0</v>
      </c>
      <c r="I496" s="325">
        <v>0</v>
      </c>
      <c r="J496" s="325">
        <v>88420.66</v>
      </c>
      <c r="K496" s="326">
        <v>0</v>
      </c>
      <c r="L496" s="325">
        <v>0</v>
      </c>
      <c r="M496" s="325">
        <v>0</v>
      </c>
      <c r="N496" s="325">
        <v>0</v>
      </c>
      <c r="O496" s="325">
        <v>0</v>
      </c>
      <c r="P496" s="325">
        <v>0</v>
      </c>
      <c r="Q496" s="325">
        <v>0</v>
      </c>
      <c r="R496" s="325">
        <v>0</v>
      </c>
      <c r="S496" s="325">
        <v>0</v>
      </c>
      <c r="T496" s="325">
        <v>0</v>
      </c>
      <c r="U496" s="325">
        <v>0</v>
      </c>
      <c r="V496" s="325">
        <v>0</v>
      </c>
      <c r="W496" s="325">
        <v>0</v>
      </c>
      <c r="X496" s="325">
        <v>0</v>
      </c>
      <c r="Y496" s="325">
        <v>0</v>
      </c>
      <c r="Z496" s="325">
        <v>0</v>
      </c>
      <c r="AA496" s="325">
        <v>0</v>
      </c>
      <c r="AB496" s="327">
        <v>2020</v>
      </c>
      <c r="AD496" s="4">
        <v>0</v>
      </c>
    </row>
    <row r="497" spans="1:30" s="4" customFormat="1" ht="35.25" customHeight="1" x14ac:dyDescent="0.5">
      <c r="A497" s="4">
        <v>1</v>
      </c>
      <c r="B497" s="171">
        <f>SUBTOTAL(103,$A$8:A497)</f>
        <v>481</v>
      </c>
      <c r="C497" s="323" t="s">
        <v>1821</v>
      </c>
      <c r="D497" s="324">
        <f t="shared" si="20"/>
        <v>228600</v>
      </c>
      <c r="E497" s="325">
        <v>0</v>
      </c>
      <c r="F497" s="325">
        <v>0</v>
      </c>
      <c r="G497" s="325">
        <v>0</v>
      </c>
      <c r="H497" s="325">
        <v>0</v>
      </c>
      <c r="I497" s="325">
        <v>0</v>
      </c>
      <c r="J497" s="325">
        <v>0</v>
      </c>
      <c r="K497" s="326">
        <v>0</v>
      </c>
      <c r="L497" s="325">
        <v>0</v>
      </c>
      <c r="M497" s="325">
        <v>0</v>
      </c>
      <c r="N497" s="325">
        <v>0</v>
      </c>
      <c r="O497" s="325">
        <v>228600</v>
      </c>
      <c r="P497" s="325">
        <v>0</v>
      </c>
      <c r="Q497" s="325">
        <v>0</v>
      </c>
      <c r="R497" s="325">
        <v>0</v>
      </c>
      <c r="S497" s="325">
        <v>0</v>
      </c>
      <c r="T497" s="325">
        <v>0</v>
      </c>
      <c r="U497" s="325">
        <v>0</v>
      </c>
      <c r="V497" s="325">
        <v>0</v>
      </c>
      <c r="W497" s="325">
        <v>0</v>
      </c>
      <c r="X497" s="325">
        <v>0</v>
      </c>
      <c r="Y497" s="325">
        <v>0</v>
      </c>
      <c r="Z497" s="325">
        <v>0</v>
      </c>
      <c r="AA497" s="325">
        <v>0</v>
      </c>
      <c r="AB497" s="327">
        <v>2020</v>
      </c>
      <c r="AD497" s="4" t="e">
        <v>#N/A</v>
      </c>
    </row>
    <row r="498" spans="1:30" s="4" customFormat="1" ht="35.25" customHeight="1" x14ac:dyDescent="0.5">
      <c r="A498" s="4">
        <v>1</v>
      </c>
      <c r="B498" s="171">
        <f>SUBTOTAL(103,$A$8:A498)</f>
        <v>482</v>
      </c>
      <c r="C498" s="323" t="s">
        <v>2154</v>
      </c>
      <c r="D498" s="324">
        <f t="shared" si="20"/>
        <v>590355.86</v>
      </c>
      <c r="E498" s="325">
        <v>0</v>
      </c>
      <c r="F498" s="325">
        <v>0</v>
      </c>
      <c r="G498" s="325">
        <v>0</v>
      </c>
      <c r="H498" s="325">
        <v>0</v>
      </c>
      <c r="I498" s="325">
        <v>0</v>
      </c>
      <c r="J498" s="325">
        <v>0</v>
      </c>
      <c r="K498" s="326">
        <v>0</v>
      </c>
      <c r="L498" s="325">
        <v>0</v>
      </c>
      <c r="M498" s="325">
        <v>0</v>
      </c>
      <c r="N498" s="325">
        <v>0</v>
      </c>
      <c r="O498" s="325">
        <v>590355.86</v>
      </c>
      <c r="P498" s="325">
        <v>0</v>
      </c>
      <c r="Q498" s="325">
        <v>0</v>
      </c>
      <c r="R498" s="325">
        <v>0</v>
      </c>
      <c r="S498" s="325">
        <v>0</v>
      </c>
      <c r="T498" s="325">
        <v>0</v>
      </c>
      <c r="U498" s="325">
        <v>0</v>
      </c>
      <c r="V498" s="325">
        <v>0</v>
      </c>
      <c r="W498" s="325">
        <v>0</v>
      </c>
      <c r="X498" s="325">
        <v>0</v>
      </c>
      <c r="Y498" s="325">
        <v>0</v>
      </c>
      <c r="Z498" s="325">
        <v>0</v>
      </c>
      <c r="AA498" s="325">
        <v>0</v>
      </c>
      <c r="AB498" s="327">
        <v>2020</v>
      </c>
      <c r="AD498" s="4" t="e">
        <v>#N/A</v>
      </c>
    </row>
    <row r="499" spans="1:30" s="4" customFormat="1" ht="35.25" customHeight="1" x14ac:dyDescent="0.5">
      <c r="A499" s="4">
        <v>1</v>
      </c>
      <c r="B499" s="171">
        <f>SUBTOTAL(103,$A$8:A499)</f>
        <v>483</v>
      </c>
      <c r="C499" s="323" t="s">
        <v>2155</v>
      </c>
      <c r="D499" s="324">
        <f t="shared" si="20"/>
        <v>245204</v>
      </c>
      <c r="E499" s="325">
        <v>0</v>
      </c>
      <c r="F499" s="325">
        <v>0</v>
      </c>
      <c r="G499" s="325">
        <v>0</v>
      </c>
      <c r="H499" s="325">
        <v>0</v>
      </c>
      <c r="I499" s="325">
        <v>0</v>
      </c>
      <c r="J499" s="325">
        <v>0</v>
      </c>
      <c r="K499" s="326">
        <v>0</v>
      </c>
      <c r="L499" s="325">
        <v>0</v>
      </c>
      <c r="M499" s="325">
        <v>245204</v>
      </c>
      <c r="N499" s="325">
        <v>0</v>
      </c>
      <c r="O499" s="325">
        <v>0</v>
      </c>
      <c r="P499" s="325">
        <v>0</v>
      </c>
      <c r="Q499" s="325">
        <v>0</v>
      </c>
      <c r="R499" s="325">
        <v>0</v>
      </c>
      <c r="S499" s="325">
        <v>0</v>
      </c>
      <c r="T499" s="325">
        <v>0</v>
      </c>
      <c r="U499" s="325">
        <v>0</v>
      </c>
      <c r="V499" s="325">
        <v>0</v>
      </c>
      <c r="W499" s="325">
        <v>0</v>
      </c>
      <c r="X499" s="325">
        <v>0</v>
      </c>
      <c r="Y499" s="325">
        <v>0</v>
      </c>
      <c r="Z499" s="325">
        <v>0</v>
      </c>
      <c r="AA499" s="325">
        <v>0</v>
      </c>
      <c r="AB499" s="327">
        <v>2020</v>
      </c>
      <c r="AD499" s="4" t="e">
        <v>#N/A</v>
      </c>
    </row>
    <row r="500" spans="1:30" s="4" customFormat="1" ht="35.25" customHeight="1" x14ac:dyDescent="0.5">
      <c r="A500" s="4">
        <v>1</v>
      </c>
      <c r="B500" s="171">
        <f>SUBTOTAL(103,$A$8:A500)</f>
        <v>484</v>
      </c>
      <c r="C500" s="323" t="s">
        <v>2156</v>
      </c>
      <c r="D500" s="324">
        <f t="shared" si="20"/>
        <v>320012</v>
      </c>
      <c r="E500" s="325">
        <v>0</v>
      </c>
      <c r="F500" s="325">
        <v>0</v>
      </c>
      <c r="G500" s="325">
        <v>0</v>
      </c>
      <c r="H500" s="325">
        <v>0</v>
      </c>
      <c r="I500" s="325">
        <v>0</v>
      </c>
      <c r="J500" s="325">
        <v>0</v>
      </c>
      <c r="K500" s="326">
        <v>0</v>
      </c>
      <c r="L500" s="325">
        <v>0</v>
      </c>
      <c r="M500" s="325">
        <v>0</v>
      </c>
      <c r="N500" s="325">
        <v>0</v>
      </c>
      <c r="O500" s="325">
        <v>320012</v>
      </c>
      <c r="P500" s="325">
        <v>0</v>
      </c>
      <c r="Q500" s="325">
        <v>0</v>
      </c>
      <c r="R500" s="325">
        <v>0</v>
      </c>
      <c r="S500" s="325">
        <v>0</v>
      </c>
      <c r="T500" s="325">
        <v>0</v>
      </c>
      <c r="U500" s="325">
        <v>0</v>
      </c>
      <c r="V500" s="325">
        <v>0</v>
      </c>
      <c r="W500" s="325">
        <v>0</v>
      </c>
      <c r="X500" s="325">
        <v>0</v>
      </c>
      <c r="Y500" s="325">
        <v>0</v>
      </c>
      <c r="Z500" s="325">
        <v>0</v>
      </c>
      <c r="AA500" s="325">
        <v>0</v>
      </c>
      <c r="AB500" s="327">
        <v>2020</v>
      </c>
      <c r="AD500" s="4" t="e">
        <v>#N/A</v>
      </c>
    </row>
    <row r="501" spans="1:30" s="4" customFormat="1" ht="35.25" customHeight="1" x14ac:dyDescent="0.5">
      <c r="A501" s="4">
        <v>1</v>
      </c>
      <c r="B501" s="171">
        <f>SUBTOTAL(103,$A$8:A501)</f>
        <v>485</v>
      </c>
      <c r="C501" s="323" t="s">
        <v>2157</v>
      </c>
      <c r="D501" s="324">
        <f t="shared" si="20"/>
        <v>910000</v>
      </c>
      <c r="E501" s="325">
        <v>0</v>
      </c>
      <c r="F501" s="325">
        <v>0</v>
      </c>
      <c r="G501" s="325">
        <v>0</v>
      </c>
      <c r="H501" s="325">
        <v>0</v>
      </c>
      <c r="I501" s="325">
        <v>0</v>
      </c>
      <c r="J501" s="325">
        <v>0</v>
      </c>
      <c r="K501" s="326">
        <v>0</v>
      </c>
      <c r="L501" s="325">
        <v>0</v>
      </c>
      <c r="M501" s="325">
        <v>910000</v>
      </c>
      <c r="N501" s="325">
        <v>0</v>
      </c>
      <c r="O501" s="325">
        <v>0</v>
      </c>
      <c r="P501" s="325">
        <v>0</v>
      </c>
      <c r="Q501" s="325">
        <v>0</v>
      </c>
      <c r="R501" s="325">
        <v>0</v>
      </c>
      <c r="S501" s="325">
        <v>0</v>
      </c>
      <c r="T501" s="325">
        <v>0</v>
      </c>
      <c r="U501" s="325">
        <v>0</v>
      </c>
      <c r="V501" s="325">
        <v>0</v>
      </c>
      <c r="W501" s="325">
        <v>0</v>
      </c>
      <c r="X501" s="325">
        <v>0</v>
      </c>
      <c r="Y501" s="325">
        <v>0</v>
      </c>
      <c r="Z501" s="325">
        <v>0</v>
      </c>
      <c r="AA501" s="325">
        <v>0</v>
      </c>
      <c r="AB501" s="327">
        <v>2020</v>
      </c>
      <c r="AD501" s="4">
        <v>0</v>
      </c>
    </row>
    <row r="502" spans="1:30" s="4" customFormat="1" ht="35.25" customHeight="1" x14ac:dyDescent="0.5">
      <c r="A502" s="4">
        <v>1</v>
      </c>
      <c r="B502" s="171">
        <f>SUBTOTAL(103,$A$8:A502)</f>
        <v>486</v>
      </c>
      <c r="C502" s="323" t="s">
        <v>2158</v>
      </c>
      <c r="D502" s="324">
        <f t="shared" si="20"/>
        <v>516711.62</v>
      </c>
      <c r="E502" s="325">
        <v>0</v>
      </c>
      <c r="F502" s="325">
        <v>161097.25</v>
      </c>
      <c r="G502" s="325">
        <v>0</v>
      </c>
      <c r="H502" s="325">
        <v>84774.9</v>
      </c>
      <c r="I502" s="325">
        <v>0</v>
      </c>
      <c r="J502" s="325">
        <v>0</v>
      </c>
      <c r="K502" s="326">
        <v>0</v>
      </c>
      <c r="L502" s="325">
        <v>0</v>
      </c>
      <c r="M502" s="325">
        <v>0</v>
      </c>
      <c r="N502" s="325">
        <v>0</v>
      </c>
      <c r="O502" s="325">
        <v>270839.46999999997</v>
      </c>
      <c r="P502" s="325">
        <v>0</v>
      </c>
      <c r="Q502" s="325">
        <v>0</v>
      </c>
      <c r="R502" s="325">
        <v>0</v>
      </c>
      <c r="S502" s="325">
        <v>0</v>
      </c>
      <c r="T502" s="325">
        <v>0</v>
      </c>
      <c r="U502" s="325">
        <v>0</v>
      </c>
      <c r="V502" s="325">
        <v>0</v>
      </c>
      <c r="W502" s="325">
        <v>0</v>
      </c>
      <c r="X502" s="325">
        <v>0</v>
      </c>
      <c r="Y502" s="325">
        <v>0</v>
      </c>
      <c r="Z502" s="325">
        <v>0</v>
      </c>
      <c r="AA502" s="325">
        <v>0</v>
      </c>
      <c r="AB502" s="327">
        <v>2020</v>
      </c>
      <c r="AD502" s="4" t="e">
        <v>#N/A</v>
      </c>
    </row>
    <row r="503" spans="1:30" s="4" customFormat="1" ht="35.25" customHeight="1" x14ac:dyDescent="0.5">
      <c r="A503" s="4">
        <v>1</v>
      </c>
      <c r="B503" s="171">
        <f>SUBTOTAL(103,$A$8:A503)</f>
        <v>487</v>
      </c>
      <c r="C503" s="323" t="s">
        <v>2159</v>
      </c>
      <c r="D503" s="324">
        <f t="shared" si="20"/>
        <v>616011.84</v>
      </c>
      <c r="E503" s="325">
        <v>0</v>
      </c>
      <c r="F503" s="325">
        <v>0</v>
      </c>
      <c r="G503" s="325">
        <v>616011.84</v>
      </c>
      <c r="H503" s="325">
        <v>0</v>
      </c>
      <c r="I503" s="325">
        <v>0</v>
      </c>
      <c r="J503" s="325">
        <v>0</v>
      </c>
      <c r="K503" s="326">
        <v>0</v>
      </c>
      <c r="L503" s="325">
        <v>0</v>
      </c>
      <c r="M503" s="325">
        <v>0</v>
      </c>
      <c r="N503" s="325">
        <v>0</v>
      </c>
      <c r="O503" s="325">
        <v>0</v>
      </c>
      <c r="P503" s="325">
        <v>0</v>
      </c>
      <c r="Q503" s="325">
        <v>0</v>
      </c>
      <c r="R503" s="325">
        <v>0</v>
      </c>
      <c r="S503" s="325">
        <v>0</v>
      </c>
      <c r="T503" s="325">
        <v>0</v>
      </c>
      <c r="U503" s="325">
        <v>0</v>
      </c>
      <c r="V503" s="325">
        <v>0</v>
      </c>
      <c r="W503" s="325">
        <v>0</v>
      </c>
      <c r="X503" s="325">
        <v>0</v>
      </c>
      <c r="Y503" s="325">
        <v>0</v>
      </c>
      <c r="Z503" s="325">
        <v>0</v>
      </c>
      <c r="AA503" s="325">
        <v>0</v>
      </c>
      <c r="AB503" s="327">
        <v>2020</v>
      </c>
      <c r="AD503" s="4" t="e">
        <v>#N/A</v>
      </c>
    </row>
    <row r="504" spans="1:30" s="4" customFormat="1" ht="35.25" customHeight="1" x14ac:dyDescent="0.5">
      <c r="A504" s="4">
        <v>1</v>
      </c>
      <c r="B504" s="171">
        <f>SUBTOTAL(103,$A$8:A504)</f>
        <v>488</v>
      </c>
      <c r="C504" s="323" t="s">
        <v>2160</v>
      </c>
      <c r="D504" s="324">
        <f t="shared" si="20"/>
        <v>261283</v>
      </c>
      <c r="E504" s="325">
        <v>0</v>
      </c>
      <c r="F504" s="325">
        <v>0</v>
      </c>
      <c r="G504" s="325">
        <v>0</v>
      </c>
      <c r="H504" s="325">
        <v>0</v>
      </c>
      <c r="I504" s="325">
        <v>11358</v>
      </c>
      <c r="J504" s="325">
        <v>0</v>
      </c>
      <c r="K504" s="326">
        <v>0</v>
      </c>
      <c r="L504" s="325">
        <v>0</v>
      </c>
      <c r="M504" s="325">
        <v>0</v>
      </c>
      <c r="N504" s="325">
        <v>0</v>
      </c>
      <c r="O504" s="325">
        <v>249925</v>
      </c>
      <c r="P504" s="325">
        <v>0</v>
      </c>
      <c r="Q504" s="325">
        <v>0</v>
      </c>
      <c r="R504" s="325">
        <v>0</v>
      </c>
      <c r="S504" s="325">
        <v>0</v>
      </c>
      <c r="T504" s="325">
        <v>0</v>
      </c>
      <c r="U504" s="325">
        <v>0</v>
      </c>
      <c r="V504" s="325">
        <v>0</v>
      </c>
      <c r="W504" s="325">
        <v>0</v>
      </c>
      <c r="X504" s="325">
        <v>0</v>
      </c>
      <c r="Y504" s="325">
        <v>0</v>
      </c>
      <c r="Z504" s="325">
        <v>0</v>
      </c>
      <c r="AA504" s="325">
        <v>0</v>
      </c>
      <c r="AB504" s="327">
        <v>2020</v>
      </c>
      <c r="AD504" s="4">
        <v>0</v>
      </c>
    </row>
    <row r="505" spans="1:30" s="4" customFormat="1" ht="35.25" customHeight="1" x14ac:dyDescent="0.5">
      <c r="A505" s="4">
        <v>1</v>
      </c>
      <c r="B505" s="171">
        <f>SUBTOTAL(103,$A$8:A505)</f>
        <v>489</v>
      </c>
      <c r="C505" s="323" t="s">
        <v>2161</v>
      </c>
      <c r="D505" s="324">
        <f t="shared" si="20"/>
        <v>1530000</v>
      </c>
      <c r="E505" s="325">
        <v>0</v>
      </c>
      <c r="F505" s="325">
        <v>0</v>
      </c>
      <c r="G505" s="325">
        <v>0</v>
      </c>
      <c r="H505" s="325">
        <v>0</v>
      </c>
      <c r="I505" s="325">
        <v>0</v>
      </c>
      <c r="J505" s="325">
        <v>0</v>
      </c>
      <c r="K505" s="326">
        <v>0</v>
      </c>
      <c r="L505" s="325">
        <v>0</v>
      </c>
      <c r="M505" s="325">
        <v>1530000</v>
      </c>
      <c r="N505" s="325">
        <v>0</v>
      </c>
      <c r="O505" s="325">
        <v>0</v>
      </c>
      <c r="P505" s="325">
        <v>0</v>
      </c>
      <c r="Q505" s="325">
        <v>0</v>
      </c>
      <c r="R505" s="325">
        <v>0</v>
      </c>
      <c r="S505" s="325">
        <v>0</v>
      </c>
      <c r="T505" s="325">
        <v>0</v>
      </c>
      <c r="U505" s="325">
        <v>0</v>
      </c>
      <c r="V505" s="325">
        <v>0</v>
      </c>
      <c r="W505" s="325">
        <v>0</v>
      </c>
      <c r="X505" s="325">
        <v>0</v>
      </c>
      <c r="Y505" s="325">
        <v>0</v>
      </c>
      <c r="Z505" s="325">
        <v>0</v>
      </c>
      <c r="AA505" s="325">
        <v>0</v>
      </c>
      <c r="AB505" s="327">
        <v>2020</v>
      </c>
      <c r="AD505" s="4">
        <v>0</v>
      </c>
    </row>
    <row r="506" spans="1:30" s="4" customFormat="1" ht="35.25" customHeight="1" x14ac:dyDescent="0.5">
      <c r="A506" s="4">
        <v>1</v>
      </c>
      <c r="B506" s="171">
        <f>SUBTOTAL(103,$A$8:A506)</f>
        <v>490</v>
      </c>
      <c r="C506" s="323" t="s">
        <v>2162</v>
      </c>
      <c r="D506" s="324">
        <f t="shared" si="20"/>
        <v>157762.79999999999</v>
      </c>
      <c r="E506" s="325">
        <v>31116.9</v>
      </c>
      <c r="F506" s="325">
        <v>0</v>
      </c>
      <c r="G506" s="325">
        <v>0</v>
      </c>
      <c r="H506" s="325">
        <v>0</v>
      </c>
      <c r="I506" s="325">
        <v>0</v>
      </c>
      <c r="J506" s="325">
        <v>0</v>
      </c>
      <c r="K506" s="326">
        <v>0</v>
      </c>
      <c r="L506" s="325">
        <v>0</v>
      </c>
      <c r="M506" s="325">
        <v>126645.9</v>
      </c>
      <c r="N506" s="325">
        <v>0</v>
      </c>
      <c r="O506" s="325">
        <v>0</v>
      </c>
      <c r="P506" s="325">
        <v>0</v>
      </c>
      <c r="Q506" s="325">
        <v>0</v>
      </c>
      <c r="R506" s="325">
        <v>0</v>
      </c>
      <c r="S506" s="325">
        <v>0</v>
      </c>
      <c r="T506" s="325">
        <v>0</v>
      </c>
      <c r="U506" s="325">
        <v>0</v>
      </c>
      <c r="V506" s="325">
        <v>0</v>
      </c>
      <c r="W506" s="325">
        <v>0</v>
      </c>
      <c r="X506" s="325">
        <v>0</v>
      </c>
      <c r="Y506" s="325">
        <v>0</v>
      </c>
      <c r="Z506" s="325">
        <v>0</v>
      </c>
      <c r="AA506" s="325">
        <v>0</v>
      </c>
      <c r="AB506" s="327">
        <v>2020</v>
      </c>
      <c r="AD506" s="4" t="e">
        <v>#N/A</v>
      </c>
    </row>
    <row r="507" spans="1:30" s="4" customFormat="1" ht="35.25" customHeight="1" x14ac:dyDescent="0.5">
      <c r="A507" s="4">
        <v>1</v>
      </c>
      <c r="B507" s="171">
        <f>SUBTOTAL(103,$A$8:A507)</f>
        <v>491</v>
      </c>
      <c r="C507" s="323" t="s">
        <v>2163</v>
      </c>
      <c r="D507" s="324">
        <f t="shared" si="20"/>
        <v>227500</v>
      </c>
      <c r="E507" s="325">
        <v>0</v>
      </c>
      <c r="F507" s="325">
        <v>0</v>
      </c>
      <c r="G507" s="325">
        <v>0</v>
      </c>
      <c r="H507" s="325">
        <v>0</v>
      </c>
      <c r="I507" s="325">
        <v>0</v>
      </c>
      <c r="J507" s="325">
        <v>0</v>
      </c>
      <c r="K507" s="326">
        <v>0</v>
      </c>
      <c r="L507" s="325">
        <v>0</v>
      </c>
      <c r="M507" s="325">
        <v>227500</v>
      </c>
      <c r="N507" s="325">
        <v>0</v>
      </c>
      <c r="O507" s="325">
        <v>0</v>
      </c>
      <c r="P507" s="325">
        <v>0</v>
      </c>
      <c r="Q507" s="325">
        <v>0</v>
      </c>
      <c r="R507" s="325">
        <v>0</v>
      </c>
      <c r="S507" s="325">
        <v>0</v>
      </c>
      <c r="T507" s="325">
        <v>0</v>
      </c>
      <c r="U507" s="325">
        <v>0</v>
      </c>
      <c r="V507" s="325">
        <v>0</v>
      </c>
      <c r="W507" s="325">
        <v>0</v>
      </c>
      <c r="X507" s="325">
        <v>0</v>
      </c>
      <c r="Y507" s="325">
        <v>0</v>
      </c>
      <c r="Z507" s="325">
        <v>0</v>
      </c>
      <c r="AA507" s="325">
        <v>0</v>
      </c>
      <c r="AB507" s="327">
        <v>2020</v>
      </c>
      <c r="AD507" s="4" t="e">
        <v>#N/A</v>
      </c>
    </row>
    <row r="508" spans="1:30" s="4" customFormat="1" ht="35.25" customHeight="1" x14ac:dyDescent="0.5">
      <c r="A508" s="4">
        <v>1</v>
      </c>
      <c r="B508" s="171">
        <f>SUBTOTAL(103,$A$8:A508)</f>
        <v>492</v>
      </c>
      <c r="C508" s="323" t="s">
        <v>2164</v>
      </c>
      <c r="D508" s="324">
        <f t="shared" si="20"/>
        <v>1430392.57</v>
      </c>
      <c r="E508" s="325">
        <v>0</v>
      </c>
      <c r="F508" s="325">
        <v>0</v>
      </c>
      <c r="G508" s="325">
        <v>0</v>
      </c>
      <c r="H508" s="325">
        <v>0</v>
      </c>
      <c r="I508" s="325">
        <v>0</v>
      </c>
      <c r="J508" s="325">
        <v>0</v>
      </c>
      <c r="K508" s="326">
        <v>1</v>
      </c>
      <c r="L508" s="325">
        <v>1170000</v>
      </c>
      <c r="M508" s="325">
        <v>0</v>
      </c>
      <c r="N508" s="325">
        <v>260392.57</v>
      </c>
      <c r="O508" s="325">
        <v>0</v>
      </c>
      <c r="P508" s="325">
        <v>0</v>
      </c>
      <c r="Q508" s="325">
        <v>0</v>
      </c>
      <c r="R508" s="325">
        <v>0</v>
      </c>
      <c r="S508" s="325">
        <v>0</v>
      </c>
      <c r="T508" s="325">
        <v>0</v>
      </c>
      <c r="U508" s="325">
        <v>0</v>
      </c>
      <c r="V508" s="325">
        <v>0</v>
      </c>
      <c r="W508" s="325">
        <v>0</v>
      </c>
      <c r="X508" s="325">
        <v>0</v>
      </c>
      <c r="Y508" s="325">
        <v>0</v>
      </c>
      <c r="Z508" s="325">
        <v>0</v>
      </c>
      <c r="AA508" s="325">
        <v>0</v>
      </c>
      <c r="AB508" s="327">
        <v>2020</v>
      </c>
      <c r="AD508" s="4">
        <v>0</v>
      </c>
    </row>
    <row r="509" spans="1:30" s="4" customFormat="1" ht="35.25" customHeight="1" x14ac:dyDescent="0.5">
      <c r="A509" s="4">
        <v>1</v>
      </c>
      <c r="B509" s="171">
        <f>SUBTOTAL(103,$A$8:A509)</f>
        <v>493</v>
      </c>
      <c r="C509" s="323" t="s">
        <v>2165</v>
      </c>
      <c r="D509" s="324">
        <f t="shared" si="20"/>
        <v>215200.16</v>
      </c>
      <c r="E509" s="325">
        <v>85000</v>
      </c>
      <c r="F509" s="325">
        <v>0</v>
      </c>
      <c r="G509" s="325">
        <v>75003</v>
      </c>
      <c r="H509" s="325">
        <v>0</v>
      </c>
      <c r="I509" s="325">
        <v>0</v>
      </c>
      <c r="J509" s="325">
        <v>0</v>
      </c>
      <c r="K509" s="326">
        <v>0</v>
      </c>
      <c r="L509" s="325">
        <v>0</v>
      </c>
      <c r="M509" s="325">
        <v>55197.16</v>
      </c>
      <c r="N509" s="325">
        <v>0</v>
      </c>
      <c r="O509" s="325">
        <v>0</v>
      </c>
      <c r="P509" s="325">
        <v>0</v>
      </c>
      <c r="Q509" s="325">
        <v>0</v>
      </c>
      <c r="R509" s="325">
        <v>0</v>
      </c>
      <c r="S509" s="325">
        <v>0</v>
      </c>
      <c r="T509" s="325">
        <v>0</v>
      </c>
      <c r="U509" s="325">
        <v>0</v>
      </c>
      <c r="V509" s="325">
        <v>0</v>
      </c>
      <c r="W509" s="325">
        <v>0</v>
      </c>
      <c r="X509" s="325">
        <v>0</v>
      </c>
      <c r="Y509" s="325">
        <v>0</v>
      </c>
      <c r="Z509" s="325">
        <v>0</v>
      </c>
      <c r="AA509" s="325">
        <v>0</v>
      </c>
      <c r="AB509" s="327">
        <v>2020</v>
      </c>
      <c r="AD509" s="4">
        <v>0</v>
      </c>
    </row>
    <row r="510" spans="1:30" s="4" customFormat="1" ht="35.25" customHeight="1" x14ac:dyDescent="0.5">
      <c r="A510" s="4">
        <v>1</v>
      </c>
      <c r="B510" s="171">
        <f>SUBTOTAL(103,$A$8:A510)</f>
        <v>494</v>
      </c>
      <c r="C510" s="323" t="s">
        <v>2166</v>
      </c>
      <c r="D510" s="324">
        <f t="shared" si="20"/>
        <v>374617</v>
      </c>
      <c r="E510" s="325">
        <v>187308.5</v>
      </c>
      <c r="F510" s="325">
        <v>187308.5</v>
      </c>
      <c r="G510" s="325">
        <v>0</v>
      </c>
      <c r="H510" s="325">
        <v>0</v>
      </c>
      <c r="I510" s="325">
        <v>0</v>
      </c>
      <c r="J510" s="325">
        <v>0</v>
      </c>
      <c r="K510" s="326">
        <v>0</v>
      </c>
      <c r="L510" s="325">
        <v>0</v>
      </c>
      <c r="M510" s="325">
        <v>0</v>
      </c>
      <c r="N510" s="325">
        <v>0</v>
      </c>
      <c r="O510" s="325">
        <v>0</v>
      </c>
      <c r="P510" s="325">
        <v>0</v>
      </c>
      <c r="Q510" s="325">
        <v>0</v>
      </c>
      <c r="R510" s="325">
        <v>0</v>
      </c>
      <c r="S510" s="325">
        <v>0</v>
      </c>
      <c r="T510" s="325">
        <v>0</v>
      </c>
      <c r="U510" s="325">
        <v>0</v>
      </c>
      <c r="V510" s="325">
        <v>0</v>
      </c>
      <c r="W510" s="325">
        <v>0</v>
      </c>
      <c r="X510" s="325">
        <v>0</v>
      </c>
      <c r="Y510" s="325">
        <v>0</v>
      </c>
      <c r="Z510" s="325">
        <v>0</v>
      </c>
      <c r="AA510" s="325">
        <v>0</v>
      </c>
      <c r="AB510" s="327">
        <v>2020</v>
      </c>
      <c r="AD510" s="4" t="e">
        <v>#N/A</v>
      </c>
    </row>
    <row r="511" spans="1:30" s="4" customFormat="1" ht="35.25" customHeight="1" x14ac:dyDescent="0.5">
      <c r="A511" s="4">
        <v>1</v>
      </c>
      <c r="B511" s="171">
        <f>SUBTOTAL(103,$A$8:A511)</f>
        <v>495</v>
      </c>
      <c r="C511" s="323" t="s">
        <v>2167</v>
      </c>
      <c r="D511" s="324">
        <f t="shared" si="20"/>
        <v>79041</v>
      </c>
      <c r="E511" s="325">
        <v>0</v>
      </c>
      <c r="F511" s="325">
        <v>0</v>
      </c>
      <c r="G511" s="325">
        <v>79041</v>
      </c>
      <c r="H511" s="325">
        <v>0</v>
      </c>
      <c r="I511" s="325">
        <v>0</v>
      </c>
      <c r="J511" s="325">
        <v>0</v>
      </c>
      <c r="K511" s="326">
        <v>0</v>
      </c>
      <c r="L511" s="325">
        <v>0</v>
      </c>
      <c r="M511" s="325">
        <v>0</v>
      </c>
      <c r="N511" s="325">
        <v>0</v>
      </c>
      <c r="O511" s="325">
        <v>0</v>
      </c>
      <c r="P511" s="325">
        <v>0</v>
      </c>
      <c r="Q511" s="325">
        <v>0</v>
      </c>
      <c r="R511" s="325">
        <v>0</v>
      </c>
      <c r="S511" s="325">
        <v>0</v>
      </c>
      <c r="T511" s="325">
        <v>0</v>
      </c>
      <c r="U511" s="325">
        <v>0</v>
      </c>
      <c r="V511" s="325">
        <v>0</v>
      </c>
      <c r="W511" s="325">
        <v>0</v>
      </c>
      <c r="X511" s="325">
        <v>0</v>
      </c>
      <c r="Y511" s="325">
        <v>0</v>
      </c>
      <c r="Z511" s="325">
        <v>0</v>
      </c>
      <c r="AA511" s="325">
        <v>0</v>
      </c>
      <c r="AB511" s="327">
        <v>2020</v>
      </c>
      <c r="AD511" s="4" t="e">
        <v>#N/A</v>
      </c>
    </row>
    <row r="512" spans="1:30" s="4" customFormat="1" ht="35.25" customHeight="1" x14ac:dyDescent="0.5">
      <c r="A512" s="4">
        <v>1</v>
      </c>
      <c r="B512" s="171">
        <f>SUBTOTAL(103,$A$8:A512)</f>
        <v>496</v>
      </c>
      <c r="C512" s="323" t="s">
        <v>2168</v>
      </c>
      <c r="D512" s="324">
        <f t="shared" si="20"/>
        <v>459221.82</v>
      </c>
      <c r="E512" s="325">
        <v>0</v>
      </c>
      <c r="F512" s="325">
        <v>0</v>
      </c>
      <c r="G512" s="325">
        <v>0</v>
      </c>
      <c r="H512" s="325">
        <v>0</v>
      </c>
      <c r="I512" s="325">
        <v>0</v>
      </c>
      <c r="J512" s="325">
        <v>0</v>
      </c>
      <c r="K512" s="326">
        <v>0</v>
      </c>
      <c r="L512" s="325">
        <v>0</v>
      </c>
      <c r="M512" s="325">
        <v>0</v>
      </c>
      <c r="N512" s="325">
        <v>0</v>
      </c>
      <c r="O512" s="325">
        <v>459221.82</v>
      </c>
      <c r="P512" s="325">
        <v>0</v>
      </c>
      <c r="Q512" s="325">
        <v>0</v>
      </c>
      <c r="R512" s="325">
        <v>0</v>
      </c>
      <c r="S512" s="325">
        <v>0</v>
      </c>
      <c r="T512" s="325">
        <v>0</v>
      </c>
      <c r="U512" s="325">
        <v>0</v>
      </c>
      <c r="V512" s="325">
        <v>0</v>
      </c>
      <c r="W512" s="325">
        <v>0</v>
      </c>
      <c r="X512" s="325">
        <v>0</v>
      </c>
      <c r="Y512" s="325">
        <v>0</v>
      </c>
      <c r="Z512" s="325">
        <v>0</v>
      </c>
      <c r="AA512" s="325">
        <v>0</v>
      </c>
      <c r="AB512" s="327">
        <v>2020</v>
      </c>
      <c r="AD512" s="4" t="e">
        <v>#N/A</v>
      </c>
    </row>
    <row r="513" spans="1:30" s="4" customFormat="1" ht="35.25" customHeight="1" x14ac:dyDescent="0.5">
      <c r="A513" s="4">
        <v>1</v>
      </c>
      <c r="B513" s="171">
        <f>SUBTOTAL(103,$A$8:A513)</f>
        <v>497</v>
      </c>
      <c r="C513" s="323" t="s">
        <v>2548</v>
      </c>
      <c r="D513" s="324">
        <f t="shared" si="20"/>
        <v>315862.38</v>
      </c>
      <c r="E513" s="325">
        <v>0</v>
      </c>
      <c r="F513" s="325">
        <v>0</v>
      </c>
      <c r="G513" s="325">
        <v>0</v>
      </c>
      <c r="H513" s="325">
        <v>0</v>
      </c>
      <c r="I513" s="325">
        <v>0</v>
      </c>
      <c r="J513" s="325">
        <v>0</v>
      </c>
      <c r="K513" s="326">
        <v>0</v>
      </c>
      <c r="L513" s="325">
        <v>0</v>
      </c>
      <c r="M513" s="325">
        <v>0</v>
      </c>
      <c r="N513" s="325">
        <v>0</v>
      </c>
      <c r="O513" s="325">
        <v>30000</v>
      </c>
      <c r="P513" s="325">
        <v>285862.38</v>
      </c>
      <c r="Q513" s="325">
        <v>0</v>
      </c>
      <c r="R513" s="325">
        <v>0</v>
      </c>
      <c r="S513" s="325">
        <v>0</v>
      </c>
      <c r="T513" s="325">
        <v>0</v>
      </c>
      <c r="U513" s="325">
        <v>0</v>
      </c>
      <c r="V513" s="325">
        <v>0</v>
      </c>
      <c r="W513" s="325">
        <v>0</v>
      </c>
      <c r="X513" s="325">
        <v>0</v>
      </c>
      <c r="Y513" s="325">
        <v>0</v>
      </c>
      <c r="Z513" s="325">
        <v>0</v>
      </c>
      <c r="AA513" s="325">
        <v>0</v>
      </c>
      <c r="AB513" s="327">
        <v>2020</v>
      </c>
      <c r="AD513" s="4">
        <v>0</v>
      </c>
    </row>
    <row r="514" spans="1:30" s="4" customFormat="1" ht="35.25" customHeight="1" x14ac:dyDescent="0.5">
      <c r="A514" s="4">
        <v>1</v>
      </c>
      <c r="B514" s="171">
        <f>SUBTOTAL(103,$A$8:A514)</f>
        <v>498</v>
      </c>
      <c r="C514" s="323" t="s">
        <v>2367</v>
      </c>
      <c r="D514" s="324">
        <f t="shared" si="20"/>
        <v>350602.74</v>
      </c>
      <c r="E514" s="325">
        <v>0</v>
      </c>
      <c r="F514" s="325">
        <v>0</v>
      </c>
      <c r="G514" s="325">
        <v>0</v>
      </c>
      <c r="H514" s="325">
        <v>0</v>
      </c>
      <c r="I514" s="325">
        <v>0</v>
      </c>
      <c r="J514" s="325">
        <v>0</v>
      </c>
      <c r="K514" s="326">
        <v>0</v>
      </c>
      <c r="L514" s="325">
        <v>0</v>
      </c>
      <c r="M514" s="325">
        <v>0</v>
      </c>
      <c r="N514" s="325">
        <v>0</v>
      </c>
      <c r="O514" s="325">
        <v>350602.74</v>
      </c>
      <c r="P514" s="325">
        <v>0</v>
      </c>
      <c r="Q514" s="325">
        <v>0</v>
      </c>
      <c r="R514" s="325">
        <v>0</v>
      </c>
      <c r="S514" s="325">
        <v>0</v>
      </c>
      <c r="T514" s="325">
        <v>0</v>
      </c>
      <c r="U514" s="325">
        <v>0</v>
      </c>
      <c r="V514" s="325">
        <v>0</v>
      </c>
      <c r="W514" s="325">
        <v>0</v>
      </c>
      <c r="X514" s="325">
        <v>0</v>
      </c>
      <c r="Y514" s="325">
        <v>0</v>
      </c>
      <c r="Z514" s="325">
        <v>0</v>
      </c>
      <c r="AA514" s="325">
        <v>0</v>
      </c>
      <c r="AB514" s="327">
        <v>2020</v>
      </c>
      <c r="AD514" s="4" t="e">
        <v>#N/A</v>
      </c>
    </row>
    <row r="515" spans="1:30" s="4" customFormat="1" ht="35.25" customHeight="1" x14ac:dyDescent="0.5">
      <c r="A515" s="4">
        <v>1</v>
      </c>
      <c r="B515" s="171">
        <f>SUBTOTAL(103,$A$8:A515)</f>
        <v>499</v>
      </c>
      <c r="C515" s="323" t="s">
        <v>2368</v>
      </c>
      <c r="D515" s="324">
        <f t="shared" si="20"/>
        <v>286924.78999999998</v>
      </c>
      <c r="E515" s="325">
        <v>0</v>
      </c>
      <c r="F515" s="325">
        <v>0</v>
      </c>
      <c r="G515" s="325">
        <v>0</v>
      </c>
      <c r="H515" s="325">
        <v>286924.78999999998</v>
      </c>
      <c r="I515" s="325">
        <v>0</v>
      </c>
      <c r="J515" s="325">
        <v>0</v>
      </c>
      <c r="K515" s="326">
        <v>0</v>
      </c>
      <c r="L515" s="325">
        <v>0</v>
      </c>
      <c r="M515" s="325">
        <v>0</v>
      </c>
      <c r="N515" s="325">
        <v>0</v>
      </c>
      <c r="O515" s="325">
        <v>0</v>
      </c>
      <c r="P515" s="325">
        <v>0</v>
      </c>
      <c r="Q515" s="325">
        <v>0</v>
      </c>
      <c r="R515" s="325">
        <v>0</v>
      </c>
      <c r="S515" s="325">
        <v>0</v>
      </c>
      <c r="T515" s="325">
        <v>0</v>
      </c>
      <c r="U515" s="325">
        <v>0</v>
      </c>
      <c r="V515" s="325">
        <v>0</v>
      </c>
      <c r="W515" s="325">
        <v>0</v>
      </c>
      <c r="X515" s="325">
        <v>0</v>
      </c>
      <c r="Y515" s="325">
        <v>0</v>
      </c>
      <c r="Z515" s="325">
        <v>0</v>
      </c>
      <c r="AA515" s="325">
        <v>0</v>
      </c>
      <c r="AB515" s="327">
        <v>2020</v>
      </c>
      <c r="AD515" s="4" t="e">
        <v>#N/A</v>
      </c>
    </row>
    <row r="516" spans="1:30" s="4" customFormat="1" ht="35.25" customHeight="1" x14ac:dyDescent="0.5">
      <c r="A516" s="4">
        <v>1</v>
      </c>
      <c r="B516" s="171">
        <f>SUBTOTAL(103,$A$8:A516)</f>
        <v>500</v>
      </c>
      <c r="C516" s="323" t="s">
        <v>2369</v>
      </c>
      <c r="D516" s="324">
        <f t="shared" si="20"/>
        <v>439885.27</v>
      </c>
      <c r="E516" s="325">
        <v>0</v>
      </c>
      <c r="F516" s="325">
        <v>439885.27</v>
      </c>
      <c r="G516" s="325">
        <v>0</v>
      </c>
      <c r="H516" s="325">
        <v>0</v>
      </c>
      <c r="I516" s="325">
        <v>0</v>
      </c>
      <c r="J516" s="325">
        <v>0</v>
      </c>
      <c r="K516" s="326">
        <v>0</v>
      </c>
      <c r="L516" s="325">
        <v>0</v>
      </c>
      <c r="M516" s="325">
        <v>0</v>
      </c>
      <c r="N516" s="325">
        <v>0</v>
      </c>
      <c r="O516" s="325">
        <v>0</v>
      </c>
      <c r="P516" s="325">
        <v>0</v>
      </c>
      <c r="Q516" s="325">
        <v>0</v>
      </c>
      <c r="R516" s="325">
        <v>0</v>
      </c>
      <c r="S516" s="325">
        <v>0</v>
      </c>
      <c r="T516" s="325">
        <v>0</v>
      </c>
      <c r="U516" s="325">
        <v>0</v>
      </c>
      <c r="V516" s="325">
        <v>0</v>
      </c>
      <c r="W516" s="325">
        <v>0</v>
      </c>
      <c r="X516" s="325">
        <v>0</v>
      </c>
      <c r="Y516" s="325">
        <v>0</v>
      </c>
      <c r="Z516" s="325">
        <v>0</v>
      </c>
      <c r="AA516" s="325">
        <v>0</v>
      </c>
      <c r="AB516" s="327">
        <v>2020</v>
      </c>
      <c r="AD516" s="4" t="e">
        <v>#N/A</v>
      </c>
    </row>
    <row r="517" spans="1:30" s="4" customFormat="1" ht="35.25" customHeight="1" x14ac:dyDescent="0.5">
      <c r="A517" s="4">
        <v>1</v>
      </c>
      <c r="B517" s="171">
        <f>SUBTOTAL(103,$A$8:A517)</f>
        <v>501</v>
      </c>
      <c r="C517" s="323" t="s">
        <v>2549</v>
      </c>
      <c r="D517" s="324">
        <f t="shared" si="20"/>
        <v>171486</v>
      </c>
      <c r="E517" s="325">
        <v>0</v>
      </c>
      <c r="F517" s="325">
        <v>0</v>
      </c>
      <c r="G517" s="325">
        <v>0</v>
      </c>
      <c r="H517" s="325">
        <v>0</v>
      </c>
      <c r="I517" s="325">
        <v>0</v>
      </c>
      <c r="J517" s="325">
        <v>0</v>
      </c>
      <c r="K517" s="326">
        <v>0</v>
      </c>
      <c r="L517" s="325">
        <v>0</v>
      </c>
      <c r="M517" s="325">
        <v>0</v>
      </c>
      <c r="N517" s="325">
        <v>0</v>
      </c>
      <c r="O517" s="325">
        <v>171486</v>
      </c>
      <c r="P517" s="325">
        <v>0</v>
      </c>
      <c r="Q517" s="325">
        <v>0</v>
      </c>
      <c r="R517" s="325">
        <v>0</v>
      </c>
      <c r="S517" s="325">
        <v>0</v>
      </c>
      <c r="T517" s="325">
        <v>0</v>
      </c>
      <c r="U517" s="325">
        <v>0</v>
      </c>
      <c r="V517" s="325">
        <v>0</v>
      </c>
      <c r="W517" s="325">
        <v>0</v>
      </c>
      <c r="X517" s="325">
        <v>0</v>
      </c>
      <c r="Y517" s="325">
        <v>0</v>
      </c>
      <c r="Z517" s="325">
        <v>0</v>
      </c>
      <c r="AA517" s="325">
        <v>0</v>
      </c>
      <c r="AB517" s="327">
        <v>2020</v>
      </c>
      <c r="AD517" s="4">
        <v>0</v>
      </c>
    </row>
    <row r="518" spans="1:30" s="4" customFormat="1" ht="35.25" customHeight="1" x14ac:dyDescent="0.5">
      <c r="A518" s="4">
        <v>1</v>
      </c>
      <c r="B518" s="171">
        <f>SUBTOTAL(103,$A$8:A518)</f>
        <v>502</v>
      </c>
      <c r="C518" s="323" t="s">
        <v>2370</v>
      </c>
      <c r="D518" s="324">
        <f t="shared" si="20"/>
        <v>222074</v>
      </c>
      <c r="E518" s="325">
        <v>0</v>
      </c>
      <c r="F518" s="325">
        <v>0</v>
      </c>
      <c r="G518" s="325">
        <v>0</v>
      </c>
      <c r="H518" s="325">
        <v>0</v>
      </c>
      <c r="I518" s="325">
        <v>0</v>
      </c>
      <c r="J518" s="325">
        <v>0</v>
      </c>
      <c r="K518" s="326">
        <v>0</v>
      </c>
      <c r="L518" s="325">
        <v>0</v>
      </c>
      <c r="M518" s="325">
        <v>0</v>
      </c>
      <c r="N518" s="325">
        <v>0</v>
      </c>
      <c r="O518" s="325">
        <v>222074</v>
      </c>
      <c r="P518" s="325">
        <v>0</v>
      </c>
      <c r="Q518" s="325">
        <v>0</v>
      </c>
      <c r="R518" s="325">
        <v>0</v>
      </c>
      <c r="S518" s="325">
        <v>0</v>
      </c>
      <c r="T518" s="325">
        <v>0</v>
      </c>
      <c r="U518" s="325">
        <v>0</v>
      </c>
      <c r="V518" s="325">
        <v>0</v>
      </c>
      <c r="W518" s="325">
        <v>0</v>
      </c>
      <c r="X518" s="325">
        <v>0</v>
      </c>
      <c r="Y518" s="325">
        <v>0</v>
      </c>
      <c r="Z518" s="325">
        <v>0</v>
      </c>
      <c r="AA518" s="325">
        <v>0</v>
      </c>
      <c r="AB518" s="327">
        <v>2020</v>
      </c>
      <c r="AD518" s="4" t="e">
        <v>#N/A</v>
      </c>
    </row>
    <row r="519" spans="1:30" s="4" customFormat="1" ht="35.25" customHeight="1" x14ac:dyDescent="0.5">
      <c r="A519" s="4">
        <v>1</v>
      </c>
      <c r="B519" s="171">
        <f>SUBTOTAL(103,$A$8:A519)</f>
        <v>503</v>
      </c>
      <c r="C519" s="323" t="s">
        <v>2371</v>
      </c>
      <c r="D519" s="324">
        <f t="shared" si="20"/>
        <v>317206</v>
      </c>
      <c r="E519" s="325">
        <v>0</v>
      </c>
      <c r="F519" s="325">
        <v>0</v>
      </c>
      <c r="G519" s="325">
        <v>0</v>
      </c>
      <c r="H519" s="325">
        <v>0</v>
      </c>
      <c r="I519" s="325">
        <v>0</v>
      </c>
      <c r="J519" s="325">
        <v>0</v>
      </c>
      <c r="K519" s="326">
        <v>0</v>
      </c>
      <c r="L519" s="325">
        <v>0</v>
      </c>
      <c r="M519" s="325">
        <v>0</v>
      </c>
      <c r="N519" s="325">
        <v>317206</v>
      </c>
      <c r="O519" s="325">
        <v>0</v>
      </c>
      <c r="P519" s="325">
        <v>0</v>
      </c>
      <c r="Q519" s="325">
        <v>0</v>
      </c>
      <c r="R519" s="325">
        <v>0</v>
      </c>
      <c r="S519" s="325">
        <v>0</v>
      </c>
      <c r="T519" s="325">
        <v>0</v>
      </c>
      <c r="U519" s="325">
        <v>0</v>
      </c>
      <c r="V519" s="325">
        <v>0</v>
      </c>
      <c r="W519" s="325">
        <v>0</v>
      </c>
      <c r="X519" s="325">
        <v>0</v>
      </c>
      <c r="Y519" s="325">
        <v>0</v>
      </c>
      <c r="Z519" s="325">
        <v>0</v>
      </c>
      <c r="AA519" s="325">
        <v>0</v>
      </c>
      <c r="AB519" s="327">
        <v>2020</v>
      </c>
      <c r="AD519" s="4" t="e">
        <v>#N/A</v>
      </c>
    </row>
    <row r="520" spans="1:30" s="4" customFormat="1" ht="35.25" customHeight="1" x14ac:dyDescent="0.5">
      <c r="A520" s="4">
        <v>1</v>
      </c>
      <c r="B520" s="171">
        <f>SUBTOTAL(103,$A$8:A520)</f>
        <v>504</v>
      </c>
      <c r="C520" s="323" t="s">
        <v>2372</v>
      </c>
      <c r="D520" s="324">
        <f t="shared" si="20"/>
        <v>344392.06</v>
      </c>
      <c r="E520" s="325">
        <v>0</v>
      </c>
      <c r="F520" s="325">
        <v>0</v>
      </c>
      <c r="G520" s="325">
        <v>0</v>
      </c>
      <c r="H520" s="325">
        <v>0</v>
      </c>
      <c r="I520" s="325">
        <v>0</v>
      </c>
      <c r="J520" s="325">
        <v>0</v>
      </c>
      <c r="K520" s="326">
        <v>0</v>
      </c>
      <c r="L520" s="325">
        <v>0</v>
      </c>
      <c r="M520" s="325">
        <v>0</v>
      </c>
      <c r="N520" s="325">
        <v>0</v>
      </c>
      <c r="O520" s="325">
        <v>344392.06</v>
      </c>
      <c r="P520" s="325">
        <v>0</v>
      </c>
      <c r="Q520" s="325">
        <v>0</v>
      </c>
      <c r="R520" s="325">
        <v>0</v>
      </c>
      <c r="S520" s="325">
        <v>0</v>
      </c>
      <c r="T520" s="325">
        <v>0</v>
      </c>
      <c r="U520" s="325">
        <v>0</v>
      </c>
      <c r="V520" s="325">
        <v>0</v>
      </c>
      <c r="W520" s="325">
        <v>0</v>
      </c>
      <c r="X520" s="325">
        <v>0</v>
      </c>
      <c r="Y520" s="325">
        <v>0</v>
      </c>
      <c r="Z520" s="325">
        <v>0</v>
      </c>
      <c r="AA520" s="325">
        <v>0</v>
      </c>
      <c r="AB520" s="327">
        <v>2020</v>
      </c>
      <c r="AD520" s="4" t="e">
        <v>#N/A</v>
      </c>
    </row>
    <row r="521" spans="1:30" s="4" customFormat="1" ht="35.25" customHeight="1" x14ac:dyDescent="0.5">
      <c r="A521" s="4">
        <v>1</v>
      </c>
      <c r="B521" s="171">
        <f>SUBTOTAL(103,$A$8:A521)</f>
        <v>505</v>
      </c>
      <c r="C521" s="323" t="s">
        <v>2373</v>
      </c>
      <c r="D521" s="324">
        <f t="shared" si="20"/>
        <v>197002.64</v>
      </c>
      <c r="E521" s="325">
        <v>0</v>
      </c>
      <c r="F521" s="325">
        <v>0</v>
      </c>
      <c r="G521" s="325">
        <v>0</v>
      </c>
      <c r="H521" s="325">
        <v>0</v>
      </c>
      <c r="I521" s="325">
        <v>0</v>
      </c>
      <c r="J521" s="325">
        <v>0</v>
      </c>
      <c r="K521" s="326">
        <v>0</v>
      </c>
      <c r="L521" s="325">
        <v>0</v>
      </c>
      <c r="M521" s="325">
        <v>0</v>
      </c>
      <c r="N521" s="325">
        <v>0</v>
      </c>
      <c r="O521" s="325">
        <v>197002.64</v>
      </c>
      <c r="P521" s="325">
        <v>0</v>
      </c>
      <c r="Q521" s="325">
        <v>0</v>
      </c>
      <c r="R521" s="325">
        <v>0</v>
      </c>
      <c r="S521" s="325">
        <v>0</v>
      </c>
      <c r="T521" s="325">
        <v>0</v>
      </c>
      <c r="U521" s="325">
        <v>0</v>
      </c>
      <c r="V521" s="325">
        <v>0</v>
      </c>
      <c r="W521" s="325">
        <v>0</v>
      </c>
      <c r="X521" s="325">
        <v>0</v>
      </c>
      <c r="Y521" s="325">
        <v>0</v>
      </c>
      <c r="Z521" s="325">
        <v>0</v>
      </c>
      <c r="AA521" s="325">
        <v>0</v>
      </c>
      <c r="AB521" s="327">
        <v>2020</v>
      </c>
      <c r="AD521" s="4" t="e">
        <v>#N/A</v>
      </c>
    </row>
    <row r="522" spans="1:30" s="4" customFormat="1" ht="35.25" customHeight="1" x14ac:dyDescent="0.5">
      <c r="A522" s="4">
        <v>1</v>
      </c>
      <c r="B522" s="171">
        <f>SUBTOTAL(103,$A$8:A522)</f>
        <v>506</v>
      </c>
      <c r="C522" s="323" t="s">
        <v>2374</v>
      </c>
      <c r="D522" s="324">
        <f t="shared" si="20"/>
        <v>192411</v>
      </c>
      <c r="E522" s="325">
        <v>0</v>
      </c>
      <c r="F522" s="325">
        <v>0</v>
      </c>
      <c r="G522" s="325">
        <v>192411</v>
      </c>
      <c r="H522" s="325">
        <v>0</v>
      </c>
      <c r="I522" s="325">
        <v>0</v>
      </c>
      <c r="J522" s="325">
        <v>0</v>
      </c>
      <c r="K522" s="326">
        <v>0</v>
      </c>
      <c r="L522" s="325">
        <v>0</v>
      </c>
      <c r="M522" s="325">
        <v>0</v>
      </c>
      <c r="N522" s="325">
        <v>0</v>
      </c>
      <c r="O522" s="325">
        <v>0</v>
      </c>
      <c r="P522" s="325">
        <v>0</v>
      </c>
      <c r="Q522" s="325">
        <v>0</v>
      </c>
      <c r="R522" s="325">
        <v>0</v>
      </c>
      <c r="S522" s="325">
        <v>0</v>
      </c>
      <c r="T522" s="325">
        <v>0</v>
      </c>
      <c r="U522" s="325">
        <v>0</v>
      </c>
      <c r="V522" s="325">
        <v>0</v>
      </c>
      <c r="W522" s="325">
        <v>0</v>
      </c>
      <c r="X522" s="325">
        <v>0</v>
      </c>
      <c r="Y522" s="325">
        <v>0</v>
      </c>
      <c r="Z522" s="325">
        <v>0</v>
      </c>
      <c r="AA522" s="325">
        <v>0</v>
      </c>
      <c r="AB522" s="327">
        <v>2020</v>
      </c>
      <c r="AD522" s="4" t="e">
        <v>#N/A</v>
      </c>
    </row>
    <row r="523" spans="1:30" s="4" customFormat="1" ht="35.25" customHeight="1" x14ac:dyDescent="0.5">
      <c r="A523" s="4">
        <v>1</v>
      </c>
      <c r="B523" s="171">
        <f>SUBTOTAL(103,$A$8:A523)</f>
        <v>507</v>
      </c>
      <c r="C523" s="323" t="s">
        <v>2375</v>
      </c>
      <c r="D523" s="324">
        <f t="shared" si="20"/>
        <v>141413</v>
      </c>
      <c r="E523" s="325">
        <v>141413</v>
      </c>
      <c r="F523" s="325">
        <v>0</v>
      </c>
      <c r="G523" s="325">
        <v>0</v>
      </c>
      <c r="H523" s="325">
        <v>0</v>
      </c>
      <c r="I523" s="325">
        <v>0</v>
      </c>
      <c r="J523" s="325">
        <v>0</v>
      </c>
      <c r="K523" s="326">
        <v>0</v>
      </c>
      <c r="L523" s="325">
        <v>0</v>
      </c>
      <c r="M523" s="325">
        <v>0</v>
      </c>
      <c r="N523" s="325">
        <v>0</v>
      </c>
      <c r="O523" s="325">
        <v>0</v>
      </c>
      <c r="P523" s="325">
        <v>0</v>
      </c>
      <c r="Q523" s="325">
        <v>0</v>
      </c>
      <c r="R523" s="325">
        <v>0</v>
      </c>
      <c r="S523" s="325">
        <v>0</v>
      </c>
      <c r="T523" s="325">
        <v>0</v>
      </c>
      <c r="U523" s="325">
        <v>0</v>
      </c>
      <c r="V523" s="325">
        <v>0</v>
      </c>
      <c r="W523" s="325">
        <v>0</v>
      </c>
      <c r="X523" s="325">
        <v>0</v>
      </c>
      <c r="Y523" s="325">
        <v>0</v>
      </c>
      <c r="Z523" s="325">
        <v>0</v>
      </c>
      <c r="AA523" s="325">
        <v>0</v>
      </c>
      <c r="AB523" s="327">
        <v>2020</v>
      </c>
      <c r="AD523" s="4" t="e">
        <v>#N/A</v>
      </c>
    </row>
    <row r="524" spans="1:30" s="4" customFormat="1" ht="35.25" customHeight="1" x14ac:dyDescent="0.5">
      <c r="A524" s="4">
        <v>1</v>
      </c>
      <c r="B524" s="171">
        <f>SUBTOTAL(103,$A$8:A524)</f>
        <v>508</v>
      </c>
      <c r="C524" s="323" t="s">
        <v>1824</v>
      </c>
      <c r="D524" s="324">
        <f t="shared" si="20"/>
        <v>287727.55</v>
      </c>
      <c r="E524" s="325">
        <v>0</v>
      </c>
      <c r="F524" s="325">
        <v>287727.55</v>
      </c>
      <c r="G524" s="325">
        <v>0</v>
      </c>
      <c r="H524" s="325">
        <v>0</v>
      </c>
      <c r="I524" s="325">
        <v>0</v>
      </c>
      <c r="J524" s="325">
        <v>0</v>
      </c>
      <c r="K524" s="326">
        <v>0</v>
      </c>
      <c r="L524" s="325">
        <v>0</v>
      </c>
      <c r="M524" s="325">
        <v>0</v>
      </c>
      <c r="N524" s="325">
        <v>0</v>
      </c>
      <c r="O524" s="325">
        <v>0</v>
      </c>
      <c r="P524" s="325">
        <v>0</v>
      </c>
      <c r="Q524" s="325">
        <v>0</v>
      </c>
      <c r="R524" s="325">
        <v>0</v>
      </c>
      <c r="S524" s="325">
        <v>0</v>
      </c>
      <c r="T524" s="325">
        <v>0</v>
      </c>
      <c r="U524" s="325">
        <v>0</v>
      </c>
      <c r="V524" s="325">
        <v>0</v>
      </c>
      <c r="W524" s="325">
        <v>0</v>
      </c>
      <c r="X524" s="325">
        <v>0</v>
      </c>
      <c r="Y524" s="325">
        <v>0</v>
      </c>
      <c r="Z524" s="325">
        <v>0</v>
      </c>
      <c r="AA524" s="325">
        <v>0</v>
      </c>
      <c r="AB524" s="327">
        <v>2020</v>
      </c>
      <c r="AD524" s="4" t="e">
        <v>#N/A</v>
      </c>
    </row>
    <row r="525" spans="1:30" s="4" customFormat="1" ht="35.25" customHeight="1" x14ac:dyDescent="0.5">
      <c r="A525" s="4">
        <v>1</v>
      </c>
      <c r="B525" s="171">
        <f>SUBTOTAL(103,$A$8:A525)</f>
        <v>509</v>
      </c>
      <c r="C525" s="323" t="s">
        <v>2376</v>
      </c>
      <c r="D525" s="324">
        <f t="shared" si="20"/>
        <v>632456.41</v>
      </c>
      <c r="E525" s="325">
        <v>0</v>
      </c>
      <c r="F525" s="325">
        <v>0</v>
      </c>
      <c r="G525" s="325">
        <v>0</v>
      </c>
      <c r="H525" s="325">
        <v>0</v>
      </c>
      <c r="I525" s="325">
        <v>0</v>
      </c>
      <c r="J525" s="325">
        <v>0</v>
      </c>
      <c r="K525" s="326">
        <v>0</v>
      </c>
      <c r="L525" s="325">
        <v>0</v>
      </c>
      <c r="M525" s="325">
        <v>632456.41</v>
      </c>
      <c r="N525" s="325">
        <v>0</v>
      </c>
      <c r="O525" s="325">
        <v>0</v>
      </c>
      <c r="P525" s="325">
        <v>0</v>
      </c>
      <c r="Q525" s="325">
        <v>0</v>
      </c>
      <c r="R525" s="325">
        <v>0</v>
      </c>
      <c r="S525" s="325">
        <v>0</v>
      </c>
      <c r="T525" s="325">
        <v>0</v>
      </c>
      <c r="U525" s="325">
        <v>0</v>
      </c>
      <c r="V525" s="325">
        <v>0</v>
      </c>
      <c r="W525" s="325">
        <v>0</v>
      </c>
      <c r="X525" s="325">
        <v>0</v>
      </c>
      <c r="Y525" s="325">
        <v>0</v>
      </c>
      <c r="Z525" s="325">
        <v>0</v>
      </c>
      <c r="AA525" s="325">
        <v>0</v>
      </c>
      <c r="AB525" s="327">
        <v>2020</v>
      </c>
      <c r="AD525" s="4" t="e">
        <v>#N/A</v>
      </c>
    </row>
    <row r="526" spans="1:30" s="4" customFormat="1" ht="35.25" customHeight="1" x14ac:dyDescent="0.5">
      <c r="A526" s="4">
        <v>1</v>
      </c>
      <c r="B526" s="171">
        <f>SUBTOTAL(103,$A$8:A526)</f>
        <v>510</v>
      </c>
      <c r="C526" s="323" t="s">
        <v>2377</v>
      </c>
      <c r="D526" s="324">
        <f t="shared" si="20"/>
        <v>739200.25</v>
      </c>
      <c r="E526" s="325">
        <v>0</v>
      </c>
      <c r="F526" s="325">
        <v>0</v>
      </c>
      <c r="G526" s="325">
        <v>0</v>
      </c>
      <c r="H526" s="325">
        <v>0</v>
      </c>
      <c r="I526" s="325">
        <v>0</v>
      </c>
      <c r="J526" s="325">
        <v>0</v>
      </c>
      <c r="K526" s="326">
        <v>0</v>
      </c>
      <c r="L526" s="325">
        <v>0</v>
      </c>
      <c r="M526" s="325">
        <v>0</v>
      </c>
      <c r="N526" s="325">
        <v>0</v>
      </c>
      <c r="O526" s="325">
        <v>739200.25</v>
      </c>
      <c r="P526" s="325">
        <v>0</v>
      </c>
      <c r="Q526" s="325">
        <v>0</v>
      </c>
      <c r="R526" s="325">
        <v>0</v>
      </c>
      <c r="S526" s="325">
        <v>0</v>
      </c>
      <c r="T526" s="325">
        <v>0</v>
      </c>
      <c r="U526" s="325">
        <v>0</v>
      </c>
      <c r="V526" s="325">
        <v>0</v>
      </c>
      <c r="W526" s="325">
        <v>0</v>
      </c>
      <c r="X526" s="325">
        <v>0</v>
      </c>
      <c r="Y526" s="325">
        <v>0</v>
      </c>
      <c r="Z526" s="325">
        <v>0</v>
      </c>
      <c r="AA526" s="325">
        <v>0</v>
      </c>
      <c r="AB526" s="327">
        <v>2020</v>
      </c>
      <c r="AD526" s="4" t="e">
        <v>#N/A</v>
      </c>
    </row>
    <row r="527" spans="1:30" s="4" customFormat="1" ht="35.25" customHeight="1" x14ac:dyDescent="0.5">
      <c r="A527" s="4">
        <v>1</v>
      </c>
      <c r="B527" s="171">
        <f>SUBTOTAL(103,$A$8:A527)</f>
        <v>511</v>
      </c>
      <c r="C527" s="323" t="s">
        <v>2378</v>
      </c>
      <c r="D527" s="324">
        <f t="shared" si="20"/>
        <v>418000.41</v>
      </c>
      <c r="E527" s="325">
        <v>0</v>
      </c>
      <c r="F527" s="325">
        <v>0</v>
      </c>
      <c r="G527" s="325">
        <v>0</v>
      </c>
      <c r="H527" s="325">
        <v>0</v>
      </c>
      <c r="I527" s="325">
        <v>0</v>
      </c>
      <c r="J527" s="325">
        <v>0</v>
      </c>
      <c r="K527" s="326">
        <v>0</v>
      </c>
      <c r="L527" s="325">
        <v>0</v>
      </c>
      <c r="M527" s="325">
        <v>0</v>
      </c>
      <c r="N527" s="325">
        <v>0</v>
      </c>
      <c r="O527" s="325">
        <v>418000.41</v>
      </c>
      <c r="P527" s="325">
        <v>0</v>
      </c>
      <c r="Q527" s="325">
        <v>0</v>
      </c>
      <c r="R527" s="325">
        <v>0</v>
      </c>
      <c r="S527" s="325">
        <v>0</v>
      </c>
      <c r="T527" s="325">
        <v>0</v>
      </c>
      <c r="U527" s="325">
        <v>0</v>
      </c>
      <c r="V527" s="325">
        <v>0</v>
      </c>
      <c r="W527" s="325">
        <v>0</v>
      </c>
      <c r="X527" s="325">
        <v>0</v>
      </c>
      <c r="Y527" s="325">
        <v>0</v>
      </c>
      <c r="Z527" s="325">
        <v>0</v>
      </c>
      <c r="AA527" s="325">
        <v>0</v>
      </c>
      <c r="AB527" s="327">
        <v>2020</v>
      </c>
      <c r="AD527" s="4" t="e">
        <v>#N/A</v>
      </c>
    </row>
    <row r="528" spans="1:30" s="4" customFormat="1" ht="35.25" customHeight="1" x14ac:dyDescent="0.5">
      <c r="A528" s="4">
        <v>1</v>
      </c>
      <c r="B528" s="171">
        <f>SUBTOTAL(103,$A$8:A528)</f>
        <v>512</v>
      </c>
      <c r="C528" s="323" t="s">
        <v>2379</v>
      </c>
      <c r="D528" s="324">
        <f t="shared" si="20"/>
        <v>985840</v>
      </c>
      <c r="E528" s="325">
        <v>0</v>
      </c>
      <c r="F528" s="325">
        <v>0</v>
      </c>
      <c r="G528" s="325">
        <v>0</v>
      </c>
      <c r="H528" s="325">
        <v>0</v>
      </c>
      <c r="I528" s="325">
        <v>0</v>
      </c>
      <c r="J528" s="325">
        <v>0</v>
      </c>
      <c r="K528" s="326">
        <v>0</v>
      </c>
      <c r="L528" s="325">
        <v>0</v>
      </c>
      <c r="M528" s="325">
        <v>0</v>
      </c>
      <c r="N528" s="325">
        <v>0</v>
      </c>
      <c r="O528" s="325">
        <v>985840</v>
      </c>
      <c r="P528" s="325">
        <v>0</v>
      </c>
      <c r="Q528" s="325">
        <v>0</v>
      </c>
      <c r="R528" s="325">
        <v>0</v>
      </c>
      <c r="S528" s="325">
        <v>0</v>
      </c>
      <c r="T528" s="325">
        <v>0</v>
      </c>
      <c r="U528" s="325">
        <v>0</v>
      </c>
      <c r="V528" s="325">
        <v>0</v>
      </c>
      <c r="W528" s="325">
        <v>0</v>
      </c>
      <c r="X528" s="325">
        <v>0</v>
      </c>
      <c r="Y528" s="325">
        <v>0</v>
      </c>
      <c r="Z528" s="325">
        <v>0</v>
      </c>
      <c r="AA528" s="325">
        <v>0</v>
      </c>
      <c r="AB528" s="327">
        <v>2020</v>
      </c>
      <c r="AD528" s="4" t="e">
        <v>#N/A</v>
      </c>
    </row>
    <row r="529" spans="1:30" s="4" customFormat="1" ht="35.25" customHeight="1" x14ac:dyDescent="0.5">
      <c r="A529" s="4">
        <v>1</v>
      </c>
      <c r="B529" s="171">
        <f>SUBTOTAL(103,$A$8:A529)</f>
        <v>513</v>
      </c>
      <c r="C529" s="323" t="s">
        <v>2380</v>
      </c>
      <c r="D529" s="324">
        <f t="shared" si="20"/>
        <v>6114559.5</v>
      </c>
      <c r="E529" s="325">
        <v>0</v>
      </c>
      <c r="F529" s="325">
        <v>0</v>
      </c>
      <c r="G529" s="325">
        <v>0</v>
      </c>
      <c r="H529" s="325">
        <v>0</v>
      </c>
      <c r="I529" s="325">
        <v>0</v>
      </c>
      <c r="J529" s="325">
        <v>0</v>
      </c>
      <c r="K529" s="326">
        <v>0</v>
      </c>
      <c r="L529" s="325">
        <v>0</v>
      </c>
      <c r="M529" s="325">
        <v>0</v>
      </c>
      <c r="N529" s="325">
        <v>0</v>
      </c>
      <c r="O529" s="325">
        <v>6114559.5</v>
      </c>
      <c r="P529" s="325">
        <v>0</v>
      </c>
      <c r="Q529" s="325">
        <v>0</v>
      </c>
      <c r="R529" s="325">
        <v>0</v>
      </c>
      <c r="S529" s="325">
        <v>0</v>
      </c>
      <c r="T529" s="325">
        <v>0</v>
      </c>
      <c r="U529" s="325">
        <v>0</v>
      </c>
      <c r="V529" s="325">
        <v>0</v>
      </c>
      <c r="W529" s="325">
        <v>0</v>
      </c>
      <c r="X529" s="325">
        <v>0</v>
      </c>
      <c r="Y529" s="325">
        <v>0</v>
      </c>
      <c r="Z529" s="325">
        <v>0</v>
      </c>
      <c r="AA529" s="325">
        <v>0</v>
      </c>
      <c r="AB529" s="327">
        <v>2020</v>
      </c>
      <c r="AD529" s="4" t="e">
        <v>#N/A</v>
      </c>
    </row>
    <row r="530" spans="1:30" s="4" customFormat="1" ht="35.25" customHeight="1" x14ac:dyDescent="0.5">
      <c r="A530" s="4">
        <v>1</v>
      </c>
      <c r="B530" s="171">
        <f>SUBTOTAL(103,$A$8:A530)</f>
        <v>514</v>
      </c>
      <c r="C530" s="323" t="s">
        <v>2550</v>
      </c>
      <c r="D530" s="324">
        <f t="shared" si="20"/>
        <v>6494130</v>
      </c>
      <c r="E530" s="325">
        <v>0</v>
      </c>
      <c r="F530" s="325">
        <v>1414066</v>
      </c>
      <c r="G530" s="325">
        <v>0</v>
      </c>
      <c r="H530" s="325">
        <v>0</v>
      </c>
      <c r="I530" s="325">
        <v>0</v>
      </c>
      <c r="J530" s="325">
        <v>0</v>
      </c>
      <c r="K530" s="326">
        <v>0</v>
      </c>
      <c r="L530" s="325">
        <v>0</v>
      </c>
      <c r="M530" s="325">
        <v>0</v>
      </c>
      <c r="N530" s="325">
        <v>0</v>
      </c>
      <c r="O530" s="325">
        <v>5080064</v>
      </c>
      <c r="P530" s="325">
        <v>0</v>
      </c>
      <c r="Q530" s="325">
        <v>0</v>
      </c>
      <c r="R530" s="325">
        <v>0</v>
      </c>
      <c r="S530" s="325">
        <v>0</v>
      </c>
      <c r="T530" s="325">
        <v>0</v>
      </c>
      <c r="U530" s="325">
        <v>0</v>
      </c>
      <c r="V530" s="325">
        <v>0</v>
      </c>
      <c r="W530" s="325">
        <v>0</v>
      </c>
      <c r="X530" s="325">
        <v>0</v>
      </c>
      <c r="Y530" s="325">
        <v>0</v>
      </c>
      <c r="Z530" s="325">
        <v>0</v>
      </c>
      <c r="AA530" s="325">
        <v>0</v>
      </c>
      <c r="AB530" s="327">
        <v>2020</v>
      </c>
      <c r="AD530" s="4">
        <v>0</v>
      </c>
    </row>
    <row r="531" spans="1:30" s="4" customFormat="1" ht="35.25" customHeight="1" x14ac:dyDescent="0.5">
      <c r="A531" s="4">
        <v>1</v>
      </c>
      <c r="B531" s="171">
        <f>SUBTOTAL(103,$A$8:A531)</f>
        <v>515</v>
      </c>
      <c r="C531" s="323" t="s">
        <v>2551</v>
      </c>
      <c r="D531" s="324">
        <f t="shared" si="20"/>
        <v>834824.21</v>
      </c>
      <c r="E531" s="325">
        <v>0</v>
      </c>
      <c r="F531" s="325">
        <v>0</v>
      </c>
      <c r="G531" s="325">
        <v>834824.21</v>
      </c>
      <c r="H531" s="325">
        <v>0</v>
      </c>
      <c r="I531" s="325">
        <v>0</v>
      </c>
      <c r="J531" s="325">
        <v>0</v>
      </c>
      <c r="K531" s="326">
        <v>0</v>
      </c>
      <c r="L531" s="325">
        <v>0</v>
      </c>
      <c r="M531" s="325">
        <v>0</v>
      </c>
      <c r="N531" s="325">
        <v>0</v>
      </c>
      <c r="O531" s="325">
        <v>0</v>
      </c>
      <c r="P531" s="325">
        <v>0</v>
      </c>
      <c r="Q531" s="325">
        <v>0</v>
      </c>
      <c r="R531" s="325">
        <v>0</v>
      </c>
      <c r="S531" s="325">
        <v>0</v>
      </c>
      <c r="T531" s="325">
        <v>0</v>
      </c>
      <c r="U531" s="325">
        <v>0</v>
      </c>
      <c r="V531" s="325">
        <v>0</v>
      </c>
      <c r="W531" s="325">
        <v>0</v>
      </c>
      <c r="X531" s="325">
        <v>0</v>
      </c>
      <c r="Y531" s="325">
        <v>0</v>
      </c>
      <c r="Z531" s="325">
        <v>0</v>
      </c>
      <c r="AA531" s="325">
        <v>0</v>
      </c>
      <c r="AB531" s="327">
        <v>2020</v>
      </c>
      <c r="AD531" s="4">
        <v>0</v>
      </c>
    </row>
    <row r="532" spans="1:30" s="4" customFormat="1" ht="35.25" customHeight="1" x14ac:dyDescent="0.5">
      <c r="A532" s="4">
        <v>1</v>
      </c>
      <c r="B532" s="171">
        <f>SUBTOTAL(103,$A$8:A532)</f>
        <v>516</v>
      </c>
      <c r="C532" s="323" t="s">
        <v>2552</v>
      </c>
      <c r="D532" s="324">
        <f t="shared" si="20"/>
        <v>612901</v>
      </c>
      <c r="E532" s="325">
        <v>0</v>
      </c>
      <c r="F532" s="325">
        <v>0</v>
      </c>
      <c r="G532" s="325">
        <v>612901</v>
      </c>
      <c r="H532" s="325">
        <v>0</v>
      </c>
      <c r="I532" s="325">
        <v>0</v>
      </c>
      <c r="J532" s="325">
        <v>0</v>
      </c>
      <c r="K532" s="326">
        <v>0</v>
      </c>
      <c r="L532" s="325">
        <v>0</v>
      </c>
      <c r="M532" s="325">
        <v>0</v>
      </c>
      <c r="N532" s="325">
        <v>0</v>
      </c>
      <c r="O532" s="325">
        <v>0</v>
      </c>
      <c r="P532" s="325">
        <v>0</v>
      </c>
      <c r="Q532" s="325">
        <v>0</v>
      </c>
      <c r="R532" s="325">
        <v>0</v>
      </c>
      <c r="S532" s="325">
        <v>0</v>
      </c>
      <c r="T532" s="325">
        <v>0</v>
      </c>
      <c r="U532" s="325">
        <v>0</v>
      </c>
      <c r="V532" s="325">
        <v>0</v>
      </c>
      <c r="W532" s="325">
        <v>0</v>
      </c>
      <c r="X532" s="325">
        <v>0</v>
      </c>
      <c r="Y532" s="325">
        <v>0</v>
      </c>
      <c r="Z532" s="325">
        <v>0</v>
      </c>
      <c r="AA532" s="325">
        <v>0</v>
      </c>
      <c r="AB532" s="327">
        <v>2020</v>
      </c>
      <c r="AD532" s="4">
        <v>0</v>
      </c>
    </row>
    <row r="533" spans="1:30" s="4" customFormat="1" ht="35.25" customHeight="1" x14ac:dyDescent="0.5">
      <c r="A533" s="4">
        <v>1</v>
      </c>
      <c r="B533" s="171">
        <f>SUBTOTAL(103,$A$8:A533)</f>
        <v>517</v>
      </c>
      <c r="C533" s="323" t="s">
        <v>2553</v>
      </c>
      <c r="D533" s="324">
        <f t="shared" si="20"/>
        <v>354415.42</v>
      </c>
      <c r="E533" s="325">
        <v>0</v>
      </c>
      <c r="F533" s="325">
        <v>0</v>
      </c>
      <c r="G533" s="325">
        <v>354415.42</v>
      </c>
      <c r="H533" s="325">
        <v>0</v>
      </c>
      <c r="I533" s="325">
        <v>0</v>
      </c>
      <c r="J533" s="325">
        <v>0</v>
      </c>
      <c r="K533" s="326">
        <v>0</v>
      </c>
      <c r="L533" s="325">
        <v>0</v>
      </c>
      <c r="M533" s="325">
        <v>0</v>
      </c>
      <c r="N533" s="325">
        <v>0</v>
      </c>
      <c r="O533" s="325">
        <v>0</v>
      </c>
      <c r="P533" s="325">
        <v>0</v>
      </c>
      <c r="Q533" s="325">
        <v>0</v>
      </c>
      <c r="R533" s="325">
        <v>0</v>
      </c>
      <c r="S533" s="325">
        <v>0</v>
      </c>
      <c r="T533" s="325">
        <v>0</v>
      </c>
      <c r="U533" s="325">
        <v>0</v>
      </c>
      <c r="V533" s="325">
        <v>0</v>
      </c>
      <c r="W533" s="325">
        <v>0</v>
      </c>
      <c r="X533" s="325">
        <v>0</v>
      </c>
      <c r="Y533" s="325">
        <v>0</v>
      </c>
      <c r="Z533" s="325">
        <v>0</v>
      </c>
      <c r="AA533" s="325">
        <v>0</v>
      </c>
      <c r="AB533" s="327">
        <v>2020</v>
      </c>
      <c r="AD533" s="4">
        <v>0</v>
      </c>
    </row>
    <row r="534" spans="1:30" s="4" customFormat="1" ht="35.25" customHeight="1" x14ac:dyDescent="0.5">
      <c r="A534" s="4">
        <v>1</v>
      </c>
      <c r="B534" s="171">
        <f>SUBTOTAL(103,$A$8:A534)</f>
        <v>518</v>
      </c>
      <c r="C534" s="323" t="s">
        <v>2554</v>
      </c>
      <c r="D534" s="324">
        <f t="shared" si="20"/>
        <v>308983</v>
      </c>
      <c r="E534" s="325">
        <v>0</v>
      </c>
      <c r="F534" s="325">
        <v>0</v>
      </c>
      <c r="G534" s="325">
        <v>0</v>
      </c>
      <c r="H534" s="325">
        <v>0</v>
      </c>
      <c r="I534" s="325">
        <v>0</v>
      </c>
      <c r="J534" s="325">
        <v>0</v>
      </c>
      <c r="K534" s="326">
        <v>0</v>
      </c>
      <c r="L534" s="325">
        <v>0</v>
      </c>
      <c r="M534" s="325">
        <v>0</v>
      </c>
      <c r="N534" s="325">
        <v>0</v>
      </c>
      <c r="O534" s="325">
        <v>308983</v>
      </c>
      <c r="P534" s="325">
        <v>0</v>
      </c>
      <c r="Q534" s="325">
        <v>0</v>
      </c>
      <c r="R534" s="325">
        <v>0</v>
      </c>
      <c r="S534" s="325">
        <v>0</v>
      </c>
      <c r="T534" s="325">
        <v>0</v>
      </c>
      <c r="U534" s="325">
        <v>0</v>
      </c>
      <c r="V534" s="325">
        <v>0</v>
      </c>
      <c r="W534" s="325">
        <v>0</v>
      </c>
      <c r="X534" s="325">
        <v>0</v>
      </c>
      <c r="Y534" s="325">
        <v>0</v>
      </c>
      <c r="Z534" s="325">
        <v>0</v>
      </c>
      <c r="AA534" s="325">
        <v>0</v>
      </c>
      <c r="AB534" s="327">
        <v>2020</v>
      </c>
      <c r="AD534" s="4">
        <v>0</v>
      </c>
    </row>
    <row r="535" spans="1:30" s="4" customFormat="1" ht="35.25" customHeight="1" x14ac:dyDescent="0.5">
      <c r="A535" s="4">
        <v>1</v>
      </c>
      <c r="B535" s="171">
        <f>SUBTOTAL(103,$A$8:A535)</f>
        <v>519</v>
      </c>
      <c r="C535" s="323" t="s">
        <v>2555</v>
      </c>
      <c r="D535" s="324">
        <f t="shared" si="20"/>
        <v>406416.66</v>
      </c>
      <c r="E535" s="325">
        <v>0</v>
      </c>
      <c r="F535" s="325">
        <v>0</v>
      </c>
      <c r="G535" s="325">
        <v>0</v>
      </c>
      <c r="H535" s="325">
        <v>0</v>
      </c>
      <c r="I535" s="325">
        <v>0</v>
      </c>
      <c r="J535" s="325">
        <v>0</v>
      </c>
      <c r="K535" s="326">
        <v>0</v>
      </c>
      <c r="L535" s="325">
        <v>0</v>
      </c>
      <c r="M535" s="325">
        <v>0</v>
      </c>
      <c r="N535" s="325">
        <v>0</v>
      </c>
      <c r="O535" s="325">
        <v>406416.66</v>
      </c>
      <c r="P535" s="325">
        <v>0</v>
      </c>
      <c r="Q535" s="325">
        <v>0</v>
      </c>
      <c r="R535" s="325">
        <v>0</v>
      </c>
      <c r="S535" s="325">
        <v>0</v>
      </c>
      <c r="T535" s="325">
        <v>0</v>
      </c>
      <c r="U535" s="325">
        <v>0</v>
      </c>
      <c r="V535" s="325">
        <v>0</v>
      </c>
      <c r="W535" s="325">
        <v>0</v>
      </c>
      <c r="X535" s="325">
        <v>0</v>
      </c>
      <c r="Y535" s="325">
        <v>0</v>
      </c>
      <c r="Z535" s="325">
        <v>0</v>
      </c>
      <c r="AA535" s="325">
        <v>0</v>
      </c>
      <c r="AB535" s="327">
        <v>2020</v>
      </c>
      <c r="AD535" s="4">
        <v>0</v>
      </c>
    </row>
    <row r="536" spans="1:30" s="4" customFormat="1" ht="35.25" customHeight="1" x14ac:dyDescent="0.5">
      <c r="A536" s="4">
        <v>1</v>
      </c>
      <c r="B536" s="171">
        <f>SUBTOTAL(103,$A$8:A536)</f>
        <v>520</v>
      </c>
      <c r="C536" s="323" t="s">
        <v>2556</v>
      </c>
      <c r="D536" s="324">
        <f t="shared" si="20"/>
        <v>141060.10999999999</v>
      </c>
      <c r="E536" s="325">
        <v>0</v>
      </c>
      <c r="F536" s="325">
        <v>0</v>
      </c>
      <c r="G536" s="325">
        <v>0</v>
      </c>
      <c r="H536" s="325">
        <v>0</v>
      </c>
      <c r="I536" s="325">
        <v>0</v>
      </c>
      <c r="J536" s="325">
        <v>0</v>
      </c>
      <c r="K536" s="326">
        <v>0</v>
      </c>
      <c r="L536" s="325">
        <v>0</v>
      </c>
      <c r="M536" s="325">
        <v>0</v>
      </c>
      <c r="N536" s="325">
        <v>0</v>
      </c>
      <c r="O536" s="325">
        <v>141060.10999999999</v>
      </c>
      <c r="P536" s="325">
        <v>0</v>
      </c>
      <c r="Q536" s="325">
        <v>0</v>
      </c>
      <c r="R536" s="325">
        <v>0</v>
      </c>
      <c r="S536" s="325">
        <v>0</v>
      </c>
      <c r="T536" s="325">
        <v>0</v>
      </c>
      <c r="U536" s="325">
        <v>0</v>
      </c>
      <c r="V536" s="325">
        <v>0</v>
      </c>
      <c r="W536" s="325">
        <v>0</v>
      </c>
      <c r="X536" s="325">
        <v>0</v>
      </c>
      <c r="Y536" s="325">
        <v>0</v>
      </c>
      <c r="Z536" s="325">
        <v>0</v>
      </c>
      <c r="AA536" s="325">
        <v>0</v>
      </c>
      <c r="AB536" s="327">
        <v>2020</v>
      </c>
      <c r="AD536" s="4">
        <v>0</v>
      </c>
    </row>
    <row r="537" spans="1:30" s="4" customFormat="1" ht="35.25" customHeight="1" x14ac:dyDescent="0.5">
      <c r="A537" s="4">
        <v>1</v>
      </c>
      <c r="B537" s="171">
        <f>SUBTOTAL(103,$A$8:A537)</f>
        <v>521</v>
      </c>
      <c r="C537" s="323" t="s">
        <v>2169</v>
      </c>
      <c r="D537" s="324">
        <f t="shared" si="20"/>
        <v>297767</v>
      </c>
      <c r="E537" s="325">
        <v>0</v>
      </c>
      <c r="F537" s="325">
        <v>169948</v>
      </c>
      <c r="G537" s="325">
        <v>0</v>
      </c>
      <c r="H537" s="325">
        <v>127819</v>
      </c>
      <c r="I537" s="325">
        <v>0</v>
      </c>
      <c r="J537" s="325">
        <v>0</v>
      </c>
      <c r="K537" s="326">
        <v>0</v>
      </c>
      <c r="L537" s="325">
        <v>0</v>
      </c>
      <c r="M537" s="325">
        <v>0</v>
      </c>
      <c r="N537" s="325">
        <v>0</v>
      </c>
      <c r="O537" s="325">
        <v>0</v>
      </c>
      <c r="P537" s="325">
        <v>0</v>
      </c>
      <c r="Q537" s="325">
        <v>0</v>
      </c>
      <c r="R537" s="325">
        <v>0</v>
      </c>
      <c r="S537" s="325">
        <v>0</v>
      </c>
      <c r="T537" s="325">
        <v>0</v>
      </c>
      <c r="U537" s="325">
        <v>0</v>
      </c>
      <c r="V537" s="325">
        <v>0</v>
      </c>
      <c r="W537" s="325">
        <v>0</v>
      </c>
      <c r="X537" s="325">
        <v>0</v>
      </c>
      <c r="Y537" s="325">
        <v>0</v>
      </c>
      <c r="Z537" s="325">
        <v>0</v>
      </c>
      <c r="AA537" s="325">
        <v>0</v>
      </c>
      <c r="AB537" s="327">
        <v>2020</v>
      </c>
      <c r="AD537" s="4" t="e">
        <v>#N/A</v>
      </c>
    </row>
    <row r="538" spans="1:30" s="4" customFormat="1" ht="35.25" customHeight="1" x14ac:dyDescent="0.5">
      <c r="B538" s="323" t="s">
        <v>1037</v>
      </c>
      <c r="C538" s="323"/>
      <c r="D538" s="324">
        <f>SUM(D539:D615)</f>
        <v>73511498.810000002</v>
      </c>
      <c r="E538" s="324">
        <f t="shared" ref="E538:AA538" si="21">SUM(E539:E615)</f>
        <v>1420972.2</v>
      </c>
      <c r="F538" s="324">
        <f t="shared" si="21"/>
        <v>5356905.4799999995</v>
      </c>
      <c r="G538" s="324">
        <f t="shared" si="21"/>
        <v>10586443.779999997</v>
      </c>
      <c r="H538" s="324">
        <f t="shared" si="21"/>
        <v>1087356.8899999999</v>
      </c>
      <c r="I538" s="324">
        <f t="shared" si="21"/>
        <v>4564098.0199999996</v>
      </c>
      <c r="J538" s="324">
        <f t="shared" si="21"/>
        <v>0</v>
      </c>
      <c r="K538" s="326">
        <f t="shared" si="21"/>
        <v>8</v>
      </c>
      <c r="L538" s="324">
        <f t="shared" si="21"/>
        <v>11010894</v>
      </c>
      <c r="M538" s="324">
        <f t="shared" si="21"/>
        <v>26381887.32</v>
      </c>
      <c r="N538" s="324">
        <f t="shared" si="21"/>
        <v>1435992.1</v>
      </c>
      <c r="O538" s="324">
        <f t="shared" si="21"/>
        <v>10353554.02</v>
      </c>
      <c r="P538" s="324">
        <f t="shared" si="21"/>
        <v>1313395</v>
      </c>
      <c r="Q538" s="324">
        <f t="shared" si="21"/>
        <v>0</v>
      </c>
      <c r="R538" s="324">
        <f t="shared" si="21"/>
        <v>0</v>
      </c>
      <c r="S538" s="324">
        <f t="shared" si="21"/>
        <v>0</v>
      </c>
      <c r="T538" s="324">
        <f t="shared" si="21"/>
        <v>0</v>
      </c>
      <c r="U538" s="324">
        <f t="shared" si="21"/>
        <v>0</v>
      </c>
      <c r="V538" s="324">
        <f t="shared" si="21"/>
        <v>0</v>
      </c>
      <c r="W538" s="324">
        <f t="shared" si="21"/>
        <v>0</v>
      </c>
      <c r="X538" s="324">
        <f t="shared" si="21"/>
        <v>0</v>
      </c>
      <c r="Y538" s="324">
        <f t="shared" si="21"/>
        <v>0</v>
      </c>
      <c r="Z538" s="324">
        <f t="shared" si="21"/>
        <v>0</v>
      </c>
      <c r="AA538" s="324">
        <f t="shared" si="21"/>
        <v>0</v>
      </c>
      <c r="AB538" s="396" t="s">
        <v>882</v>
      </c>
    </row>
    <row r="539" spans="1:30" s="4" customFormat="1" ht="35.25" customHeight="1" x14ac:dyDescent="0.5">
      <c r="A539" s="4">
        <v>1</v>
      </c>
      <c r="B539" s="171">
        <f>SUBTOTAL(103,$A$8:A539)</f>
        <v>522</v>
      </c>
      <c r="C539" s="323" t="s">
        <v>1833</v>
      </c>
      <c r="D539" s="324">
        <f t="shared" ref="D539:D602" si="22">E539+F539+G539+H539+I539+J539+L539+M539+N539+O539+P539+Q539+R539+S539+T539+U539+V539+W539+X539+Y539+Z539+AA539</f>
        <v>1638410.4</v>
      </c>
      <c r="E539" s="325">
        <v>576166.81999999995</v>
      </c>
      <c r="F539" s="325">
        <v>799885.96</v>
      </c>
      <c r="G539" s="325">
        <v>0</v>
      </c>
      <c r="H539" s="325">
        <v>262357.62</v>
      </c>
      <c r="I539" s="325">
        <v>0</v>
      </c>
      <c r="J539" s="325">
        <v>0</v>
      </c>
      <c r="K539" s="326">
        <v>0</v>
      </c>
      <c r="L539" s="325">
        <v>0</v>
      </c>
      <c r="M539" s="325">
        <v>0</v>
      </c>
      <c r="N539" s="325">
        <v>0</v>
      </c>
      <c r="O539" s="325">
        <v>0</v>
      </c>
      <c r="P539" s="325">
        <v>0</v>
      </c>
      <c r="Q539" s="325">
        <v>0</v>
      </c>
      <c r="R539" s="325">
        <v>0</v>
      </c>
      <c r="S539" s="325">
        <v>0</v>
      </c>
      <c r="T539" s="325">
        <v>0</v>
      </c>
      <c r="U539" s="325">
        <v>0</v>
      </c>
      <c r="V539" s="325">
        <v>0</v>
      </c>
      <c r="W539" s="325">
        <v>0</v>
      </c>
      <c r="X539" s="325">
        <v>0</v>
      </c>
      <c r="Y539" s="325">
        <v>0</v>
      </c>
      <c r="Z539" s="325">
        <v>0</v>
      </c>
      <c r="AA539" s="325">
        <v>0</v>
      </c>
      <c r="AB539" s="327">
        <v>2020</v>
      </c>
      <c r="AD539" s="4">
        <v>0</v>
      </c>
    </row>
    <row r="540" spans="1:30" s="4" customFormat="1" ht="35.25" customHeight="1" x14ac:dyDescent="0.5">
      <c r="A540" s="4">
        <v>1</v>
      </c>
      <c r="B540" s="171">
        <f>SUBTOTAL(103,$A$8:A540)</f>
        <v>523</v>
      </c>
      <c r="C540" s="323" t="s">
        <v>2557</v>
      </c>
      <c r="D540" s="324">
        <f t="shared" si="22"/>
        <v>796377.12</v>
      </c>
      <c r="E540" s="325">
        <v>0</v>
      </c>
      <c r="F540" s="325">
        <v>0</v>
      </c>
      <c r="G540" s="325">
        <v>0</v>
      </c>
      <c r="H540" s="325">
        <v>0</v>
      </c>
      <c r="I540" s="325">
        <v>0</v>
      </c>
      <c r="J540" s="325">
        <v>0</v>
      </c>
      <c r="K540" s="326">
        <v>0</v>
      </c>
      <c r="L540" s="325">
        <v>0</v>
      </c>
      <c r="M540" s="325">
        <v>796377.12</v>
      </c>
      <c r="N540" s="325">
        <v>0</v>
      </c>
      <c r="O540" s="325">
        <v>0</v>
      </c>
      <c r="P540" s="325">
        <v>0</v>
      </c>
      <c r="Q540" s="325">
        <v>0</v>
      </c>
      <c r="R540" s="325">
        <v>0</v>
      </c>
      <c r="S540" s="325">
        <v>0</v>
      </c>
      <c r="T540" s="325">
        <v>0</v>
      </c>
      <c r="U540" s="325">
        <v>0</v>
      </c>
      <c r="V540" s="325">
        <v>0</v>
      </c>
      <c r="W540" s="325">
        <v>0</v>
      </c>
      <c r="X540" s="325">
        <v>0</v>
      </c>
      <c r="Y540" s="325">
        <v>0</v>
      </c>
      <c r="Z540" s="325">
        <v>0</v>
      </c>
      <c r="AA540" s="325">
        <v>0</v>
      </c>
      <c r="AB540" s="327">
        <v>2020</v>
      </c>
      <c r="AD540" s="4">
        <v>0</v>
      </c>
    </row>
    <row r="541" spans="1:30" s="4" customFormat="1" ht="35.25" customHeight="1" x14ac:dyDescent="0.5">
      <c r="A541" s="4">
        <v>1</v>
      </c>
      <c r="B541" s="171">
        <f>SUBTOTAL(103,$A$8:A541)</f>
        <v>524</v>
      </c>
      <c r="C541" s="323" t="s">
        <v>1834</v>
      </c>
      <c r="D541" s="324">
        <f t="shared" si="22"/>
        <v>1122303</v>
      </c>
      <c r="E541" s="325">
        <v>0</v>
      </c>
      <c r="F541" s="325">
        <v>0</v>
      </c>
      <c r="G541" s="325">
        <v>312711</v>
      </c>
      <c r="H541" s="325">
        <v>0</v>
      </c>
      <c r="I541" s="325">
        <v>0</v>
      </c>
      <c r="J541" s="325">
        <v>0</v>
      </c>
      <c r="K541" s="326">
        <v>0</v>
      </c>
      <c r="L541" s="325">
        <v>0</v>
      </c>
      <c r="M541" s="325">
        <v>0</v>
      </c>
      <c r="N541" s="325">
        <v>0</v>
      </c>
      <c r="O541" s="325">
        <v>0</v>
      </c>
      <c r="P541" s="325">
        <v>809592</v>
      </c>
      <c r="Q541" s="325">
        <v>0</v>
      </c>
      <c r="R541" s="325">
        <v>0</v>
      </c>
      <c r="S541" s="325">
        <v>0</v>
      </c>
      <c r="T541" s="325">
        <v>0</v>
      </c>
      <c r="U541" s="325">
        <v>0</v>
      </c>
      <c r="V541" s="325">
        <v>0</v>
      </c>
      <c r="W541" s="325">
        <v>0</v>
      </c>
      <c r="X541" s="325">
        <v>0</v>
      </c>
      <c r="Y541" s="325">
        <v>0</v>
      </c>
      <c r="Z541" s="325">
        <v>0</v>
      </c>
      <c r="AA541" s="325">
        <v>0</v>
      </c>
      <c r="AB541" s="327">
        <v>2020</v>
      </c>
      <c r="AD541" s="4">
        <v>0</v>
      </c>
    </row>
    <row r="542" spans="1:30" s="4" customFormat="1" ht="35.25" customHeight="1" x14ac:dyDescent="0.5">
      <c r="A542" s="4">
        <v>1</v>
      </c>
      <c r="B542" s="171">
        <f>SUBTOTAL(103,$A$8:A542)</f>
        <v>525</v>
      </c>
      <c r="C542" s="323" t="s">
        <v>1835</v>
      </c>
      <c r="D542" s="324">
        <f t="shared" si="22"/>
        <v>1750000</v>
      </c>
      <c r="E542" s="325">
        <v>0</v>
      </c>
      <c r="F542" s="325">
        <v>0</v>
      </c>
      <c r="G542" s="325">
        <v>0</v>
      </c>
      <c r="H542" s="325">
        <v>0</v>
      </c>
      <c r="I542" s="325">
        <v>0</v>
      </c>
      <c r="J542" s="325">
        <v>0</v>
      </c>
      <c r="K542" s="326">
        <v>1</v>
      </c>
      <c r="L542" s="325">
        <v>1750000</v>
      </c>
      <c r="M542" s="325">
        <v>0</v>
      </c>
      <c r="N542" s="325">
        <v>0</v>
      </c>
      <c r="O542" s="325">
        <v>0</v>
      </c>
      <c r="P542" s="325">
        <v>0</v>
      </c>
      <c r="Q542" s="325">
        <v>0</v>
      </c>
      <c r="R542" s="325">
        <v>0</v>
      </c>
      <c r="S542" s="325">
        <v>0</v>
      </c>
      <c r="T542" s="325">
        <v>0</v>
      </c>
      <c r="U542" s="325">
        <v>0</v>
      </c>
      <c r="V542" s="325">
        <v>0</v>
      </c>
      <c r="W542" s="325">
        <v>0</v>
      </c>
      <c r="X542" s="325">
        <v>0</v>
      </c>
      <c r="Y542" s="325">
        <v>0</v>
      </c>
      <c r="Z542" s="325">
        <v>0</v>
      </c>
      <c r="AA542" s="325">
        <v>0</v>
      </c>
      <c r="AB542" s="327">
        <v>2020</v>
      </c>
      <c r="AD542" s="4" t="e">
        <v>#N/A</v>
      </c>
    </row>
    <row r="543" spans="1:30" s="4" customFormat="1" ht="35.25" customHeight="1" x14ac:dyDescent="0.5">
      <c r="A543" s="4">
        <v>1</v>
      </c>
      <c r="B543" s="171">
        <f>SUBTOTAL(103,$A$8:A543)</f>
        <v>526</v>
      </c>
      <c r="C543" s="323" t="s">
        <v>1836</v>
      </c>
      <c r="D543" s="324">
        <f t="shared" si="22"/>
        <v>1832116</v>
      </c>
      <c r="E543" s="325">
        <v>0</v>
      </c>
      <c r="F543" s="325">
        <v>0</v>
      </c>
      <c r="G543" s="325">
        <v>0</v>
      </c>
      <c r="H543" s="325">
        <v>0</v>
      </c>
      <c r="I543" s="325">
        <v>0</v>
      </c>
      <c r="J543" s="325">
        <v>0</v>
      </c>
      <c r="K543" s="326">
        <v>1</v>
      </c>
      <c r="L543" s="325">
        <v>1832116</v>
      </c>
      <c r="M543" s="325">
        <v>0</v>
      </c>
      <c r="N543" s="325">
        <v>0</v>
      </c>
      <c r="O543" s="325">
        <v>0</v>
      </c>
      <c r="P543" s="325">
        <v>0</v>
      </c>
      <c r="Q543" s="325">
        <v>0</v>
      </c>
      <c r="R543" s="325">
        <v>0</v>
      </c>
      <c r="S543" s="325">
        <v>0</v>
      </c>
      <c r="T543" s="325">
        <v>0</v>
      </c>
      <c r="U543" s="325">
        <v>0</v>
      </c>
      <c r="V543" s="325">
        <v>0</v>
      </c>
      <c r="W543" s="325">
        <v>0</v>
      </c>
      <c r="X543" s="325">
        <v>0</v>
      </c>
      <c r="Y543" s="325">
        <v>0</v>
      </c>
      <c r="Z543" s="325">
        <v>0</v>
      </c>
      <c r="AA543" s="325">
        <v>0</v>
      </c>
      <c r="AB543" s="327">
        <v>2020</v>
      </c>
      <c r="AD543" s="4" t="e">
        <v>#N/A</v>
      </c>
    </row>
    <row r="544" spans="1:30" s="4" customFormat="1" ht="35.25" customHeight="1" x14ac:dyDescent="0.5">
      <c r="A544" s="4">
        <v>1</v>
      </c>
      <c r="B544" s="171">
        <f>SUBTOTAL(103,$A$8:A544)</f>
        <v>527</v>
      </c>
      <c r="C544" s="323" t="s">
        <v>1837</v>
      </c>
      <c r="D544" s="324">
        <f t="shared" si="22"/>
        <v>310860</v>
      </c>
      <c r="E544" s="325">
        <v>0</v>
      </c>
      <c r="F544" s="325">
        <v>0</v>
      </c>
      <c r="G544" s="325">
        <v>0</v>
      </c>
      <c r="H544" s="325">
        <v>0</v>
      </c>
      <c r="I544" s="325">
        <v>0</v>
      </c>
      <c r="J544" s="325">
        <v>0</v>
      </c>
      <c r="K544" s="326">
        <v>0</v>
      </c>
      <c r="L544" s="325">
        <v>0</v>
      </c>
      <c r="M544" s="325">
        <v>0</v>
      </c>
      <c r="N544" s="325">
        <v>0</v>
      </c>
      <c r="O544" s="325">
        <v>310860</v>
      </c>
      <c r="P544" s="325">
        <v>0</v>
      </c>
      <c r="Q544" s="325">
        <v>0</v>
      </c>
      <c r="R544" s="325">
        <v>0</v>
      </c>
      <c r="S544" s="325">
        <v>0</v>
      </c>
      <c r="T544" s="325">
        <v>0</v>
      </c>
      <c r="U544" s="325">
        <v>0</v>
      </c>
      <c r="V544" s="325">
        <v>0</v>
      </c>
      <c r="W544" s="325">
        <v>0</v>
      </c>
      <c r="X544" s="325">
        <v>0</v>
      </c>
      <c r="Y544" s="325">
        <v>0</v>
      </c>
      <c r="Z544" s="325">
        <v>0</v>
      </c>
      <c r="AA544" s="325">
        <v>0</v>
      </c>
      <c r="AB544" s="327">
        <v>2020</v>
      </c>
      <c r="AD544" s="4" t="e">
        <v>#N/A</v>
      </c>
    </row>
    <row r="545" spans="1:30" s="4" customFormat="1" ht="35.25" customHeight="1" x14ac:dyDescent="0.5">
      <c r="A545" s="4">
        <v>1</v>
      </c>
      <c r="B545" s="171">
        <f>SUBTOTAL(103,$A$8:A545)</f>
        <v>528</v>
      </c>
      <c r="C545" s="323" t="s">
        <v>1838</v>
      </c>
      <c r="D545" s="324">
        <f t="shared" si="22"/>
        <v>209441.4</v>
      </c>
      <c r="E545" s="325">
        <v>0</v>
      </c>
      <c r="F545" s="325">
        <v>0</v>
      </c>
      <c r="G545" s="325">
        <v>209441.4</v>
      </c>
      <c r="H545" s="325">
        <v>0</v>
      </c>
      <c r="I545" s="325">
        <v>0</v>
      </c>
      <c r="J545" s="325">
        <v>0</v>
      </c>
      <c r="K545" s="326">
        <v>0</v>
      </c>
      <c r="L545" s="325">
        <v>0</v>
      </c>
      <c r="M545" s="325">
        <v>0</v>
      </c>
      <c r="N545" s="325">
        <v>0</v>
      </c>
      <c r="O545" s="325">
        <v>0</v>
      </c>
      <c r="P545" s="325">
        <v>0</v>
      </c>
      <c r="Q545" s="325">
        <v>0</v>
      </c>
      <c r="R545" s="325">
        <v>0</v>
      </c>
      <c r="S545" s="325">
        <v>0</v>
      </c>
      <c r="T545" s="325">
        <v>0</v>
      </c>
      <c r="U545" s="325">
        <v>0</v>
      </c>
      <c r="V545" s="325">
        <v>0</v>
      </c>
      <c r="W545" s="325">
        <v>0</v>
      </c>
      <c r="X545" s="325">
        <v>0</v>
      </c>
      <c r="Y545" s="325">
        <v>0</v>
      </c>
      <c r="Z545" s="325">
        <v>0</v>
      </c>
      <c r="AA545" s="325">
        <v>0</v>
      </c>
      <c r="AB545" s="327">
        <v>2020</v>
      </c>
      <c r="AD545" s="4" t="e">
        <v>#N/A</v>
      </c>
    </row>
    <row r="546" spans="1:30" s="4" customFormat="1" ht="35.25" customHeight="1" x14ac:dyDescent="0.5">
      <c r="A546" s="4">
        <v>1</v>
      </c>
      <c r="B546" s="171">
        <f>SUBTOTAL(103,$A$8:A546)</f>
        <v>529</v>
      </c>
      <c r="C546" s="323" t="s">
        <v>1839</v>
      </c>
      <c r="D546" s="324">
        <f t="shared" si="22"/>
        <v>944850</v>
      </c>
      <c r="E546" s="325">
        <v>0</v>
      </c>
      <c r="F546" s="325">
        <v>0</v>
      </c>
      <c r="G546" s="325">
        <v>47050</v>
      </c>
      <c r="H546" s="325">
        <v>0</v>
      </c>
      <c r="I546" s="325">
        <v>0</v>
      </c>
      <c r="J546" s="325">
        <v>0</v>
      </c>
      <c r="K546" s="326">
        <v>0</v>
      </c>
      <c r="L546" s="325">
        <v>0</v>
      </c>
      <c r="M546" s="325">
        <v>858000</v>
      </c>
      <c r="N546" s="325">
        <v>39800</v>
      </c>
      <c r="O546" s="325">
        <v>0</v>
      </c>
      <c r="P546" s="325">
        <v>0</v>
      </c>
      <c r="Q546" s="325">
        <v>0</v>
      </c>
      <c r="R546" s="325">
        <v>0</v>
      </c>
      <c r="S546" s="325">
        <v>0</v>
      </c>
      <c r="T546" s="325">
        <v>0</v>
      </c>
      <c r="U546" s="325">
        <v>0</v>
      </c>
      <c r="V546" s="325">
        <v>0</v>
      </c>
      <c r="W546" s="325">
        <v>0</v>
      </c>
      <c r="X546" s="325">
        <v>0</v>
      </c>
      <c r="Y546" s="325">
        <v>0</v>
      </c>
      <c r="Z546" s="325">
        <v>0</v>
      </c>
      <c r="AA546" s="325">
        <v>0</v>
      </c>
      <c r="AB546" s="327">
        <v>2020</v>
      </c>
      <c r="AD546" s="4">
        <v>0</v>
      </c>
    </row>
    <row r="547" spans="1:30" s="4" customFormat="1" ht="35.25" customHeight="1" x14ac:dyDescent="0.5">
      <c r="A547" s="4">
        <v>1</v>
      </c>
      <c r="B547" s="171">
        <f>SUBTOTAL(103,$A$8:A547)</f>
        <v>530</v>
      </c>
      <c r="C547" s="323" t="s">
        <v>1840</v>
      </c>
      <c r="D547" s="324">
        <f t="shared" si="22"/>
        <v>258344.1</v>
      </c>
      <c r="E547" s="325">
        <v>0</v>
      </c>
      <c r="F547" s="325">
        <v>0</v>
      </c>
      <c r="G547" s="325">
        <v>0</v>
      </c>
      <c r="H547" s="325">
        <v>0</v>
      </c>
      <c r="I547" s="325">
        <v>0</v>
      </c>
      <c r="J547" s="325">
        <v>0</v>
      </c>
      <c r="K547" s="326">
        <v>0</v>
      </c>
      <c r="L547" s="325">
        <v>0</v>
      </c>
      <c r="M547" s="325">
        <v>0</v>
      </c>
      <c r="N547" s="325">
        <v>258344.1</v>
      </c>
      <c r="O547" s="325">
        <v>0</v>
      </c>
      <c r="P547" s="325">
        <v>0</v>
      </c>
      <c r="Q547" s="325">
        <v>0</v>
      </c>
      <c r="R547" s="325">
        <v>0</v>
      </c>
      <c r="S547" s="325">
        <v>0</v>
      </c>
      <c r="T547" s="325">
        <v>0</v>
      </c>
      <c r="U547" s="325">
        <v>0</v>
      </c>
      <c r="V547" s="325">
        <v>0</v>
      </c>
      <c r="W547" s="325">
        <v>0</v>
      </c>
      <c r="X547" s="325">
        <v>0</v>
      </c>
      <c r="Y547" s="325">
        <v>0</v>
      </c>
      <c r="Z547" s="325">
        <v>0</v>
      </c>
      <c r="AA547" s="325">
        <v>0</v>
      </c>
      <c r="AB547" s="327">
        <v>2020</v>
      </c>
      <c r="AD547" s="4" t="e">
        <v>#N/A</v>
      </c>
    </row>
    <row r="548" spans="1:30" s="4" customFormat="1" ht="35.25" customHeight="1" x14ac:dyDescent="0.5">
      <c r="A548" s="4">
        <v>1</v>
      </c>
      <c r="B548" s="171">
        <f>SUBTOTAL(103,$A$8:A548)</f>
        <v>531</v>
      </c>
      <c r="C548" s="323" t="s">
        <v>1841</v>
      </c>
      <c r="D548" s="324">
        <f t="shared" si="22"/>
        <v>543814</v>
      </c>
      <c r="E548" s="325">
        <v>0</v>
      </c>
      <c r="F548" s="325">
        <v>0</v>
      </c>
      <c r="G548" s="325">
        <v>0</v>
      </c>
      <c r="H548" s="325">
        <v>0</v>
      </c>
      <c r="I548" s="325">
        <v>0</v>
      </c>
      <c r="J548" s="325">
        <v>0</v>
      </c>
      <c r="K548" s="326">
        <v>0</v>
      </c>
      <c r="L548" s="325">
        <v>0</v>
      </c>
      <c r="M548" s="325">
        <v>543814</v>
      </c>
      <c r="N548" s="325">
        <v>0</v>
      </c>
      <c r="O548" s="325">
        <v>0</v>
      </c>
      <c r="P548" s="325">
        <v>0</v>
      </c>
      <c r="Q548" s="325">
        <v>0</v>
      </c>
      <c r="R548" s="325">
        <v>0</v>
      </c>
      <c r="S548" s="325">
        <v>0</v>
      </c>
      <c r="T548" s="325">
        <v>0</v>
      </c>
      <c r="U548" s="325">
        <v>0</v>
      </c>
      <c r="V548" s="325">
        <v>0</v>
      </c>
      <c r="W548" s="325">
        <v>0</v>
      </c>
      <c r="X548" s="325">
        <v>0</v>
      </c>
      <c r="Y548" s="325">
        <v>0</v>
      </c>
      <c r="Z548" s="325">
        <v>0</v>
      </c>
      <c r="AA548" s="325">
        <v>0</v>
      </c>
      <c r="AB548" s="327">
        <v>2020</v>
      </c>
      <c r="AD548" s="4" t="e">
        <v>#N/A</v>
      </c>
    </row>
    <row r="549" spans="1:30" s="4" customFormat="1" ht="35.25" customHeight="1" x14ac:dyDescent="0.5">
      <c r="A549" s="4">
        <v>1</v>
      </c>
      <c r="B549" s="171">
        <f>SUBTOTAL(103,$A$8:A549)</f>
        <v>532</v>
      </c>
      <c r="C549" s="323" t="s">
        <v>2558</v>
      </c>
      <c r="D549" s="324">
        <f t="shared" si="22"/>
        <v>228767</v>
      </c>
      <c r="E549" s="325">
        <v>0</v>
      </c>
      <c r="F549" s="325">
        <v>0</v>
      </c>
      <c r="G549" s="325">
        <v>0</v>
      </c>
      <c r="H549" s="325">
        <v>0</v>
      </c>
      <c r="I549" s="325">
        <v>0</v>
      </c>
      <c r="J549" s="325">
        <v>0</v>
      </c>
      <c r="K549" s="326">
        <v>0</v>
      </c>
      <c r="L549" s="325">
        <v>0</v>
      </c>
      <c r="M549" s="325">
        <v>0</v>
      </c>
      <c r="N549" s="325">
        <v>0</v>
      </c>
      <c r="O549" s="325">
        <v>228767</v>
      </c>
      <c r="P549" s="325">
        <v>0</v>
      </c>
      <c r="Q549" s="325">
        <v>0</v>
      </c>
      <c r="R549" s="325">
        <v>0</v>
      </c>
      <c r="S549" s="325">
        <v>0</v>
      </c>
      <c r="T549" s="325">
        <v>0</v>
      </c>
      <c r="U549" s="325">
        <v>0</v>
      </c>
      <c r="V549" s="325">
        <v>0</v>
      </c>
      <c r="W549" s="325">
        <v>0</v>
      </c>
      <c r="X549" s="325">
        <v>0</v>
      </c>
      <c r="Y549" s="325">
        <v>0</v>
      </c>
      <c r="Z549" s="325">
        <v>0</v>
      </c>
      <c r="AA549" s="325">
        <v>0</v>
      </c>
      <c r="AB549" s="327">
        <v>2020</v>
      </c>
      <c r="AD549" s="4">
        <v>0</v>
      </c>
    </row>
    <row r="550" spans="1:30" s="4" customFormat="1" ht="35.25" customHeight="1" x14ac:dyDescent="0.5">
      <c r="A550" s="4">
        <v>1</v>
      </c>
      <c r="B550" s="171">
        <f>SUBTOTAL(103,$A$8:A550)</f>
        <v>533</v>
      </c>
      <c r="C550" s="323" t="s">
        <v>2559</v>
      </c>
      <c r="D550" s="324">
        <f t="shared" si="22"/>
        <v>144926.37</v>
      </c>
      <c r="E550" s="325">
        <v>0</v>
      </c>
      <c r="F550" s="325">
        <v>0</v>
      </c>
      <c r="G550" s="325">
        <v>0</v>
      </c>
      <c r="H550" s="325">
        <v>0</v>
      </c>
      <c r="I550" s="325">
        <v>0</v>
      </c>
      <c r="J550" s="325">
        <v>0</v>
      </c>
      <c r="K550" s="326">
        <v>0</v>
      </c>
      <c r="L550" s="325">
        <v>0</v>
      </c>
      <c r="M550" s="325">
        <v>0</v>
      </c>
      <c r="N550" s="325">
        <v>0</v>
      </c>
      <c r="O550" s="325">
        <v>144926.37</v>
      </c>
      <c r="P550" s="325">
        <v>0</v>
      </c>
      <c r="Q550" s="325">
        <v>0</v>
      </c>
      <c r="R550" s="325">
        <v>0</v>
      </c>
      <c r="S550" s="325">
        <v>0</v>
      </c>
      <c r="T550" s="325">
        <v>0</v>
      </c>
      <c r="U550" s="325">
        <v>0</v>
      </c>
      <c r="V550" s="325">
        <v>0</v>
      </c>
      <c r="W550" s="325">
        <v>0</v>
      </c>
      <c r="X550" s="325">
        <v>0</v>
      </c>
      <c r="Y550" s="325">
        <v>0</v>
      </c>
      <c r="Z550" s="325">
        <v>0</v>
      </c>
      <c r="AA550" s="325">
        <v>0</v>
      </c>
      <c r="AB550" s="327">
        <v>2020</v>
      </c>
      <c r="AD550" s="4">
        <v>0</v>
      </c>
    </row>
    <row r="551" spans="1:30" s="4" customFormat="1" ht="35.25" customHeight="1" x14ac:dyDescent="0.5">
      <c r="A551" s="4">
        <v>1</v>
      </c>
      <c r="B551" s="171">
        <f>SUBTOTAL(103,$A$8:A551)</f>
        <v>534</v>
      </c>
      <c r="C551" s="323" t="s">
        <v>1842</v>
      </c>
      <c r="D551" s="324">
        <f t="shared" si="22"/>
        <v>1390097</v>
      </c>
      <c r="E551" s="325">
        <v>0</v>
      </c>
      <c r="F551" s="325">
        <v>0</v>
      </c>
      <c r="G551" s="325">
        <v>0</v>
      </c>
      <c r="H551" s="325">
        <v>0</v>
      </c>
      <c r="I551" s="325">
        <v>0</v>
      </c>
      <c r="J551" s="325">
        <v>0</v>
      </c>
      <c r="K551" s="326">
        <v>0</v>
      </c>
      <c r="L551" s="325">
        <v>0</v>
      </c>
      <c r="M551" s="325">
        <v>1390097</v>
      </c>
      <c r="N551" s="325">
        <v>0</v>
      </c>
      <c r="O551" s="325">
        <v>0</v>
      </c>
      <c r="P551" s="325">
        <v>0</v>
      </c>
      <c r="Q551" s="325">
        <v>0</v>
      </c>
      <c r="R551" s="325">
        <v>0</v>
      </c>
      <c r="S551" s="325">
        <v>0</v>
      </c>
      <c r="T551" s="325">
        <v>0</v>
      </c>
      <c r="U551" s="325">
        <v>0</v>
      </c>
      <c r="V551" s="325">
        <v>0</v>
      </c>
      <c r="W551" s="325">
        <v>0</v>
      </c>
      <c r="X551" s="325">
        <v>0</v>
      </c>
      <c r="Y551" s="325">
        <v>0</v>
      </c>
      <c r="Z551" s="325">
        <v>0</v>
      </c>
      <c r="AA551" s="325">
        <v>0</v>
      </c>
      <c r="AB551" s="327">
        <v>2020</v>
      </c>
      <c r="AD551" s="4" t="e">
        <v>#N/A</v>
      </c>
    </row>
    <row r="552" spans="1:30" s="4" customFormat="1" ht="35.25" customHeight="1" x14ac:dyDescent="0.5">
      <c r="A552" s="4">
        <v>1</v>
      </c>
      <c r="B552" s="171">
        <f>SUBTOTAL(103,$A$8:A552)</f>
        <v>535</v>
      </c>
      <c r="C552" s="323" t="s">
        <v>1843</v>
      </c>
      <c r="D552" s="324">
        <f t="shared" si="22"/>
        <v>2161108</v>
      </c>
      <c r="E552" s="325">
        <v>0</v>
      </c>
      <c r="F552" s="325">
        <v>0</v>
      </c>
      <c r="G552" s="325">
        <v>0</v>
      </c>
      <c r="H552" s="325">
        <v>125812</v>
      </c>
      <c r="I552" s="325">
        <v>0</v>
      </c>
      <c r="J552" s="325">
        <v>0</v>
      </c>
      <c r="K552" s="326">
        <v>1</v>
      </c>
      <c r="L552" s="325">
        <v>82796</v>
      </c>
      <c r="M552" s="325">
        <v>1952500</v>
      </c>
      <c r="N552" s="325">
        <v>0</v>
      </c>
      <c r="O552" s="325">
        <v>0</v>
      </c>
      <c r="P552" s="325">
        <v>0</v>
      </c>
      <c r="Q552" s="325">
        <v>0</v>
      </c>
      <c r="R552" s="325">
        <v>0</v>
      </c>
      <c r="S552" s="325">
        <v>0</v>
      </c>
      <c r="T552" s="325">
        <v>0</v>
      </c>
      <c r="U552" s="325">
        <v>0</v>
      </c>
      <c r="V552" s="325">
        <v>0</v>
      </c>
      <c r="W552" s="325">
        <v>0</v>
      </c>
      <c r="X552" s="325">
        <v>0</v>
      </c>
      <c r="Y552" s="325">
        <v>0</v>
      </c>
      <c r="Z552" s="325">
        <v>0</v>
      </c>
      <c r="AA552" s="325">
        <v>0</v>
      </c>
      <c r="AB552" s="327">
        <v>2020</v>
      </c>
      <c r="AD552" s="4">
        <v>0</v>
      </c>
    </row>
    <row r="553" spans="1:30" s="4" customFormat="1" ht="35.25" customHeight="1" x14ac:dyDescent="0.5">
      <c r="A553" s="4">
        <v>1</v>
      </c>
      <c r="B553" s="171">
        <f>SUBTOTAL(103,$A$8:A553)</f>
        <v>536</v>
      </c>
      <c r="C553" s="323" t="s">
        <v>1844</v>
      </c>
      <c r="D553" s="324">
        <f t="shared" si="22"/>
        <v>796086</v>
      </c>
      <c r="E553" s="325">
        <v>0</v>
      </c>
      <c r="F553" s="325">
        <v>0</v>
      </c>
      <c r="G553" s="325">
        <v>330086</v>
      </c>
      <c r="H553" s="325">
        <v>0</v>
      </c>
      <c r="I553" s="325">
        <v>0</v>
      </c>
      <c r="J553" s="325">
        <v>0</v>
      </c>
      <c r="K553" s="326">
        <v>0</v>
      </c>
      <c r="L553" s="325">
        <v>0</v>
      </c>
      <c r="M553" s="325">
        <v>266000</v>
      </c>
      <c r="N553" s="325">
        <v>0</v>
      </c>
      <c r="O553" s="325">
        <v>200000</v>
      </c>
      <c r="P553" s="325">
        <v>0</v>
      </c>
      <c r="Q553" s="325">
        <v>0</v>
      </c>
      <c r="R553" s="325">
        <v>0</v>
      </c>
      <c r="S553" s="325">
        <v>0</v>
      </c>
      <c r="T553" s="325">
        <v>0</v>
      </c>
      <c r="U553" s="325">
        <v>0</v>
      </c>
      <c r="V553" s="325">
        <v>0</v>
      </c>
      <c r="W553" s="325">
        <v>0</v>
      </c>
      <c r="X553" s="325">
        <v>0</v>
      </c>
      <c r="Y553" s="325">
        <v>0</v>
      </c>
      <c r="Z553" s="325">
        <v>0</v>
      </c>
      <c r="AA553" s="325">
        <v>0</v>
      </c>
      <c r="AB553" s="327">
        <v>2020</v>
      </c>
      <c r="AD553" s="4">
        <v>0</v>
      </c>
    </row>
    <row r="554" spans="1:30" s="4" customFormat="1" ht="35.25" customHeight="1" x14ac:dyDescent="0.5">
      <c r="A554" s="4">
        <v>1</v>
      </c>
      <c r="B554" s="171">
        <f>SUBTOTAL(103,$A$8:A554)</f>
        <v>537</v>
      </c>
      <c r="C554" s="323" t="s">
        <v>2560</v>
      </c>
      <c r="D554" s="324">
        <f t="shared" si="22"/>
        <v>1300000</v>
      </c>
      <c r="E554" s="325">
        <v>0</v>
      </c>
      <c r="F554" s="325">
        <v>0</v>
      </c>
      <c r="G554" s="325">
        <v>0</v>
      </c>
      <c r="H554" s="325">
        <v>0</v>
      </c>
      <c r="I554" s="325">
        <v>0</v>
      </c>
      <c r="J554" s="325">
        <v>0</v>
      </c>
      <c r="K554" s="326">
        <v>1</v>
      </c>
      <c r="L554" s="325">
        <v>1300000</v>
      </c>
      <c r="M554" s="325">
        <v>0</v>
      </c>
      <c r="N554" s="325">
        <v>0</v>
      </c>
      <c r="O554" s="325">
        <v>0</v>
      </c>
      <c r="P554" s="325">
        <v>0</v>
      </c>
      <c r="Q554" s="325">
        <v>0</v>
      </c>
      <c r="R554" s="325">
        <v>0</v>
      </c>
      <c r="S554" s="325">
        <v>0</v>
      </c>
      <c r="T554" s="325">
        <v>0</v>
      </c>
      <c r="U554" s="325">
        <v>0</v>
      </c>
      <c r="V554" s="325">
        <v>0</v>
      </c>
      <c r="W554" s="325">
        <v>0</v>
      </c>
      <c r="X554" s="325">
        <v>0</v>
      </c>
      <c r="Y554" s="325">
        <v>0</v>
      </c>
      <c r="Z554" s="325">
        <v>0</v>
      </c>
      <c r="AA554" s="325">
        <v>0</v>
      </c>
      <c r="AB554" s="327">
        <v>2020</v>
      </c>
      <c r="AD554" s="4">
        <v>0</v>
      </c>
    </row>
    <row r="555" spans="1:30" s="4" customFormat="1" ht="35.25" customHeight="1" x14ac:dyDescent="0.5">
      <c r="A555" s="4">
        <v>1</v>
      </c>
      <c r="B555" s="171">
        <f>SUBTOTAL(103,$A$8:A555)</f>
        <v>538</v>
      </c>
      <c r="C555" s="323" t="s">
        <v>1845</v>
      </c>
      <c r="D555" s="324">
        <f t="shared" si="22"/>
        <v>693526</v>
      </c>
      <c r="E555" s="325">
        <v>0</v>
      </c>
      <c r="F555" s="325">
        <v>0</v>
      </c>
      <c r="G555" s="325">
        <v>0</v>
      </c>
      <c r="H555" s="325">
        <v>0</v>
      </c>
      <c r="I555" s="325">
        <v>0</v>
      </c>
      <c r="J555" s="325">
        <v>0</v>
      </c>
      <c r="K555" s="326">
        <v>0</v>
      </c>
      <c r="L555" s="325">
        <v>0</v>
      </c>
      <c r="M555" s="325">
        <v>693526</v>
      </c>
      <c r="N555" s="325">
        <v>0</v>
      </c>
      <c r="O555" s="325">
        <v>0</v>
      </c>
      <c r="P555" s="325">
        <v>0</v>
      </c>
      <c r="Q555" s="325">
        <v>0</v>
      </c>
      <c r="R555" s="325">
        <v>0</v>
      </c>
      <c r="S555" s="325">
        <v>0</v>
      </c>
      <c r="T555" s="325">
        <v>0</v>
      </c>
      <c r="U555" s="325">
        <v>0</v>
      </c>
      <c r="V555" s="325">
        <v>0</v>
      </c>
      <c r="W555" s="325">
        <v>0</v>
      </c>
      <c r="X555" s="325">
        <v>0</v>
      </c>
      <c r="Y555" s="325">
        <v>0</v>
      </c>
      <c r="Z555" s="325">
        <v>0</v>
      </c>
      <c r="AA555" s="325">
        <v>0</v>
      </c>
      <c r="AB555" s="327">
        <v>2020</v>
      </c>
      <c r="AD555" s="4" t="e">
        <v>#N/A</v>
      </c>
    </row>
    <row r="556" spans="1:30" s="4" customFormat="1" ht="35.25" customHeight="1" x14ac:dyDescent="0.5">
      <c r="A556" s="4">
        <v>1</v>
      </c>
      <c r="B556" s="171">
        <f>SUBTOTAL(103,$A$8:A556)</f>
        <v>539</v>
      </c>
      <c r="C556" s="323" t="s">
        <v>1846</v>
      </c>
      <c r="D556" s="324">
        <f t="shared" si="22"/>
        <v>347354</v>
      </c>
      <c r="E556" s="325">
        <v>0</v>
      </c>
      <c r="F556" s="325">
        <v>0</v>
      </c>
      <c r="G556" s="325">
        <v>0</v>
      </c>
      <c r="H556" s="325">
        <v>0</v>
      </c>
      <c r="I556" s="325">
        <v>347354</v>
      </c>
      <c r="J556" s="325">
        <v>0</v>
      </c>
      <c r="K556" s="326">
        <v>0</v>
      </c>
      <c r="L556" s="325">
        <v>0</v>
      </c>
      <c r="M556" s="325">
        <v>0</v>
      </c>
      <c r="N556" s="325">
        <v>0</v>
      </c>
      <c r="O556" s="325">
        <v>0</v>
      </c>
      <c r="P556" s="325">
        <v>0</v>
      </c>
      <c r="Q556" s="325">
        <v>0</v>
      </c>
      <c r="R556" s="325">
        <v>0</v>
      </c>
      <c r="S556" s="325">
        <v>0</v>
      </c>
      <c r="T556" s="325">
        <v>0</v>
      </c>
      <c r="U556" s="325">
        <v>0</v>
      </c>
      <c r="V556" s="325">
        <v>0</v>
      </c>
      <c r="W556" s="325">
        <v>0</v>
      </c>
      <c r="X556" s="325">
        <v>0</v>
      </c>
      <c r="Y556" s="325">
        <v>0</v>
      </c>
      <c r="Z556" s="325">
        <v>0</v>
      </c>
      <c r="AA556" s="325">
        <v>0</v>
      </c>
      <c r="AB556" s="327">
        <v>2020</v>
      </c>
      <c r="AD556" s="4" t="e">
        <v>#N/A</v>
      </c>
    </row>
    <row r="557" spans="1:30" s="4" customFormat="1" ht="35.25" customHeight="1" x14ac:dyDescent="0.5">
      <c r="A557" s="4">
        <v>1</v>
      </c>
      <c r="B557" s="171">
        <f>SUBTOTAL(103,$A$8:A557)</f>
        <v>540</v>
      </c>
      <c r="C557" s="323" t="s">
        <v>1847</v>
      </c>
      <c r="D557" s="324">
        <f t="shared" si="22"/>
        <v>1832116</v>
      </c>
      <c r="E557" s="325">
        <v>0</v>
      </c>
      <c r="F557" s="325">
        <v>0</v>
      </c>
      <c r="G557" s="325">
        <v>0</v>
      </c>
      <c r="H557" s="325">
        <v>0</v>
      </c>
      <c r="I557" s="325">
        <v>0</v>
      </c>
      <c r="J557" s="325">
        <v>0</v>
      </c>
      <c r="K557" s="326">
        <v>1</v>
      </c>
      <c r="L557" s="325">
        <v>1832116</v>
      </c>
      <c r="M557" s="325">
        <v>0</v>
      </c>
      <c r="N557" s="325">
        <v>0</v>
      </c>
      <c r="O557" s="325">
        <v>0</v>
      </c>
      <c r="P557" s="325">
        <v>0</v>
      </c>
      <c r="Q557" s="325">
        <v>0</v>
      </c>
      <c r="R557" s="325">
        <v>0</v>
      </c>
      <c r="S557" s="325">
        <v>0</v>
      </c>
      <c r="T557" s="325">
        <v>0</v>
      </c>
      <c r="U557" s="325">
        <v>0</v>
      </c>
      <c r="V557" s="325">
        <v>0</v>
      </c>
      <c r="W557" s="325">
        <v>0</v>
      </c>
      <c r="X557" s="325">
        <v>0</v>
      </c>
      <c r="Y557" s="325">
        <v>0</v>
      </c>
      <c r="Z557" s="325">
        <v>0</v>
      </c>
      <c r="AA557" s="325">
        <v>0</v>
      </c>
      <c r="AB557" s="327">
        <v>2020</v>
      </c>
      <c r="AD557" s="4" t="e">
        <v>#N/A</v>
      </c>
    </row>
    <row r="558" spans="1:30" s="4" customFormat="1" ht="35.25" customHeight="1" x14ac:dyDescent="0.5">
      <c r="A558" s="4">
        <v>1</v>
      </c>
      <c r="B558" s="171">
        <f>SUBTOTAL(103,$A$8:A558)</f>
        <v>541</v>
      </c>
      <c r="C558" s="323" t="s">
        <v>1848</v>
      </c>
      <c r="D558" s="324">
        <f t="shared" si="22"/>
        <v>240211</v>
      </c>
      <c r="E558" s="325">
        <v>0</v>
      </c>
      <c r="F558" s="325">
        <v>0</v>
      </c>
      <c r="G558" s="325">
        <v>0</v>
      </c>
      <c r="H558" s="325">
        <v>0</v>
      </c>
      <c r="I558" s="325">
        <v>0</v>
      </c>
      <c r="J558" s="325">
        <v>0</v>
      </c>
      <c r="K558" s="326">
        <v>0</v>
      </c>
      <c r="L558" s="325">
        <v>0</v>
      </c>
      <c r="M558" s="325">
        <v>0</v>
      </c>
      <c r="N558" s="325">
        <v>0</v>
      </c>
      <c r="O558" s="325">
        <v>240211</v>
      </c>
      <c r="P558" s="325">
        <v>0</v>
      </c>
      <c r="Q558" s="325">
        <v>0</v>
      </c>
      <c r="R558" s="325">
        <v>0</v>
      </c>
      <c r="S558" s="325">
        <v>0</v>
      </c>
      <c r="T558" s="325">
        <v>0</v>
      </c>
      <c r="U558" s="325">
        <v>0</v>
      </c>
      <c r="V558" s="325">
        <v>0</v>
      </c>
      <c r="W558" s="325">
        <v>0</v>
      </c>
      <c r="X558" s="325">
        <v>0</v>
      </c>
      <c r="Y558" s="325">
        <v>0</v>
      </c>
      <c r="Z558" s="325">
        <v>0</v>
      </c>
      <c r="AA558" s="325">
        <v>0</v>
      </c>
      <c r="AB558" s="327">
        <v>2020</v>
      </c>
      <c r="AD558" s="4" t="e">
        <v>#N/A</v>
      </c>
    </row>
    <row r="559" spans="1:30" s="4" customFormat="1" ht="35.25" customHeight="1" x14ac:dyDescent="0.5">
      <c r="A559" s="4">
        <v>1</v>
      </c>
      <c r="B559" s="171">
        <f>SUBTOTAL(103,$A$8:A559)</f>
        <v>542</v>
      </c>
      <c r="C559" s="323" t="s">
        <v>1849</v>
      </c>
      <c r="D559" s="324">
        <f t="shared" si="22"/>
        <v>155581.73000000001</v>
      </c>
      <c r="E559" s="325">
        <v>0</v>
      </c>
      <c r="F559" s="325">
        <v>0</v>
      </c>
      <c r="G559" s="325">
        <v>0</v>
      </c>
      <c r="H559" s="325">
        <v>155581.73000000001</v>
      </c>
      <c r="I559" s="325">
        <v>0</v>
      </c>
      <c r="J559" s="325">
        <v>0</v>
      </c>
      <c r="K559" s="326">
        <v>0</v>
      </c>
      <c r="L559" s="325">
        <v>0</v>
      </c>
      <c r="M559" s="325">
        <v>0</v>
      </c>
      <c r="N559" s="325">
        <v>0</v>
      </c>
      <c r="O559" s="325">
        <v>0</v>
      </c>
      <c r="P559" s="325">
        <v>0</v>
      </c>
      <c r="Q559" s="325">
        <v>0</v>
      </c>
      <c r="R559" s="325">
        <v>0</v>
      </c>
      <c r="S559" s="325">
        <v>0</v>
      </c>
      <c r="T559" s="325">
        <v>0</v>
      </c>
      <c r="U559" s="325">
        <v>0</v>
      </c>
      <c r="V559" s="325">
        <v>0</v>
      </c>
      <c r="W559" s="325">
        <v>0</v>
      </c>
      <c r="X559" s="325">
        <v>0</v>
      </c>
      <c r="Y559" s="325">
        <v>0</v>
      </c>
      <c r="Z559" s="325">
        <v>0</v>
      </c>
      <c r="AA559" s="325">
        <v>0</v>
      </c>
      <c r="AB559" s="327">
        <v>2020</v>
      </c>
      <c r="AD559" s="4" t="e">
        <v>#N/A</v>
      </c>
    </row>
    <row r="560" spans="1:30" s="4" customFormat="1" ht="35.25" customHeight="1" x14ac:dyDescent="0.5">
      <c r="A560" s="4">
        <v>1</v>
      </c>
      <c r="B560" s="171">
        <f>SUBTOTAL(103,$A$8:A560)</f>
        <v>543</v>
      </c>
      <c r="C560" s="323" t="s">
        <v>2170</v>
      </c>
      <c r="D560" s="324">
        <f t="shared" si="22"/>
        <v>1467871.96</v>
      </c>
      <c r="E560" s="325">
        <v>0</v>
      </c>
      <c r="F560" s="325">
        <v>0</v>
      </c>
      <c r="G560" s="325">
        <v>1467871.96</v>
      </c>
      <c r="H560" s="325">
        <v>0</v>
      </c>
      <c r="I560" s="325">
        <v>0</v>
      </c>
      <c r="J560" s="325">
        <v>0</v>
      </c>
      <c r="K560" s="326">
        <v>0</v>
      </c>
      <c r="L560" s="325">
        <v>0</v>
      </c>
      <c r="M560" s="325">
        <v>0</v>
      </c>
      <c r="N560" s="325">
        <v>0</v>
      </c>
      <c r="O560" s="325">
        <v>0</v>
      </c>
      <c r="P560" s="325">
        <v>0</v>
      </c>
      <c r="Q560" s="325">
        <v>0</v>
      </c>
      <c r="R560" s="325">
        <v>0</v>
      </c>
      <c r="S560" s="325">
        <v>0</v>
      </c>
      <c r="T560" s="325">
        <v>0</v>
      </c>
      <c r="U560" s="325">
        <v>0</v>
      </c>
      <c r="V560" s="325">
        <v>0</v>
      </c>
      <c r="W560" s="325">
        <v>0</v>
      </c>
      <c r="X560" s="325">
        <v>0</v>
      </c>
      <c r="Y560" s="325">
        <v>0</v>
      </c>
      <c r="Z560" s="325">
        <v>0</v>
      </c>
      <c r="AA560" s="325">
        <v>0</v>
      </c>
      <c r="AB560" s="327">
        <v>2020</v>
      </c>
      <c r="AD560" s="4" t="e">
        <v>#N/A</v>
      </c>
    </row>
    <row r="561" spans="1:30" s="4" customFormat="1" ht="35.25" customHeight="1" x14ac:dyDescent="0.5">
      <c r="A561" s="4">
        <v>1</v>
      </c>
      <c r="B561" s="171">
        <f>SUBTOTAL(103,$A$8:A561)</f>
        <v>544</v>
      </c>
      <c r="C561" s="323" t="s">
        <v>2171</v>
      </c>
      <c r="D561" s="324">
        <f t="shared" si="22"/>
        <v>3131855.51</v>
      </c>
      <c r="E561" s="325">
        <v>0</v>
      </c>
      <c r="F561" s="325">
        <v>0</v>
      </c>
      <c r="G561" s="325">
        <v>3131855.51</v>
      </c>
      <c r="H561" s="325">
        <v>0</v>
      </c>
      <c r="I561" s="325">
        <v>0</v>
      </c>
      <c r="J561" s="325">
        <v>0</v>
      </c>
      <c r="K561" s="326">
        <v>0</v>
      </c>
      <c r="L561" s="325">
        <v>0</v>
      </c>
      <c r="M561" s="325">
        <v>0</v>
      </c>
      <c r="N561" s="325">
        <v>0</v>
      </c>
      <c r="O561" s="325">
        <v>0</v>
      </c>
      <c r="P561" s="325">
        <v>0</v>
      </c>
      <c r="Q561" s="325">
        <v>0</v>
      </c>
      <c r="R561" s="325">
        <v>0</v>
      </c>
      <c r="S561" s="325">
        <v>0</v>
      </c>
      <c r="T561" s="325">
        <v>0</v>
      </c>
      <c r="U561" s="325">
        <v>0</v>
      </c>
      <c r="V561" s="325">
        <v>0</v>
      </c>
      <c r="W561" s="325">
        <v>0</v>
      </c>
      <c r="X561" s="325">
        <v>0</v>
      </c>
      <c r="Y561" s="325">
        <v>0</v>
      </c>
      <c r="Z561" s="325">
        <v>0</v>
      </c>
      <c r="AA561" s="325">
        <v>0</v>
      </c>
      <c r="AB561" s="327">
        <v>2020</v>
      </c>
      <c r="AD561" s="4" t="e">
        <v>#N/A</v>
      </c>
    </row>
    <row r="562" spans="1:30" s="4" customFormat="1" ht="35.25" customHeight="1" x14ac:dyDescent="0.5">
      <c r="A562" s="4">
        <v>1</v>
      </c>
      <c r="B562" s="171">
        <f>SUBTOTAL(103,$A$8:A562)</f>
        <v>545</v>
      </c>
      <c r="C562" s="323" t="s">
        <v>2561</v>
      </c>
      <c r="D562" s="324">
        <f t="shared" si="22"/>
        <v>226200</v>
      </c>
      <c r="E562" s="325">
        <v>0</v>
      </c>
      <c r="F562" s="325">
        <v>0</v>
      </c>
      <c r="G562" s="325">
        <v>0</v>
      </c>
      <c r="H562" s="325">
        <v>0</v>
      </c>
      <c r="I562" s="325">
        <v>0</v>
      </c>
      <c r="J562" s="325">
        <v>0</v>
      </c>
      <c r="K562" s="326">
        <v>0</v>
      </c>
      <c r="L562" s="325">
        <v>0</v>
      </c>
      <c r="M562" s="325">
        <v>226200</v>
      </c>
      <c r="N562" s="325">
        <v>0</v>
      </c>
      <c r="O562" s="325">
        <v>0</v>
      </c>
      <c r="P562" s="325">
        <v>0</v>
      </c>
      <c r="Q562" s="325">
        <v>0</v>
      </c>
      <c r="R562" s="325">
        <v>0</v>
      </c>
      <c r="S562" s="325">
        <v>0</v>
      </c>
      <c r="T562" s="325">
        <v>0</v>
      </c>
      <c r="U562" s="325">
        <v>0</v>
      </c>
      <c r="V562" s="325">
        <v>0</v>
      </c>
      <c r="W562" s="325">
        <v>0</v>
      </c>
      <c r="X562" s="325">
        <v>0</v>
      </c>
      <c r="Y562" s="325">
        <v>0</v>
      </c>
      <c r="Z562" s="325">
        <v>0</v>
      </c>
      <c r="AA562" s="325">
        <v>0</v>
      </c>
      <c r="AB562" s="327">
        <v>2020</v>
      </c>
      <c r="AD562" s="4">
        <v>0</v>
      </c>
    </row>
    <row r="563" spans="1:30" s="4" customFormat="1" ht="35.25" customHeight="1" x14ac:dyDescent="0.5">
      <c r="A563" s="4">
        <v>1</v>
      </c>
      <c r="B563" s="171">
        <f>SUBTOTAL(103,$A$8:A563)</f>
        <v>546</v>
      </c>
      <c r="C563" s="323" t="s">
        <v>2172</v>
      </c>
      <c r="D563" s="324">
        <f t="shared" si="22"/>
        <v>419031</v>
      </c>
      <c r="E563" s="325">
        <v>117495</v>
      </c>
      <c r="F563" s="325">
        <v>301536</v>
      </c>
      <c r="G563" s="325">
        <v>0</v>
      </c>
      <c r="H563" s="325">
        <v>0</v>
      </c>
      <c r="I563" s="325">
        <v>0</v>
      </c>
      <c r="J563" s="325">
        <v>0</v>
      </c>
      <c r="K563" s="326">
        <v>0</v>
      </c>
      <c r="L563" s="325">
        <v>0</v>
      </c>
      <c r="M563" s="325">
        <v>0</v>
      </c>
      <c r="N563" s="325">
        <v>0</v>
      </c>
      <c r="O563" s="325">
        <v>0</v>
      </c>
      <c r="P563" s="325">
        <v>0</v>
      </c>
      <c r="Q563" s="325">
        <v>0</v>
      </c>
      <c r="R563" s="325">
        <v>0</v>
      </c>
      <c r="S563" s="325">
        <v>0</v>
      </c>
      <c r="T563" s="325">
        <v>0</v>
      </c>
      <c r="U563" s="325">
        <v>0</v>
      </c>
      <c r="V563" s="325">
        <v>0</v>
      </c>
      <c r="W563" s="325">
        <v>0</v>
      </c>
      <c r="X563" s="325">
        <v>0</v>
      </c>
      <c r="Y563" s="325">
        <v>0</v>
      </c>
      <c r="Z563" s="325">
        <v>0</v>
      </c>
      <c r="AA563" s="325">
        <v>0</v>
      </c>
      <c r="AB563" s="327">
        <v>2020</v>
      </c>
      <c r="AD563" s="4" t="e">
        <v>#N/A</v>
      </c>
    </row>
    <row r="564" spans="1:30" s="4" customFormat="1" ht="35.25" customHeight="1" x14ac:dyDescent="0.5">
      <c r="A564" s="4">
        <v>1</v>
      </c>
      <c r="B564" s="171">
        <f>SUBTOTAL(103,$A$8:A564)</f>
        <v>547</v>
      </c>
      <c r="C564" s="323" t="s">
        <v>2173</v>
      </c>
      <c r="D564" s="324">
        <f t="shared" si="22"/>
        <v>678313.12</v>
      </c>
      <c r="E564" s="325">
        <v>0</v>
      </c>
      <c r="F564" s="325">
        <v>0</v>
      </c>
      <c r="G564" s="325">
        <v>678313.12</v>
      </c>
      <c r="H564" s="325">
        <v>0</v>
      </c>
      <c r="I564" s="325">
        <v>0</v>
      </c>
      <c r="J564" s="325">
        <v>0</v>
      </c>
      <c r="K564" s="326">
        <v>0</v>
      </c>
      <c r="L564" s="325">
        <v>0</v>
      </c>
      <c r="M564" s="325">
        <v>0</v>
      </c>
      <c r="N564" s="325">
        <v>0</v>
      </c>
      <c r="O564" s="325">
        <v>0</v>
      </c>
      <c r="P564" s="325">
        <v>0</v>
      </c>
      <c r="Q564" s="325">
        <v>0</v>
      </c>
      <c r="R564" s="325">
        <v>0</v>
      </c>
      <c r="S564" s="325">
        <v>0</v>
      </c>
      <c r="T564" s="325">
        <v>0</v>
      </c>
      <c r="U564" s="325">
        <v>0</v>
      </c>
      <c r="V564" s="325">
        <v>0</v>
      </c>
      <c r="W564" s="325">
        <v>0</v>
      </c>
      <c r="X564" s="325">
        <v>0</v>
      </c>
      <c r="Y564" s="325">
        <v>0</v>
      </c>
      <c r="Z564" s="325">
        <v>0</v>
      </c>
      <c r="AA564" s="325">
        <v>0</v>
      </c>
      <c r="AB564" s="327">
        <v>2020</v>
      </c>
      <c r="AD564" s="4">
        <v>0</v>
      </c>
    </row>
    <row r="565" spans="1:30" s="4" customFormat="1" ht="35.25" customHeight="1" x14ac:dyDescent="0.5">
      <c r="A565" s="4">
        <v>1</v>
      </c>
      <c r="B565" s="171">
        <f>SUBTOTAL(103,$A$8:A565)</f>
        <v>548</v>
      </c>
      <c r="C565" s="323" t="s">
        <v>2174</v>
      </c>
      <c r="D565" s="324">
        <f t="shared" si="22"/>
        <v>263492</v>
      </c>
      <c r="E565" s="325">
        <v>0</v>
      </c>
      <c r="F565" s="325">
        <v>263492</v>
      </c>
      <c r="G565" s="325">
        <v>0</v>
      </c>
      <c r="H565" s="325">
        <v>0</v>
      </c>
      <c r="I565" s="325">
        <v>0</v>
      </c>
      <c r="J565" s="325">
        <v>0</v>
      </c>
      <c r="K565" s="326">
        <v>0</v>
      </c>
      <c r="L565" s="325">
        <v>0</v>
      </c>
      <c r="M565" s="325">
        <v>0</v>
      </c>
      <c r="N565" s="325">
        <v>0</v>
      </c>
      <c r="O565" s="325">
        <v>0</v>
      </c>
      <c r="P565" s="325">
        <v>0</v>
      </c>
      <c r="Q565" s="325">
        <v>0</v>
      </c>
      <c r="R565" s="325">
        <v>0</v>
      </c>
      <c r="S565" s="325">
        <v>0</v>
      </c>
      <c r="T565" s="325">
        <v>0</v>
      </c>
      <c r="U565" s="325">
        <v>0</v>
      </c>
      <c r="V565" s="325">
        <v>0</v>
      </c>
      <c r="W565" s="325">
        <v>0</v>
      </c>
      <c r="X565" s="325">
        <v>0</v>
      </c>
      <c r="Y565" s="325">
        <v>0</v>
      </c>
      <c r="Z565" s="325">
        <v>0</v>
      </c>
      <c r="AA565" s="325">
        <v>0</v>
      </c>
      <c r="AB565" s="327">
        <v>2020</v>
      </c>
      <c r="AD565" s="4" t="e">
        <v>#N/A</v>
      </c>
    </row>
    <row r="566" spans="1:30" s="4" customFormat="1" ht="35.25" customHeight="1" x14ac:dyDescent="0.5">
      <c r="A566" s="4">
        <v>1</v>
      </c>
      <c r="B566" s="171">
        <f>SUBTOTAL(103,$A$8:A566)</f>
        <v>549</v>
      </c>
      <c r="C566" s="323" t="s">
        <v>2175</v>
      </c>
      <c r="D566" s="324">
        <f t="shared" si="22"/>
        <v>1832116</v>
      </c>
      <c r="E566" s="325">
        <v>0</v>
      </c>
      <c r="F566" s="325">
        <v>0</v>
      </c>
      <c r="G566" s="325">
        <v>0</v>
      </c>
      <c r="H566" s="325">
        <v>0</v>
      </c>
      <c r="I566" s="325">
        <v>0</v>
      </c>
      <c r="J566" s="325">
        <v>0</v>
      </c>
      <c r="K566" s="326">
        <v>1</v>
      </c>
      <c r="L566" s="325">
        <v>1832116</v>
      </c>
      <c r="M566" s="325">
        <v>0</v>
      </c>
      <c r="N566" s="325">
        <v>0</v>
      </c>
      <c r="O566" s="325">
        <v>0</v>
      </c>
      <c r="P566" s="325">
        <v>0</v>
      </c>
      <c r="Q566" s="325">
        <v>0</v>
      </c>
      <c r="R566" s="325">
        <v>0</v>
      </c>
      <c r="S566" s="325">
        <v>0</v>
      </c>
      <c r="T566" s="325">
        <v>0</v>
      </c>
      <c r="U566" s="325">
        <v>0</v>
      </c>
      <c r="V566" s="325">
        <v>0</v>
      </c>
      <c r="W566" s="325">
        <v>0</v>
      </c>
      <c r="X566" s="325">
        <v>0</v>
      </c>
      <c r="Y566" s="325">
        <v>0</v>
      </c>
      <c r="Z566" s="325">
        <v>0</v>
      </c>
      <c r="AA566" s="325">
        <v>0</v>
      </c>
      <c r="AB566" s="327">
        <v>2020</v>
      </c>
      <c r="AD566" s="4" t="e">
        <v>#N/A</v>
      </c>
    </row>
    <row r="567" spans="1:30" s="4" customFormat="1" ht="35.25" customHeight="1" x14ac:dyDescent="0.5">
      <c r="A567" s="4">
        <v>1</v>
      </c>
      <c r="B567" s="171">
        <f>SUBTOTAL(103,$A$8:A567)</f>
        <v>550</v>
      </c>
      <c r="C567" s="323" t="s">
        <v>2176</v>
      </c>
      <c r="D567" s="324">
        <f t="shared" si="22"/>
        <v>643086</v>
      </c>
      <c r="E567" s="325">
        <v>0</v>
      </c>
      <c r="F567" s="325">
        <v>0</v>
      </c>
      <c r="G567" s="325">
        <v>0</v>
      </c>
      <c r="H567" s="325">
        <v>0</v>
      </c>
      <c r="I567" s="325">
        <v>0</v>
      </c>
      <c r="J567" s="325">
        <v>0</v>
      </c>
      <c r="K567" s="326">
        <v>0</v>
      </c>
      <c r="L567" s="325">
        <v>0</v>
      </c>
      <c r="M567" s="325">
        <v>643086</v>
      </c>
      <c r="N567" s="325">
        <v>0</v>
      </c>
      <c r="O567" s="325">
        <v>0</v>
      </c>
      <c r="P567" s="325">
        <v>0</v>
      </c>
      <c r="Q567" s="325">
        <v>0</v>
      </c>
      <c r="R567" s="325">
        <v>0</v>
      </c>
      <c r="S567" s="325">
        <v>0</v>
      </c>
      <c r="T567" s="325">
        <v>0</v>
      </c>
      <c r="U567" s="325">
        <v>0</v>
      </c>
      <c r="V567" s="325">
        <v>0</v>
      </c>
      <c r="W567" s="325">
        <v>0</v>
      </c>
      <c r="X567" s="325">
        <v>0</v>
      </c>
      <c r="Y567" s="325">
        <v>0</v>
      </c>
      <c r="Z567" s="325">
        <v>0</v>
      </c>
      <c r="AA567" s="325">
        <v>0</v>
      </c>
      <c r="AB567" s="327">
        <v>2020</v>
      </c>
      <c r="AD567" s="4" t="e">
        <v>#N/A</v>
      </c>
    </row>
    <row r="568" spans="1:30" s="4" customFormat="1" ht="35.25" customHeight="1" x14ac:dyDescent="0.5">
      <c r="A568" s="4">
        <v>1</v>
      </c>
      <c r="B568" s="171">
        <f>SUBTOTAL(103,$A$8:A568)</f>
        <v>551</v>
      </c>
      <c r="C568" s="323" t="s">
        <v>2177</v>
      </c>
      <c r="D568" s="324">
        <f t="shared" si="22"/>
        <v>330000</v>
      </c>
      <c r="E568" s="325">
        <v>0</v>
      </c>
      <c r="F568" s="325">
        <v>0</v>
      </c>
      <c r="G568" s="325">
        <v>0</v>
      </c>
      <c r="H568" s="325">
        <v>0</v>
      </c>
      <c r="I568" s="325">
        <v>0</v>
      </c>
      <c r="J568" s="325">
        <v>0</v>
      </c>
      <c r="K568" s="326">
        <v>0</v>
      </c>
      <c r="L568" s="325">
        <v>0</v>
      </c>
      <c r="M568" s="325">
        <v>330000</v>
      </c>
      <c r="N568" s="325">
        <v>0</v>
      </c>
      <c r="O568" s="325">
        <v>0</v>
      </c>
      <c r="P568" s="325">
        <v>0</v>
      </c>
      <c r="Q568" s="325">
        <v>0</v>
      </c>
      <c r="R568" s="325">
        <v>0</v>
      </c>
      <c r="S568" s="325">
        <v>0</v>
      </c>
      <c r="T568" s="325">
        <v>0</v>
      </c>
      <c r="U568" s="325">
        <v>0</v>
      </c>
      <c r="V568" s="325">
        <v>0</v>
      </c>
      <c r="W568" s="325">
        <v>0</v>
      </c>
      <c r="X568" s="325">
        <v>0</v>
      </c>
      <c r="Y568" s="325">
        <v>0</v>
      </c>
      <c r="Z568" s="325">
        <v>0</v>
      </c>
      <c r="AA568" s="325">
        <v>0</v>
      </c>
      <c r="AB568" s="327">
        <v>2020</v>
      </c>
      <c r="AD568" s="4">
        <v>0</v>
      </c>
    </row>
    <row r="569" spans="1:30" s="4" customFormat="1" ht="35.25" customHeight="1" x14ac:dyDescent="0.5">
      <c r="A569" s="4">
        <v>1</v>
      </c>
      <c r="B569" s="171">
        <f>SUBTOTAL(103,$A$8:A569)</f>
        <v>552</v>
      </c>
      <c r="C569" s="323" t="s">
        <v>2178</v>
      </c>
      <c r="D569" s="324">
        <f t="shared" si="22"/>
        <v>543000</v>
      </c>
      <c r="E569" s="325">
        <v>0</v>
      </c>
      <c r="F569" s="325">
        <v>0</v>
      </c>
      <c r="G569" s="325">
        <v>0</v>
      </c>
      <c r="H569" s="325">
        <v>0</v>
      </c>
      <c r="I569" s="325">
        <v>0</v>
      </c>
      <c r="J569" s="325">
        <v>0</v>
      </c>
      <c r="K569" s="326">
        <v>0</v>
      </c>
      <c r="L569" s="325">
        <v>0</v>
      </c>
      <c r="M569" s="325">
        <v>0</v>
      </c>
      <c r="N569" s="325">
        <v>0</v>
      </c>
      <c r="O569" s="325">
        <v>543000</v>
      </c>
      <c r="P569" s="325">
        <v>0</v>
      </c>
      <c r="Q569" s="325">
        <v>0</v>
      </c>
      <c r="R569" s="325">
        <v>0</v>
      </c>
      <c r="S569" s="325">
        <v>0</v>
      </c>
      <c r="T569" s="325">
        <v>0</v>
      </c>
      <c r="U569" s="325">
        <v>0</v>
      </c>
      <c r="V569" s="325">
        <v>0</v>
      </c>
      <c r="W569" s="325">
        <v>0</v>
      </c>
      <c r="X569" s="325">
        <v>0</v>
      </c>
      <c r="Y569" s="325">
        <v>0</v>
      </c>
      <c r="Z569" s="325">
        <v>0</v>
      </c>
      <c r="AA569" s="325">
        <v>0</v>
      </c>
      <c r="AB569" s="327">
        <v>2020</v>
      </c>
      <c r="AD569" s="4">
        <v>0</v>
      </c>
    </row>
    <row r="570" spans="1:30" s="4" customFormat="1" ht="35.25" customHeight="1" x14ac:dyDescent="0.5">
      <c r="A570" s="4">
        <v>1</v>
      </c>
      <c r="B570" s="171">
        <f>SUBTOTAL(103,$A$8:A570)</f>
        <v>553</v>
      </c>
      <c r="C570" s="323" t="s">
        <v>2562</v>
      </c>
      <c r="D570" s="324">
        <f t="shared" si="22"/>
        <v>500361</v>
      </c>
      <c r="E570" s="325">
        <v>0</v>
      </c>
      <c r="F570" s="325">
        <v>0</v>
      </c>
      <c r="G570" s="325">
        <v>500361</v>
      </c>
      <c r="H570" s="325">
        <v>0</v>
      </c>
      <c r="I570" s="325">
        <v>0</v>
      </c>
      <c r="J570" s="325">
        <v>0</v>
      </c>
      <c r="K570" s="326">
        <v>0</v>
      </c>
      <c r="L570" s="325">
        <v>0</v>
      </c>
      <c r="M570" s="325">
        <v>0</v>
      </c>
      <c r="N570" s="325">
        <v>0</v>
      </c>
      <c r="O570" s="325">
        <v>0</v>
      </c>
      <c r="P570" s="325">
        <v>0</v>
      </c>
      <c r="Q570" s="325">
        <v>0</v>
      </c>
      <c r="R570" s="325">
        <v>0</v>
      </c>
      <c r="S570" s="325">
        <v>0</v>
      </c>
      <c r="T570" s="325">
        <v>0</v>
      </c>
      <c r="U570" s="325">
        <v>0</v>
      </c>
      <c r="V570" s="325">
        <v>0</v>
      </c>
      <c r="W570" s="325">
        <v>0</v>
      </c>
      <c r="X570" s="325">
        <v>0</v>
      </c>
      <c r="Y570" s="325">
        <v>0</v>
      </c>
      <c r="Z570" s="325">
        <v>0</v>
      </c>
      <c r="AA570" s="325">
        <v>0</v>
      </c>
      <c r="AB570" s="327">
        <v>2020</v>
      </c>
      <c r="AD570" s="4">
        <v>0</v>
      </c>
    </row>
    <row r="571" spans="1:30" s="4" customFormat="1" ht="35.25" customHeight="1" x14ac:dyDescent="0.5">
      <c r="A571" s="4">
        <v>1</v>
      </c>
      <c r="B571" s="171">
        <f>SUBTOTAL(103,$A$8:A571)</f>
        <v>554</v>
      </c>
      <c r="C571" s="323" t="s">
        <v>2563</v>
      </c>
      <c r="D571" s="324">
        <f t="shared" si="22"/>
        <v>958000</v>
      </c>
      <c r="E571" s="325">
        <v>0</v>
      </c>
      <c r="F571" s="325">
        <v>0</v>
      </c>
      <c r="G571" s="325">
        <v>0</v>
      </c>
      <c r="H571" s="325">
        <v>0</v>
      </c>
      <c r="I571" s="325">
        <v>0</v>
      </c>
      <c r="J571" s="325">
        <v>0</v>
      </c>
      <c r="K571" s="326">
        <v>0</v>
      </c>
      <c r="L571" s="325">
        <v>0</v>
      </c>
      <c r="M571" s="325">
        <v>958000</v>
      </c>
      <c r="N571" s="325">
        <v>0</v>
      </c>
      <c r="O571" s="325">
        <v>0</v>
      </c>
      <c r="P571" s="325">
        <v>0</v>
      </c>
      <c r="Q571" s="325">
        <v>0</v>
      </c>
      <c r="R571" s="325">
        <v>0</v>
      </c>
      <c r="S571" s="325">
        <v>0</v>
      </c>
      <c r="T571" s="325">
        <v>0</v>
      </c>
      <c r="U571" s="325">
        <v>0</v>
      </c>
      <c r="V571" s="325">
        <v>0</v>
      </c>
      <c r="W571" s="325">
        <v>0</v>
      </c>
      <c r="X571" s="325">
        <v>0</v>
      </c>
      <c r="Y571" s="325">
        <v>0</v>
      </c>
      <c r="Z571" s="325">
        <v>0</v>
      </c>
      <c r="AA571" s="325">
        <v>0</v>
      </c>
      <c r="AB571" s="327">
        <v>2020</v>
      </c>
      <c r="AD571" s="4">
        <v>0</v>
      </c>
    </row>
    <row r="572" spans="1:30" s="4" customFormat="1" ht="35.25" customHeight="1" x14ac:dyDescent="0.5">
      <c r="A572" s="4">
        <v>1</v>
      </c>
      <c r="B572" s="171">
        <f>SUBTOTAL(103,$A$8:A572)</f>
        <v>555</v>
      </c>
      <c r="C572" s="323" t="s">
        <v>2564</v>
      </c>
      <c r="D572" s="324">
        <f t="shared" si="22"/>
        <v>549634</v>
      </c>
      <c r="E572" s="325">
        <v>0</v>
      </c>
      <c r="F572" s="325">
        <v>0</v>
      </c>
      <c r="G572" s="325">
        <v>0</v>
      </c>
      <c r="H572" s="325">
        <v>0</v>
      </c>
      <c r="I572" s="325">
        <v>0</v>
      </c>
      <c r="J572" s="325">
        <v>0</v>
      </c>
      <c r="K572" s="326">
        <v>1</v>
      </c>
      <c r="L572" s="325">
        <v>549634</v>
      </c>
      <c r="M572" s="325">
        <v>0</v>
      </c>
      <c r="N572" s="325">
        <v>0</v>
      </c>
      <c r="O572" s="325">
        <v>0</v>
      </c>
      <c r="P572" s="325">
        <v>0</v>
      </c>
      <c r="Q572" s="325">
        <v>0</v>
      </c>
      <c r="R572" s="325">
        <v>0</v>
      </c>
      <c r="S572" s="325">
        <v>0</v>
      </c>
      <c r="T572" s="325">
        <v>0</v>
      </c>
      <c r="U572" s="325">
        <v>0</v>
      </c>
      <c r="V572" s="325">
        <v>0</v>
      </c>
      <c r="W572" s="325">
        <v>0</v>
      </c>
      <c r="X572" s="325">
        <v>0</v>
      </c>
      <c r="Y572" s="325">
        <v>0</v>
      </c>
      <c r="Z572" s="325">
        <v>0</v>
      </c>
      <c r="AA572" s="325">
        <v>0</v>
      </c>
      <c r="AB572" s="327">
        <v>2020</v>
      </c>
      <c r="AD572" s="4">
        <v>0</v>
      </c>
    </row>
    <row r="573" spans="1:30" s="4" customFormat="1" ht="35.25" customHeight="1" x14ac:dyDescent="0.5">
      <c r="A573" s="4">
        <v>1</v>
      </c>
      <c r="B573" s="171">
        <f>SUBTOTAL(103,$A$8:A573)</f>
        <v>556</v>
      </c>
      <c r="C573" s="323" t="s">
        <v>2179</v>
      </c>
      <c r="D573" s="324">
        <f t="shared" si="22"/>
        <v>1137848</v>
      </c>
      <c r="E573" s="325">
        <v>0</v>
      </c>
      <c r="F573" s="325">
        <v>0</v>
      </c>
      <c r="G573" s="325">
        <v>0</v>
      </c>
      <c r="H573" s="325">
        <v>0</v>
      </c>
      <c r="I573" s="325">
        <v>0</v>
      </c>
      <c r="J573" s="325">
        <v>0</v>
      </c>
      <c r="K573" s="326">
        <v>0</v>
      </c>
      <c r="L573" s="325">
        <v>0</v>
      </c>
      <c r="M573" s="325">
        <v>0</v>
      </c>
      <c r="N573" s="325">
        <v>1137848</v>
      </c>
      <c r="O573" s="325">
        <v>0</v>
      </c>
      <c r="P573" s="325">
        <v>0</v>
      </c>
      <c r="Q573" s="325">
        <v>0</v>
      </c>
      <c r="R573" s="325">
        <v>0</v>
      </c>
      <c r="S573" s="325">
        <v>0</v>
      </c>
      <c r="T573" s="325">
        <v>0</v>
      </c>
      <c r="U573" s="325">
        <v>0</v>
      </c>
      <c r="V573" s="325">
        <v>0</v>
      </c>
      <c r="W573" s="325">
        <v>0</v>
      </c>
      <c r="X573" s="325">
        <v>0</v>
      </c>
      <c r="Y573" s="325">
        <v>0</v>
      </c>
      <c r="Z573" s="325">
        <v>0</v>
      </c>
      <c r="AA573" s="325">
        <v>0</v>
      </c>
      <c r="AB573" s="327">
        <v>2020</v>
      </c>
      <c r="AD573" s="4" t="e">
        <v>#N/A</v>
      </c>
    </row>
    <row r="574" spans="1:30" s="4" customFormat="1" ht="35.25" customHeight="1" x14ac:dyDescent="0.5">
      <c r="A574" s="4">
        <v>1</v>
      </c>
      <c r="B574" s="171">
        <f>SUBTOTAL(103,$A$8:A574)</f>
        <v>557</v>
      </c>
      <c r="C574" s="323" t="s">
        <v>2180</v>
      </c>
      <c r="D574" s="324">
        <f t="shared" si="22"/>
        <v>210700</v>
      </c>
      <c r="E574" s="325">
        <v>0</v>
      </c>
      <c r="F574" s="325">
        <v>0</v>
      </c>
      <c r="G574" s="325">
        <v>210700</v>
      </c>
      <c r="H574" s="325">
        <v>0</v>
      </c>
      <c r="I574" s="325">
        <v>0</v>
      </c>
      <c r="J574" s="325">
        <v>0</v>
      </c>
      <c r="K574" s="326">
        <v>0</v>
      </c>
      <c r="L574" s="325">
        <v>0</v>
      </c>
      <c r="M574" s="325">
        <v>0</v>
      </c>
      <c r="N574" s="325">
        <v>0</v>
      </c>
      <c r="O574" s="325">
        <v>0</v>
      </c>
      <c r="P574" s="325">
        <v>0</v>
      </c>
      <c r="Q574" s="325">
        <v>0</v>
      </c>
      <c r="R574" s="325">
        <v>0</v>
      </c>
      <c r="S574" s="325">
        <v>0</v>
      </c>
      <c r="T574" s="325">
        <v>0</v>
      </c>
      <c r="U574" s="325">
        <v>0</v>
      </c>
      <c r="V574" s="325">
        <v>0</v>
      </c>
      <c r="W574" s="325">
        <v>0</v>
      </c>
      <c r="X574" s="325">
        <v>0</v>
      </c>
      <c r="Y574" s="325">
        <v>0</v>
      </c>
      <c r="Z574" s="325">
        <v>0</v>
      </c>
      <c r="AA574" s="325">
        <v>0</v>
      </c>
      <c r="AB574" s="327">
        <v>2020</v>
      </c>
      <c r="AD574" s="4" t="e">
        <v>#N/A</v>
      </c>
    </row>
    <row r="575" spans="1:30" s="4" customFormat="1" ht="35.25" customHeight="1" x14ac:dyDescent="0.5">
      <c r="A575" s="4">
        <v>1</v>
      </c>
      <c r="B575" s="171">
        <f>SUBTOTAL(103,$A$8:A575)</f>
        <v>558</v>
      </c>
      <c r="C575" s="323" t="s">
        <v>2181</v>
      </c>
      <c r="D575" s="324">
        <f t="shared" si="22"/>
        <v>492012</v>
      </c>
      <c r="E575" s="325">
        <v>0</v>
      </c>
      <c r="F575" s="325">
        <v>0</v>
      </c>
      <c r="G575" s="325">
        <v>0</v>
      </c>
      <c r="H575" s="325">
        <v>0</v>
      </c>
      <c r="I575" s="325">
        <v>492012</v>
      </c>
      <c r="J575" s="325">
        <v>0</v>
      </c>
      <c r="K575" s="326">
        <v>0</v>
      </c>
      <c r="L575" s="325">
        <v>0</v>
      </c>
      <c r="M575" s="325">
        <v>0</v>
      </c>
      <c r="N575" s="325">
        <v>0</v>
      </c>
      <c r="O575" s="325">
        <v>0</v>
      </c>
      <c r="P575" s="325">
        <v>0</v>
      </c>
      <c r="Q575" s="325">
        <v>0</v>
      </c>
      <c r="R575" s="325">
        <v>0</v>
      </c>
      <c r="S575" s="325">
        <v>0</v>
      </c>
      <c r="T575" s="325">
        <v>0</v>
      </c>
      <c r="U575" s="325">
        <v>0</v>
      </c>
      <c r="V575" s="325">
        <v>0</v>
      </c>
      <c r="W575" s="325">
        <v>0</v>
      </c>
      <c r="X575" s="325">
        <v>0</v>
      </c>
      <c r="Y575" s="325">
        <v>0</v>
      </c>
      <c r="Z575" s="325">
        <v>0</v>
      </c>
      <c r="AA575" s="325">
        <v>0</v>
      </c>
      <c r="AB575" s="327">
        <v>2020</v>
      </c>
      <c r="AD575" s="4" t="e">
        <v>#N/A</v>
      </c>
    </row>
    <row r="576" spans="1:30" s="4" customFormat="1" ht="35.25" customHeight="1" x14ac:dyDescent="0.5">
      <c r="A576" s="4">
        <v>1</v>
      </c>
      <c r="B576" s="171">
        <f>SUBTOTAL(103,$A$8:A576)</f>
        <v>559</v>
      </c>
      <c r="C576" s="323" t="s">
        <v>2182</v>
      </c>
      <c r="D576" s="324">
        <f t="shared" si="22"/>
        <v>63000</v>
      </c>
      <c r="E576" s="325">
        <v>0</v>
      </c>
      <c r="F576" s="325">
        <v>63000</v>
      </c>
      <c r="G576" s="325">
        <v>0</v>
      </c>
      <c r="H576" s="325">
        <v>0</v>
      </c>
      <c r="I576" s="325">
        <v>0</v>
      </c>
      <c r="J576" s="325">
        <v>0</v>
      </c>
      <c r="K576" s="326">
        <v>0</v>
      </c>
      <c r="L576" s="325">
        <v>0</v>
      </c>
      <c r="M576" s="325">
        <v>0</v>
      </c>
      <c r="N576" s="325">
        <v>0</v>
      </c>
      <c r="O576" s="325">
        <v>0</v>
      </c>
      <c r="P576" s="325">
        <v>0</v>
      </c>
      <c r="Q576" s="325">
        <v>0</v>
      </c>
      <c r="R576" s="325">
        <v>0</v>
      </c>
      <c r="S576" s="325">
        <v>0</v>
      </c>
      <c r="T576" s="325">
        <v>0</v>
      </c>
      <c r="U576" s="325">
        <v>0</v>
      </c>
      <c r="V576" s="325">
        <v>0</v>
      </c>
      <c r="W576" s="325">
        <v>0</v>
      </c>
      <c r="X576" s="325">
        <v>0</v>
      </c>
      <c r="Y576" s="325">
        <v>0</v>
      </c>
      <c r="Z576" s="325">
        <v>0</v>
      </c>
      <c r="AA576" s="325">
        <v>0</v>
      </c>
      <c r="AB576" s="327">
        <v>2020</v>
      </c>
      <c r="AD576" s="4" t="e">
        <v>#N/A</v>
      </c>
    </row>
    <row r="577" spans="1:30" s="4" customFormat="1" ht="35.25" customHeight="1" x14ac:dyDescent="0.5">
      <c r="A577" s="4">
        <v>1</v>
      </c>
      <c r="B577" s="171">
        <f>SUBTOTAL(103,$A$8:A577)</f>
        <v>560</v>
      </c>
      <c r="C577" s="323" t="s">
        <v>2183</v>
      </c>
      <c r="D577" s="324">
        <f t="shared" si="22"/>
        <v>361000</v>
      </c>
      <c r="E577" s="325">
        <v>0</v>
      </c>
      <c r="F577" s="325">
        <v>0</v>
      </c>
      <c r="G577" s="325">
        <v>0</v>
      </c>
      <c r="H577" s="325">
        <v>0</v>
      </c>
      <c r="I577" s="325">
        <v>0</v>
      </c>
      <c r="J577" s="325">
        <v>0</v>
      </c>
      <c r="K577" s="326">
        <v>0</v>
      </c>
      <c r="L577" s="325">
        <v>0</v>
      </c>
      <c r="M577" s="325">
        <v>0</v>
      </c>
      <c r="N577" s="325">
        <v>0</v>
      </c>
      <c r="O577" s="325">
        <v>361000</v>
      </c>
      <c r="P577" s="325">
        <v>0</v>
      </c>
      <c r="Q577" s="325">
        <v>0</v>
      </c>
      <c r="R577" s="325">
        <v>0</v>
      </c>
      <c r="S577" s="325">
        <v>0</v>
      </c>
      <c r="T577" s="325">
        <v>0</v>
      </c>
      <c r="U577" s="325">
        <v>0</v>
      </c>
      <c r="V577" s="325">
        <v>0</v>
      </c>
      <c r="W577" s="325">
        <v>0</v>
      </c>
      <c r="X577" s="325">
        <v>0</v>
      </c>
      <c r="Y577" s="325">
        <v>0</v>
      </c>
      <c r="Z577" s="325">
        <v>0</v>
      </c>
      <c r="AA577" s="325">
        <v>0</v>
      </c>
      <c r="AB577" s="327">
        <v>2020</v>
      </c>
      <c r="AD577" s="4" t="e">
        <v>#N/A</v>
      </c>
    </row>
    <row r="578" spans="1:30" s="4" customFormat="1" ht="35.25" customHeight="1" x14ac:dyDescent="0.5">
      <c r="A578" s="4">
        <v>1</v>
      </c>
      <c r="B578" s="171">
        <f>SUBTOTAL(103,$A$8:A578)</f>
        <v>561</v>
      </c>
      <c r="C578" s="323" t="s">
        <v>2184</v>
      </c>
      <c r="D578" s="324">
        <f t="shared" si="22"/>
        <v>191340</v>
      </c>
      <c r="E578" s="325">
        <v>0</v>
      </c>
      <c r="F578" s="325">
        <v>0</v>
      </c>
      <c r="G578" s="325">
        <v>0</v>
      </c>
      <c r="H578" s="325">
        <v>0</v>
      </c>
      <c r="I578" s="325">
        <v>0</v>
      </c>
      <c r="J578" s="325">
        <v>0</v>
      </c>
      <c r="K578" s="326">
        <v>0</v>
      </c>
      <c r="L578" s="325">
        <v>0</v>
      </c>
      <c r="M578" s="325">
        <v>0</v>
      </c>
      <c r="N578" s="325">
        <v>0</v>
      </c>
      <c r="O578" s="325">
        <v>191340</v>
      </c>
      <c r="P578" s="325">
        <v>0</v>
      </c>
      <c r="Q578" s="325">
        <v>0</v>
      </c>
      <c r="R578" s="325">
        <v>0</v>
      </c>
      <c r="S578" s="325">
        <v>0</v>
      </c>
      <c r="T578" s="325">
        <v>0</v>
      </c>
      <c r="U578" s="325">
        <v>0</v>
      </c>
      <c r="V578" s="325">
        <v>0</v>
      </c>
      <c r="W578" s="325">
        <v>0</v>
      </c>
      <c r="X578" s="325">
        <v>0</v>
      </c>
      <c r="Y578" s="325">
        <v>0</v>
      </c>
      <c r="Z578" s="325">
        <v>0</v>
      </c>
      <c r="AA578" s="325">
        <v>0</v>
      </c>
      <c r="AB578" s="327">
        <v>2020</v>
      </c>
      <c r="AD578" s="4">
        <v>0</v>
      </c>
    </row>
    <row r="579" spans="1:30" s="4" customFormat="1" ht="35.25" customHeight="1" x14ac:dyDescent="0.5">
      <c r="A579" s="4">
        <v>1</v>
      </c>
      <c r="B579" s="171">
        <f>SUBTOTAL(103,$A$8:A579)</f>
        <v>562</v>
      </c>
      <c r="C579" s="323" t="s">
        <v>2185</v>
      </c>
      <c r="D579" s="324">
        <f t="shared" si="22"/>
        <v>1832116</v>
      </c>
      <c r="E579" s="325">
        <v>0</v>
      </c>
      <c r="F579" s="325">
        <v>0</v>
      </c>
      <c r="G579" s="325">
        <v>0</v>
      </c>
      <c r="H579" s="325">
        <v>0</v>
      </c>
      <c r="I579" s="325">
        <v>0</v>
      </c>
      <c r="J579" s="325">
        <v>0</v>
      </c>
      <c r="K579" s="326">
        <v>1</v>
      </c>
      <c r="L579" s="325">
        <v>1832116</v>
      </c>
      <c r="M579" s="325">
        <v>0</v>
      </c>
      <c r="N579" s="325">
        <v>0</v>
      </c>
      <c r="O579" s="325">
        <v>0</v>
      </c>
      <c r="P579" s="325">
        <v>0</v>
      </c>
      <c r="Q579" s="325">
        <v>0</v>
      </c>
      <c r="R579" s="325">
        <v>0</v>
      </c>
      <c r="S579" s="325">
        <v>0</v>
      </c>
      <c r="T579" s="325">
        <v>0</v>
      </c>
      <c r="U579" s="325">
        <v>0</v>
      </c>
      <c r="V579" s="325">
        <v>0</v>
      </c>
      <c r="W579" s="325">
        <v>0</v>
      </c>
      <c r="X579" s="325">
        <v>0</v>
      </c>
      <c r="Y579" s="325">
        <v>0</v>
      </c>
      <c r="Z579" s="325">
        <v>0</v>
      </c>
      <c r="AA579" s="325">
        <v>0</v>
      </c>
      <c r="AB579" s="327">
        <v>2020</v>
      </c>
      <c r="AD579" s="4" t="e">
        <v>#N/A</v>
      </c>
    </row>
    <row r="580" spans="1:30" s="4" customFormat="1" ht="35.25" customHeight="1" x14ac:dyDescent="0.5">
      <c r="A580" s="4">
        <v>1</v>
      </c>
      <c r="B580" s="171">
        <f>SUBTOTAL(103,$A$8:A580)</f>
        <v>563</v>
      </c>
      <c r="C580" s="323" t="s">
        <v>2565</v>
      </c>
      <c r="D580" s="324">
        <f t="shared" si="22"/>
        <v>311487.8</v>
      </c>
      <c r="E580" s="325">
        <v>0</v>
      </c>
      <c r="F580" s="325">
        <v>0</v>
      </c>
      <c r="G580" s="325">
        <v>0</v>
      </c>
      <c r="H580" s="325">
        <v>0</v>
      </c>
      <c r="I580" s="325">
        <v>0</v>
      </c>
      <c r="J580" s="325">
        <v>0</v>
      </c>
      <c r="K580" s="326">
        <v>0</v>
      </c>
      <c r="L580" s="325">
        <v>0</v>
      </c>
      <c r="M580" s="325">
        <v>311487.8</v>
      </c>
      <c r="N580" s="325">
        <v>0</v>
      </c>
      <c r="O580" s="325">
        <v>0</v>
      </c>
      <c r="P580" s="325">
        <v>0</v>
      </c>
      <c r="Q580" s="325">
        <v>0</v>
      </c>
      <c r="R580" s="325">
        <v>0</v>
      </c>
      <c r="S580" s="325">
        <v>0</v>
      </c>
      <c r="T580" s="325">
        <v>0</v>
      </c>
      <c r="U580" s="325">
        <v>0</v>
      </c>
      <c r="V580" s="325">
        <v>0</v>
      </c>
      <c r="W580" s="325">
        <v>0</v>
      </c>
      <c r="X580" s="325">
        <v>0</v>
      </c>
      <c r="Y580" s="325">
        <v>0</v>
      </c>
      <c r="Z580" s="325">
        <v>0</v>
      </c>
      <c r="AA580" s="325">
        <v>0</v>
      </c>
      <c r="AB580" s="327">
        <v>2020</v>
      </c>
      <c r="AD580" s="4">
        <v>0</v>
      </c>
    </row>
    <row r="581" spans="1:30" s="4" customFormat="1" ht="35.25" customHeight="1" x14ac:dyDescent="0.5">
      <c r="A581" s="4">
        <v>1</v>
      </c>
      <c r="B581" s="171">
        <f>SUBTOTAL(103,$A$8:A581)</f>
        <v>564</v>
      </c>
      <c r="C581" s="323" t="s">
        <v>2186</v>
      </c>
      <c r="D581" s="324">
        <f t="shared" si="22"/>
        <v>1266471.23</v>
      </c>
      <c r="E581" s="325">
        <v>144657.63</v>
      </c>
      <c r="F581" s="325">
        <v>369283.6</v>
      </c>
      <c r="G581" s="325">
        <v>0</v>
      </c>
      <c r="H581" s="325">
        <v>0</v>
      </c>
      <c r="I581" s="325">
        <v>0</v>
      </c>
      <c r="J581" s="325">
        <v>0</v>
      </c>
      <c r="K581" s="326">
        <v>0</v>
      </c>
      <c r="L581" s="325">
        <v>0</v>
      </c>
      <c r="M581" s="325">
        <v>600078</v>
      </c>
      <c r="N581" s="325">
        <v>0</v>
      </c>
      <c r="O581" s="325">
        <v>152452</v>
      </c>
      <c r="P581" s="325">
        <v>0</v>
      </c>
      <c r="Q581" s="325">
        <v>0</v>
      </c>
      <c r="R581" s="325">
        <v>0</v>
      </c>
      <c r="S581" s="325">
        <v>0</v>
      </c>
      <c r="T581" s="325">
        <v>0</v>
      </c>
      <c r="U581" s="325">
        <v>0</v>
      </c>
      <c r="V581" s="325">
        <v>0</v>
      </c>
      <c r="W581" s="325">
        <v>0</v>
      </c>
      <c r="X581" s="325">
        <v>0</v>
      </c>
      <c r="Y581" s="325">
        <v>0</v>
      </c>
      <c r="Z581" s="325">
        <v>0</v>
      </c>
      <c r="AA581" s="325">
        <v>0</v>
      </c>
      <c r="AB581" s="327">
        <v>2020</v>
      </c>
      <c r="AD581" s="4">
        <v>0</v>
      </c>
    </row>
    <row r="582" spans="1:30" s="4" customFormat="1" ht="35.25" customHeight="1" x14ac:dyDescent="0.5">
      <c r="A582" s="4">
        <v>1</v>
      </c>
      <c r="B582" s="171">
        <f>SUBTOTAL(103,$A$8:A582)</f>
        <v>565</v>
      </c>
      <c r="C582" s="323" t="s">
        <v>2187</v>
      </c>
      <c r="D582" s="324">
        <f t="shared" si="22"/>
        <v>1057074</v>
      </c>
      <c r="E582" s="325">
        <v>0</v>
      </c>
      <c r="F582" s="325">
        <v>0</v>
      </c>
      <c r="G582" s="325">
        <v>0</v>
      </c>
      <c r="H582" s="325">
        <v>0</v>
      </c>
      <c r="I582" s="325">
        <v>0</v>
      </c>
      <c r="J582" s="325">
        <v>0</v>
      </c>
      <c r="K582" s="326">
        <v>0</v>
      </c>
      <c r="L582" s="325">
        <v>0</v>
      </c>
      <c r="M582" s="325">
        <v>1057074</v>
      </c>
      <c r="N582" s="325">
        <v>0</v>
      </c>
      <c r="O582" s="325">
        <v>0</v>
      </c>
      <c r="P582" s="325">
        <v>0</v>
      </c>
      <c r="Q582" s="325">
        <v>0</v>
      </c>
      <c r="R582" s="325">
        <v>0</v>
      </c>
      <c r="S582" s="325">
        <v>0</v>
      </c>
      <c r="T582" s="325">
        <v>0</v>
      </c>
      <c r="U582" s="325">
        <v>0</v>
      </c>
      <c r="V582" s="325">
        <v>0</v>
      </c>
      <c r="W582" s="325">
        <v>0</v>
      </c>
      <c r="X582" s="325">
        <v>0</v>
      </c>
      <c r="Y582" s="325">
        <v>0</v>
      </c>
      <c r="Z582" s="325">
        <v>0</v>
      </c>
      <c r="AA582" s="325">
        <v>0</v>
      </c>
      <c r="AB582" s="327">
        <v>2020</v>
      </c>
      <c r="AD582" s="4">
        <v>0</v>
      </c>
    </row>
    <row r="583" spans="1:30" s="4" customFormat="1" ht="35.25" customHeight="1" x14ac:dyDescent="0.5">
      <c r="A583" s="4">
        <v>1</v>
      </c>
      <c r="B583" s="171">
        <f>SUBTOTAL(103,$A$8:A583)</f>
        <v>566</v>
      </c>
      <c r="C583" s="323" t="s">
        <v>2566</v>
      </c>
      <c r="D583" s="324">
        <f t="shared" si="22"/>
        <v>997869.02</v>
      </c>
      <c r="E583" s="325">
        <v>0</v>
      </c>
      <c r="F583" s="325">
        <v>0</v>
      </c>
      <c r="G583" s="325">
        <v>0</v>
      </c>
      <c r="H583" s="325">
        <v>0</v>
      </c>
      <c r="I583" s="325">
        <v>997869.02</v>
      </c>
      <c r="J583" s="325">
        <v>0</v>
      </c>
      <c r="K583" s="326">
        <v>0</v>
      </c>
      <c r="L583" s="325">
        <v>0</v>
      </c>
      <c r="M583" s="325">
        <v>0</v>
      </c>
      <c r="N583" s="325">
        <v>0</v>
      </c>
      <c r="O583" s="325">
        <v>0</v>
      </c>
      <c r="P583" s="325">
        <v>0</v>
      </c>
      <c r="Q583" s="325">
        <v>0</v>
      </c>
      <c r="R583" s="325">
        <v>0</v>
      </c>
      <c r="S583" s="325">
        <v>0</v>
      </c>
      <c r="T583" s="325">
        <v>0</v>
      </c>
      <c r="U583" s="325">
        <v>0</v>
      </c>
      <c r="V583" s="325">
        <v>0</v>
      </c>
      <c r="W583" s="325">
        <v>0</v>
      </c>
      <c r="X583" s="325">
        <v>0</v>
      </c>
      <c r="Y583" s="325">
        <v>0</v>
      </c>
      <c r="Z583" s="325">
        <v>0</v>
      </c>
      <c r="AA583" s="325">
        <v>0</v>
      </c>
      <c r="AB583" s="327">
        <v>2020</v>
      </c>
      <c r="AD583" s="4">
        <v>0</v>
      </c>
    </row>
    <row r="584" spans="1:30" s="4" customFormat="1" ht="35.25" customHeight="1" x14ac:dyDescent="0.5">
      <c r="A584" s="4">
        <v>1</v>
      </c>
      <c r="B584" s="171">
        <f>SUBTOTAL(103,$A$8:A584)</f>
        <v>567</v>
      </c>
      <c r="C584" s="323" t="s">
        <v>2188</v>
      </c>
      <c r="D584" s="324">
        <f t="shared" si="22"/>
        <v>973016</v>
      </c>
      <c r="E584" s="325">
        <v>0</v>
      </c>
      <c r="F584" s="325">
        <v>0</v>
      </c>
      <c r="G584" s="325">
        <v>0</v>
      </c>
      <c r="H584" s="325">
        <v>0</v>
      </c>
      <c r="I584" s="325">
        <v>0</v>
      </c>
      <c r="J584" s="325">
        <v>0</v>
      </c>
      <c r="K584" s="326">
        <v>0</v>
      </c>
      <c r="L584" s="325">
        <v>0</v>
      </c>
      <c r="M584" s="325">
        <v>973016</v>
      </c>
      <c r="N584" s="325">
        <v>0</v>
      </c>
      <c r="O584" s="325">
        <v>0</v>
      </c>
      <c r="P584" s="325">
        <v>0</v>
      </c>
      <c r="Q584" s="325">
        <v>0</v>
      </c>
      <c r="R584" s="325">
        <v>0</v>
      </c>
      <c r="S584" s="325">
        <v>0</v>
      </c>
      <c r="T584" s="325">
        <v>0</v>
      </c>
      <c r="U584" s="325">
        <v>0</v>
      </c>
      <c r="V584" s="325">
        <v>0</v>
      </c>
      <c r="W584" s="325">
        <v>0</v>
      </c>
      <c r="X584" s="325">
        <v>0</v>
      </c>
      <c r="Y584" s="325">
        <v>0</v>
      </c>
      <c r="Z584" s="325">
        <v>0</v>
      </c>
      <c r="AA584" s="325">
        <v>0</v>
      </c>
      <c r="AB584" s="327">
        <v>2020</v>
      </c>
      <c r="AD584" s="4" t="e">
        <v>#N/A</v>
      </c>
    </row>
    <row r="585" spans="1:30" s="4" customFormat="1" ht="35.25" customHeight="1" x14ac:dyDescent="0.5">
      <c r="A585" s="4">
        <v>1</v>
      </c>
      <c r="B585" s="171">
        <f>SUBTOTAL(103,$A$8:A585)</f>
        <v>568</v>
      </c>
      <c r="C585" s="323" t="s">
        <v>2189</v>
      </c>
      <c r="D585" s="324">
        <f t="shared" si="22"/>
        <v>350223</v>
      </c>
      <c r="E585" s="325">
        <v>0</v>
      </c>
      <c r="F585" s="325">
        <v>0</v>
      </c>
      <c r="G585" s="325">
        <v>0</v>
      </c>
      <c r="H585" s="325">
        <v>0</v>
      </c>
      <c r="I585" s="325">
        <v>0</v>
      </c>
      <c r="J585" s="325">
        <v>0</v>
      </c>
      <c r="K585" s="326">
        <v>0</v>
      </c>
      <c r="L585" s="325">
        <v>0</v>
      </c>
      <c r="M585" s="325">
        <v>0</v>
      </c>
      <c r="N585" s="325">
        <v>0</v>
      </c>
      <c r="O585" s="325">
        <v>350223</v>
      </c>
      <c r="P585" s="325">
        <v>0</v>
      </c>
      <c r="Q585" s="325">
        <v>0</v>
      </c>
      <c r="R585" s="325">
        <v>0</v>
      </c>
      <c r="S585" s="325">
        <v>0</v>
      </c>
      <c r="T585" s="325">
        <v>0</v>
      </c>
      <c r="U585" s="325">
        <v>0</v>
      </c>
      <c r="V585" s="325">
        <v>0</v>
      </c>
      <c r="W585" s="325">
        <v>0</v>
      </c>
      <c r="X585" s="325">
        <v>0</v>
      </c>
      <c r="Y585" s="325">
        <v>0</v>
      </c>
      <c r="Z585" s="325">
        <v>0</v>
      </c>
      <c r="AA585" s="325">
        <v>0</v>
      </c>
      <c r="AB585" s="327">
        <v>2020</v>
      </c>
      <c r="AD585" s="4" t="e">
        <v>#N/A</v>
      </c>
    </row>
    <row r="586" spans="1:30" s="4" customFormat="1" ht="35.25" customHeight="1" x14ac:dyDescent="0.5">
      <c r="A586" s="4">
        <v>1</v>
      </c>
      <c r="B586" s="171">
        <f>SUBTOTAL(103,$A$8:A586)</f>
        <v>569</v>
      </c>
      <c r="C586" s="323" t="s">
        <v>2190</v>
      </c>
      <c r="D586" s="324">
        <f t="shared" si="22"/>
        <v>1957138.15</v>
      </c>
      <c r="E586" s="325">
        <v>0</v>
      </c>
      <c r="F586" s="325">
        <v>0</v>
      </c>
      <c r="G586" s="325">
        <v>390000</v>
      </c>
      <c r="H586" s="325">
        <v>0</v>
      </c>
      <c r="I586" s="325">
        <v>0</v>
      </c>
      <c r="J586" s="325">
        <v>0</v>
      </c>
      <c r="K586" s="326">
        <v>0</v>
      </c>
      <c r="L586" s="325">
        <v>0</v>
      </c>
      <c r="M586" s="325">
        <v>623200.5</v>
      </c>
      <c r="N586" s="325">
        <v>0</v>
      </c>
      <c r="O586" s="325">
        <v>943937.64999999991</v>
      </c>
      <c r="P586" s="325">
        <v>0</v>
      </c>
      <c r="Q586" s="325">
        <v>0</v>
      </c>
      <c r="R586" s="325">
        <v>0</v>
      </c>
      <c r="S586" s="325">
        <v>0</v>
      </c>
      <c r="T586" s="325">
        <v>0</v>
      </c>
      <c r="U586" s="325">
        <v>0</v>
      </c>
      <c r="V586" s="325">
        <v>0</v>
      </c>
      <c r="W586" s="325">
        <v>0</v>
      </c>
      <c r="X586" s="325">
        <v>0</v>
      </c>
      <c r="Y586" s="325">
        <v>0</v>
      </c>
      <c r="Z586" s="325">
        <v>0</v>
      </c>
      <c r="AA586" s="325">
        <v>0</v>
      </c>
      <c r="AB586" s="327">
        <v>2020</v>
      </c>
      <c r="AD586" s="4">
        <v>0</v>
      </c>
    </row>
    <row r="587" spans="1:30" s="4" customFormat="1" ht="35.25" customHeight="1" x14ac:dyDescent="0.5">
      <c r="A587" s="4">
        <v>1</v>
      </c>
      <c r="B587" s="171">
        <f>SUBTOTAL(103,$A$8:A587)</f>
        <v>570</v>
      </c>
      <c r="C587" s="323" t="s">
        <v>2567</v>
      </c>
      <c r="D587" s="324">
        <f t="shared" si="22"/>
        <v>157761.9</v>
      </c>
      <c r="E587" s="325">
        <v>0</v>
      </c>
      <c r="F587" s="325">
        <v>0</v>
      </c>
      <c r="G587" s="325">
        <v>0</v>
      </c>
      <c r="H587" s="325">
        <v>0</v>
      </c>
      <c r="I587" s="325">
        <v>0</v>
      </c>
      <c r="J587" s="325">
        <v>0</v>
      </c>
      <c r="K587" s="326">
        <v>0</v>
      </c>
      <c r="L587" s="325">
        <v>0</v>
      </c>
      <c r="M587" s="325">
        <v>157761.9</v>
      </c>
      <c r="N587" s="325">
        <v>0</v>
      </c>
      <c r="O587" s="325">
        <v>0</v>
      </c>
      <c r="P587" s="325">
        <v>0</v>
      </c>
      <c r="Q587" s="325">
        <v>0</v>
      </c>
      <c r="R587" s="325">
        <v>0</v>
      </c>
      <c r="S587" s="325">
        <v>0</v>
      </c>
      <c r="T587" s="325">
        <v>0</v>
      </c>
      <c r="U587" s="325">
        <v>0</v>
      </c>
      <c r="V587" s="325">
        <v>0</v>
      </c>
      <c r="W587" s="325">
        <v>0</v>
      </c>
      <c r="X587" s="325">
        <v>0</v>
      </c>
      <c r="Y587" s="325">
        <v>0</v>
      </c>
      <c r="Z587" s="325">
        <v>0</v>
      </c>
      <c r="AA587" s="325">
        <v>0</v>
      </c>
      <c r="AB587" s="327">
        <v>2020</v>
      </c>
      <c r="AD587" s="4">
        <v>0</v>
      </c>
    </row>
    <row r="588" spans="1:30" s="4" customFormat="1" ht="35.25" customHeight="1" x14ac:dyDescent="0.5">
      <c r="A588" s="4">
        <v>1</v>
      </c>
      <c r="B588" s="171">
        <f>SUBTOTAL(103,$A$8:A588)</f>
        <v>571</v>
      </c>
      <c r="C588" s="323" t="s">
        <v>2568</v>
      </c>
      <c r="D588" s="324">
        <f t="shared" si="22"/>
        <v>890655.2</v>
      </c>
      <c r="E588" s="325">
        <v>0</v>
      </c>
      <c r="F588" s="325">
        <v>890655.2</v>
      </c>
      <c r="G588" s="325">
        <v>0</v>
      </c>
      <c r="H588" s="325">
        <v>0</v>
      </c>
      <c r="I588" s="325">
        <v>0</v>
      </c>
      <c r="J588" s="325">
        <v>0</v>
      </c>
      <c r="K588" s="326">
        <v>0</v>
      </c>
      <c r="L588" s="325">
        <v>0</v>
      </c>
      <c r="M588" s="325">
        <v>0</v>
      </c>
      <c r="N588" s="325">
        <v>0</v>
      </c>
      <c r="O588" s="325">
        <v>0</v>
      </c>
      <c r="P588" s="325">
        <v>0</v>
      </c>
      <c r="Q588" s="325">
        <v>0</v>
      </c>
      <c r="R588" s="325">
        <v>0</v>
      </c>
      <c r="S588" s="325">
        <v>0</v>
      </c>
      <c r="T588" s="325">
        <v>0</v>
      </c>
      <c r="U588" s="325">
        <v>0</v>
      </c>
      <c r="V588" s="325">
        <v>0</v>
      </c>
      <c r="W588" s="325">
        <v>0</v>
      </c>
      <c r="X588" s="325">
        <v>0</v>
      </c>
      <c r="Y588" s="325">
        <v>0</v>
      </c>
      <c r="Z588" s="325">
        <v>0</v>
      </c>
      <c r="AA588" s="325">
        <v>0</v>
      </c>
      <c r="AB588" s="327">
        <v>2020</v>
      </c>
      <c r="AD588" s="4">
        <v>0</v>
      </c>
    </row>
    <row r="589" spans="1:30" s="4" customFormat="1" ht="35.25" customHeight="1" x14ac:dyDescent="0.5">
      <c r="A589" s="4">
        <v>1</v>
      </c>
      <c r="B589" s="171">
        <f>SUBTOTAL(103,$A$8:A589)</f>
        <v>572</v>
      </c>
      <c r="C589" s="323" t="s">
        <v>2191</v>
      </c>
      <c r="D589" s="324">
        <f t="shared" si="22"/>
        <v>391500</v>
      </c>
      <c r="E589" s="325">
        <v>0</v>
      </c>
      <c r="F589" s="325">
        <v>0</v>
      </c>
      <c r="G589" s="325">
        <v>0</v>
      </c>
      <c r="H589" s="325">
        <v>0</v>
      </c>
      <c r="I589" s="325">
        <v>0</v>
      </c>
      <c r="J589" s="325">
        <v>0</v>
      </c>
      <c r="K589" s="326">
        <v>0</v>
      </c>
      <c r="L589" s="325">
        <v>0</v>
      </c>
      <c r="M589" s="325">
        <v>391500</v>
      </c>
      <c r="N589" s="325">
        <v>0</v>
      </c>
      <c r="O589" s="325">
        <v>0</v>
      </c>
      <c r="P589" s="325">
        <v>0</v>
      </c>
      <c r="Q589" s="325">
        <v>0</v>
      </c>
      <c r="R589" s="325">
        <v>0</v>
      </c>
      <c r="S589" s="325">
        <v>0</v>
      </c>
      <c r="T589" s="325">
        <v>0</v>
      </c>
      <c r="U589" s="325">
        <v>0</v>
      </c>
      <c r="V589" s="325">
        <v>0</v>
      </c>
      <c r="W589" s="325">
        <v>0</v>
      </c>
      <c r="X589" s="325">
        <v>0</v>
      </c>
      <c r="Y589" s="325">
        <v>0</v>
      </c>
      <c r="Z589" s="325">
        <v>0</v>
      </c>
      <c r="AA589" s="325">
        <v>0</v>
      </c>
      <c r="AB589" s="327">
        <v>2020</v>
      </c>
      <c r="AD589" s="4" t="e">
        <v>#N/A</v>
      </c>
    </row>
    <row r="590" spans="1:30" s="4" customFormat="1" ht="35.25" customHeight="1" x14ac:dyDescent="0.5">
      <c r="A590" s="4">
        <v>1</v>
      </c>
      <c r="B590" s="171">
        <f>SUBTOTAL(103,$A$8:A590)</f>
        <v>573</v>
      </c>
      <c r="C590" s="323" t="s">
        <v>2192</v>
      </c>
      <c r="D590" s="324">
        <f t="shared" si="22"/>
        <v>855017</v>
      </c>
      <c r="E590" s="325">
        <v>0</v>
      </c>
      <c r="F590" s="325">
        <v>389017</v>
      </c>
      <c r="G590" s="325">
        <v>0</v>
      </c>
      <c r="H590" s="325">
        <v>0</v>
      </c>
      <c r="I590" s="325">
        <v>0</v>
      </c>
      <c r="J590" s="325">
        <v>0</v>
      </c>
      <c r="K590" s="326">
        <v>0</v>
      </c>
      <c r="L590" s="325">
        <v>0</v>
      </c>
      <c r="M590" s="325">
        <v>0</v>
      </c>
      <c r="N590" s="325">
        <v>0</v>
      </c>
      <c r="O590" s="325">
        <v>466000</v>
      </c>
      <c r="P590" s="325">
        <v>0</v>
      </c>
      <c r="Q590" s="325">
        <v>0</v>
      </c>
      <c r="R590" s="325">
        <v>0</v>
      </c>
      <c r="S590" s="325">
        <v>0</v>
      </c>
      <c r="T590" s="325">
        <v>0</v>
      </c>
      <c r="U590" s="325">
        <v>0</v>
      </c>
      <c r="V590" s="325">
        <v>0</v>
      </c>
      <c r="W590" s="325">
        <v>0</v>
      </c>
      <c r="X590" s="325">
        <v>0</v>
      </c>
      <c r="Y590" s="325">
        <v>0</v>
      </c>
      <c r="Z590" s="325">
        <v>0</v>
      </c>
      <c r="AA590" s="325">
        <v>0</v>
      </c>
      <c r="AB590" s="327">
        <v>2020</v>
      </c>
      <c r="AD590" s="4">
        <v>0</v>
      </c>
    </row>
    <row r="591" spans="1:30" s="4" customFormat="1" ht="35.25" customHeight="1" x14ac:dyDescent="0.5">
      <c r="A591" s="4">
        <v>1</v>
      </c>
      <c r="B591" s="171">
        <f>SUBTOTAL(103,$A$8:A591)</f>
        <v>574</v>
      </c>
      <c r="C591" s="323" t="s">
        <v>2193</v>
      </c>
      <c r="D591" s="324">
        <f t="shared" si="22"/>
        <v>870396</v>
      </c>
      <c r="E591" s="325">
        <v>0</v>
      </c>
      <c r="F591" s="325">
        <v>0</v>
      </c>
      <c r="G591" s="325">
        <v>852734</v>
      </c>
      <c r="H591" s="325">
        <v>17662</v>
      </c>
      <c r="I591" s="325">
        <v>0</v>
      </c>
      <c r="J591" s="325">
        <v>0</v>
      </c>
      <c r="K591" s="326">
        <v>0</v>
      </c>
      <c r="L591" s="325">
        <v>0</v>
      </c>
      <c r="M591" s="325">
        <v>0</v>
      </c>
      <c r="N591" s="325">
        <v>0</v>
      </c>
      <c r="O591" s="325">
        <v>0</v>
      </c>
      <c r="P591" s="325">
        <v>0</v>
      </c>
      <c r="Q591" s="325">
        <v>0</v>
      </c>
      <c r="R591" s="325">
        <v>0</v>
      </c>
      <c r="S591" s="325">
        <v>0</v>
      </c>
      <c r="T591" s="325">
        <v>0</v>
      </c>
      <c r="U591" s="325">
        <v>0</v>
      </c>
      <c r="V591" s="325">
        <v>0</v>
      </c>
      <c r="W591" s="325">
        <v>0</v>
      </c>
      <c r="X591" s="325">
        <v>0</v>
      </c>
      <c r="Y591" s="325">
        <v>0</v>
      </c>
      <c r="Z591" s="325">
        <v>0</v>
      </c>
      <c r="AA591" s="325">
        <v>0</v>
      </c>
      <c r="AB591" s="327">
        <v>2020</v>
      </c>
      <c r="AD591" s="4">
        <v>0</v>
      </c>
    </row>
    <row r="592" spans="1:30" s="4" customFormat="1" ht="35.25" customHeight="1" x14ac:dyDescent="0.5">
      <c r="A592" s="4">
        <v>1</v>
      </c>
      <c r="B592" s="171">
        <f>SUBTOTAL(103,$A$8:A592)</f>
        <v>575</v>
      </c>
      <c r="C592" s="323" t="s">
        <v>2569</v>
      </c>
      <c r="D592" s="324">
        <f t="shared" si="22"/>
        <v>90898</v>
      </c>
      <c r="E592" s="325">
        <v>28439</v>
      </c>
      <c r="F592" s="325">
        <v>0</v>
      </c>
      <c r="G592" s="325">
        <v>0</v>
      </c>
      <c r="H592" s="325">
        <v>62459</v>
      </c>
      <c r="I592" s="325">
        <v>0</v>
      </c>
      <c r="J592" s="325">
        <v>0</v>
      </c>
      <c r="K592" s="326">
        <v>0</v>
      </c>
      <c r="L592" s="325">
        <v>0</v>
      </c>
      <c r="M592" s="325">
        <v>0</v>
      </c>
      <c r="N592" s="325">
        <v>0</v>
      </c>
      <c r="O592" s="325">
        <v>0</v>
      </c>
      <c r="P592" s="325">
        <v>0</v>
      </c>
      <c r="Q592" s="325">
        <v>0</v>
      </c>
      <c r="R592" s="325">
        <v>0</v>
      </c>
      <c r="S592" s="325">
        <v>0</v>
      </c>
      <c r="T592" s="325">
        <v>0</v>
      </c>
      <c r="U592" s="325">
        <v>0</v>
      </c>
      <c r="V592" s="325">
        <v>0</v>
      </c>
      <c r="W592" s="325">
        <v>0</v>
      </c>
      <c r="X592" s="325">
        <v>0</v>
      </c>
      <c r="Y592" s="325">
        <v>0</v>
      </c>
      <c r="Z592" s="325">
        <v>0</v>
      </c>
      <c r="AA592" s="325">
        <v>0</v>
      </c>
      <c r="AB592" s="327">
        <v>2020</v>
      </c>
      <c r="AD592" s="4">
        <v>0</v>
      </c>
    </row>
    <row r="593" spans="1:30" s="4" customFormat="1" ht="35.25" customHeight="1" x14ac:dyDescent="0.5">
      <c r="A593" s="4">
        <v>1</v>
      </c>
      <c r="B593" s="171">
        <f>SUBTOTAL(103,$A$8:A593)</f>
        <v>576</v>
      </c>
      <c r="C593" s="323" t="s">
        <v>2194</v>
      </c>
      <c r="D593" s="324">
        <f t="shared" si="22"/>
        <v>275198</v>
      </c>
      <c r="E593" s="325">
        <v>0</v>
      </c>
      <c r="F593" s="325">
        <v>0</v>
      </c>
      <c r="G593" s="325">
        <v>135198</v>
      </c>
      <c r="H593" s="325">
        <v>0</v>
      </c>
      <c r="I593" s="325">
        <v>0</v>
      </c>
      <c r="J593" s="325">
        <v>0</v>
      </c>
      <c r="K593" s="326">
        <v>0</v>
      </c>
      <c r="L593" s="325">
        <v>0</v>
      </c>
      <c r="M593" s="325">
        <v>140000</v>
      </c>
      <c r="N593" s="325">
        <v>0</v>
      </c>
      <c r="O593" s="325">
        <v>0</v>
      </c>
      <c r="P593" s="325">
        <v>0</v>
      </c>
      <c r="Q593" s="325">
        <v>0</v>
      </c>
      <c r="R593" s="325">
        <v>0</v>
      </c>
      <c r="S593" s="325">
        <v>0</v>
      </c>
      <c r="T593" s="325">
        <v>0</v>
      </c>
      <c r="U593" s="325">
        <v>0</v>
      </c>
      <c r="V593" s="325">
        <v>0</v>
      </c>
      <c r="W593" s="325">
        <v>0</v>
      </c>
      <c r="X593" s="325">
        <v>0</v>
      </c>
      <c r="Y593" s="325">
        <v>0</v>
      </c>
      <c r="Z593" s="325">
        <v>0</v>
      </c>
      <c r="AA593" s="325">
        <v>0</v>
      </c>
      <c r="AB593" s="327">
        <v>2020</v>
      </c>
      <c r="AD593" s="4">
        <v>0</v>
      </c>
    </row>
    <row r="594" spans="1:30" s="4" customFormat="1" ht="35.25" customHeight="1" x14ac:dyDescent="0.5">
      <c r="A594" s="4">
        <v>1</v>
      </c>
      <c r="B594" s="171">
        <f>SUBTOTAL(103,$A$8:A594)</f>
        <v>577</v>
      </c>
      <c r="C594" s="323" t="s">
        <v>2381</v>
      </c>
      <c r="D594" s="324">
        <f t="shared" si="22"/>
        <v>141489</v>
      </c>
      <c r="E594" s="325">
        <v>0</v>
      </c>
      <c r="F594" s="325">
        <v>0</v>
      </c>
      <c r="G594" s="325">
        <v>0</v>
      </c>
      <c r="H594" s="325">
        <v>0</v>
      </c>
      <c r="I594" s="325">
        <v>0</v>
      </c>
      <c r="J594" s="325">
        <v>0</v>
      </c>
      <c r="K594" s="326">
        <v>0</v>
      </c>
      <c r="L594" s="325">
        <v>0</v>
      </c>
      <c r="M594" s="325">
        <v>0</v>
      </c>
      <c r="N594" s="325">
        <v>0</v>
      </c>
      <c r="O594" s="325">
        <v>141489</v>
      </c>
      <c r="P594" s="325">
        <v>0</v>
      </c>
      <c r="Q594" s="325">
        <v>0</v>
      </c>
      <c r="R594" s="325">
        <v>0</v>
      </c>
      <c r="S594" s="325">
        <v>0</v>
      </c>
      <c r="T594" s="325">
        <v>0</v>
      </c>
      <c r="U594" s="325">
        <v>0</v>
      </c>
      <c r="V594" s="325">
        <v>0</v>
      </c>
      <c r="W594" s="325">
        <v>0</v>
      </c>
      <c r="X594" s="325">
        <v>0</v>
      </c>
      <c r="Y594" s="325">
        <v>0</v>
      </c>
      <c r="Z594" s="325">
        <v>0</v>
      </c>
      <c r="AA594" s="325">
        <v>0</v>
      </c>
      <c r="AB594" s="327">
        <v>2020</v>
      </c>
      <c r="AD594" s="4" t="e">
        <v>#N/A</v>
      </c>
    </row>
    <row r="595" spans="1:30" s="4" customFormat="1" ht="35.25" customHeight="1" x14ac:dyDescent="0.5">
      <c r="A595" s="4">
        <v>1</v>
      </c>
      <c r="B595" s="171">
        <f>SUBTOTAL(103,$A$8:A595)</f>
        <v>578</v>
      </c>
      <c r="C595" s="323" t="s">
        <v>2382</v>
      </c>
      <c r="D595" s="324">
        <f t="shared" si="22"/>
        <v>1610716</v>
      </c>
      <c r="E595" s="325">
        <v>0</v>
      </c>
      <c r="F595" s="325">
        <v>0</v>
      </c>
      <c r="G595" s="325">
        <v>0</v>
      </c>
      <c r="H595" s="325">
        <v>0</v>
      </c>
      <c r="I595" s="325">
        <v>0</v>
      </c>
      <c r="J595" s="325">
        <v>0</v>
      </c>
      <c r="K595" s="326">
        <v>0</v>
      </c>
      <c r="L595" s="325">
        <v>0</v>
      </c>
      <c r="M595" s="325">
        <v>1610716</v>
      </c>
      <c r="N595" s="325">
        <v>0</v>
      </c>
      <c r="O595" s="325">
        <v>0</v>
      </c>
      <c r="P595" s="325">
        <v>0</v>
      </c>
      <c r="Q595" s="325">
        <v>0</v>
      </c>
      <c r="R595" s="325">
        <v>0</v>
      </c>
      <c r="S595" s="325">
        <v>0</v>
      </c>
      <c r="T595" s="325">
        <v>0</v>
      </c>
      <c r="U595" s="325">
        <v>0</v>
      </c>
      <c r="V595" s="325">
        <v>0</v>
      </c>
      <c r="W595" s="325">
        <v>0</v>
      </c>
      <c r="X595" s="325">
        <v>0</v>
      </c>
      <c r="Y595" s="325">
        <v>0</v>
      </c>
      <c r="Z595" s="325">
        <v>0</v>
      </c>
      <c r="AA595" s="325">
        <v>0</v>
      </c>
      <c r="AB595" s="327">
        <v>2020</v>
      </c>
      <c r="AD595" s="4" t="e">
        <v>#N/A</v>
      </c>
    </row>
    <row r="596" spans="1:30" s="4" customFormat="1" ht="35.25" customHeight="1" x14ac:dyDescent="0.5">
      <c r="A596" s="4">
        <v>1</v>
      </c>
      <c r="B596" s="171">
        <f>SUBTOTAL(103,$A$8:A596)</f>
        <v>579</v>
      </c>
      <c r="C596" s="323" t="s">
        <v>2383</v>
      </c>
      <c r="D596" s="324">
        <f t="shared" si="22"/>
        <v>244703</v>
      </c>
      <c r="E596" s="325">
        <v>0</v>
      </c>
      <c r="F596" s="325">
        <v>0</v>
      </c>
      <c r="G596" s="325">
        <v>0</v>
      </c>
      <c r="H596" s="325">
        <v>0</v>
      </c>
      <c r="I596" s="325">
        <v>0</v>
      </c>
      <c r="J596" s="325">
        <v>0</v>
      </c>
      <c r="K596" s="326">
        <v>0</v>
      </c>
      <c r="L596" s="325">
        <v>0</v>
      </c>
      <c r="M596" s="325">
        <v>0</v>
      </c>
      <c r="N596" s="325">
        <v>0</v>
      </c>
      <c r="O596" s="325">
        <v>244703</v>
      </c>
      <c r="P596" s="325">
        <v>0</v>
      </c>
      <c r="Q596" s="325">
        <v>0</v>
      </c>
      <c r="R596" s="325">
        <v>0</v>
      </c>
      <c r="S596" s="325">
        <v>0</v>
      </c>
      <c r="T596" s="325">
        <v>0</v>
      </c>
      <c r="U596" s="325">
        <v>0</v>
      </c>
      <c r="V596" s="325">
        <v>0</v>
      </c>
      <c r="W596" s="325">
        <v>0</v>
      </c>
      <c r="X596" s="325">
        <v>0</v>
      </c>
      <c r="Y596" s="325">
        <v>0</v>
      </c>
      <c r="Z596" s="325">
        <v>0</v>
      </c>
      <c r="AA596" s="325">
        <v>0</v>
      </c>
      <c r="AB596" s="327">
        <v>2020</v>
      </c>
      <c r="AD596" s="4" t="e">
        <v>#N/A</v>
      </c>
    </row>
    <row r="597" spans="1:30" s="4" customFormat="1" ht="35.25" customHeight="1" x14ac:dyDescent="0.5">
      <c r="A597" s="4">
        <v>1</v>
      </c>
      <c r="B597" s="171">
        <f>SUBTOTAL(103,$A$8:A597)</f>
        <v>580</v>
      </c>
      <c r="C597" s="323" t="s">
        <v>2384</v>
      </c>
      <c r="D597" s="324">
        <f t="shared" si="22"/>
        <v>490000</v>
      </c>
      <c r="E597" s="325">
        <v>0</v>
      </c>
      <c r="F597" s="325">
        <v>0</v>
      </c>
      <c r="G597" s="325">
        <v>0</v>
      </c>
      <c r="H597" s="325">
        <v>0</v>
      </c>
      <c r="I597" s="325">
        <v>0</v>
      </c>
      <c r="J597" s="325">
        <v>0</v>
      </c>
      <c r="K597" s="326">
        <v>0</v>
      </c>
      <c r="L597" s="325">
        <v>0</v>
      </c>
      <c r="M597" s="325">
        <v>0</v>
      </c>
      <c r="N597" s="325">
        <v>0</v>
      </c>
      <c r="O597" s="325">
        <v>490000</v>
      </c>
      <c r="P597" s="325">
        <v>0</v>
      </c>
      <c r="Q597" s="325">
        <v>0</v>
      </c>
      <c r="R597" s="325">
        <v>0</v>
      </c>
      <c r="S597" s="325">
        <v>0</v>
      </c>
      <c r="T597" s="325">
        <v>0</v>
      </c>
      <c r="U597" s="325">
        <v>0</v>
      </c>
      <c r="V597" s="325">
        <v>0</v>
      </c>
      <c r="W597" s="325">
        <v>0</v>
      </c>
      <c r="X597" s="325">
        <v>0</v>
      </c>
      <c r="Y597" s="325">
        <v>0</v>
      </c>
      <c r="Z597" s="325">
        <v>0</v>
      </c>
      <c r="AA597" s="325">
        <v>0</v>
      </c>
      <c r="AB597" s="327">
        <v>2020</v>
      </c>
      <c r="AD597" s="4" t="e">
        <v>#N/A</v>
      </c>
    </row>
    <row r="598" spans="1:30" s="4" customFormat="1" ht="35.25" customHeight="1" x14ac:dyDescent="0.5">
      <c r="A598" s="4">
        <v>1</v>
      </c>
      <c r="B598" s="171">
        <f>SUBTOTAL(103,$A$8:A598)</f>
        <v>581</v>
      </c>
      <c r="C598" s="323" t="s">
        <v>2385</v>
      </c>
      <c r="D598" s="324">
        <f t="shared" si="22"/>
        <v>605834</v>
      </c>
      <c r="E598" s="325">
        <v>0</v>
      </c>
      <c r="F598" s="325">
        <v>0</v>
      </c>
      <c r="G598" s="325">
        <v>0</v>
      </c>
      <c r="H598" s="325">
        <v>0</v>
      </c>
      <c r="I598" s="325">
        <v>0</v>
      </c>
      <c r="J598" s="325">
        <v>0</v>
      </c>
      <c r="K598" s="326">
        <v>0</v>
      </c>
      <c r="L598" s="325">
        <v>0</v>
      </c>
      <c r="M598" s="325">
        <v>0</v>
      </c>
      <c r="N598" s="325">
        <v>0</v>
      </c>
      <c r="O598" s="325">
        <v>605834</v>
      </c>
      <c r="P598" s="325">
        <v>0</v>
      </c>
      <c r="Q598" s="325">
        <v>0</v>
      </c>
      <c r="R598" s="325">
        <v>0</v>
      </c>
      <c r="S598" s="325">
        <v>0</v>
      </c>
      <c r="T598" s="325">
        <v>0</v>
      </c>
      <c r="U598" s="325">
        <v>0</v>
      </c>
      <c r="V598" s="325">
        <v>0</v>
      </c>
      <c r="W598" s="325">
        <v>0</v>
      </c>
      <c r="X598" s="325">
        <v>0</v>
      </c>
      <c r="Y598" s="325">
        <v>0</v>
      </c>
      <c r="Z598" s="325">
        <v>0</v>
      </c>
      <c r="AA598" s="325">
        <v>0</v>
      </c>
      <c r="AB598" s="327">
        <v>2020</v>
      </c>
      <c r="AD598" s="4" t="e">
        <v>#N/A</v>
      </c>
    </row>
    <row r="599" spans="1:30" s="4" customFormat="1" ht="35.25" customHeight="1" x14ac:dyDescent="0.5">
      <c r="A599" s="4">
        <v>1</v>
      </c>
      <c r="B599" s="171">
        <f>SUBTOTAL(103,$A$8:A599)</f>
        <v>582</v>
      </c>
      <c r="C599" s="323" t="s">
        <v>2386</v>
      </c>
      <c r="D599" s="324">
        <f t="shared" si="22"/>
        <v>2298244</v>
      </c>
      <c r="E599" s="325">
        <v>0</v>
      </c>
      <c r="F599" s="325">
        <v>0</v>
      </c>
      <c r="G599" s="325">
        <v>0</v>
      </c>
      <c r="H599" s="325">
        <v>0</v>
      </c>
      <c r="I599" s="325">
        <v>0</v>
      </c>
      <c r="J599" s="325">
        <v>0</v>
      </c>
      <c r="K599" s="326">
        <v>0</v>
      </c>
      <c r="L599" s="325">
        <v>0</v>
      </c>
      <c r="M599" s="325">
        <v>0</v>
      </c>
      <c r="N599" s="325">
        <v>0</v>
      </c>
      <c r="O599" s="325">
        <v>2298244</v>
      </c>
      <c r="P599" s="325">
        <v>0</v>
      </c>
      <c r="Q599" s="325">
        <v>0</v>
      </c>
      <c r="R599" s="325">
        <v>0</v>
      </c>
      <c r="S599" s="325">
        <v>0</v>
      </c>
      <c r="T599" s="325">
        <v>0</v>
      </c>
      <c r="U599" s="325">
        <v>0</v>
      </c>
      <c r="V599" s="325">
        <v>0</v>
      </c>
      <c r="W599" s="325">
        <v>0</v>
      </c>
      <c r="X599" s="325">
        <v>0</v>
      </c>
      <c r="Y599" s="325">
        <v>0</v>
      </c>
      <c r="Z599" s="325">
        <v>0</v>
      </c>
      <c r="AA599" s="325">
        <v>0</v>
      </c>
      <c r="AB599" s="327">
        <v>2020</v>
      </c>
      <c r="AD599" s="4" t="e">
        <v>#N/A</v>
      </c>
    </row>
    <row r="600" spans="1:30" s="4" customFormat="1" ht="35.25" customHeight="1" x14ac:dyDescent="0.5">
      <c r="A600" s="4">
        <v>1</v>
      </c>
      <c r="B600" s="171">
        <f>SUBTOTAL(103,$A$8:A600)</f>
        <v>583</v>
      </c>
      <c r="C600" s="323" t="s">
        <v>2387</v>
      </c>
      <c r="D600" s="324">
        <f t="shared" si="22"/>
        <v>208006.47</v>
      </c>
      <c r="E600" s="325">
        <v>0</v>
      </c>
      <c r="F600" s="325">
        <v>0</v>
      </c>
      <c r="G600" s="325">
        <v>0</v>
      </c>
      <c r="H600" s="325">
        <v>208006.47</v>
      </c>
      <c r="I600" s="325">
        <v>0</v>
      </c>
      <c r="J600" s="325">
        <v>0</v>
      </c>
      <c r="K600" s="326">
        <v>0</v>
      </c>
      <c r="L600" s="325">
        <v>0</v>
      </c>
      <c r="M600" s="325">
        <v>0</v>
      </c>
      <c r="N600" s="325">
        <v>0</v>
      </c>
      <c r="O600" s="325">
        <v>0</v>
      </c>
      <c r="P600" s="325">
        <v>0</v>
      </c>
      <c r="Q600" s="325">
        <v>0</v>
      </c>
      <c r="R600" s="325">
        <v>0</v>
      </c>
      <c r="S600" s="325">
        <v>0</v>
      </c>
      <c r="T600" s="325">
        <v>0</v>
      </c>
      <c r="U600" s="325">
        <v>0</v>
      </c>
      <c r="V600" s="325">
        <v>0</v>
      </c>
      <c r="W600" s="325">
        <v>0</v>
      </c>
      <c r="X600" s="325">
        <v>0</v>
      </c>
      <c r="Y600" s="325">
        <v>0</v>
      </c>
      <c r="Z600" s="325">
        <v>0</v>
      </c>
      <c r="AA600" s="325">
        <v>0</v>
      </c>
      <c r="AB600" s="327">
        <v>2020</v>
      </c>
      <c r="AD600" s="4" t="e">
        <v>#N/A</v>
      </c>
    </row>
    <row r="601" spans="1:30" s="4" customFormat="1" ht="35.25" customHeight="1" x14ac:dyDescent="0.5">
      <c r="A601" s="4">
        <v>1</v>
      </c>
      <c r="B601" s="171">
        <f>SUBTOTAL(103,$A$8:A601)</f>
        <v>584</v>
      </c>
      <c r="C601" s="323" t="s">
        <v>2388</v>
      </c>
      <c r="D601" s="324">
        <f t="shared" si="22"/>
        <v>900000</v>
      </c>
      <c r="E601" s="325">
        <v>0</v>
      </c>
      <c r="F601" s="325">
        <v>0</v>
      </c>
      <c r="G601" s="325">
        <v>0</v>
      </c>
      <c r="H601" s="325">
        <v>0</v>
      </c>
      <c r="I601" s="325">
        <v>0</v>
      </c>
      <c r="J601" s="325">
        <v>0</v>
      </c>
      <c r="K601" s="326">
        <v>0</v>
      </c>
      <c r="L601" s="325">
        <v>0</v>
      </c>
      <c r="M601" s="325">
        <v>900000</v>
      </c>
      <c r="N601" s="325">
        <v>0</v>
      </c>
      <c r="O601" s="325">
        <v>0</v>
      </c>
      <c r="P601" s="325">
        <v>0</v>
      </c>
      <c r="Q601" s="325">
        <v>0</v>
      </c>
      <c r="R601" s="325">
        <v>0</v>
      </c>
      <c r="S601" s="325">
        <v>0</v>
      </c>
      <c r="T601" s="325">
        <v>0</v>
      </c>
      <c r="U601" s="325">
        <v>0</v>
      </c>
      <c r="V601" s="325">
        <v>0</v>
      </c>
      <c r="W601" s="325">
        <v>0</v>
      </c>
      <c r="X601" s="325">
        <v>0</v>
      </c>
      <c r="Y601" s="325">
        <v>0</v>
      </c>
      <c r="Z601" s="325">
        <v>0</v>
      </c>
      <c r="AA601" s="325">
        <v>0</v>
      </c>
      <c r="AB601" s="327">
        <v>2020</v>
      </c>
      <c r="AD601" s="4" t="e">
        <v>#N/A</v>
      </c>
    </row>
    <row r="602" spans="1:30" s="4" customFormat="1" ht="35.25" customHeight="1" x14ac:dyDescent="0.5">
      <c r="A602" s="4">
        <v>1</v>
      </c>
      <c r="B602" s="171">
        <f>SUBTOTAL(103,$A$8:A602)</f>
        <v>585</v>
      </c>
      <c r="C602" s="323" t="s">
        <v>2570</v>
      </c>
      <c r="D602" s="324">
        <f t="shared" si="22"/>
        <v>503803</v>
      </c>
      <c r="E602" s="325">
        <v>0</v>
      </c>
      <c r="F602" s="325">
        <v>0</v>
      </c>
      <c r="G602" s="325">
        <v>0</v>
      </c>
      <c r="H602" s="325">
        <v>0</v>
      </c>
      <c r="I602" s="325">
        <v>0</v>
      </c>
      <c r="J602" s="325">
        <v>0</v>
      </c>
      <c r="K602" s="326">
        <v>0</v>
      </c>
      <c r="L602" s="325">
        <v>0</v>
      </c>
      <c r="M602" s="325">
        <v>0</v>
      </c>
      <c r="N602" s="325">
        <v>0</v>
      </c>
      <c r="O602" s="325">
        <v>0</v>
      </c>
      <c r="P602" s="325">
        <v>503803</v>
      </c>
      <c r="Q602" s="325">
        <v>0</v>
      </c>
      <c r="R602" s="325">
        <v>0</v>
      </c>
      <c r="S602" s="325">
        <v>0</v>
      </c>
      <c r="T602" s="325">
        <v>0</v>
      </c>
      <c r="U602" s="325">
        <v>0</v>
      </c>
      <c r="V602" s="325">
        <v>0</v>
      </c>
      <c r="W602" s="325">
        <v>0</v>
      </c>
      <c r="X602" s="325">
        <v>0</v>
      </c>
      <c r="Y602" s="325">
        <v>0</v>
      </c>
      <c r="Z602" s="325">
        <v>0</v>
      </c>
      <c r="AA602" s="325">
        <v>0</v>
      </c>
      <c r="AB602" s="327">
        <v>2020</v>
      </c>
      <c r="AD602" s="4">
        <v>0</v>
      </c>
    </row>
    <row r="603" spans="1:30" s="4" customFormat="1" ht="35.25" customHeight="1" x14ac:dyDescent="0.5">
      <c r="A603" s="4">
        <v>1</v>
      </c>
      <c r="B603" s="171">
        <f>SUBTOTAL(103,$A$8:A603)</f>
        <v>586</v>
      </c>
      <c r="C603" s="323" t="s">
        <v>2389</v>
      </c>
      <c r="D603" s="324">
        <f t="shared" ref="D603:D615" si="23">E603+F603+G603+H603+I603+J603+L603+M603+N603+O603+P603+Q603+R603+S603+T603+U603+V603+W603+X603+Y603+Z603+AA603</f>
        <v>703144</v>
      </c>
      <c r="E603" s="325">
        <v>0</v>
      </c>
      <c r="F603" s="325">
        <v>0</v>
      </c>
      <c r="G603" s="325">
        <v>0</v>
      </c>
      <c r="H603" s="325">
        <v>0</v>
      </c>
      <c r="I603" s="325">
        <v>0</v>
      </c>
      <c r="J603" s="325">
        <v>0</v>
      </c>
      <c r="K603" s="326">
        <v>0</v>
      </c>
      <c r="L603" s="325">
        <v>0</v>
      </c>
      <c r="M603" s="325">
        <v>0</v>
      </c>
      <c r="N603" s="325">
        <v>0</v>
      </c>
      <c r="O603" s="325">
        <v>703144</v>
      </c>
      <c r="P603" s="325">
        <v>0</v>
      </c>
      <c r="Q603" s="325">
        <v>0</v>
      </c>
      <c r="R603" s="325">
        <v>0</v>
      </c>
      <c r="S603" s="325">
        <v>0</v>
      </c>
      <c r="T603" s="325">
        <v>0</v>
      </c>
      <c r="U603" s="325">
        <v>0</v>
      </c>
      <c r="V603" s="325">
        <v>0</v>
      </c>
      <c r="W603" s="325">
        <v>0</v>
      </c>
      <c r="X603" s="325">
        <v>0</v>
      </c>
      <c r="Y603" s="325">
        <v>0</v>
      </c>
      <c r="Z603" s="325">
        <v>0</v>
      </c>
      <c r="AA603" s="325">
        <v>0</v>
      </c>
      <c r="AB603" s="327">
        <v>2020</v>
      </c>
      <c r="AD603" s="4" t="e">
        <v>#N/A</v>
      </c>
    </row>
    <row r="604" spans="1:30" s="4" customFormat="1" ht="35.25" customHeight="1" x14ac:dyDescent="0.5">
      <c r="A604" s="4">
        <v>1</v>
      </c>
      <c r="B604" s="171">
        <f>SUBTOTAL(103,$A$8:A604)</f>
        <v>587</v>
      </c>
      <c r="C604" s="323" t="s">
        <v>2390</v>
      </c>
      <c r="D604" s="324">
        <f t="shared" si="23"/>
        <v>1354720</v>
      </c>
      <c r="E604" s="325">
        <v>0</v>
      </c>
      <c r="F604" s="325">
        <v>0</v>
      </c>
      <c r="G604" s="325">
        <v>0</v>
      </c>
      <c r="H604" s="325">
        <v>0</v>
      </c>
      <c r="I604" s="325">
        <v>0</v>
      </c>
      <c r="J604" s="325">
        <v>0</v>
      </c>
      <c r="K604" s="326">
        <v>0</v>
      </c>
      <c r="L604" s="325">
        <v>0</v>
      </c>
      <c r="M604" s="325">
        <v>1354720</v>
      </c>
      <c r="N604" s="325">
        <v>0</v>
      </c>
      <c r="O604" s="325">
        <v>0</v>
      </c>
      <c r="P604" s="325">
        <v>0</v>
      </c>
      <c r="Q604" s="325">
        <v>0</v>
      </c>
      <c r="R604" s="325">
        <v>0</v>
      </c>
      <c r="S604" s="325">
        <v>0</v>
      </c>
      <c r="T604" s="325">
        <v>0</v>
      </c>
      <c r="U604" s="325">
        <v>0</v>
      </c>
      <c r="V604" s="325">
        <v>0</v>
      </c>
      <c r="W604" s="325">
        <v>0</v>
      </c>
      <c r="X604" s="325">
        <v>0</v>
      </c>
      <c r="Y604" s="325">
        <v>0</v>
      </c>
      <c r="Z604" s="325">
        <v>0</v>
      </c>
      <c r="AA604" s="325">
        <v>0</v>
      </c>
      <c r="AB604" s="327">
        <v>2020</v>
      </c>
      <c r="AD604" s="4" t="e">
        <v>#N/A</v>
      </c>
    </row>
    <row r="605" spans="1:30" s="4" customFormat="1" ht="35.25" customHeight="1" x14ac:dyDescent="0.5">
      <c r="A605" s="4">
        <v>1</v>
      </c>
      <c r="B605" s="171">
        <f>SUBTOTAL(103,$A$8:A605)</f>
        <v>588</v>
      </c>
      <c r="C605" s="323" t="s">
        <v>2391</v>
      </c>
      <c r="D605" s="324">
        <f t="shared" si="23"/>
        <v>1200000</v>
      </c>
      <c r="E605" s="325">
        <v>0</v>
      </c>
      <c r="F605" s="325">
        <v>0</v>
      </c>
      <c r="G605" s="325">
        <v>0</v>
      </c>
      <c r="H605" s="325">
        <v>0</v>
      </c>
      <c r="I605" s="325">
        <v>0</v>
      </c>
      <c r="J605" s="325">
        <v>0</v>
      </c>
      <c r="K605" s="326">
        <v>0</v>
      </c>
      <c r="L605" s="325">
        <v>0</v>
      </c>
      <c r="M605" s="325">
        <v>1200000</v>
      </c>
      <c r="N605" s="325">
        <v>0</v>
      </c>
      <c r="O605" s="325">
        <v>0</v>
      </c>
      <c r="P605" s="325">
        <v>0</v>
      </c>
      <c r="Q605" s="325">
        <v>0</v>
      </c>
      <c r="R605" s="325">
        <v>0</v>
      </c>
      <c r="S605" s="325">
        <v>0</v>
      </c>
      <c r="T605" s="325">
        <v>0</v>
      </c>
      <c r="U605" s="325">
        <v>0</v>
      </c>
      <c r="V605" s="325">
        <v>0</v>
      </c>
      <c r="W605" s="325">
        <v>0</v>
      </c>
      <c r="X605" s="325">
        <v>0</v>
      </c>
      <c r="Y605" s="325">
        <v>0</v>
      </c>
      <c r="Z605" s="325">
        <v>0</v>
      </c>
      <c r="AA605" s="325">
        <v>0</v>
      </c>
      <c r="AB605" s="327">
        <v>2020</v>
      </c>
      <c r="AD605" s="4" t="e">
        <v>#N/A</v>
      </c>
    </row>
    <row r="606" spans="1:30" s="4" customFormat="1" ht="35.25" customHeight="1" x14ac:dyDescent="0.5">
      <c r="A606" s="4">
        <v>1</v>
      </c>
      <c r="B606" s="171">
        <f>SUBTOTAL(103,$A$8:A606)</f>
        <v>589</v>
      </c>
      <c r="C606" s="323" t="s">
        <v>2392</v>
      </c>
      <c r="D606" s="324">
        <f t="shared" si="23"/>
        <v>813524</v>
      </c>
      <c r="E606" s="325">
        <v>0</v>
      </c>
      <c r="F606" s="325">
        <v>0</v>
      </c>
      <c r="G606" s="325">
        <v>813524</v>
      </c>
      <c r="H606" s="325">
        <v>0</v>
      </c>
      <c r="I606" s="325">
        <v>0</v>
      </c>
      <c r="J606" s="325">
        <v>0</v>
      </c>
      <c r="K606" s="326">
        <v>0</v>
      </c>
      <c r="L606" s="325">
        <v>0</v>
      </c>
      <c r="M606" s="325">
        <v>0</v>
      </c>
      <c r="N606" s="325">
        <v>0</v>
      </c>
      <c r="O606" s="325">
        <v>0</v>
      </c>
      <c r="P606" s="325">
        <v>0</v>
      </c>
      <c r="Q606" s="325">
        <v>0</v>
      </c>
      <c r="R606" s="325">
        <v>0</v>
      </c>
      <c r="S606" s="325">
        <v>0</v>
      </c>
      <c r="T606" s="325">
        <v>0</v>
      </c>
      <c r="U606" s="325">
        <v>0</v>
      </c>
      <c r="V606" s="325">
        <v>0</v>
      </c>
      <c r="W606" s="325">
        <v>0</v>
      </c>
      <c r="X606" s="325">
        <v>0</v>
      </c>
      <c r="Y606" s="325">
        <v>0</v>
      </c>
      <c r="Z606" s="325">
        <v>0</v>
      </c>
      <c r="AA606" s="325">
        <v>0</v>
      </c>
      <c r="AB606" s="327">
        <v>2020</v>
      </c>
      <c r="AD606" s="4" t="e">
        <v>#N/A</v>
      </c>
    </row>
    <row r="607" spans="1:30" s="4" customFormat="1" ht="35.25" customHeight="1" x14ac:dyDescent="0.5">
      <c r="A607" s="4">
        <v>1</v>
      </c>
      <c r="B607" s="171">
        <f>SUBTOTAL(103,$A$8:A607)</f>
        <v>590</v>
      </c>
      <c r="C607" s="323" t="s">
        <v>2393</v>
      </c>
      <c r="D607" s="324">
        <f t="shared" si="23"/>
        <v>994759</v>
      </c>
      <c r="E607" s="325">
        <v>0</v>
      </c>
      <c r="F607" s="325">
        <v>0</v>
      </c>
      <c r="G607" s="325">
        <v>0</v>
      </c>
      <c r="H607" s="325">
        <v>0</v>
      </c>
      <c r="I607" s="325">
        <v>0</v>
      </c>
      <c r="J607" s="325">
        <v>0</v>
      </c>
      <c r="K607" s="326">
        <v>0</v>
      </c>
      <c r="L607" s="325">
        <v>0</v>
      </c>
      <c r="M607" s="325">
        <v>570746</v>
      </c>
      <c r="N607" s="325">
        <v>0</v>
      </c>
      <c r="O607" s="325">
        <v>424013</v>
      </c>
      <c r="P607" s="325">
        <v>0</v>
      </c>
      <c r="Q607" s="325">
        <v>0</v>
      </c>
      <c r="R607" s="325">
        <v>0</v>
      </c>
      <c r="S607" s="325">
        <v>0</v>
      </c>
      <c r="T607" s="325">
        <v>0</v>
      </c>
      <c r="U607" s="325">
        <v>0</v>
      </c>
      <c r="V607" s="325">
        <v>0</v>
      </c>
      <c r="W607" s="325">
        <v>0</v>
      </c>
      <c r="X607" s="325">
        <v>0</v>
      </c>
      <c r="Y607" s="325">
        <v>0</v>
      </c>
      <c r="Z607" s="325">
        <v>0</v>
      </c>
      <c r="AA607" s="325">
        <v>0</v>
      </c>
      <c r="AB607" s="327">
        <v>2020</v>
      </c>
      <c r="AD607" s="4" t="e">
        <v>#N/A</v>
      </c>
    </row>
    <row r="608" spans="1:30" s="4" customFormat="1" ht="35.25" customHeight="1" x14ac:dyDescent="0.5">
      <c r="A608" s="4">
        <v>1</v>
      </c>
      <c r="B608" s="171">
        <f>SUBTOTAL(103,$A$8:A608)</f>
        <v>591</v>
      </c>
      <c r="C608" s="323" t="s">
        <v>2394</v>
      </c>
      <c r="D608" s="324">
        <f t="shared" si="23"/>
        <v>1116214.55</v>
      </c>
      <c r="E608" s="325">
        <v>0</v>
      </c>
      <c r="F608" s="325">
        <v>1116214.55</v>
      </c>
      <c r="G608" s="325">
        <v>0</v>
      </c>
      <c r="H608" s="325">
        <v>0</v>
      </c>
      <c r="I608" s="325">
        <v>0</v>
      </c>
      <c r="J608" s="325">
        <v>0</v>
      </c>
      <c r="K608" s="326">
        <v>0</v>
      </c>
      <c r="L608" s="325">
        <v>0</v>
      </c>
      <c r="M608" s="325">
        <v>0</v>
      </c>
      <c r="N608" s="325">
        <v>0</v>
      </c>
      <c r="O608" s="325">
        <v>0</v>
      </c>
      <c r="P608" s="325">
        <v>0</v>
      </c>
      <c r="Q608" s="325">
        <v>0</v>
      </c>
      <c r="R608" s="325">
        <v>0</v>
      </c>
      <c r="S608" s="325">
        <v>0</v>
      </c>
      <c r="T608" s="325">
        <v>0</v>
      </c>
      <c r="U608" s="325">
        <v>0</v>
      </c>
      <c r="V608" s="325">
        <v>0</v>
      </c>
      <c r="W608" s="325">
        <v>0</v>
      </c>
      <c r="X608" s="325">
        <v>0</v>
      </c>
      <c r="Y608" s="325">
        <v>0</v>
      </c>
      <c r="Z608" s="325">
        <v>0</v>
      </c>
      <c r="AA608" s="325">
        <v>0</v>
      </c>
      <c r="AB608" s="327">
        <v>2020</v>
      </c>
      <c r="AD608" s="4" t="e">
        <v>#N/A</v>
      </c>
    </row>
    <row r="609" spans="1:30" s="4" customFormat="1" ht="35.25" customHeight="1" x14ac:dyDescent="0.5">
      <c r="A609" s="4">
        <v>1</v>
      </c>
      <c r="B609" s="171">
        <f>SUBTOTAL(103,$A$8:A609)</f>
        <v>592</v>
      </c>
      <c r="C609" s="323" t="s">
        <v>2395</v>
      </c>
      <c r="D609" s="324">
        <f t="shared" si="23"/>
        <v>1723519</v>
      </c>
      <c r="E609" s="325">
        <v>0</v>
      </c>
      <c r="F609" s="325">
        <v>0</v>
      </c>
      <c r="G609" s="325">
        <v>0</v>
      </c>
      <c r="H609" s="325">
        <v>0</v>
      </c>
      <c r="I609" s="325">
        <v>0</v>
      </c>
      <c r="J609" s="325">
        <v>0</v>
      </c>
      <c r="K609" s="326">
        <v>0</v>
      </c>
      <c r="L609" s="325">
        <v>0</v>
      </c>
      <c r="M609" s="325">
        <v>1292526</v>
      </c>
      <c r="N609" s="325">
        <v>0</v>
      </c>
      <c r="O609" s="325">
        <v>430993</v>
      </c>
      <c r="P609" s="325">
        <v>0</v>
      </c>
      <c r="Q609" s="325">
        <v>0</v>
      </c>
      <c r="R609" s="325">
        <v>0</v>
      </c>
      <c r="S609" s="325">
        <v>0</v>
      </c>
      <c r="T609" s="325">
        <v>0</v>
      </c>
      <c r="U609" s="325">
        <v>0</v>
      </c>
      <c r="V609" s="325">
        <v>0</v>
      </c>
      <c r="W609" s="325">
        <v>0</v>
      </c>
      <c r="X609" s="325">
        <v>0</v>
      </c>
      <c r="Y609" s="325">
        <v>0</v>
      </c>
      <c r="Z609" s="325">
        <v>0</v>
      </c>
      <c r="AA609" s="325">
        <v>0</v>
      </c>
      <c r="AB609" s="327">
        <v>2020</v>
      </c>
      <c r="AD609" s="4" t="e">
        <v>#N/A</v>
      </c>
    </row>
    <row r="610" spans="1:30" s="4" customFormat="1" ht="35.25" customHeight="1" x14ac:dyDescent="0.5">
      <c r="A610" s="4">
        <v>1</v>
      </c>
      <c r="B610" s="171">
        <f>SUBTOTAL(103,$A$8:A610)</f>
        <v>593</v>
      </c>
      <c r="C610" s="323" t="s">
        <v>2396</v>
      </c>
      <c r="D610" s="324">
        <f t="shared" si="23"/>
        <v>1278638</v>
      </c>
      <c r="E610" s="325">
        <v>0</v>
      </c>
      <c r="F610" s="325">
        <v>0</v>
      </c>
      <c r="G610" s="325">
        <v>0</v>
      </c>
      <c r="H610" s="325">
        <v>0</v>
      </c>
      <c r="I610" s="325">
        <v>0</v>
      </c>
      <c r="J610" s="325">
        <v>0</v>
      </c>
      <c r="K610" s="326">
        <v>0</v>
      </c>
      <c r="L610" s="325">
        <v>0</v>
      </c>
      <c r="M610" s="325">
        <v>1278638</v>
      </c>
      <c r="N610" s="325">
        <v>0</v>
      </c>
      <c r="O610" s="325">
        <v>0</v>
      </c>
      <c r="P610" s="325">
        <v>0</v>
      </c>
      <c r="Q610" s="325">
        <v>0</v>
      </c>
      <c r="R610" s="325">
        <v>0</v>
      </c>
      <c r="S610" s="325">
        <v>0</v>
      </c>
      <c r="T610" s="325">
        <v>0</v>
      </c>
      <c r="U610" s="325">
        <v>0</v>
      </c>
      <c r="V610" s="325">
        <v>0</v>
      </c>
      <c r="W610" s="325">
        <v>0</v>
      </c>
      <c r="X610" s="325">
        <v>0</v>
      </c>
      <c r="Y610" s="325">
        <v>0</v>
      </c>
      <c r="Z610" s="325">
        <v>0</v>
      </c>
      <c r="AA610" s="325">
        <v>0</v>
      </c>
      <c r="AB610" s="327">
        <v>2020</v>
      </c>
      <c r="AD610" s="4" t="e">
        <v>#N/A</v>
      </c>
    </row>
    <row r="611" spans="1:30" s="4" customFormat="1" ht="35.25" customHeight="1" x14ac:dyDescent="0.5">
      <c r="A611" s="4">
        <v>1</v>
      </c>
      <c r="B611" s="171">
        <f>SUBTOTAL(103,$A$8:A611)</f>
        <v>594</v>
      </c>
      <c r="C611" s="323" t="s">
        <v>2397</v>
      </c>
      <c r="D611" s="324">
        <f t="shared" si="23"/>
        <v>4448101.99</v>
      </c>
      <c r="E611" s="325">
        <v>554213.75</v>
      </c>
      <c r="F611" s="325">
        <v>1163821.17</v>
      </c>
      <c r="G611" s="325">
        <v>0</v>
      </c>
      <c r="H611" s="325">
        <v>255478.07</v>
      </c>
      <c r="I611" s="325">
        <v>0</v>
      </c>
      <c r="J611" s="325">
        <v>0</v>
      </c>
      <c r="K611" s="326">
        <v>0</v>
      </c>
      <c r="L611" s="325">
        <v>0</v>
      </c>
      <c r="M611" s="325">
        <v>1741847</v>
      </c>
      <c r="N611" s="325">
        <v>0</v>
      </c>
      <c r="O611" s="325">
        <v>732742</v>
      </c>
      <c r="P611" s="325">
        <v>0</v>
      </c>
      <c r="Q611" s="325">
        <v>0</v>
      </c>
      <c r="R611" s="325">
        <v>0</v>
      </c>
      <c r="S611" s="325">
        <v>0</v>
      </c>
      <c r="T611" s="325">
        <v>0</v>
      </c>
      <c r="U611" s="325">
        <v>0</v>
      </c>
      <c r="V611" s="325">
        <v>0</v>
      </c>
      <c r="W611" s="325">
        <v>0</v>
      </c>
      <c r="X611" s="325">
        <v>0</v>
      </c>
      <c r="Y611" s="325">
        <v>0</v>
      </c>
      <c r="Z611" s="325">
        <v>0</v>
      </c>
      <c r="AA611" s="325">
        <v>0</v>
      </c>
      <c r="AB611" s="327">
        <v>2020</v>
      </c>
      <c r="AD611" s="4" t="e">
        <v>#N/A</v>
      </c>
    </row>
    <row r="612" spans="1:30" s="4" customFormat="1" ht="35.25" customHeight="1" x14ac:dyDescent="0.5">
      <c r="A612" s="4">
        <v>1</v>
      </c>
      <c r="B612" s="171">
        <f>SUBTOTAL(103,$A$8:A612)</f>
        <v>595</v>
      </c>
      <c r="C612" s="323" t="s">
        <v>2571</v>
      </c>
      <c r="D612" s="324">
        <f t="shared" si="23"/>
        <v>1506597.79</v>
      </c>
      <c r="E612" s="325">
        <v>0</v>
      </c>
      <c r="F612" s="325">
        <v>0</v>
      </c>
      <c r="G612" s="325">
        <v>1506597.79</v>
      </c>
      <c r="H612" s="325">
        <v>0</v>
      </c>
      <c r="I612" s="325">
        <v>0</v>
      </c>
      <c r="J612" s="325">
        <v>0</v>
      </c>
      <c r="K612" s="326">
        <v>0</v>
      </c>
      <c r="L612" s="325">
        <v>0</v>
      </c>
      <c r="M612" s="325">
        <v>0</v>
      </c>
      <c r="N612" s="325">
        <v>0</v>
      </c>
      <c r="O612" s="325">
        <v>0</v>
      </c>
      <c r="P612" s="325">
        <v>0</v>
      </c>
      <c r="Q612" s="325">
        <v>0</v>
      </c>
      <c r="R612" s="325">
        <v>0</v>
      </c>
      <c r="S612" s="325">
        <v>0</v>
      </c>
      <c r="T612" s="325">
        <v>0</v>
      </c>
      <c r="U612" s="325">
        <v>0</v>
      </c>
      <c r="V612" s="325">
        <v>0</v>
      </c>
      <c r="W612" s="325">
        <v>0</v>
      </c>
      <c r="X612" s="325">
        <v>0</v>
      </c>
      <c r="Y612" s="325">
        <v>0</v>
      </c>
      <c r="Z612" s="325">
        <v>0</v>
      </c>
      <c r="AA612" s="325">
        <v>0</v>
      </c>
      <c r="AB612" s="327">
        <v>2020</v>
      </c>
      <c r="AD612" s="4">
        <v>0</v>
      </c>
    </row>
    <row r="613" spans="1:30" s="4" customFormat="1" ht="35.25" customHeight="1" x14ac:dyDescent="0.5">
      <c r="A613" s="4">
        <v>1</v>
      </c>
      <c r="B613" s="171">
        <f>SUBTOTAL(103,$A$8:A613)</f>
        <v>596</v>
      </c>
      <c r="C613" s="323" t="s">
        <v>2572</v>
      </c>
      <c r="D613" s="324">
        <f t="shared" si="23"/>
        <v>2726863</v>
      </c>
      <c r="E613" s="325">
        <v>0</v>
      </c>
      <c r="F613" s="325">
        <v>0</v>
      </c>
      <c r="G613" s="325">
        <v>0</v>
      </c>
      <c r="H613" s="325">
        <v>0</v>
      </c>
      <c r="I613" s="325">
        <v>2726863</v>
      </c>
      <c r="J613" s="325">
        <v>0</v>
      </c>
      <c r="K613" s="326">
        <v>0</v>
      </c>
      <c r="L613" s="325">
        <v>0</v>
      </c>
      <c r="M613" s="325">
        <v>0</v>
      </c>
      <c r="N613" s="325">
        <v>0</v>
      </c>
      <c r="O613" s="325">
        <v>0</v>
      </c>
      <c r="P613" s="325">
        <v>0</v>
      </c>
      <c r="Q613" s="325">
        <v>0</v>
      </c>
      <c r="R613" s="325">
        <v>0</v>
      </c>
      <c r="S613" s="325">
        <v>0</v>
      </c>
      <c r="T613" s="325">
        <v>0</v>
      </c>
      <c r="U613" s="325">
        <v>0</v>
      </c>
      <c r="V613" s="325">
        <v>0</v>
      </c>
      <c r="W613" s="325">
        <v>0</v>
      </c>
      <c r="X613" s="325">
        <v>0</v>
      </c>
      <c r="Y613" s="325">
        <v>0</v>
      </c>
      <c r="Z613" s="325">
        <v>0</v>
      </c>
      <c r="AA613" s="325">
        <v>0</v>
      </c>
      <c r="AB613" s="327">
        <v>2020</v>
      </c>
      <c r="AD613" s="4">
        <v>0</v>
      </c>
    </row>
    <row r="614" spans="1:30" s="4" customFormat="1" ht="35.25" customHeight="1" x14ac:dyDescent="0.5">
      <c r="A614" s="4">
        <v>1</v>
      </c>
      <c r="B614" s="171">
        <f>SUBTOTAL(103,$A$8:A614)</f>
        <v>597</v>
      </c>
      <c r="C614" s="323" t="s">
        <v>2573</v>
      </c>
      <c r="D614" s="324">
        <f t="shared" si="23"/>
        <v>2400796</v>
      </c>
      <c r="E614" s="325">
        <v>0</v>
      </c>
      <c r="F614" s="325">
        <v>0</v>
      </c>
      <c r="G614" s="325">
        <v>0</v>
      </c>
      <c r="H614" s="325">
        <v>0</v>
      </c>
      <c r="I614" s="325">
        <v>0</v>
      </c>
      <c r="J614" s="325">
        <v>0</v>
      </c>
      <c r="K614" s="326">
        <v>0</v>
      </c>
      <c r="L614" s="325">
        <v>0</v>
      </c>
      <c r="M614" s="325">
        <v>2400796</v>
      </c>
      <c r="N614" s="325">
        <v>0</v>
      </c>
      <c r="O614" s="325">
        <v>0</v>
      </c>
      <c r="P614" s="325">
        <v>0</v>
      </c>
      <c r="Q614" s="325">
        <v>0</v>
      </c>
      <c r="R614" s="325">
        <v>0</v>
      </c>
      <c r="S614" s="325">
        <v>0</v>
      </c>
      <c r="T614" s="325">
        <v>0</v>
      </c>
      <c r="U614" s="325">
        <v>0</v>
      </c>
      <c r="V614" s="325">
        <v>0</v>
      </c>
      <c r="W614" s="325">
        <v>0</v>
      </c>
      <c r="X614" s="325">
        <v>0</v>
      </c>
      <c r="Y614" s="325">
        <v>0</v>
      </c>
      <c r="Z614" s="325">
        <v>0</v>
      </c>
      <c r="AA614" s="325">
        <v>0</v>
      </c>
      <c r="AB614" s="327">
        <v>2020</v>
      </c>
      <c r="AD614" s="4">
        <v>0</v>
      </c>
    </row>
    <row r="615" spans="1:30" s="4" customFormat="1" ht="35.25" customHeight="1" x14ac:dyDescent="0.5">
      <c r="A615" s="4">
        <v>1</v>
      </c>
      <c r="B615" s="171">
        <f>SUBTOTAL(103,$A$8:A615)</f>
        <v>598</v>
      </c>
      <c r="C615" s="323" t="s">
        <v>2195</v>
      </c>
      <c r="D615" s="324">
        <f t="shared" si="23"/>
        <v>1269855</v>
      </c>
      <c r="E615" s="325">
        <v>0</v>
      </c>
      <c r="F615" s="325">
        <v>0</v>
      </c>
      <c r="G615" s="325">
        <v>0</v>
      </c>
      <c r="H615" s="325">
        <v>0</v>
      </c>
      <c r="I615" s="325">
        <v>0</v>
      </c>
      <c r="J615" s="325">
        <v>0</v>
      </c>
      <c r="K615" s="326">
        <v>0</v>
      </c>
      <c r="L615" s="325">
        <v>0</v>
      </c>
      <c r="M615" s="325">
        <v>1120180</v>
      </c>
      <c r="N615" s="325">
        <v>0</v>
      </c>
      <c r="O615" s="325">
        <v>149675</v>
      </c>
      <c r="P615" s="325">
        <v>0</v>
      </c>
      <c r="Q615" s="325">
        <v>0</v>
      </c>
      <c r="R615" s="325">
        <v>0</v>
      </c>
      <c r="S615" s="325">
        <v>0</v>
      </c>
      <c r="T615" s="325">
        <v>0</v>
      </c>
      <c r="U615" s="325">
        <v>0</v>
      </c>
      <c r="V615" s="325">
        <v>0</v>
      </c>
      <c r="W615" s="325">
        <v>0</v>
      </c>
      <c r="X615" s="325">
        <v>0</v>
      </c>
      <c r="Y615" s="325">
        <v>0</v>
      </c>
      <c r="Z615" s="325">
        <v>0</v>
      </c>
      <c r="AA615" s="325">
        <v>0</v>
      </c>
      <c r="AB615" s="327">
        <v>2020</v>
      </c>
      <c r="AD615" s="4" t="e">
        <v>#N/A</v>
      </c>
    </row>
    <row r="616" spans="1:30" s="4" customFormat="1" ht="35.25" customHeight="1" x14ac:dyDescent="0.5">
      <c r="B616" s="323" t="s">
        <v>845</v>
      </c>
      <c r="C616" s="323"/>
      <c r="D616" s="324">
        <f t="shared" ref="D616:AA616" si="24">SUM(D617:D617)</f>
        <v>44000</v>
      </c>
      <c r="E616" s="324">
        <f t="shared" si="24"/>
        <v>0</v>
      </c>
      <c r="F616" s="324">
        <f t="shared" si="24"/>
        <v>0</v>
      </c>
      <c r="G616" s="324">
        <f t="shared" si="24"/>
        <v>0</v>
      </c>
      <c r="H616" s="324">
        <f t="shared" si="24"/>
        <v>0</v>
      </c>
      <c r="I616" s="324">
        <f t="shared" si="24"/>
        <v>0</v>
      </c>
      <c r="J616" s="324">
        <f t="shared" si="24"/>
        <v>0</v>
      </c>
      <c r="K616" s="399">
        <f t="shared" si="24"/>
        <v>0</v>
      </c>
      <c r="L616" s="324">
        <f t="shared" si="24"/>
        <v>0</v>
      </c>
      <c r="M616" s="324">
        <f t="shared" si="24"/>
        <v>0</v>
      </c>
      <c r="N616" s="324">
        <f t="shared" si="24"/>
        <v>0</v>
      </c>
      <c r="O616" s="324">
        <f t="shared" si="24"/>
        <v>44000</v>
      </c>
      <c r="P616" s="324">
        <f t="shared" si="24"/>
        <v>0</v>
      </c>
      <c r="Q616" s="324">
        <f t="shared" si="24"/>
        <v>0</v>
      </c>
      <c r="R616" s="324">
        <f t="shared" si="24"/>
        <v>0</v>
      </c>
      <c r="S616" s="324">
        <f t="shared" si="24"/>
        <v>0</v>
      </c>
      <c r="T616" s="324">
        <f t="shared" si="24"/>
        <v>0</v>
      </c>
      <c r="U616" s="324">
        <f t="shared" si="24"/>
        <v>0</v>
      </c>
      <c r="V616" s="324">
        <f t="shared" si="24"/>
        <v>0</v>
      </c>
      <c r="W616" s="324">
        <f t="shared" si="24"/>
        <v>0</v>
      </c>
      <c r="X616" s="324">
        <f t="shared" si="24"/>
        <v>0</v>
      </c>
      <c r="Y616" s="324">
        <f t="shared" si="24"/>
        <v>0</v>
      </c>
      <c r="Z616" s="324">
        <f t="shared" si="24"/>
        <v>0</v>
      </c>
      <c r="AA616" s="324">
        <f t="shared" si="24"/>
        <v>0</v>
      </c>
      <c r="AB616" s="396" t="s">
        <v>882</v>
      </c>
    </row>
    <row r="617" spans="1:30" s="4" customFormat="1" ht="35.25" customHeight="1" x14ac:dyDescent="0.5">
      <c r="A617" s="4">
        <v>1</v>
      </c>
      <c r="B617" s="171">
        <f>SUBTOTAL(103,$A$8:A617)</f>
        <v>599</v>
      </c>
      <c r="C617" s="323" t="s">
        <v>1852</v>
      </c>
      <c r="D617" s="324">
        <f>E617+F617+G617+H617+I617+J617+L617+M617+N617+O617+P617+Q617+R617+S617+T617+U617+V617+W617+X617+Y617+Z617+AA617</f>
        <v>44000</v>
      </c>
      <c r="E617" s="325">
        <v>0</v>
      </c>
      <c r="F617" s="325">
        <v>0</v>
      </c>
      <c r="G617" s="325">
        <v>0</v>
      </c>
      <c r="H617" s="325">
        <v>0</v>
      </c>
      <c r="I617" s="325">
        <v>0</v>
      </c>
      <c r="J617" s="325">
        <v>0</v>
      </c>
      <c r="K617" s="326">
        <v>0</v>
      </c>
      <c r="L617" s="325">
        <v>0</v>
      </c>
      <c r="M617" s="325">
        <v>0</v>
      </c>
      <c r="N617" s="325">
        <v>0</v>
      </c>
      <c r="O617" s="325">
        <v>44000</v>
      </c>
      <c r="P617" s="325">
        <v>0</v>
      </c>
      <c r="Q617" s="325">
        <v>0</v>
      </c>
      <c r="R617" s="325">
        <v>0</v>
      </c>
      <c r="S617" s="325">
        <v>0</v>
      </c>
      <c r="T617" s="325">
        <v>0</v>
      </c>
      <c r="U617" s="325">
        <v>0</v>
      </c>
      <c r="V617" s="325">
        <v>0</v>
      </c>
      <c r="W617" s="325">
        <v>0</v>
      </c>
      <c r="X617" s="325">
        <v>0</v>
      </c>
      <c r="Y617" s="325">
        <v>0</v>
      </c>
      <c r="Z617" s="325">
        <v>0</v>
      </c>
      <c r="AA617" s="325">
        <v>0</v>
      </c>
      <c r="AB617" s="327">
        <v>2020</v>
      </c>
      <c r="AD617" s="4">
        <v>0</v>
      </c>
    </row>
    <row r="618" spans="1:30" s="4" customFormat="1" ht="35.25" customHeight="1" x14ac:dyDescent="0.5">
      <c r="B618" s="323" t="s">
        <v>872</v>
      </c>
      <c r="C618" s="323"/>
      <c r="D618" s="324">
        <f>SUM(D619:D620)</f>
        <v>855755</v>
      </c>
      <c r="E618" s="324">
        <f t="shared" ref="E618:AA618" si="25">SUM(E619:E620)</f>
        <v>0</v>
      </c>
      <c r="F618" s="324">
        <f t="shared" si="25"/>
        <v>0</v>
      </c>
      <c r="G618" s="324">
        <f t="shared" si="25"/>
        <v>0</v>
      </c>
      <c r="H618" s="324">
        <f t="shared" si="25"/>
        <v>0</v>
      </c>
      <c r="I618" s="324">
        <f t="shared" si="25"/>
        <v>0</v>
      </c>
      <c r="J618" s="324">
        <f t="shared" si="25"/>
        <v>0</v>
      </c>
      <c r="K618" s="326">
        <f t="shared" si="25"/>
        <v>0</v>
      </c>
      <c r="L618" s="324">
        <f t="shared" si="25"/>
        <v>0</v>
      </c>
      <c r="M618" s="324">
        <f t="shared" si="25"/>
        <v>0</v>
      </c>
      <c r="N618" s="324">
        <f t="shared" si="25"/>
        <v>855755</v>
      </c>
      <c r="O618" s="324">
        <f t="shared" si="25"/>
        <v>0</v>
      </c>
      <c r="P618" s="324">
        <f t="shared" si="25"/>
        <v>0</v>
      </c>
      <c r="Q618" s="324">
        <f t="shared" si="25"/>
        <v>0</v>
      </c>
      <c r="R618" s="324">
        <f t="shared" si="25"/>
        <v>0</v>
      </c>
      <c r="S618" s="324">
        <f t="shared" si="25"/>
        <v>0</v>
      </c>
      <c r="T618" s="324">
        <f t="shared" si="25"/>
        <v>0</v>
      </c>
      <c r="U618" s="324">
        <f t="shared" si="25"/>
        <v>0</v>
      </c>
      <c r="V618" s="324">
        <f t="shared" si="25"/>
        <v>0</v>
      </c>
      <c r="W618" s="324">
        <f t="shared" si="25"/>
        <v>0</v>
      </c>
      <c r="X618" s="324">
        <f t="shared" si="25"/>
        <v>0</v>
      </c>
      <c r="Y618" s="324">
        <f t="shared" si="25"/>
        <v>0</v>
      </c>
      <c r="Z618" s="324">
        <f t="shared" si="25"/>
        <v>0</v>
      </c>
      <c r="AA618" s="324">
        <f t="shared" si="25"/>
        <v>0</v>
      </c>
      <c r="AB618" s="396" t="s">
        <v>882</v>
      </c>
    </row>
    <row r="619" spans="1:30" s="4" customFormat="1" ht="35.25" customHeight="1" x14ac:dyDescent="0.5">
      <c r="A619" s="4">
        <v>1</v>
      </c>
      <c r="B619" s="171">
        <f>SUBTOTAL(103,$A$8:A619)</f>
        <v>600</v>
      </c>
      <c r="C619" s="323" t="s">
        <v>1854</v>
      </c>
      <c r="D619" s="324">
        <f>E619+F619+G619+H619+I619+J619+L619+M619+N619+O619+P619+Q619+R619+S619+T619+U619+V619+W619+X619+Y619+Z619+AA619</f>
        <v>488555</v>
      </c>
      <c r="E619" s="325">
        <v>0</v>
      </c>
      <c r="F619" s="325">
        <v>0</v>
      </c>
      <c r="G619" s="325">
        <v>0</v>
      </c>
      <c r="H619" s="325">
        <v>0</v>
      </c>
      <c r="I619" s="325">
        <v>0</v>
      </c>
      <c r="J619" s="325">
        <v>0</v>
      </c>
      <c r="K619" s="326">
        <v>0</v>
      </c>
      <c r="L619" s="325">
        <v>0</v>
      </c>
      <c r="M619" s="325">
        <v>0</v>
      </c>
      <c r="N619" s="325">
        <v>488555</v>
      </c>
      <c r="O619" s="325">
        <v>0</v>
      </c>
      <c r="P619" s="325">
        <v>0</v>
      </c>
      <c r="Q619" s="325">
        <v>0</v>
      </c>
      <c r="R619" s="325">
        <v>0</v>
      </c>
      <c r="S619" s="325">
        <v>0</v>
      </c>
      <c r="T619" s="325">
        <v>0</v>
      </c>
      <c r="U619" s="325">
        <v>0</v>
      </c>
      <c r="V619" s="325">
        <v>0</v>
      </c>
      <c r="W619" s="325">
        <v>0</v>
      </c>
      <c r="X619" s="325">
        <v>0</v>
      </c>
      <c r="Y619" s="325">
        <v>0</v>
      </c>
      <c r="Z619" s="325">
        <v>0</v>
      </c>
      <c r="AA619" s="325">
        <v>0</v>
      </c>
      <c r="AB619" s="327">
        <v>2020</v>
      </c>
      <c r="AD619" s="4" t="e">
        <v>#N/A</v>
      </c>
    </row>
    <row r="620" spans="1:30" s="4" customFormat="1" ht="35.25" customHeight="1" x14ac:dyDescent="0.5">
      <c r="A620" s="4">
        <v>1</v>
      </c>
      <c r="B620" s="171">
        <f>SUBTOTAL(103,$A$8:A620)</f>
        <v>601</v>
      </c>
      <c r="C620" s="323" t="s">
        <v>1855</v>
      </c>
      <c r="D620" s="324">
        <f>E620+F620+G620+H620+I620+J620+L620+M620+N620+O620+P620+Q620+R620+S620+T620+U620+V620+W620+X620+Y620+Z620+AA620</f>
        <v>367200</v>
      </c>
      <c r="E620" s="325">
        <v>0</v>
      </c>
      <c r="F620" s="325">
        <v>0</v>
      </c>
      <c r="G620" s="325">
        <v>0</v>
      </c>
      <c r="H620" s="325">
        <v>0</v>
      </c>
      <c r="I620" s="325">
        <v>0</v>
      </c>
      <c r="J620" s="325">
        <v>0</v>
      </c>
      <c r="K620" s="326">
        <v>0</v>
      </c>
      <c r="L620" s="325">
        <v>0</v>
      </c>
      <c r="M620" s="325">
        <v>0</v>
      </c>
      <c r="N620" s="325">
        <v>367200</v>
      </c>
      <c r="O620" s="325">
        <v>0</v>
      </c>
      <c r="P620" s="325">
        <v>0</v>
      </c>
      <c r="Q620" s="325">
        <v>0</v>
      </c>
      <c r="R620" s="325">
        <v>0</v>
      </c>
      <c r="S620" s="325">
        <v>0</v>
      </c>
      <c r="T620" s="325">
        <v>0</v>
      </c>
      <c r="U620" s="325">
        <v>0</v>
      </c>
      <c r="V620" s="325">
        <v>0</v>
      </c>
      <c r="W620" s="325">
        <v>0</v>
      </c>
      <c r="X620" s="325">
        <v>0</v>
      </c>
      <c r="Y620" s="325">
        <v>0</v>
      </c>
      <c r="Z620" s="325">
        <v>0</v>
      </c>
      <c r="AA620" s="325">
        <v>0</v>
      </c>
      <c r="AB620" s="327">
        <v>2020</v>
      </c>
      <c r="AD620" s="4" t="e">
        <v>#N/A</v>
      </c>
    </row>
    <row r="621" spans="1:30" s="4" customFormat="1" ht="35.25" customHeight="1" x14ac:dyDescent="0.5">
      <c r="B621" s="398" t="s">
        <v>820</v>
      </c>
      <c r="C621" s="323"/>
      <c r="D621" s="324">
        <f t="shared" ref="D621:AA621" si="26">SUM(D622:D634)</f>
        <v>6039426.3499999996</v>
      </c>
      <c r="E621" s="324">
        <f t="shared" si="26"/>
        <v>98498.3</v>
      </c>
      <c r="F621" s="324">
        <f t="shared" si="26"/>
        <v>0</v>
      </c>
      <c r="G621" s="324">
        <f t="shared" si="26"/>
        <v>1536598.68</v>
      </c>
      <c r="H621" s="324">
        <f t="shared" si="26"/>
        <v>0</v>
      </c>
      <c r="I621" s="324">
        <f t="shared" si="26"/>
        <v>0</v>
      </c>
      <c r="J621" s="324">
        <f t="shared" si="26"/>
        <v>0</v>
      </c>
      <c r="K621" s="326">
        <f t="shared" si="26"/>
        <v>0</v>
      </c>
      <c r="L621" s="324">
        <f t="shared" si="26"/>
        <v>0</v>
      </c>
      <c r="M621" s="324">
        <f t="shared" si="26"/>
        <v>933637.37</v>
      </c>
      <c r="N621" s="324">
        <f t="shared" si="26"/>
        <v>386080</v>
      </c>
      <c r="O621" s="324">
        <f t="shared" si="26"/>
        <v>3084612</v>
      </c>
      <c r="P621" s="324">
        <f t="shared" si="26"/>
        <v>0</v>
      </c>
      <c r="Q621" s="324">
        <f t="shared" si="26"/>
        <v>0</v>
      </c>
      <c r="R621" s="324">
        <f t="shared" si="26"/>
        <v>0</v>
      </c>
      <c r="S621" s="324">
        <f t="shared" si="26"/>
        <v>0</v>
      </c>
      <c r="T621" s="324">
        <f t="shared" si="26"/>
        <v>0</v>
      </c>
      <c r="U621" s="324">
        <f t="shared" si="26"/>
        <v>0</v>
      </c>
      <c r="V621" s="324">
        <f t="shared" si="26"/>
        <v>0</v>
      </c>
      <c r="W621" s="324">
        <f t="shared" si="26"/>
        <v>0</v>
      </c>
      <c r="X621" s="324">
        <f t="shared" si="26"/>
        <v>0</v>
      </c>
      <c r="Y621" s="324">
        <f t="shared" si="26"/>
        <v>0</v>
      </c>
      <c r="Z621" s="324">
        <f t="shared" si="26"/>
        <v>0</v>
      </c>
      <c r="AA621" s="324">
        <f t="shared" si="26"/>
        <v>0</v>
      </c>
      <c r="AB621" s="396" t="s">
        <v>882</v>
      </c>
    </row>
    <row r="622" spans="1:30" s="4" customFormat="1" ht="35.25" customHeight="1" x14ac:dyDescent="0.5">
      <c r="A622" s="4">
        <v>1</v>
      </c>
      <c r="B622" s="171">
        <f>SUBTOTAL(103,$A$8:A622)</f>
        <v>602</v>
      </c>
      <c r="C622" s="323" t="s">
        <v>2196</v>
      </c>
      <c r="D622" s="324">
        <f t="shared" ref="D622:D634" si="27">E622+F622+G622+H622+I622+J622+L622+M622+N622+O622+P622+Q622+R622+S622+T622+U622+V622+W622+X622+Y622+Z622+AA622</f>
        <v>338400</v>
      </c>
      <c r="E622" s="400">
        <v>0</v>
      </c>
      <c r="F622" s="400">
        <v>0</v>
      </c>
      <c r="G622" s="325">
        <v>0</v>
      </c>
      <c r="H622" s="325">
        <v>0</v>
      </c>
      <c r="I622" s="325">
        <v>0</v>
      </c>
      <c r="J622" s="325">
        <v>0</v>
      </c>
      <c r="K622" s="326">
        <v>0</v>
      </c>
      <c r="L622" s="325">
        <v>0</v>
      </c>
      <c r="M622" s="400">
        <v>0</v>
      </c>
      <c r="N622" s="325">
        <v>0</v>
      </c>
      <c r="O622" s="325">
        <v>338400</v>
      </c>
      <c r="P622" s="325">
        <v>0</v>
      </c>
      <c r="Q622" s="325">
        <v>0</v>
      </c>
      <c r="R622" s="325">
        <v>0</v>
      </c>
      <c r="S622" s="325">
        <v>0</v>
      </c>
      <c r="T622" s="325">
        <v>0</v>
      </c>
      <c r="U622" s="325">
        <v>0</v>
      </c>
      <c r="V622" s="325">
        <v>0</v>
      </c>
      <c r="W622" s="325">
        <v>0</v>
      </c>
      <c r="X622" s="325">
        <v>0</v>
      </c>
      <c r="Y622" s="325">
        <v>0</v>
      </c>
      <c r="Z622" s="325">
        <v>0</v>
      </c>
      <c r="AA622" s="325">
        <v>0</v>
      </c>
      <c r="AB622" s="327">
        <v>2020</v>
      </c>
      <c r="AD622" s="4" t="e">
        <v>#N/A</v>
      </c>
    </row>
    <row r="623" spans="1:30" s="4" customFormat="1" ht="35.25" customHeight="1" x14ac:dyDescent="0.5">
      <c r="A623" s="4">
        <v>1</v>
      </c>
      <c r="B623" s="171">
        <f>SUBTOTAL(103,$A$8:A623)</f>
        <v>603</v>
      </c>
      <c r="C623" s="323" t="s">
        <v>2574</v>
      </c>
      <c r="D623" s="324">
        <f t="shared" si="27"/>
        <v>98498.3</v>
      </c>
      <c r="E623" s="400">
        <v>98498.3</v>
      </c>
      <c r="F623" s="400">
        <v>0</v>
      </c>
      <c r="G623" s="325">
        <v>0</v>
      </c>
      <c r="H623" s="325">
        <v>0</v>
      </c>
      <c r="I623" s="325">
        <v>0</v>
      </c>
      <c r="J623" s="325">
        <v>0</v>
      </c>
      <c r="K623" s="326">
        <v>0</v>
      </c>
      <c r="L623" s="325">
        <v>0</v>
      </c>
      <c r="M623" s="400">
        <v>0</v>
      </c>
      <c r="N623" s="325">
        <v>0</v>
      </c>
      <c r="O623" s="325">
        <v>0</v>
      </c>
      <c r="P623" s="325">
        <v>0</v>
      </c>
      <c r="Q623" s="325">
        <v>0</v>
      </c>
      <c r="R623" s="325">
        <v>0</v>
      </c>
      <c r="S623" s="325">
        <v>0</v>
      </c>
      <c r="T623" s="325">
        <v>0</v>
      </c>
      <c r="U623" s="325">
        <v>0</v>
      </c>
      <c r="V623" s="325">
        <v>0</v>
      </c>
      <c r="W623" s="325">
        <v>0</v>
      </c>
      <c r="X623" s="325">
        <v>0</v>
      </c>
      <c r="Y623" s="325">
        <v>0</v>
      </c>
      <c r="Z623" s="325">
        <v>0</v>
      </c>
      <c r="AA623" s="325">
        <v>0</v>
      </c>
      <c r="AB623" s="327">
        <v>2020</v>
      </c>
      <c r="AD623" s="4">
        <v>0</v>
      </c>
    </row>
    <row r="624" spans="1:30" s="4" customFormat="1" ht="35.25" customHeight="1" x14ac:dyDescent="0.5">
      <c r="A624" s="4">
        <v>1</v>
      </c>
      <c r="B624" s="171">
        <f>SUBTOTAL(103,$A$8:A624)</f>
        <v>604</v>
      </c>
      <c r="C624" s="323" t="s">
        <v>2197</v>
      </c>
      <c r="D624" s="324">
        <f t="shared" si="27"/>
        <v>353445</v>
      </c>
      <c r="E624" s="400">
        <v>0</v>
      </c>
      <c r="F624" s="400">
        <v>0</v>
      </c>
      <c r="G624" s="325">
        <v>0</v>
      </c>
      <c r="H624" s="325">
        <v>0</v>
      </c>
      <c r="I624" s="325">
        <v>0</v>
      </c>
      <c r="J624" s="325">
        <v>0</v>
      </c>
      <c r="K624" s="326">
        <v>0</v>
      </c>
      <c r="L624" s="325">
        <v>0</v>
      </c>
      <c r="M624" s="400">
        <v>0</v>
      </c>
      <c r="N624" s="325">
        <v>0</v>
      </c>
      <c r="O624" s="325">
        <v>353445</v>
      </c>
      <c r="P624" s="325">
        <v>0</v>
      </c>
      <c r="Q624" s="325">
        <v>0</v>
      </c>
      <c r="R624" s="325">
        <v>0</v>
      </c>
      <c r="S624" s="325">
        <v>0</v>
      </c>
      <c r="T624" s="325">
        <v>0</v>
      </c>
      <c r="U624" s="325">
        <v>0</v>
      </c>
      <c r="V624" s="325">
        <v>0</v>
      </c>
      <c r="W624" s="325">
        <v>0</v>
      </c>
      <c r="X624" s="325">
        <v>0</v>
      </c>
      <c r="Y624" s="325">
        <v>0</v>
      </c>
      <c r="Z624" s="325">
        <v>0</v>
      </c>
      <c r="AA624" s="325">
        <v>0</v>
      </c>
      <c r="AB624" s="327">
        <v>2020</v>
      </c>
      <c r="AD624" s="4" t="e">
        <v>#N/A</v>
      </c>
    </row>
    <row r="625" spans="1:30" s="4" customFormat="1" ht="35.25" customHeight="1" x14ac:dyDescent="0.5">
      <c r="A625" s="4">
        <v>1</v>
      </c>
      <c r="B625" s="171">
        <f>SUBTOTAL(103,$A$8:A625)</f>
        <v>605</v>
      </c>
      <c r="C625" s="323" t="s">
        <v>2198</v>
      </c>
      <c r="D625" s="324">
        <f t="shared" si="27"/>
        <v>436897.68</v>
      </c>
      <c r="E625" s="400">
        <v>0</v>
      </c>
      <c r="F625" s="400">
        <v>0</v>
      </c>
      <c r="G625" s="325">
        <v>436897.68</v>
      </c>
      <c r="H625" s="325">
        <v>0</v>
      </c>
      <c r="I625" s="325">
        <v>0</v>
      </c>
      <c r="J625" s="325">
        <v>0</v>
      </c>
      <c r="K625" s="326">
        <v>0</v>
      </c>
      <c r="L625" s="325">
        <v>0</v>
      </c>
      <c r="M625" s="400">
        <v>0</v>
      </c>
      <c r="N625" s="325">
        <v>0</v>
      </c>
      <c r="O625" s="325">
        <v>0</v>
      </c>
      <c r="P625" s="325">
        <v>0</v>
      </c>
      <c r="Q625" s="325">
        <v>0</v>
      </c>
      <c r="R625" s="325">
        <v>0</v>
      </c>
      <c r="S625" s="325">
        <v>0</v>
      </c>
      <c r="T625" s="325">
        <v>0</v>
      </c>
      <c r="U625" s="325">
        <v>0</v>
      </c>
      <c r="V625" s="325">
        <v>0</v>
      </c>
      <c r="W625" s="325">
        <v>0</v>
      </c>
      <c r="X625" s="325">
        <v>0</v>
      </c>
      <c r="Y625" s="325">
        <v>0</v>
      </c>
      <c r="Z625" s="325">
        <v>0</v>
      </c>
      <c r="AA625" s="325">
        <v>0</v>
      </c>
      <c r="AB625" s="327">
        <v>2020</v>
      </c>
      <c r="AD625" s="4" t="e">
        <v>#N/A</v>
      </c>
    </row>
    <row r="626" spans="1:30" s="4" customFormat="1" ht="35.25" customHeight="1" x14ac:dyDescent="0.5">
      <c r="A626" s="4">
        <v>1</v>
      </c>
      <c r="B626" s="171">
        <f>SUBTOTAL(103,$A$8:A626)</f>
        <v>606</v>
      </c>
      <c r="C626" s="323" t="s">
        <v>2199</v>
      </c>
      <c r="D626" s="324">
        <f t="shared" si="27"/>
        <v>323557</v>
      </c>
      <c r="E626" s="400">
        <v>0</v>
      </c>
      <c r="F626" s="400">
        <v>0</v>
      </c>
      <c r="G626" s="325">
        <v>0</v>
      </c>
      <c r="H626" s="325">
        <v>0</v>
      </c>
      <c r="I626" s="325">
        <v>0</v>
      </c>
      <c r="J626" s="325">
        <v>0</v>
      </c>
      <c r="K626" s="326">
        <v>0</v>
      </c>
      <c r="L626" s="325">
        <v>0</v>
      </c>
      <c r="M626" s="400">
        <v>0</v>
      </c>
      <c r="N626" s="325">
        <v>0</v>
      </c>
      <c r="O626" s="325">
        <v>323557</v>
      </c>
      <c r="P626" s="325">
        <v>0</v>
      </c>
      <c r="Q626" s="325">
        <v>0</v>
      </c>
      <c r="R626" s="325">
        <v>0</v>
      </c>
      <c r="S626" s="325">
        <v>0</v>
      </c>
      <c r="T626" s="325">
        <v>0</v>
      </c>
      <c r="U626" s="325">
        <v>0</v>
      </c>
      <c r="V626" s="325">
        <v>0</v>
      </c>
      <c r="W626" s="325">
        <v>0</v>
      </c>
      <c r="X626" s="325">
        <v>0</v>
      </c>
      <c r="Y626" s="325">
        <v>0</v>
      </c>
      <c r="Z626" s="325">
        <v>0</v>
      </c>
      <c r="AA626" s="325">
        <v>0</v>
      </c>
      <c r="AB626" s="327">
        <v>2020</v>
      </c>
      <c r="AD626" s="4" t="e">
        <v>#N/A</v>
      </c>
    </row>
    <row r="627" spans="1:30" s="4" customFormat="1" ht="35.25" customHeight="1" x14ac:dyDescent="0.5">
      <c r="A627" s="4">
        <v>1</v>
      </c>
      <c r="B627" s="171">
        <f>SUBTOTAL(103,$A$8:A627)</f>
        <v>607</v>
      </c>
      <c r="C627" s="323" t="s">
        <v>2575</v>
      </c>
      <c r="D627" s="324">
        <f t="shared" si="27"/>
        <v>280317.37</v>
      </c>
      <c r="E627" s="400">
        <v>0</v>
      </c>
      <c r="F627" s="400">
        <v>0</v>
      </c>
      <c r="G627" s="325">
        <v>0</v>
      </c>
      <c r="H627" s="325">
        <v>0</v>
      </c>
      <c r="I627" s="325">
        <v>0</v>
      </c>
      <c r="J627" s="325">
        <v>0</v>
      </c>
      <c r="K627" s="326">
        <v>0</v>
      </c>
      <c r="L627" s="325">
        <v>0</v>
      </c>
      <c r="M627" s="400">
        <v>280317.37</v>
      </c>
      <c r="N627" s="325">
        <v>0</v>
      </c>
      <c r="O627" s="325">
        <v>0</v>
      </c>
      <c r="P627" s="325">
        <v>0</v>
      </c>
      <c r="Q627" s="325">
        <v>0</v>
      </c>
      <c r="R627" s="325">
        <v>0</v>
      </c>
      <c r="S627" s="325">
        <v>0</v>
      </c>
      <c r="T627" s="325">
        <v>0</v>
      </c>
      <c r="U627" s="325">
        <v>0</v>
      </c>
      <c r="V627" s="325">
        <v>0</v>
      </c>
      <c r="W627" s="325">
        <v>0</v>
      </c>
      <c r="X627" s="325">
        <v>0</v>
      </c>
      <c r="Y627" s="325">
        <v>0</v>
      </c>
      <c r="Z627" s="325">
        <v>0</v>
      </c>
      <c r="AA627" s="325">
        <v>0</v>
      </c>
      <c r="AB627" s="327">
        <v>2020</v>
      </c>
      <c r="AD627" s="4">
        <v>0</v>
      </c>
    </row>
    <row r="628" spans="1:30" s="4" customFormat="1" ht="35.25" customHeight="1" x14ac:dyDescent="0.5">
      <c r="A628" s="4">
        <v>1</v>
      </c>
      <c r="B628" s="171">
        <f>SUBTOTAL(103,$A$8:A628)</f>
        <v>608</v>
      </c>
      <c r="C628" s="323" t="s">
        <v>2400</v>
      </c>
      <c r="D628" s="324">
        <f t="shared" si="27"/>
        <v>1524331</v>
      </c>
      <c r="E628" s="400">
        <v>0</v>
      </c>
      <c r="F628" s="400">
        <v>0</v>
      </c>
      <c r="G628" s="325">
        <v>0</v>
      </c>
      <c r="H628" s="325">
        <v>0</v>
      </c>
      <c r="I628" s="325">
        <v>0</v>
      </c>
      <c r="J628" s="325">
        <v>0</v>
      </c>
      <c r="K628" s="326">
        <v>0</v>
      </c>
      <c r="L628" s="325">
        <v>0</v>
      </c>
      <c r="M628" s="400">
        <v>0</v>
      </c>
      <c r="N628" s="325">
        <v>386080</v>
      </c>
      <c r="O628" s="325">
        <v>1138251</v>
      </c>
      <c r="P628" s="325">
        <v>0</v>
      </c>
      <c r="Q628" s="325">
        <v>0</v>
      </c>
      <c r="R628" s="325">
        <v>0</v>
      </c>
      <c r="S628" s="325">
        <v>0</v>
      </c>
      <c r="T628" s="325">
        <v>0</v>
      </c>
      <c r="U628" s="325">
        <v>0</v>
      </c>
      <c r="V628" s="325">
        <v>0</v>
      </c>
      <c r="W628" s="325">
        <v>0</v>
      </c>
      <c r="X628" s="325">
        <v>0</v>
      </c>
      <c r="Y628" s="325">
        <v>0</v>
      </c>
      <c r="Z628" s="325">
        <v>0</v>
      </c>
      <c r="AA628" s="325">
        <v>0</v>
      </c>
      <c r="AB628" s="327">
        <v>2020</v>
      </c>
      <c r="AD628" s="4">
        <v>0</v>
      </c>
    </row>
    <row r="629" spans="1:30" s="4" customFormat="1" ht="35.25" customHeight="1" x14ac:dyDescent="0.5">
      <c r="A629" s="4">
        <v>1</v>
      </c>
      <c r="B629" s="171">
        <f>SUBTOTAL(103,$A$8:A629)</f>
        <v>609</v>
      </c>
      <c r="C629" s="323" t="s">
        <v>2200</v>
      </c>
      <c r="D629" s="324">
        <f t="shared" si="27"/>
        <v>574400</v>
      </c>
      <c r="E629" s="400">
        <v>0</v>
      </c>
      <c r="F629" s="400">
        <v>0</v>
      </c>
      <c r="G629" s="325">
        <v>0</v>
      </c>
      <c r="H629" s="325">
        <v>0</v>
      </c>
      <c r="I629" s="325">
        <v>0</v>
      </c>
      <c r="J629" s="325">
        <v>0</v>
      </c>
      <c r="K629" s="326">
        <v>0</v>
      </c>
      <c r="L629" s="325">
        <v>0</v>
      </c>
      <c r="M629" s="400">
        <v>333320</v>
      </c>
      <c r="N629" s="325">
        <v>0</v>
      </c>
      <c r="O629" s="325">
        <v>241080</v>
      </c>
      <c r="P629" s="325">
        <v>0</v>
      </c>
      <c r="Q629" s="325">
        <v>0</v>
      </c>
      <c r="R629" s="325">
        <v>0</v>
      </c>
      <c r="S629" s="325">
        <v>0</v>
      </c>
      <c r="T629" s="325">
        <v>0</v>
      </c>
      <c r="U629" s="325">
        <v>0</v>
      </c>
      <c r="V629" s="325">
        <v>0</v>
      </c>
      <c r="W629" s="325">
        <v>0</v>
      </c>
      <c r="X629" s="325">
        <v>0</v>
      </c>
      <c r="Y629" s="325">
        <v>0</v>
      </c>
      <c r="Z629" s="325">
        <v>0</v>
      </c>
      <c r="AA629" s="325">
        <v>0</v>
      </c>
      <c r="AB629" s="327">
        <v>2020</v>
      </c>
      <c r="AD629" s="4" t="e">
        <v>#N/A</v>
      </c>
    </row>
    <row r="630" spans="1:30" s="4" customFormat="1" ht="35.25" customHeight="1" x14ac:dyDescent="0.5">
      <c r="A630" s="4">
        <v>1</v>
      </c>
      <c r="B630" s="171">
        <f>SUBTOTAL(103,$A$8:A630)</f>
        <v>610</v>
      </c>
      <c r="C630" s="323" t="s">
        <v>2201</v>
      </c>
      <c r="D630" s="324">
        <f t="shared" si="27"/>
        <v>353445</v>
      </c>
      <c r="E630" s="400">
        <v>0</v>
      </c>
      <c r="F630" s="400">
        <v>0</v>
      </c>
      <c r="G630" s="325">
        <v>0</v>
      </c>
      <c r="H630" s="325">
        <v>0</v>
      </c>
      <c r="I630" s="325">
        <v>0</v>
      </c>
      <c r="J630" s="325">
        <v>0</v>
      </c>
      <c r="K630" s="326">
        <v>0</v>
      </c>
      <c r="L630" s="325">
        <v>0</v>
      </c>
      <c r="M630" s="400">
        <v>0</v>
      </c>
      <c r="N630" s="325">
        <v>0</v>
      </c>
      <c r="O630" s="325">
        <v>353445</v>
      </c>
      <c r="P630" s="325">
        <v>0</v>
      </c>
      <c r="Q630" s="325">
        <v>0</v>
      </c>
      <c r="R630" s="325">
        <v>0</v>
      </c>
      <c r="S630" s="325">
        <v>0</v>
      </c>
      <c r="T630" s="325">
        <v>0</v>
      </c>
      <c r="U630" s="325">
        <v>0</v>
      </c>
      <c r="V630" s="325">
        <v>0</v>
      </c>
      <c r="W630" s="325">
        <v>0</v>
      </c>
      <c r="X630" s="325">
        <v>0</v>
      </c>
      <c r="Y630" s="325">
        <v>0</v>
      </c>
      <c r="Z630" s="325">
        <v>0</v>
      </c>
      <c r="AA630" s="325">
        <v>0</v>
      </c>
      <c r="AB630" s="327">
        <v>2020</v>
      </c>
      <c r="AD630" s="4" t="e">
        <v>#N/A</v>
      </c>
    </row>
    <row r="631" spans="1:30" s="4" customFormat="1" ht="35.25" customHeight="1" x14ac:dyDescent="0.5">
      <c r="A631" s="4">
        <v>1</v>
      </c>
      <c r="B631" s="171">
        <f>SUBTOTAL(103,$A$8:A631)</f>
        <v>611</v>
      </c>
      <c r="C631" s="323" t="s">
        <v>2398</v>
      </c>
      <c r="D631" s="324">
        <f t="shared" si="27"/>
        <v>336434</v>
      </c>
      <c r="E631" s="400">
        <v>0</v>
      </c>
      <c r="F631" s="400">
        <v>0</v>
      </c>
      <c r="G631" s="325">
        <v>0</v>
      </c>
      <c r="H631" s="325">
        <v>0</v>
      </c>
      <c r="I631" s="325">
        <v>0</v>
      </c>
      <c r="J631" s="325">
        <v>0</v>
      </c>
      <c r="K631" s="326">
        <v>0</v>
      </c>
      <c r="L631" s="325">
        <v>0</v>
      </c>
      <c r="M631" s="400">
        <v>0</v>
      </c>
      <c r="N631" s="325">
        <v>0</v>
      </c>
      <c r="O631" s="325">
        <v>336434</v>
      </c>
      <c r="P631" s="325">
        <v>0</v>
      </c>
      <c r="Q631" s="325">
        <v>0</v>
      </c>
      <c r="R631" s="325">
        <v>0</v>
      </c>
      <c r="S631" s="325">
        <v>0</v>
      </c>
      <c r="T631" s="325">
        <v>0</v>
      </c>
      <c r="U631" s="325">
        <v>0</v>
      </c>
      <c r="V631" s="325">
        <v>0</v>
      </c>
      <c r="W631" s="325">
        <v>0</v>
      </c>
      <c r="X631" s="325">
        <v>0</v>
      </c>
      <c r="Y631" s="325">
        <v>0</v>
      </c>
      <c r="Z631" s="325">
        <v>0</v>
      </c>
      <c r="AA631" s="325">
        <v>0</v>
      </c>
      <c r="AB631" s="327">
        <v>2020</v>
      </c>
      <c r="AD631" s="4" t="e">
        <v>#N/A</v>
      </c>
    </row>
    <row r="632" spans="1:30" s="4" customFormat="1" ht="35.25" customHeight="1" x14ac:dyDescent="0.5">
      <c r="A632" s="4">
        <v>1</v>
      </c>
      <c r="B632" s="171">
        <f>SUBTOTAL(103,$A$8:A632)</f>
        <v>612</v>
      </c>
      <c r="C632" s="323" t="s">
        <v>2399</v>
      </c>
      <c r="D632" s="324">
        <f t="shared" si="27"/>
        <v>796882</v>
      </c>
      <c r="E632" s="400">
        <v>0</v>
      </c>
      <c r="F632" s="400">
        <v>0</v>
      </c>
      <c r="G632" s="325">
        <v>796882</v>
      </c>
      <c r="H632" s="325">
        <v>0</v>
      </c>
      <c r="I632" s="325">
        <v>0</v>
      </c>
      <c r="J632" s="325">
        <v>0</v>
      </c>
      <c r="K632" s="326">
        <v>0</v>
      </c>
      <c r="L632" s="325">
        <v>0</v>
      </c>
      <c r="M632" s="400">
        <v>0</v>
      </c>
      <c r="N632" s="325">
        <v>0</v>
      </c>
      <c r="O632" s="325">
        <v>0</v>
      </c>
      <c r="P632" s="325">
        <v>0</v>
      </c>
      <c r="Q632" s="325">
        <v>0</v>
      </c>
      <c r="R632" s="325">
        <v>0</v>
      </c>
      <c r="S632" s="325">
        <v>0</v>
      </c>
      <c r="T632" s="325">
        <v>0</v>
      </c>
      <c r="U632" s="325">
        <v>0</v>
      </c>
      <c r="V632" s="325">
        <v>0</v>
      </c>
      <c r="W632" s="325">
        <v>0</v>
      </c>
      <c r="X632" s="325">
        <v>0</v>
      </c>
      <c r="Y632" s="325">
        <v>0</v>
      </c>
      <c r="Z632" s="325">
        <v>0</v>
      </c>
      <c r="AA632" s="325">
        <v>0</v>
      </c>
      <c r="AB632" s="327">
        <v>2020</v>
      </c>
      <c r="AD632" s="4" t="e">
        <v>#N/A</v>
      </c>
    </row>
    <row r="633" spans="1:30" s="4" customFormat="1" ht="35.25" customHeight="1" x14ac:dyDescent="0.5">
      <c r="A633" s="4">
        <v>1</v>
      </c>
      <c r="B633" s="171">
        <f>SUBTOTAL(103,$A$8:A633)</f>
        <v>613</v>
      </c>
      <c r="C633" s="323" t="s">
        <v>2401</v>
      </c>
      <c r="D633" s="324">
        <f t="shared" si="27"/>
        <v>320000</v>
      </c>
      <c r="E633" s="400">
        <v>0</v>
      </c>
      <c r="F633" s="400">
        <v>0</v>
      </c>
      <c r="G633" s="325">
        <v>0</v>
      </c>
      <c r="H633" s="325">
        <v>0</v>
      </c>
      <c r="I633" s="325">
        <v>0</v>
      </c>
      <c r="J633" s="325">
        <v>0</v>
      </c>
      <c r="K633" s="326">
        <v>0</v>
      </c>
      <c r="L633" s="325">
        <v>0</v>
      </c>
      <c r="M633" s="400">
        <v>320000</v>
      </c>
      <c r="N633" s="325">
        <v>0</v>
      </c>
      <c r="O633" s="325">
        <v>0</v>
      </c>
      <c r="P633" s="325">
        <v>0</v>
      </c>
      <c r="Q633" s="325">
        <v>0</v>
      </c>
      <c r="R633" s="325">
        <v>0</v>
      </c>
      <c r="S633" s="325">
        <v>0</v>
      </c>
      <c r="T633" s="325">
        <v>0</v>
      </c>
      <c r="U633" s="325">
        <v>0</v>
      </c>
      <c r="V633" s="325">
        <v>0</v>
      </c>
      <c r="W633" s="325">
        <v>0</v>
      </c>
      <c r="X633" s="325">
        <v>0</v>
      </c>
      <c r="Y633" s="325">
        <v>0</v>
      </c>
      <c r="Z633" s="325">
        <v>0</v>
      </c>
      <c r="AA633" s="325">
        <v>0</v>
      </c>
      <c r="AB633" s="327">
        <v>2020</v>
      </c>
      <c r="AD633" s="4" t="e">
        <v>#N/A</v>
      </c>
    </row>
    <row r="634" spans="1:30" s="4" customFormat="1" ht="35.25" customHeight="1" x14ac:dyDescent="0.5">
      <c r="A634" s="4">
        <v>1</v>
      </c>
      <c r="B634" s="171">
        <f>SUBTOTAL(103,$A$8:A634)</f>
        <v>614</v>
      </c>
      <c r="C634" s="323" t="s">
        <v>2202</v>
      </c>
      <c r="D634" s="324">
        <f t="shared" si="27"/>
        <v>302819</v>
      </c>
      <c r="E634" s="400">
        <v>0</v>
      </c>
      <c r="F634" s="400">
        <v>0</v>
      </c>
      <c r="G634" s="325">
        <v>302819</v>
      </c>
      <c r="H634" s="325">
        <v>0</v>
      </c>
      <c r="I634" s="325">
        <v>0</v>
      </c>
      <c r="J634" s="325">
        <v>0</v>
      </c>
      <c r="K634" s="326">
        <v>0</v>
      </c>
      <c r="L634" s="325">
        <v>0</v>
      </c>
      <c r="M634" s="400">
        <v>0</v>
      </c>
      <c r="N634" s="325">
        <v>0</v>
      </c>
      <c r="O634" s="325">
        <v>0</v>
      </c>
      <c r="P634" s="325">
        <v>0</v>
      </c>
      <c r="Q634" s="325">
        <v>0</v>
      </c>
      <c r="R634" s="325">
        <v>0</v>
      </c>
      <c r="S634" s="325">
        <v>0</v>
      </c>
      <c r="T634" s="325">
        <v>0</v>
      </c>
      <c r="U634" s="325">
        <v>0</v>
      </c>
      <c r="V634" s="325">
        <v>0</v>
      </c>
      <c r="W634" s="325">
        <v>0</v>
      </c>
      <c r="X634" s="325">
        <v>0</v>
      </c>
      <c r="Y634" s="325">
        <v>0</v>
      </c>
      <c r="Z634" s="325">
        <v>0</v>
      </c>
      <c r="AA634" s="325">
        <v>0</v>
      </c>
      <c r="AB634" s="327">
        <v>2020</v>
      </c>
      <c r="AD634" s="4" t="e">
        <v>#N/A</v>
      </c>
    </row>
    <row r="635" spans="1:30" s="4" customFormat="1" ht="35.25" customHeight="1" x14ac:dyDescent="0.5">
      <c r="B635" s="398" t="s">
        <v>854</v>
      </c>
      <c r="C635" s="323"/>
      <c r="D635" s="324">
        <f>SUM(D636:D644)</f>
        <v>6594138</v>
      </c>
      <c r="E635" s="324">
        <f t="shared" ref="E635:AA635" si="28">SUM(E636:E644)</f>
        <v>0</v>
      </c>
      <c r="F635" s="324">
        <f t="shared" si="28"/>
        <v>0</v>
      </c>
      <c r="G635" s="324">
        <f t="shared" si="28"/>
        <v>448190</v>
      </c>
      <c r="H635" s="324">
        <f t="shared" si="28"/>
        <v>0</v>
      </c>
      <c r="I635" s="324">
        <f t="shared" si="28"/>
        <v>105000</v>
      </c>
      <c r="J635" s="324">
        <f t="shared" si="28"/>
        <v>0</v>
      </c>
      <c r="K635" s="399">
        <f t="shared" si="28"/>
        <v>0</v>
      </c>
      <c r="L635" s="324">
        <f t="shared" si="28"/>
        <v>0</v>
      </c>
      <c r="M635" s="324">
        <f t="shared" si="28"/>
        <v>0</v>
      </c>
      <c r="N635" s="324">
        <f t="shared" si="28"/>
        <v>0</v>
      </c>
      <c r="O635" s="324">
        <f t="shared" si="28"/>
        <v>6040948</v>
      </c>
      <c r="P635" s="324">
        <f t="shared" si="28"/>
        <v>0</v>
      </c>
      <c r="Q635" s="324">
        <f t="shared" si="28"/>
        <v>0</v>
      </c>
      <c r="R635" s="324">
        <f t="shared" si="28"/>
        <v>0</v>
      </c>
      <c r="S635" s="324">
        <f t="shared" si="28"/>
        <v>0</v>
      </c>
      <c r="T635" s="324">
        <f t="shared" si="28"/>
        <v>0</v>
      </c>
      <c r="U635" s="324">
        <f t="shared" si="28"/>
        <v>0</v>
      </c>
      <c r="V635" s="324">
        <f t="shared" si="28"/>
        <v>0</v>
      </c>
      <c r="W635" s="324">
        <f t="shared" si="28"/>
        <v>0</v>
      </c>
      <c r="X635" s="324">
        <f t="shared" si="28"/>
        <v>0</v>
      </c>
      <c r="Y635" s="324">
        <f t="shared" si="28"/>
        <v>0</v>
      </c>
      <c r="Z635" s="324">
        <f t="shared" si="28"/>
        <v>0</v>
      </c>
      <c r="AA635" s="324">
        <f t="shared" si="28"/>
        <v>0</v>
      </c>
      <c r="AB635" s="396" t="s">
        <v>882</v>
      </c>
    </row>
    <row r="636" spans="1:30" s="4" customFormat="1" ht="35.25" customHeight="1" x14ac:dyDescent="0.5">
      <c r="A636" s="4">
        <v>1</v>
      </c>
      <c r="B636" s="171">
        <f>SUBTOTAL(103,$A$8:A636)</f>
        <v>615</v>
      </c>
      <c r="C636" s="323" t="s">
        <v>2203</v>
      </c>
      <c r="D636" s="324">
        <f t="shared" ref="D636:D644" si="29">E636+F636+G636+H636+I636+J636+L636+M636+N636+O636+P636+Q636+R636+S636+T636+U636+V636+W636+X636+Y636+Z636+AA636</f>
        <v>512725</v>
      </c>
      <c r="E636" s="325">
        <v>0</v>
      </c>
      <c r="F636" s="325">
        <v>0</v>
      </c>
      <c r="G636" s="325">
        <v>0</v>
      </c>
      <c r="H636" s="325">
        <v>0</v>
      </c>
      <c r="I636" s="325">
        <v>0</v>
      </c>
      <c r="J636" s="325">
        <v>0</v>
      </c>
      <c r="K636" s="326">
        <v>0</v>
      </c>
      <c r="L636" s="325">
        <v>0</v>
      </c>
      <c r="M636" s="325">
        <v>0</v>
      </c>
      <c r="N636" s="325">
        <v>0</v>
      </c>
      <c r="O636" s="325">
        <v>512725</v>
      </c>
      <c r="P636" s="325">
        <v>0</v>
      </c>
      <c r="Q636" s="325">
        <v>0</v>
      </c>
      <c r="R636" s="325">
        <v>0</v>
      </c>
      <c r="S636" s="325">
        <v>0</v>
      </c>
      <c r="T636" s="325">
        <v>0</v>
      </c>
      <c r="U636" s="325">
        <v>0</v>
      </c>
      <c r="V636" s="325">
        <v>0</v>
      </c>
      <c r="W636" s="325">
        <v>0</v>
      </c>
      <c r="X636" s="325">
        <v>0</v>
      </c>
      <c r="Y636" s="325">
        <v>0</v>
      </c>
      <c r="Z636" s="325">
        <v>0</v>
      </c>
      <c r="AA636" s="325">
        <v>0</v>
      </c>
      <c r="AB636" s="327">
        <v>2020</v>
      </c>
      <c r="AD636" s="4" t="e">
        <v>#N/A</v>
      </c>
    </row>
    <row r="637" spans="1:30" s="4" customFormat="1" ht="35.25" customHeight="1" x14ac:dyDescent="0.5">
      <c r="A637" s="4">
        <v>1</v>
      </c>
      <c r="B637" s="171">
        <f>SUBTOTAL(103,$A$8:A637)</f>
        <v>616</v>
      </c>
      <c r="C637" s="323" t="s">
        <v>2204</v>
      </c>
      <c r="D637" s="324">
        <f t="shared" si="29"/>
        <v>1078018</v>
      </c>
      <c r="E637" s="325">
        <v>0</v>
      </c>
      <c r="F637" s="325">
        <v>0</v>
      </c>
      <c r="G637" s="325">
        <v>0</v>
      </c>
      <c r="H637" s="325">
        <v>0</v>
      </c>
      <c r="I637" s="325">
        <v>0</v>
      </c>
      <c r="J637" s="325">
        <v>0</v>
      </c>
      <c r="K637" s="326">
        <v>0</v>
      </c>
      <c r="L637" s="325">
        <v>0</v>
      </c>
      <c r="M637" s="325">
        <v>0</v>
      </c>
      <c r="N637" s="325">
        <v>0</v>
      </c>
      <c r="O637" s="325">
        <v>1078018</v>
      </c>
      <c r="P637" s="325">
        <v>0</v>
      </c>
      <c r="Q637" s="325">
        <v>0</v>
      </c>
      <c r="R637" s="325">
        <v>0</v>
      </c>
      <c r="S637" s="325">
        <v>0</v>
      </c>
      <c r="T637" s="325">
        <v>0</v>
      </c>
      <c r="U637" s="325">
        <v>0</v>
      </c>
      <c r="V637" s="325">
        <v>0</v>
      </c>
      <c r="W637" s="325">
        <v>0</v>
      </c>
      <c r="X637" s="325">
        <v>0</v>
      </c>
      <c r="Y637" s="325">
        <v>0</v>
      </c>
      <c r="Z637" s="325">
        <v>0</v>
      </c>
      <c r="AA637" s="325">
        <v>0</v>
      </c>
      <c r="AB637" s="327">
        <v>2020</v>
      </c>
      <c r="AD637" s="4">
        <v>0</v>
      </c>
    </row>
    <row r="638" spans="1:30" s="4" customFormat="1" ht="35.25" customHeight="1" x14ac:dyDescent="0.5">
      <c r="A638" s="4">
        <v>1</v>
      </c>
      <c r="B638" s="171">
        <f>SUBTOTAL(103,$A$8:A638)</f>
        <v>617</v>
      </c>
      <c r="C638" s="323" t="s">
        <v>2576</v>
      </c>
      <c r="D638" s="324">
        <f t="shared" si="29"/>
        <v>105000</v>
      </c>
      <c r="E638" s="325">
        <v>0</v>
      </c>
      <c r="F638" s="325">
        <v>0</v>
      </c>
      <c r="G638" s="325">
        <v>0</v>
      </c>
      <c r="H638" s="325">
        <v>0</v>
      </c>
      <c r="I638" s="325">
        <v>105000</v>
      </c>
      <c r="J638" s="325">
        <v>0</v>
      </c>
      <c r="K638" s="326">
        <v>0</v>
      </c>
      <c r="L638" s="325">
        <v>0</v>
      </c>
      <c r="M638" s="325">
        <v>0</v>
      </c>
      <c r="N638" s="325">
        <v>0</v>
      </c>
      <c r="O638" s="325">
        <v>0</v>
      </c>
      <c r="P638" s="325">
        <v>0</v>
      </c>
      <c r="Q638" s="325">
        <v>0</v>
      </c>
      <c r="R638" s="325">
        <v>0</v>
      </c>
      <c r="S638" s="325">
        <v>0</v>
      </c>
      <c r="T638" s="325">
        <v>0</v>
      </c>
      <c r="U638" s="325">
        <v>0</v>
      </c>
      <c r="V638" s="325">
        <v>0</v>
      </c>
      <c r="W638" s="325">
        <v>0</v>
      </c>
      <c r="X638" s="325">
        <v>0</v>
      </c>
      <c r="Y638" s="325">
        <v>0</v>
      </c>
      <c r="Z638" s="325">
        <v>0</v>
      </c>
      <c r="AA638" s="325">
        <v>0</v>
      </c>
      <c r="AB638" s="327">
        <v>2020</v>
      </c>
      <c r="AD638" s="4">
        <v>0</v>
      </c>
    </row>
    <row r="639" spans="1:30" s="4" customFormat="1" ht="35.25" customHeight="1" x14ac:dyDescent="0.5">
      <c r="A639" s="4">
        <v>1</v>
      </c>
      <c r="B639" s="171">
        <f>SUBTOTAL(103,$A$8:A639)</f>
        <v>618</v>
      </c>
      <c r="C639" s="323" t="s">
        <v>2577</v>
      </c>
      <c r="D639" s="324">
        <f t="shared" si="29"/>
        <v>448190</v>
      </c>
      <c r="E639" s="325">
        <v>0</v>
      </c>
      <c r="F639" s="325">
        <v>0</v>
      </c>
      <c r="G639" s="325">
        <v>448190</v>
      </c>
      <c r="H639" s="325">
        <v>0</v>
      </c>
      <c r="I639" s="325">
        <v>0</v>
      </c>
      <c r="J639" s="325">
        <v>0</v>
      </c>
      <c r="K639" s="326">
        <v>0</v>
      </c>
      <c r="L639" s="325">
        <v>0</v>
      </c>
      <c r="M639" s="325">
        <v>0</v>
      </c>
      <c r="N639" s="325">
        <v>0</v>
      </c>
      <c r="O639" s="325">
        <v>0</v>
      </c>
      <c r="P639" s="325">
        <v>0</v>
      </c>
      <c r="Q639" s="325">
        <v>0</v>
      </c>
      <c r="R639" s="325">
        <v>0</v>
      </c>
      <c r="S639" s="325">
        <v>0</v>
      </c>
      <c r="T639" s="325">
        <v>0</v>
      </c>
      <c r="U639" s="325">
        <v>0</v>
      </c>
      <c r="V639" s="325">
        <v>0</v>
      </c>
      <c r="W639" s="325">
        <v>0</v>
      </c>
      <c r="X639" s="325">
        <v>0</v>
      </c>
      <c r="Y639" s="325">
        <v>0</v>
      </c>
      <c r="Z639" s="325">
        <v>0</v>
      </c>
      <c r="AA639" s="325">
        <v>0</v>
      </c>
      <c r="AB639" s="327">
        <v>2020</v>
      </c>
      <c r="AD639" s="4">
        <v>0</v>
      </c>
    </row>
    <row r="640" spans="1:30" s="4" customFormat="1" ht="35.25" customHeight="1" x14ac:dyDescent="0.5">
      <c r="A640" s="4">
        <v>1</v>
      </c>
      <c r="B640" s="171">
        <f>SUBTOTAL(103,$A$8:A640)</f>
        <v>619</v>
      </c>
      <c r="C640" s="323" t="s">
        <v>2205</v>
      </c>
      <c r="D640" s="324">
        <f t="shared" si="29"/>
        <v>685554</v>
      </c>
      <c r="E640" s="325">
        <v>0</v>
      </c>
      <c r="F640" s="325">
        <v>0</v>
      </c>
      <c r="G640" s="325">
        <v>0</v>
      </c>
      <c r="H640" s="325">
        <v>0</v>
      </c>
      <c r="I640" s="325">
        <v>0</v>
      </c>
      <c r="J640" s="325">
        <v>0</v>
      </c>
      <c r="K640" s="326">
        <v>0</v>
      </c>
      <c r="L640" s="325">
        <v>0</v>
      </c>
      <c r="M640" s="325">
        <v>0</v>
      </c>
      <c r="N640" s="325">
        <v>0</v>
      </c>
      <c r="O640" s="325">
        <v>685554</v>
      </c>
      <c r="P640" s="325">
        <v>0</v>
      </c>
      <c r="Q640" s="325">
        <v>0</v>
      </c>
      <c r="R640" s="325">
        <v>0</v>
      </c>
      <c r="S640" s="325">
        <v>0</v>
      </c>
      <c r="T640" s="325">
        <v>0</v>
      </c>
      <c r="U640" s="325">
        <v>0</v>
      </c>
      <c r="V640" s="325">
        <v>0</v>
      </c>
      <c r="W640" s="325">
        <v>0</v>
      </c>
      <c r="X640" s="325">
        <v>0</v>
      </c>
      <c r="Y640" s="325">
        <v>0</v>
      </c>
      <c r="Z640" s="325">
        <v>0</v>
      </c>
      <c r="AA640" s="325">
        <v>0</v>
      </c>
      <c r="AB640" s="327">
        <v>2020</v>
      </c>
      <c r="AD640" s="4">
        <v>0</v>
      </c>
    </row>
    <row r="641" spans="1:30" s="4" customFormat="1" ht="35.25" customHeight="1" x14ac:dyDescent="0.5">
      <c r="A641" s="4">
        <v>1</v>
      </c>
      <c r="B641" s="171">
        <f>SUBTOTAL(103,$A$8:A641)</f>
        <v>620</v>
      </c>
      <c r="C641" s="323" t="s">
        <v>2206</v>
      </c>
      <c r="D641" s="324">
        <f t="shared" si="29"/>
        <v>1078018</v>
      </c>
      <c r="E641" s="325">
        <v>0</v>
      </c>
      <c r="F641" s="325">
        <v>0</v>
      </c>
      <c r="G641" s="325">
        <v>0</v>
      </c>
      <c r="H641" s="325">
        <v>0</v>
      </c>
      <c r="I641" s="325">
        <v>0</v>
      </c>
      <c r="J641" s="325">
        <v>0</v>
      </c>
      <c r="K641" s="326">
        <v>0</v>
      </c>
      <c r="L641" s="325">
        <v>0</v>
      </c>
      <c r="M641" s="325">
        <v>0</v>
      </c>
      <c r="N641" s="325">
        <v>0</v>
      </c>
      <c r="O641" s="325">
        <v>1078018</v>
      </c>
      <c r="P641" s="325">
        <v>0</v>
      </c>
      <c r="Q641" s="325">
        <v>0</v>
      </c>
      <c r="R641" s="325">
        <v>0</v>
      </c>
      <c r="S641" s="325">
        <v>0</v>
      </c>
      <c r="T641" s="325">
        <v>0</v>
      </c>
      <c r="U641" s="325">
        <v>0</v>
      </c>
      <c r="V641" s="325">
        <v>0</v>
      </c>
      <c r="W641" s="325">
        <v>0</v>
      </c>
      <c r="X641" s="325">
        <v>0</v>
      </c>
      <c r="Y641" s="325">
        <v>0</v>
      </c>
      <c r="Z641" s="325">
        <v>0</v>
      </c>
      <c r="AA641" s="325">
        <v>0</v>
      </c>
      <c r="AB641" s="327">
        <v>2020</v>
      </c>
      <c r="AD641" s="4" t="e">
        <v>#N/A</v>
      </c>
    </row>
    <row r="642" spans="1:30" s="4" customFormat="1" ht="35.25" customHeight="1" x14ac:dyDescent="0.5">
      <c r="A642" s="4">
        <v>1</v>
      </c>
      <c r="B642" s="171">
        <f>SUBTOTAL(103,$A$8:A642)</f>
        <v>621</v>
      </c>
      <c r="C642" s="323" t="s">
        <v>2207</v>
      </c>
      <c r="D642" s="324">
        <f t="shared" si="29"/>
        <v>1064400</v>
      </c>
      <c r="E642" s="325">
        <v>0</v>
      </c>
      <c r="F642" s="325">
        <v>0</v>
      </c>
      <c r="G642" s="325">
        <v>0</v>
      </c>
      <c r="H642" s="325">
        <v>0</v>
      </c>
      <c r="I642" s="325">
        <v>0</v>
      </c>
      <c r="J642" s="325">
        <v>0</v>
      </c>
      <c r="K642" s="326">
        <v>0</v>
      </c>
      <c r="L642" s="325">
        <v>0</v>
      </c>
      <c r="M642" s="325">
        <v>0</v>
      </c>
      <c r="N642" s="325">
        <v>0</v>
      </c>
      <c r="O642" s="325">
        <v>1064400</v>
      </c>
      <c r="P642" s="325">
        <v>0</v>
      </c>
      <c r="Q642" s="325">
        <v>0</v>
      </c>
      <c r="R642" s="325">
        <v>0</v>
      </c>
      <c r="S642" s="325">
        <v>0</v>
      </c>
      <c r="T642" s="325">
        <v>0</v>
      </c>
      <c r="U642" s="325">
        <v>0</v>
      </c>
      <c r="V642" s="325">
        <v>0</v>
      </c>
      <c r="W642" s="325">
        <v>0</v>
      </c>
      <c r="X642" s="325">
        <v>0</v>
      </c>
      <c r="Y642" s="325">
        <v>0</v>
      </c>
      <c r="Z642" s="325">
        <v>0</v>
      </c>
      <c r="AA642" s="325">
        <v>0</v>
      </c>
      <c r="AB642" s="327">
        <v>2020</v>
      </c>
      <c r="AD642" s="4" t="e">
        <v>#N/A</v>
      </c>
    </row>
    <row r="643" spans="1:30" s="4" customFormat="1" ht="35.25" customHeight="1" x14ac:dyDescent="0.5">
      <c r="A643" s="4">
        <v>1</v>
      </c>
      <c r="B643" s="171">
        <f>SUBTOTAL(103,$A$8:A643)</f>
        <v>622</v>
      </c>
      <c r="C643" s="323" t="s">
        <v>2402</v>
      </c>
      <c r="D643" s="324">
        <f t="shared" si="29"/>
        <v>544215</v>
      </c>
      <c r="E643" s="325">
        <v>0</v>
      </c>
      <c r="F643" s="325">
        <v>0</v>
      </c>
      <c r="G643" s="325">
        <v>0</v>
      </c>
      <c r="H643" s="325">
        <v>0</v>
      </c>
      <c r="I643" s="325">
        <v>0</v>
      </c>
      <c r="J643" s="325">
        <v>0</v>
      </c>
      <c r="K643" s="326">
        <v>0</v>
      </c>
      <c r="L643" s="325">
        <v>0</v>
      </c>
      <c r="M643" s="325">
        <v>0</v>
      </c>
      <c r="N643" s="325">
        <v>0</v>
      </c>
      <c r="O643" s="325">
        <v>544215</v>
      </c>
      <c r="P643" s="325">
        <v>0</v>
      </c>
      <c r="Q643" s="325">
        <v>0</v>
      </c>
      <c r="R643" s="325">
        <v>0</v>
      </c>
      <c r="S643" s="325">
        <v>0</v>
      </c>
      <c r="T643" s="325">
        <v>0</v>
      </c>
      <c r="U643" s="325">
        <v>0</v>
      </c>
      <c r="V643" s="325">
        <v>0</v>
      </c>
      <c r="W643" s="325">
        <v>0</v>
      </c>
      <c r="X643" s="325">
        <v>0</v>
      </c>
      <c r="Y643" s="325">
        <v>0</v>
      </c>
      <c r="Z643" s="325">
        <v>0</v>
      </c>
      <c r="AA643" s="325">
        <v>0</v>
      </c>
      <c r="AB643" s="327">
        <v>2020</v>
      </c>
      <c r="AD643" s="4" t="e">
        <v>#N/A</v>
      </c>
    </row>
    <row r="644" spans="1:30" s="4" customFormat="1" ht="35.25" customHeight="1" x14ac:dyDescent="0.5">
      <c r="A644" s="4">
        <v>1</v>
      </c>
      <c r="B644" s="171">
        <f>SUBTOTAL(103,$A$8:A644)</f>
        <v>623</v>
      </c>
      <c r="C644" s="323" t="s">
        <v>2208</v>
      </c>
      <c r="D644" s="324">
        <f t="shared" si="29"/>
        <v>1078018</v>
      </c>
      <c r="E644" s="325">
        <v>0</v>
      </c>
      <c r="F644" s="325">
        <v>0</v>
      </c>
      <c r="G644" s="325">
        <v>0</v>
      </c>
      <c r="H644" s="325">
        <v>0</v>
      </c>
      <c r="I644" s="325">
        <v>0</v>
      </c>
      <c r="J644" s="325">
        <v>0</v>
      </c>
      <c r="K644" s="326">
        <v>0</v>
      </c>
      <c r="L644" s="325">
        <v>0</v>
      </c>
      <c r="M644" s="325">
        <v>0</v>
      </c>
      <c r="N644" s="325">
        <v>0</v>
      </c>
      <c r="O644" s="325">
        <v>1078018</v>
      </c>
      <c r="P644" s="325">
        <v>0</v>
      </c>
      <c r="Q644" s="325">
        <v>0</v>
      </c>
      <c r="R644" s="325">
        <v>0</v>
      </c>
      <c r="S644" s="325">
        <v>0</v>
      </c>
      <c r="T644" s="325">
        <v>0</v>
      </c>
      <c r="U644" s="325">
        <v>0</v>
      </c>
      <c r="V644" s="325">
        <v>0</v>
      </c>
      <c r="W644" s="325">
        <v>0</v>
      </c>
      <c r="X644" s="325">
        <v>0</v>
      </c>
      <c r="Y644" s="325">
        <v>0</v>
      </c>
      <c r="Z644" s="325">
        <v>0</v>
      </c>
      <c r="AA644" s="325">
        <v>0</v>
      </c>
      <c r="AB644" s="327">
        <v>2020</v>
      </c>
      <c r="AD644" s="4">
        <v>0</v>
      </c>
    </row>
    <row r="645" spans="1:30" s="4" customFormat="1" ht="35.25" customHeight="1" x14ac:dyDescent="0.5">
      <c r="B645" s="398" t="s">
        <v>815</v>
      </c>
      <c r="C645" s="323"/>
      <c r="D645" s="324">
        <f>SUM(D646:D655)</f>
        <v>7061879.3500000006</v>
      </c>
      <c r="E645" s="324">
        <f t="shared" ref="E645:AA645" si="30">SUM(E646:E655)</f>
        <v>0</v>
      </c>
      <c r="F645" s="324">
        <f t="shared" si="30"/>
        <v>365414</v>
      </c>
      <c r="G645" s="324">
        <f t="shared" si="30"/>
        <v>1182561.3999999999</v>
      </c>
      <c r="H645" s="324">
        <f t="shared" si="30"/>
        <v>0</v>
      </c>
      <c r="I645" s="324">
        <f t="shared" si="30"/>
        <v>0</v>
      </c>
      <c r="J645" s="324">
        <f t="shared" si="30"/>
        <v>0</v>
      </c>
      <c r="K645" s="324">
        <f t="shared" si="30"/>
        <v>0</v>
      </c>
      <c r="L645" s="324">
        <f t="shared" si="30"/>
        <v>0</v>
      </c>
      <c r="M645" s="324">
        <f t="shared" si="30"/>
        <v>2689032.45</v>
      </c>
      <c r="N645" s="324">
        <f t="shared" si="30"/>
        <v>242049</v>
      </c>
      <c r="O645" s="324">
        <f t="shared" si="30"/>
        <v>964681</v>
      </c>
      <c r="P645" s="324">
        <f t="shared" si="30"/>
        <v>1618141.5</v>
      </c>
      <c r="Q645" s="324">
        <f t="shared" si="30"/>
        <v>0</v>
      </c>
      <c r="R645" s="324">
        <f t="shared" si="30"/>
        <v>0</v>
      </c>
      <c r="S645" s="324">
        <f t="shared" si="30"/>
        <v>0</v>
      </c>
      <c r="T645" s="324">
        <f t="shared" si="30"/>
        <v>0</v>
      </c>
      <c r="U645" s="324">
        <f t="shared" si="30"/>
        <v>0</v>
      </c>
      <c r="V645" s="324">
        <f t="shared" si="30"/>
        <v>0</v>
      </c>
      <c r="W645" s="324">
        <f t="shared" si="30"/>
        <v>0</v>
      </c>
      <c r="X645" s="324">
        <f t="shared" si="30"/>
        <v>0</v>
      </c>
      <c r="Y645" s="324">
        <f t="shared" si="30"/>
        <v>0</v>
      </c>
      <c r="Z645" s="324">
        <f t="shared" si="30"/>
        <v>0</v>
      </c>
      <c r="AA645" s="324">
        <f t="shared" si="30"/>
        <v>0</v>
      </c>
      <c r="AB645" s="396" t="s">
        <v>882</v>
      </c>
    </row>
    <row r="646" spans="1:30" s="4" customFormat="1" ht="35.25" customHeight="1" x14ac:dyDescent="0.5">
      <c r="A646" s="4">
        <v>1</v>
      </c>
      <c r="B646" s="171">
        <f>SUBTOTAL(103,$A$8:A646)</f>
        <v>624</v>
      </c>
      <c r="C646" s="323" t="s">
        <v>2209</v>
      </c>
      <c r="D646" s="324">
        <f t="shared" ref="D646:D655" si="31">E646+F646+G646+H646+I646+J646+L646+M646+N646+O646+P646+Q646+R646+S646+T646+U646+V646+W646+X646+Y646+Z646+AA646</f>
        <v>211213</v>
      </c>
      <c r="E646" s="325">
        <v>0</v>
      </c>
      <c r="F646" s="325">
        <v>211213</v>
      </c>
      <c r="G646" s="325">
        <v>0</v>
      </c>
      <c r="H646" s="325">
        <v>0</v>
      </c>
      <c r="I646" s="325">
        <v>0</v>
      </c>
      <c r="J646" s="325">
        <v>0</v>
      </c>
      <c r="K646" s="326">
        <v>0</v>
      </c>
      <c r="L646" s="325">
        <v>0</v>
      </c>
      <c r="M646" s="325">
        <v>0</v>
      </c>
      <c r="N646" s="325">
        <v>0</v>
      </c>
      <c r="O646" s="325">
        <v>0</v>
      </c>
      <c r="P646" s="325">
        <v>0</v>
      </c>
      <c r="Q646" s="325">
        <v>0</v>
      </c>
      <c r="R646" s="325">
        <v>0</v>
      </c>
      <c r="S646" s="325">
        <v>0</v>
      </c>
      <c r="T646" s="325">
        <v>0</v>
      </c>
      <c r="U646" s="325">
        <v>0</v>
      </c>
      <c r="V646" s="325">
        <v>0</v>
      </c>
      <c r="W646" s="325">
        <v>0</v>
      </c>
      <c r="X646" s="325">
        <v>0</v>
      </c>
      <c r="Y646" s="325">
        <v>0</v>
      </c>
      <c r="Z646" s="325">
        <v>0</v>
      </c>
      <c r="AA646" s="325">
        <v>0</v>
      </c>
      <c r="AB646" s="327">
        <v>2020</v>
      </c>
      <c r="AD646" s="4" t="e">
        <v>#N/A</v>
      </c>
    </row>
    <row r="647" spans="1:30" s="4" customFormat="1" ht="35.25" customHeight="1" x14ac:dyDescent="0.5">
      <c r="A647" s="4">
        <v>1</v>
      </c>
      <c r="B647" s="171">
        <f>SUBTOTAL(103,$A$8:A647)</f>
        <v>625</v>
      </c>
      <c r="C647" s="323" t="s">
        <v>2210</v>
      </c>
      <c r="D647" s="324">
        <f t="shared" si="31"/>
        <v>1761201</v>
      </c>
      <c r="E647" s="325">
        <v>0</v>
      </c>
      <c r="F647" s="325">
        <v>0</v>
      </c>
      <c r="G647" s="325">
        <v>0</v>
      </c>
      <c r="H647" s="325">
        <v>0</v>
      </c>
      <c r="I647" s="325">
        <v>0</v>
      </c>
      <c r="J647" s="325">
        <v>0</v>
      </c>
      <c r="K647" s="326">
        <v>0</v>
      </c>
      <c r="L647" s="325">
        <v>0</v>
      </c>
      <c r="M647" s="325">
        <v>310640.5</v>
      </c>
      <c r="N647" s="325">
        <v>0</v>
      </c>
      <c r="O647" s="400">
        <v>258080</v>
      </c>
      <c r="P647" s="325">
        <v>1192480.5</v>
      </c>
      <c r="Q647" s="325">
        <v>0</v>
      </c>
      <c r="R647" s="325">
        <v>0</v>
      </c>
      <c r="S647" s="325">
        <v>0</v>
      </c>
      <c r="T647" s="325">
        <v>0</v>
      </c>
      <c r="U647" s="325">
        <v>0</v>
      </c>
      <c r="V647" s="325">
        <v>0</v>
      </c>
      <c r="W647" s="325">
        <v>0</v>
      </c>
      <c r="X647" s="325">
        <v>0</v>
      </c>
      <c r="Y647" s="325">
        <v>0</v>
      </c>
      <c r="Z647" s="325">
        <v>0</v>
      </c>
      <c r="AA647" s="325">
        <v>0</v>
      </c>
      <c r="AB647" s="327">
        <v>2020</v>
      </c>
      <c r="AD647" s="4" t="e">
        <v>#N/A</v>
      </c>
    </row>
    <row r="648" spans="1:30" s="4" customFormat="1" ht="35.25" customHeight="1" x14ac:dyDescent="0.5">
      <c r="A648" s="4">
        <v>1</v>
      </c>
      <c r="B648" s="171">
        <f>SUBTOTAL(103,$A$8:A648)</f>
        <v>626</v>
      </c>
      <c r="C648" s="323" t="s">
        <v>2211</v>
      </c>
      <c r="D648" s="324">
        <f t="shared" si="31"/>
        <v>154201</v>
      </c>
      <c r="E648" s="325">
        <v>0</v>
      </c>
      <c r="F648" s="325">
        <v>154201</v>
      </c>
      <c r="G648" s="325">
        <v>0</v>
      </c>
      <c r="H648" s="325">
        <v>0</v>
      </c>
      <c r="I648" s="325">
        <v>0</v>
      </c>
      <c r="J648" s="325">
        <v>0</v>
      </c>
      <c r="K648" s="326">
        <v>0</v>
      </c>
      <c r="L648" s="325">
        <v>0</v>
      </c>
      <c r="M648" s="325">
        <v>0</v>
      </c>
      <c r="N648" s="325">
        <v>0</v>
      </c>
      <c r="O648" s="325">
        <v>0</v>
      </c>
      <c r="P648" s="325">
        <v>0</v>
      </c>
      <c r="Q648" s="325">
        <v>0</v>
      </c>
      <c r="R648" s="325">
        <v>0</v>
      </c>
      <c r="S648" s="325">
        <v>0</v>
      </c>
      <c r="T648" s="325">
        <v>0</v>
      </c>
      <c r="U648" s="325">
        <v>0</v>
      </c>
      <c r="V648" s="325">
        <v>0</v>
      </c>
      <c r="W648" s="325">
        <v>0</v>
      </c>
      <c r="X648" s="325">
        <v>0</v>
      </c>
      <c r="Y648" s="325">
        <v>0</v>
      </c>
      <c r="Z648" s="325">
        <v>0</v>
      </c>
      <c r="AA648" s="325">
        <v>0</v>
      </c>
      <c r="AB648" s="327">
        <v>2020</v>
      </c>
      <c r="AD648" s="4">
        <v>0</v>
      </c>
    </row>
    <row r="649" spans="1:30" s="4" customFormat="1" ht="35.25" customHeight="1" x14ac:dyDescent="0.5">
      <c r="A649" s="4">
        <v>1</v>
      </c>
      <c r="B649" s="171">
        <f>SUBTOTAL(103,$A$8:A649)</f>
        <v>627</v>
      </c>
      <c r="C649" s="323" t="s">
        <v>2212</v>
      </c>
      <c r="D649" s="324">
        <f t="shared" si="31"/>
        <v>827266</v>
      </c>
      <c r="E649" s="325">
        <v>0</v>
      </c>
      <c r="F649" s="325">
        <v>0</v>
      </c>
      <c r="G649" s="325">
        <v>585217</v>
      </c>
      <c r="H649" s="325">
        <v>0</v>
      </c>
      <c r="I649" s="325">
        <v>0</v>
      </c>
      <c r="J649" s="325">
        <v>0</v>
      </c>
      <c r="K649" s="326">
        <v>0</v>
      </c>
      <c r="L649" s="325">
        <v>0</v>
      </c>
      <c r="M649" s="325">
        <v>0</v>
      </c>
      <c r="N649" s="325">
        <v>242049</v>
      </c>
      <c r="O649" s="325">
        <v>0</v>
      </c>
      <c r="P649" s="325">
        <v>0</v>
      </c>
      <c r="Q649" s="325">
        <v>0</v>
      </c>
      <c r="R649" s="325">
        <v>0</v>
      </c>
      <c r="S649" s="325">
        <v>0</v>
      </c>
      <c r="T649" s="325">
        <v>0</v>
      </c>
      <c r="U649" s="325">
        <v>0</v>
      </c>
      <c r="V649" s="325">
        <v>0</v>
      </c>
      <c r="W649" s="325">
        <v>0</v>
      </c>
      <c r="X649" s="325">
        <v>0</v>
      </c>
      <c r="Y649" s="325">
        <v>0</v>
      </c>
      <c r="Z649" s="325">
        <v>0</v>
      </c>
      <c r="AA649" s="325">
        <v>0</v>
      </c>
      <c r="AB649" s="327">
        <v>2020</v>
      </c>
      <c r="AD649" s="4">
        <v>0</v>
      </c>
    </row>
    <row r="650" spans="1:30" s="4" customFormat="1" ht="35.25" customHeight="1" x14ac:dyDescent="0.5">
      <c r="A650" s="4">
        <v>1</v>
      </c>
      <c r="B650" s="171">
        <f>SUBTOTAL(103,$A$8:A650)</f>
        <v>628</v>
      </c>
      <c r="C650" s="323" t="s">
        <v>2213</v>
      </c>
      <c r="D650" s="324">
        <f t="shared" si="31"/>
        <v>156387</v>
      </c>
      <c r="E650" s="325">
        <v>0</v>
      </c>
      <c r="F650" s="325">
        <v>0</v>
      </c>
      <c r="G650" s="325">
        <v>0</v>
      </c>
      <c r="H650" s="325">
        <v>0</v>
      </c>
      <c r="I650" s="325">
        <v>0</v>
      </c>
      <c r="J650" s="325">
        <v>0</v>
      </c>
      <c r="K650" s="326">
        <v>0</v>
      </c>
      <c r="L650" s="325">
        <v>0</v>
      </c>
      <c r="M650" s="325">
        <v>0</v>
      </c>
      <c r="N650" s="325">
        <v>0</v>
      </c>
      <c r="O650" s="325">
        <v>156387</v>
      </c>
      <c r="P650" s="325">
        <v>0</v>
      </c>
      <c r="Q650" s="325">
        <v>0</v>
      </c>
      <c r="R650" s="325">
        <v>0</v>
      </c>
      <c r="S650" s="325">
        <v>0</v>
      </c>
      <c r="T650" s="325">
        <v>0</v>
      </c>
      <c r="U650" s="325">
        <v>0</v>
      </c>
      <c r="V650" s="325">
        <v>0</v>
      </c>
      <c r="W650" s="325">
        <v>0</v>
      </c>
      <c r="X650" s="325">
        <v>0</v>
      </c>
      <c r="Y650" s="325">
        <v>0</v>
      </c>
      <c r="Z650" s="325">
        <v>0</v>
      </c>
      <c r="AA650" s="325">
        <v>0</v>
      </c>
      <c r="AB650" s="327">
        <v>2020</v>
      </c>
      <c r="AD650" s="4">
        <v>0</v>
      </c>
    </row>
    <row r="651" spans="1:30" s="4" customFormat="1" ht="35.25" customHeight="1" x14ac:dyDescent="0.5">
      <c r="A651" s="4">
        <v>1</v>
      </c>
      <c r="B651" s="171">
        <f>SUBTOTAL(103,$A$8:A651)</f>
        <v>629</v>
      </c>
      <c r="C651" s="323" t="s">
        <v>2214</v>
      </c>
      <c r="D651" s="324">
        <f t="shared" si="31"/>
        <v>550214</v>
      </c>
      <c r="E651" s="325">
        <v>0</v>
      </c>
      <c r="F651" s="325">
        <v>0</v>
      </c>
      <c r="G651" s="325">
        <v>0</v>
      </c>
      <c r="H651" s="325">
        <v>0</v>
      </c>
      <c r="I651" s="325">
        <v>0</v>
      </c>
      <c r="J651" s="325">
        <v>0</v>
      </c>
      <c r="K651" s="326">
        <v>0</v>
      </c>
      <c r="L651" s="325">
        <v>0</v>
      </c>
      <c r="M651" s="325">
        <v>0</v>
      </c>
      <c r="N651" s="325">
        <v>0</v>
      </c>
      <c r="O651" s="325">
        <v>550214</v>
      </c>
      <c r="P651" s="325">
        <v>0</v>
      </c>
      <c r="Q651" s="325">
        <v>0</v>
      </c>
      <c r="R651" s="325">
        <v>0</v>
      </c>
      <c r="S651" s="325">
        <v>0</v>
      </c>
      <c r="T651" s="325">
        <v>0</v>
      </c>
      <c r="U651" s="325">
        <v>0</v>
      </c>
      <c r="V651" s="325">
        <v>0</v>
      </c>
      <c r="W651" s="325">
        <v>0</v>
      </c>
      <c r="X651" s="325">
        <v>0</v>
      </c>
      <c r="Y651" s="325">
        <v>0</v>
      </c>
      <c r="Z651" s="325">
        <v>0</v>
      </c>
      <c r="AA651" s="325">
        <v>0</v>
      </c>
      <c r="AB651" s="327">
        <v>2020</v>
      </c>
      <c r="AD651" s="4">
        <v>0</v>
      </c>
    </row>
    <row r="652" spans="1:30" s="4" customFormat="1" ht="35.25" customHeight="1" x14ac:dyDescent="0.5">
      <c r="A652" s="4">
        <v>1</v>
      </c>
      <c r="B652" s="171">
        <f>SUBTOTAL(103,$A$8:A652)</f>
        <v>630</v>
      </c>
      <c r="C652" s="323" t="s">
        <v>2578</v>
      </c>
      <c r="D652" s="324">
        <f t="shared" si="31"/>
        <v>825043</v>
      </c>
      <c r="E652" s="325">
        <v>0</v>
      </c>
      <c r="F652" s="325">
        <v>0</v>
      </c>
      <c r="G652" s="325">
        <v>0</v>
      </c>
      <c r="H652" s="325">
        <v>0</v>
      </c>
      <c r="I652" s="325">
        <v>0</v>
      </c>
      <c r="J652" s="325">
        <v>0</v>
      </c>
      <c r="K652" s="326">
        <v>0</v>
      </c>
      <c r="L652" s="325">
        <v>0</v>
      </c>
      <c r="M652" s="325">
        <v>825043</v>
      </c>
      <c r="N652" s="325">
        <v>0</v>
      </c>
      <c r="O652" s="325">
        <v>0</v>
      </c>
      <c r="P652" s="325">
        <v>0</v>
      </c>
      <c r="Q652" s="325">
        <v>0</v>
      </c>
      <c r="R652" s="325">
        <v>0</v>
      </c>
      <c r="S652" s="325">
        <v>0</v>
      </c>
      <c r="T652" s="325">
        <v>0</v>
      </c>
      <c r="U652" s="325">
        <v>0</v>
      </c>
      <c r="V652" s="325">
        <v>0</v>
      </c>
      <c r="W652" s="325">
        <v>0</v>
      </c>
      <c r="X652" s="325">
        <v>0</v>
      </c>
      <c r="Y652" s="325">
        <v>0</v>
      </c>
      <c r="Z652" s="325">
        <v>0</v>
      </c>
      <c r="AA652" s="325">
        <v>0</v>
      </c>
      <c r="AB652" s="327">
        <v>2020</v>
      </c>
      <c r="AD652" s="4">
        <v>0</v>
      </c>
    </row>
    <row r="653" spans="1:30" s="4" customFormat="1" ht="35.25" customHeight="1" x14ac:dyDescent="0.5">
      <c r="A653" s="4">
        <v>1</v>
      </c>
      <c r="B653" s="171">
        <f>SUBTOTAL(103,$A$8:A653)</f>
        <v>631</v>
      </c>
      <c r="C653" s="323" t="s">
        <v>2579</v>
      </c>
      <c r="D653" s="324">
        <f t="shared" si="31"/>
        <v>425661</v>
      </c>
      <c r="E653" s="325">
        <v>0</v>
      </c>
      <c r="F653" s="325">
        <v>0</v>
      </c>
      <c r="G653" s="325">
        <v>0</v>
      </c>
      <c r="H653" s="325">
        <v>0</v>
      </c>
      <c r="I653" s="325">
        <v>0</v>
      </c>
      <c r="J653" s="325">
        <v>0</v>
      </c>
      <c r="K653" s="326">
        <v>0</v>
      </c>
      <c r="L653" s="325">
        <v>0</v>
      </c>
      <c r="M653" s="325">
        <v>0</v>
      </c>
      <c r="N653" s="325">
        <v>0</v>
      </c>
      <c r="O653" s="325">
        <v>0</v>
      </c>
      <c r="P653" s="325">
        <v>425661</v>
      </c>
      <c r="Q653" s="325">
        <v>0</v>
      </c>
      <c r="R653" s="325">
        <v>0</v>
      </c>
      <c r="S653" s="325">
        <v>0</v>
      </c>
      <c r="T653" s="325">
        <v>0</v>
      </c>
      <c r="U653" s="325">
        <v>0</v>
      </c>
      <c r="V653" s="325">
        <v>0</v>
      </c>
      <c r="W653" s="325">
        <v>0</v>
      </c>
      <c r="X653" s="325">
        <v>0</v>
      </c>
      <c r="Y653" s="325">
        <v>0</v>
      </c>
      <c r="Z653" s="325">
        <v>0</v>
      </c>
      <c r="AA653" s="325">
        <v>0</v>
      </c>
      <c r="AB653" s="327">
        <v>2020</v>
      </c>
      <c r="AD653" s="4">
        <v>0</v>
      </c>
    </row>
    <row r="654" spans="1:30" s="4" customFormat="1" ht="35.25" customHeight="1" x14ac:dyDescent="0.5">
      <c r="A654" s="4">
        <v>1</v>
      </c>
      <c r="B654" s="171">
        <f>SUBTOTAL(103,$A$8:A654)</f>
        <v>632</v>
      </c>
      <c r="C654" s="323" t="s">
        <v>2580</v>
      </c>
      <c r="D654" s="324">
        <v>1553348.95</v>
      </c>
      <c r="E654" s="325">
        <v>0</v>
      </c>
      <c r="F654" s="325">
        <v>0</v>
      </c>
      <c r="G654" s="325">
        <v>0</v>
      </c>
      <c r="H654" s="325">
        <v>0</v>
      </c>
      <c r="I654" s="325">
        <v>0</v>
      </c>
      <c r="J654" s="325">
        <v>0</v>
      </c>
      <c r="K654" s="326">
        <v>0</v>
      </c>
      <c r="L654" s="325">
        <v>0</v>
      </c>
      <c r="M654" s="325">
        <v>1553348.95</v>
      </c>
      <c r="N654" s="325">
        <v>0</v>
      </c>
      <c r="O654" s="325">
        <v>0</v>
      </c>
      <c r="P654" s="325">
        <v>0</v>
      </c>
      <c r="Q654" s="325">
        <v>0</v>
      </c>
      <c r="R654" s="325">
        <v>0</v>
      </c>
      <c r="S654" s="325">
        <v>0</v>
      </c>
      <c r="T654" s="325">
        <v>0</v>
      </c>
      <c r="U654" s="325">
        <v>0</v>
      </c>
      <c r="V654" s="325">
        <v>0</v>
      </c>
      <c r="W654" s="325">
        <v>0</v>
      </c>
      <c r="X654" s="325">
        <v>0</v>
      </c>
      <c r="Y654" s="325">
        <v>0</v>
      </c>
      <c r="Z654" s="325">
        <v>0</v>
      </c>
      <c r="AA654" s="325">
        <v>0</v>
      </c>
      <c r="AB654" s="327">
        <v>2020</v>
      </c>
      <c r="AD654" s="4">
        <v>0</v>
      </c>
    </row>
    <row r="655" spans="1:30" s="4" customFormat="1" ht="35.25" customHeight="1" x14ac:dyDescent="0.5">
      <c r="A655" s="4">
        <v>1</v>
      </c>
      <c r="B655" s="171">
        <f>SUBTOTAL(103,$A$8:A655)</f>
        <v>633</v>
      </c>
      <c r="C655" s="323" t="s">
        <v>2403</v>
      </c>
      <c r="D655" s="324">
        <f t="shared" si="31"/>
        <v>597344.4</v>
      </c>
      <c r="E655" s="325">
        <v>0</v>
      </c>
      <c r="F655" s="325">
        <v>0</v>
      </c>
      <c r="G655" s="325">
        <v>597344.4</v>
      </c>
      <c r="H655" s="325">
        <v>0</v>
      </c>
      <c r="I655" s="325">
        <v>0</v>
      </c>
      <c r="J655" s="325">
        <v>0</v>
      </c>
      <c r="K655" s="326">
        <v>0</v>
      </c>
      <c r="L655" s="325">
        <v>0</v>
      </c>
      <c r="M655" s="325">
        <v>0</v>
      </c>
      <c r="N655" s="325">
        <v>0</v>
      </c>
      <c r="O655" s="325">
        <v>0</v>
      </c>
      <c r="P655" s="325">
        <v>0</v>
      </c>
      <c r="Q655" s="325">
        <v>0</v>
      </c>
      <c r="R655" s="325">
        <v>0</v>
      </c>
      <c r="S655" s="325">
        <v>0</v>
      </c>
      <c r="T655" s="325">
        <v>0</v>
      </c>
      <c r="U655" s="325">
        <v>0</v>
      </c>
      <c r="V655" s="325">
        <v>0</v>
      </c>
      <c r="W655" s="325">
        <v>0</v>
      </c>
      <c r="X655" s="325">
        <v>0</v>
      </c>
      <c r="Y655" s="325">
        <v>0</v>
      </c>
      <c r="Z655" s="325">
        <v>0</v>
      </c>
      <c r="AA655" s="325">
        <v>0</v>
      </c>
      <c r="AB655" s="327">
        <v>2020</v>
      </c>
      <c r="AD655" s="4" t="e">
        <v>#N/A</v>
      </c>
    </row>
    <row r="656" spans="1:30" s="4" customFormat="1" ht="35.25" customHeight="1" x14ac:dyDescent="0.5">
      <c r="B656" s="398" t="s">
        <v>1396</v>
      </c>
      <c r="C656" s="323"/>
      <c r="D656" s="324">
        <f>SUM(D657:D661)</f>
        <v>2085529</v>
      </c>
      <c r="E656" s="324">
        <f t="shared" ref="E656:AA656" si="32">SUM(E657:E661)</f>
        <v>0</v>
      </c>
      <c r="F656" s="324">
        <f t="shared" si="32"/>
        <v>0</v>
      </c>
      <c r="G656" s="324">
        <f t="shared" si="32"/>
        <v>0</v>
      </c>
      <c r="H656" s="324">
        <f t="shared" si="32"/>
        <v>100608</v>
      </c>
      <c r="I656" s="324">
        <f t="shared" si="32"/>
        <v>0</v>
      </c>
      <c r="J656" s="324">
        <f t="shared" si="32"/>
        <v>0</v>
      </c>
      <c r="K656" s="399">
        <f t="shared" si="32"/>
        <v>0</v>
      </c>
      <c r="L656" s="324">
        <f t="shared" si="32"/>
        <v>0</v>
      </c>
      <c r="M656" s="324">
        <f t="shared" si="32"/>
        <v>0</v>
      </c>
      <c r="N656" s="324">
        <f t="shared" si="32"/>
        <v>0</v>
      </c>
      <c r="O656" s="324">
        <f t="shared" si="32"/>
        <v>1984921</v>
      </c>
      <c r="P656" s="324">
        <f t="shared" si="32"/>
        <v>0</v>
      </c>
      <c r="Q656" s="324">
        <f t="shared" si="32"/>
        <v>0</v>
      </c>
      <c r="R656" s="324">
        <f t="shared" si="32"/>
        <v>0</v>
      </c>
      <c r="S656" s="324">
        <f t="shared" si="32"/>
        <v>0</v>
      </c>
      <c r="T656" s="324">
        <f t="shared" si="32"/>
        <v>0</v>
      </c>
      <c r="U656" s="324">
        <f t="shared" si="32"/>
        <v>0</v>
      </c>
      <c r="V656" s="324">
        <f t="shared" si="32"/>
        <v>0</v>
      </c>
      <c r="W656" s="324">
        <f t="shared" si="32"/>
        <v>0</v>
      </c>
      <c r="X656" s="324">
        <f t="shared" si="32"/>
        <v>0</v>
      </c>
      <c r="Y656" s="324">
        <f t="shared" si="32"/>
        <v>0</v>
      </c>
      <c r="Z656" s="324">
        <f t="shared" si="32"/>
        <v>0</v>
      </c>
      <c r="AA656" s="324">
        <f t="shared" si="32"/>
        <v>0</v>
      </c>
      <c r="AB656" s="396" t="s">
        <v>882</v>
      </c>
    </row>
    <row r="657" spans="1:30" s="4" customFormat="1" ht="35.25" customHeight="1" x14ac:dyDescent="0.5">
      <c r="A657" s="4">
        <v>1</v>
      </c>
      <c r="B657" s="171">
        <f>SUBTOTAL(103,$A$8:A657)</f>
        <v>634</v>
      </c>
      <c r="C657" s="323" t="s">
        <v>2215</v>
      </c>
      <c r="D657" s="324">
        <f>E657+F657+G657+H657+I657+J657+L657+M657+N657+O657+P657+Q657+R657+S657+T657+U657+V657+W657+X657+Y657+Z657+AA657</f>
        <v>552011</v>
      </c>
      <c r="E657" s="325">
        <v>0</v>
      </c>
      <c r="F657" s="325">
        <v>0</v>
      </c>
      <c r="G657" s="325">
        <v>0</v>
      </c>
      <c r="H657" s="325">
        <v>0</v>
      </c>
      <c r="I657" s="325">
        <v>0</v>
      </c>
      <c r="J657" s="325">
        <v>0</v>
      </c>
      <c r="K657" s="326">
        <v>0</v>
      </c>
      <c r="L657" s="325">
        <v>0</v>
      </c>
      <c r="M657" s="325">
        <v>0</v>
      </c>
      <c r="N657" s="325">
        <v>0</v>
      </c>
      <c r="O657" s="325">
        <v>552011</v>
      </c>
      <c r="P657" s="325">
        <v>0</v>
      </c>
      <c r="Q657" s="325">
        <v>0</v>
      </c>
      <c r="R657" s="325">
        <v>0</v>
      </c>
      <c r="S657" s="325">
        <v>0</v>
      </c>
      <c r="T657" s="325">
        <v>0</v>
      </c>
      <c r="U657" s="325">
        <v>0</v>
      </c>
      <c r="V657" s="325">
        <v>0</v>
      </c>
      <c r="W657" s="325">
        <v>0</v>
      </c>
      <c r="X657" s="325">
        <v>0</v>
      </c>
      <c r="Y657" s="325">
        <v>0</v>
      </c>
      <c r="Z657" s="325">
        <v>0</v>
      </c>
      <c r="AA657" s="325">
        <v>0</v>
      </c>
      <c r="AB657" s="327">
        <v>2020</v>
      </c>
      <c r="AD657" s="4">
        <v>0</v>
      </c>
    </row>
    <row r="658" spans="1:30" s="4" customFormat="1" ht="35.25" customHeight="1" x14ac:dyDescent="0.5">
      <c r="A658" s="4">
        <v>1</v>
      </c>
      <c r="B658" s="171">
        <f>SUBTOTAL(103,$A$8:A658)</f>
        <v>635</v>
      </c>
      <c r="C658" s="323" t="s">
        <v>2581</v>
      </c>
      <c r="D658" s="324">
        <f>E658+F658+G658+H658+I658+J658+L658+M658+N658+O658+P658+Q658+R658+S658+T658+U658+V658+W658+X658+Y658+Z658+AA658</f>
        <v>100608</v>
      </c>
      <c r="E658" s="325">
        <v>0</v>
      </c>
      <c r="F658" s="325">
        <v>0</v>
      </c>
      <c r="G658" s="325">
        <v>0</v>
      </c>
      <c r="H658" s="325">
        <v>100608</v>
      </c>
      <c r="I658" s="325">
        <v>0</v>
      </c>
      <c r="J658" s="325">
        <v>0</v>
      </c>
      <c r="K658" s="326">
        <v>0</v>
      </c>
      <c r="L658" s="325">
        <v>0</v>
      </c>
      <c r="M658" s="325">
        <v>0</v>
      </c>
      <c r="N658" s="325">
        <v>0</v>
      </c>
      <c r="O658" s="325">
        <v>0</v>
      </c>
      <c r="P658" s="325">
        <v>0</v>
      </c>
      <c r="Q658" s="325">
        <v>0</v>
      </c>
      <c r="R658" s="325">
        <v>0</v>
      </c>
      <c r="S658" s="325">
        <v>0</v>
      </c>
      <c r="T658" s="325">
        <v>0</v>
      </c>
      <c r="U658" s="325">
        <v>0</v>
      </c>
      <c r="V658" s="325">
        <v>0</v>
      </c>
      <c r="W658" s="325">
        <v>0</v>
      </c>
      <c r="X658" s="325">
        <v>0</v>
      </c>
      <c r="Y658" s="325">
        <v>0</v>
      </c>
      <c r="Z658" s="325">
        <v>0</v>
      </c>
      <c r="AA658" s="325">
        <v>0</v>
      </c>
      <c r="AB658" s="327">
        <v>2020</v>
      </c>
      <c r="AD658" s="4">
        <v>0</v>
      </c>
    </row>
    <row r="659" spans="1:30" s="4" customFormat="1" ht="35.25" customHeight="1" x14ac:dyDescent="0.5">
      <c r="A659" s="4">
        <v>1</v>
      </c>
      <c r="B659" s="171">
        <f>SUBTOTAL(103,$A$8:A659)</f>
        <v>636</v>
      </c>
      <c r="C659" s="323" t="s">
        <v>2216</v>
      </c>
      <c r="D659" s="324">
        <f>E659+F659+G659+H659+I659+J659+L659+M659+N659+O659+P659+Q659+R659+S659+T659+U659+V659+W659+X659+Y659+Z659+AA659</f>
        <v>780050</v>
      </c>
      <c r="E659" s="325">
        <v>0</v>
      </c>
      <c r="F659" s="325">
        <v>0</v>
      </c>
      <c r="G659" s="325">
        <v>0</v>
      </c>
      <c r="H659" s="325">
        <v>0</v>
      </c>
      <c r="I659" s="325">
        <v>0</v>
      </c>
      <c r="J659" s="325">
        <v>0</v>
      </c>
      <c r="K659" s="326">
        <v>0</v>
      </c>
      <c r="L659" s="325">
        <v>0</v>
      </c>
      <c r="M659" s="325">
        <v>0</v>
      </c>
      <c r="N659" s="325">
        <v>0</v>
      </c>
      <c r="O659" s="325">
        <v>780050</v>
      </c>
      <c r="P659" s="325">
        <v>0</v>
      </c>
      <c r="Q659" s="325">
        <v>0</v>
      </c>
      <c r="R659" s="325">
        <v>0</v>
      </c>
      <c r="S659" s="325">
        <v>0</v>
      </c>
      <c r="T659" s="325">
        <v>0</v>
      </c>
      <c r="U659" s="325">
        <v>0</v>
      </c>
      <c r="V659" s="325">
        <v>0</v>
      </c>
      <c r="W659" s="325">
        <v>0</v>
      </c>
      <c r="X659" s="325">
        <v>0</v>
      </c>
      <c r="Y659" s="325">
        <v>0</v>
      </c>
      <c r="Z659" s="325">
        <v>0</v>
      </c>
      <c r="AA659" s="325">
        <v>0</v>
      </c>
      <c r="AB659" s="327">
        <v>2020</v>
      </c>
      <c r="AD659" s="4">
        <v>0</v>
      </c>
    </row>
    <row r="660" spans="1:30" s="4" customFormat="1" ht="35.25" customHeight="1" x14ac:dyDescent="0.5">
      <c r="A660" s="4">
        <v>1</v>
      </c>
      <c r="B660" s="171">
        <f>SUBTOTAL(103,$A$8:A660)</f>
        <v>637</v>
      </c>
      <c r="C660" s="323" t="s">
        <v>2582</v>
      </c>
      <c r="D660" s="324">
        <f>E660+F660+G660+H660+I660+J660+L660+M660+N660+O660+P660+Q660+R660+S660+T660+U660+V660+W660+X660+Y660+Z660+AA660</f>
        <v>224012</v>
      </c>
      <c r="E660" s="325">
        <v>0</v>
      </c>
      <c r="F660" s="325">
        <v>0</v>
      </c>
      <c r="G660" s="325">
        <v>0</v>
      </c>
      <c r="H660" s="325">
        <v>0</v>
      </c>
      <c r="I660" s="325">
        <v>0</v>
      </c>
      <c r="J660" s="325">
        <v>0</v>
      </c>
      <c r="K660" s="326">
        <v>0</v>
      </c>
      <c r="L660" s="325">
        <v>0</v>
      </c>
      <c r="M660" s="325">
        <v>0</v>
      </c>
      <c r="N660" s="325">
        <v>0</v>
      </c>
      <c r="O660" s="325">
        <v>224012</v>
      </c>
      <c r="P660" s="325">
        <v>0</v>
      </c>
      <c r="Q660" s="325">
        <v>0</v>
      </c>
      <c r="R660" s="325">
        <v>0</v>
      </c>
      <c r="S660" s="325">
        <v>0</v>
      </c>
      <c r="T660" s="325">
        <v>0</v>
      </c>
      <c r="U660" s="325">
        <v>0</v>
      </c>
      <c r="V660" s="325">
        <v>0</v>
      </c>
      <c r="W660" s="325">
        <v>0</v>
      </c>
      <c r="X660" s="325">
        <v>0</v>
      </c>
      <c r="Y660" s="325">
        <v>0</v>
      </c>
      <c r="Z660" s="325">
        <v>0</v>
      </c>
      <c r="AA660" s="325">
        <v>0</v>
      </c>
      <c r="AB660" s="327">
        <v>2020</v>
      </c>
      <c r="AD660" s="4">
        <v>0</v>
      </c>
    </row>
    <row r="661" spans="1:30" s="4" customFormat="1" ht="35.25" customHeight="1" x14ac:dyDescent="0.5">
      <c r="A661" s="4">
        <v>1</v>
      </c>
      <c r="B661" s="171">
        <f>SUBTOTAL(103,$A$8:A661)</f>
        <v>638</v>
      </c>
      <c r="C661" s="323" t="s">
        <v>2217</v>
      </c>
      <c r="D661" s="324">
        <f>E661+F661+G661+H661+I661+J661+L661+M661+N661+O661+P661+Q661+R661+S661+T661+U661+V661+W661+X661+Y661+Z661+AA661</f>
        <v>428848</v>
      </c>
      <c r="E661" s="325">
        <v>0</v>
      </c>
      <c r="F661" s="325">
        <v>0</v>
      </c>
      <c r="G661" s="325">
        <v>0</v>
      </c>
      <c r="H661" s="325">
        <v>0</v>
      </c>
      <c r="I661" s="325">
        <v>0</v>
      </c>
      <c r="J661" s="325">
        <v>0</v>
      </c>
      <c r="K661" s="326">
        <v>0</v>
      </c>
      <c r="L661" s="325">
        <v>0</v>
      </c>
      <c r="M661" s="325">
        <v>0</v>
      </c>
      <c r="N661" s="325">
        <v>0</v>
      </c>
      <c r="O661" s="325">
        <v>428848</v>
      </c>
      <c r="P661" s="325">
        <v>0</v>
      </c>
      <c r="Q661" s="325">
        <v>0</v>
      </c>
      <c r="R661" s="325">
        <v>0</v>
      </c>
      <c r="S661" s="325">
        <v>0</v>
      </c>
      <c r="T661" s="325">
        <v>0</v>
      </c>
      <c r="U661" s="325">
        <v>0</v>
      </c>
      <c r="V661" s="325">
        <v>0</v>
      </c>
      <c r="W661" s="325">
        <v>0</v>
      </c>
      <c r="X661" s="325">
        <v>0</v>
      </c>
      <c r="Y661" s="325">
        <v>0</v>
      </c>
      <c r="Z661" s="325">
        <v>0</v>
      </c>
      <c r="AA661" s="325">
        <v>0</v>
      </c>
      <c r="AB661" s="327">
        <v>2020</v>
      </c>
      <c r="AD661" s="4">
        <v>0</v>
      </c>
    </row>
    <row r="662" spans="1:30" s="4" customFormat="1" ht="35.25" customHeight="1" x14ac:dyDescent="0.5">
      <c r="B662" s="398" t="s">
        <v>823</v>
      </c>
      <c r="C662" s="323"/>
      <c r="D662" s="324">
        <f>SUM(D663:D664)</f>
        <v>516900</v>
      </c>
      <c r="E662" s="324">
        <f t="shared" ref="E662:AA662" si="33">SUM(E663:E664)</f>
        <v>0</v>
      </c>
      <c r="F662" s="324">
        <f t="shared" si="33"/>
        <v>0</v>
      </c>
      <c r="G662" s="324">
        <f t="shared" si="33"/>
        <v>175000</v>
      </c>
      <c r="H662" s="324">
        <f t="shared" si="33"/>
        <v>0</v>
      </c>
      <c r="I662" s="324">
        <f t="shared" si="33"/>
        <v>0</v>
      </c>
      <c r="J662" s="324">
        <f t="shared" si="33"/>
        <v>0</v>
      </c>
      <c r="K662" s="399">
        <f t="shared" si="33"/>
        <v>0</v>
      </c>
      <c r="L662" s="324">
        <f t="shared" si="33"/>
        <v>0</v>
      </c>
      <c r="M662" s="324">
        <f t="shared" si="33"/>
        <v>0</v>
      </c>
      <c r="N662" s="324">
        <f t="shared" si="33"/>
        <v>341900</v>
      </c>
      <c r="O662" s="324">
        <f t="shared" si="33"/>
        <v>0</v>
      </c>
      <c r="P662" s="324">
        <f t="shared" si="33"/>
        <v>0</v>
      </c>
      <c r="Q662" s="324">
        <f t="shared" si="33"/>
        <v>0</v>
      </c>
      <c r="R662" s="324">
        <f t="shared" si="33"/>
        <v>0</v>
      </c>
      <c r="S662" s="324">
        <f t="shared" si="33"/>
        <v>0</v>
      </c>
      <c r="T662" s="324">
        <f t="shared" si="33"/>
        <v>0</v>
      </c>
      <c r="U662" s="324">
        <f t="shared" si="33"/>
        <v>0</v>
      </c>
      <c r="V662" s="324">
        <f t="shared" si="33"/>
        <v>0</v>
      </c>
      <c r="W662" s="324">
        <f t="shared" si="33"/>
        <v>0</v>
      </c>
      <c r="X662" s="324">
        <f t="shared" si="33"/>
        <v>0</v>
      </c>
      <c r="Y662" s="324">
        <f t="shared" si="33"/>
        <v>0</v>
      </c>
      <c r="Z662" s="324">
        <f t="shared" si="33"/>
        <v>0</v>
      </c>
      <c r="AA662" s="324">
        <f t="shared" si="33"/>
        <v>0</v>
      </c>
      <c r="AB662" s="396" t="s">
        <v>882</v>
      </c>
    </row>
    <row r="663" spans="1:30" s="4" customFormat="1" ht="35.25" customHeight="1" x14ac:dyDescent="0.5">
      <c r="A663" s="4">
        <v>1</v>
      </c>
      <c r="B663" s="171">
        <f>SUBTOTAL(103,$A$8:A663)</f>
        <v>639</v>
      </c>
      <c r="C663" s="323" t="s">
        <v>2218</v>
      </c>
      <c r="D663" s="324">
        <f>E663+F663+G663+H663+I663+J663+L663+M663+N663+O663+P663+Q663+R663+S663+T663+U663+V663+W663+X663+Y663+Z663+AA663</f>
        <v>175000</v>
      </c>
      <c r="E663" s="325">
        <v>0</v>
      </c>
      <c r="F663" s="325">
        <v>0</v>
      </c>
      <c r="G663" s="325">
        <v>175000</v>
      </c>
      <c r="H663" s="325">
        <v>0</v>
      </c>
      <c r="I663" s="325">
        <v>0</v>
      </c>
      <c r="J663" s="325">
        <v>0</v>
      </c>
      <c r="K663" s="326">
        <v>0</v>
      </c>
      <c r="L663" s="325">
        <v>0</v>
      </c>
      <c r="M663" s="325">
        <v>0</v>
      </c>
      <c r="N663" s="325">
        <v>0</v>
      </c>
      <c r="O663" s="325">
        <v>0</v>
      </c>
      <c r="P663" s="325">
        <v>0</v>
      </c>
      <c r="Q663" s="325">
        <v>0</v>
      </c>
      <c r="R663" s="325">
        <v>0</v>
      </c>
      <c r="S663" s="325">
        <v>0</v>
      </c>
      <c r="T663" s="325">
        <v>0</v>
      </c>
      <c r="U663" s="325">
        <v>0</v>
      </c>
      <c r="V663" s="325">
        <v>0</v>
      </c>
      <c r="W663" s="325">
        <v>0</v>
      </c>
      <c r="X663" s="325">
        <v>0</v>
      </c>
      <c r="Y663" s="325">
        <v>0</v>
      </c>
      <c r="Z663" s="325">
        <v>0</v>
      </c>
      <c r="AA663" s="325">
        <v>0</v>
      </c>
      <c r="AB663" s="327">
        <v>2020</v>
      </c>
      <c r="AD663" s="4" t="e">
        <v>#N/A</v>
      </c>
    </row>
    <row r="664" spans="1:30" s="4" customFormat="1" ht="35.25" x14ac:dyDescent="0.5">
      <c r="A664" s="4">
        <v>1</v>
      </c>
      <c r="B664" s="171">
        <f>SUBTOTAL(103,$A$8:A664)</f>
        <v>640</v>
      </c>
      <c r="C664" s="323" t="s">
        <v>2219</v>
      </c>
      <c r="D664" s="324">
        <f>E664+F664+G664+H664+I664+J664+L664+M664+N664+O664+P664+Q664+R664+S664+T664+U664+V664+W664+X664+Y664+Z664+AA664</f>
        <v>341900</v>
      </c>
      <c r="E664" s="325">
        <v>0</v>
      </c>
      <c r="F664" s="325">
        <v>0</v>
      </c>
      <c r="G664" s="325">
        <v>0</v>
      </c>
      <c r="H664" s="325">
        <v>0</v>
      </c>
      <c r="I664" s="325">
        <v>0</v>
      </c>
      <c r="J664" s="325">
        <v>0</v>
      </c>
      <c r="K664" s="326">
        <v>0</v>
      </c>
      <c r="L664" s="325">
        <v>0</v>
      </c>
      <c r="M664" s="325">
        <v>0</v>
      </c>
      <c r="N664" s="325">
        <v>341900</v>
      </c>
      <c r="O664" s="325">
        <v>0</v>
      </c>
      <c r="P664" s="325">
        <v>0</v>
      </c>
      <c r="Q664" s="325">
        <v>0</v>
      </c>
      <c r="R664" s="325">
        <v>0</v>
      </c>
      <c r="S664" s="325">
        <v>0</v>
      </c>
      <c r="T664" s="325">
        <v>0</v>
      </c>
      <c r="U664" s="325">
        <v>0</v>
      </c>
      <c r="V664" s="325">
        <v>0</v>
      </c>
      <c r="W664" s="325">
        <v>0</v>
      </c>
      <c r="X664" s="325">
        <v>0</v>
      </c>
      <c r="Y664" s="325">
        <v>0</v>
      </c>
      <c r="Z664" s="325">
        <v>0</v>
      </c>
      <c r="AA664" s="325">
        <v>0</v>
      </c>
      <c r="AB664" s="327">
        <v>2020</v>
      </c>
      <c r="AD664" s="4">
        <v>0</v>
      </c>
    </row>
    <row r="665" spans="1:30" s="4" customFormat="1" ht="35.25" customHeight="1" x14ac:dyDescent="0.5">
      <c r="B665" s="398" t="s">
        <v>832</v>
      </c>
      <c r="C665" s="323"/>
      <c r="D665" s="324">
        <f>SUM(D666:D667)</f>
        <v>1650060.4</v>
      </c>
      <c r="E665" s="324">
        <f t="shared" ref="E665:AA665" si="34">SUM(E666:E667)</f>
        <v>0</v>
      </c>
      <c r="F665" s="324">
        <f t="shared" si="34"/>
        <v>0</v>
      </c>
      <c r="G665" s="324">
        <f t="shared" si="34"/>
        <v>0</v>
      </c>
      <c r="H665" s="324">
        <f t="shared" si="34"/>
        <v>0</v>
      </c>
      <c r="I665" s="324">
        <f t="shared" si="34"/>
        <v>0</v>
      </c>
      <c r="J665" s="324">
        <f t="shared" si="34"/>
        <v>0</v>
      </c>
      <c r="K665" s="324">
        <f t="shared" si="34"/>
        <v>0</v>
      </c>
      <c r="L665" s="324">
        <f t="shared" si="34"/>
        <v>0</v>
      </c>
      <c r="M665" s="324">
        <f t="shared" si="34"/>
        <v>1187096</v>
      </c>
      <c r="N665" s="324">
        <f t="shared" si="34"/>
        <v>0</v>
      </c>
      <c r="O665" s="324">
        <f t="shared" si="34"/>
        <v>462964.4</v>
      </c>
      <c r="P665" s="324">
        <f t="shared" si="34"/>
        <v>0</v>
      </c>
      <c r="Q665" s="324">
        <f t="shared" si="34"/>
        <v>0</v>
      </c>
      <c r="R665" s="324">
        <f t="shared" si="34"/>
        <v>0</v>
      </c>
      <c r="S665" s="324">
        <f t="shared" si="34"/>
        <v>0</v>
      </c>
      <c r="T665" s="324">
        <f t="shared" si="34"/>
        <v>0</v>
      </c>
      <c r="U665" s="324">
        <f t="shared" si="34"/>
        <v>0</v>
      </c>
      <c r="V665" s="324">
        <f t="shared" si="34"/>
        <v>0</v>
      </c>
      <c r="W665" s="324">
        <f t="shared" si="34"/>
        <v>0</v>
      </c>
      <c r="X665" s="324">
        <f t="shared" si="34"/>
        <v>0</v>
      </c>
      <c r="Y665" s="324">
        <f t="shared" si="34"/>
        <v>0</v>
      </c>
      <c r="Z665" s="324">
        <f t="shared" si="34"/>
        <v>0</v>
      </c>
      <c r="AA665" s="324">
        <f t="shared" si="34"/>
        <v>0</v>
      </c>
      <c r="AB665" s="396" t="s">
        <v>882</v>
      </c>
    </row>
    <row r="666" spans="1:30" s="4" customFormat="1" ht="35.25" customHeight="1" x14ac:dyDescent="0.5">
      <c r="A666" s="4">
        <v>1</v>
      </c>
      <c r="B666" s="171">
        <f>SUBTOTAL(103,$A$8:A666)</f>
        <v>641</v>
      </c>
      <c r="C666" s="323" t="s">
        <v>2220</v>
      </c>
      <c r="D666" s="324">
        <f>E666+F666+G666+H666+I666+J666+L666+M666+N666+O666+P666+Q666+R666+S666+T666+U666+V666+W666+X666+Y666+Z666+AA666</f>
        <v>1187096</v>
      </c>
      <c r="E666" s="325">
        <v>0</v>
      </c>
      <c r="F666" s="325">
        <v>0</v>
      </c>
      <c r="G666" s="325">
        <v>0</v>
      </c>
      <c r="H666" s="325">
        <v>0</v>
      </c>
      <c r="I666" s="325">
        <v>0</v>
      </c>
      <c r="J666" s="325">
        <v>0</v>
      </c>
      <c r="K666" s="326">
        <v>0</v>
      </c>
      <c r="L666" s="325">
        <v>0</v>
      </c>
      <c r="M666" s="325">
        <v>1187096</v>
      </c>
      <c r="N666" s="325">
        <v>0</v>
      </c>
      <c r="O666" s="325">
        <v>0</v>
      </c>
      <c r="P666" s="325">
        <v>0</v>
      </c>
      <c r="Q666" s="325">
        <v>0</v>
      </c>
      <c r="R666" s="325">
        <v>0</v>
      </c>
      <c r="S666" s="325">
        <v>0</v>
      </c>
      <c r="T666" s="325">
        <v>0</v>
      </c>
      <c r="U666" s="325">
        <v>0</v>
      </c>
      <c r="V666" s="325">
        <v>0</v>
      </c>
      <c r="W666" s="325">
        <v>0</v>
      </c>
      <c r="X666" s="325">
        <v>0</v>
      </c>
      <c r="Y666" s="325">
        <v>0</v>
      </c>
      <c r="Z666" s="325">
        <v>0</v>
      </c>
      <c r="AA666" s="325">
        <v>0</v>
      </c>
      <c r="AB666" s="327">
        <v>2020</v>
      </c>
      <c r="AD666" s="4">
        <v>0</v>
      </c>
    </row>
    <row r="667" spans="1:30" s="4" customFormat="1" ht="35.25" customHeight="1" x14ac:dyDescent="0.5">
      <c r="A667" s="4">
        <v>1</v>
      </c>
      <c r="B667" s="171">
        <f>SUBTOTAL(103,$A$8:A667)</f>
        <v>642</v>
      </c>
      <c r="C667" s="323" t="s">
        <v>2583</v>
      </c>
      <c r="D667" s="324">
        <f>E667+F667+G667+H667+I667+J667+L667+M667+N667+O667+P667+Q667+R667+S667+T667+U667+V667+W667+X667+Y667+Z667+AA667</f>
        <v>462964.4</v>
      </c>
      <c r="E667" s="325">
        <v>0</v>
      </c>
      <c r="F667" s="325">
        <v>0</v>
      </c>
      <c r="G667" s="325">
        <v>0</v>
      </c>
      <c r="H667" s="325">
        <v>0</v>
      </c>
      <c r="I667" s="325">
        <v>0</v>
      </c>
      <c r="J667" s="325">
        <v>0</v>
      </c>
      <c r="K667" s="326">
        <v>0</v>
      </c>
      <c r="L667" s="325">
        <v>0</v>
      </c>
      <c r="M667" s="325">
        <v>0</v>
      </c>
      <c r="N667" s="325">
        <v>0</v>
      </c>
      <c r="O667" s="325">
        <v>462964.4</v>
      </c>
      <c r="P667" s="325">
        <v>0</v>
      </c>
      <c r="Q667" s="325">
        <v>0</v>
      </c>
      <c r="R667" s="325">
        <v>0</v>
      </c>
      <c r="S667" s="325">
        <v>0</v>
      </c>
      <c r="T667" s="325">
        <v>0</v>
      </c>
      <c r="U667" s="325">
        <v>0</v>
      </c>
      <c r="V667" s="325">
        <v>0</v>
      </c>
      <c r="W667" s="325">
        <v>0</v>
      </c>
      <c r="X667" s="325">
        <v>0</v>
      </c>
      <c r="Y667" s="325">
        <v>0</v>
      </c>
      <c r="Z667" s="325">
        <v>0</v>
      </c>
      <c r="AA667" s="325">
        <v>0</v>
      </c>
      <c r="AB667" s="327">
        <v>2020</v>
      </c>
      <c r="AD667" s="4">
        <v>0</v>
      </c>
    </row>
    <row r="668" spans="1:30" s="4" customFormat="1" ht="35.25" customHeight="1" x14ac:dyDescent="0.5">
      <c r="B668" s="323" t="s">
        <v>2221</v>
      </c>
      <c r="C668" s="323"/>
      <c r="D668" s="324">
        <f>D669</f>
        <v>60000</v>
      </c>
      <c r="E668" s="324">
        <f t="shared" ref="E668:AA668" si="35">E669</f>
        <v>0</v>
      </c>
      <c r="F668" s="324">
        <f t="shared" si="35"/>
        <v>0</v>
      </c>
      <c r="G668" s="324">
        <f t="shared" si="35"/>
        <v>0</v>
      </c>
      <c r="H668" s="324">
        <f t="shared" si="35"/>
        <v>0</v>
      </c>
      <c r="I668" s="324">
        <f t="shared" si="35"/>
        <v>0</v>
      </c>
      <c r="J668" s="324">
        <f t="shared" si="35"/>
        <v>0</v>
      </c>
      <c r="K668" s="399">
        <f t="shared" si="35"/>
        <v>0</v>
      </c>
      <c r="L668" s="324">
        <f t="shared" si="35"/>
        <v>0</v>
      </c>
      <c r="M668" s="324">
        <f t="shared" si="35"/>
        <v>60000</v>
      </c>
      <c r="N668" s="324">
        <f t="shared" si="35"/>
        <v>0</v>
      </c>
      <c r="O668" s="324">
        <f t="shared" si="35"/>
        <v>0</v>
      </c>
      <c r="P668" s="324">
        <f t="shared" si="35"/>
        <v>0</v>
      </c>
      <c r="Q668" s="324">
        <f t="shared" si="35"/>
        <v>0</v>
      </c>
      <c r="R668" s="324">
        <f t="shared" si="35"/>
        <v>0</v>
      </c>
      <c r="S668" s="324">
        <f t="shared" si="35"/>
        <v>0</v>
      </c>
      <c r="T668" s="324">
        <f t="shared" si="35"/>
        <v>0</v>
      </c>
      <c r="U668" s="324">
        <f t="shared" si="35"/>
        <v>0</v>
      </c>
      <c r="V668" s="324">
        <f t="shared" si="35"/>
        <v>0</v>
      </c>
      <c r="W668" s="324">
        <f t="shared" si="35"/>
        <v>0</v>
      </c>
      <c r="X668" s="324">
        <f t="shared" si="35"/>
        <v>0</v>
      </c>
      <c r="Y668" s="324">
        <f t="shared" si="35"/>
        <v>0</v>
      </c>
      <c r="Z668" s="324">
        <f t="shared" si="35"/>
        <v>0</v>
      </c>
      <c r="AA668" s="324">
        <f t="shared" si="35"/>
        <v>0</v>
      </c>
      <c r="AB668" s="396" t="s">
        <v>882</v>
      </c>
    </row>
    <row r="669" spans="1:30" s="4" customFormat="1" ht="35.25" customHeight="1" x14ac:dyDescent="0.5">
      <c r="A669" s="4">
        <v>1</v>
      </c>
      <c r="B669" s="171">
        <f>SUBTOTAL(103,$A$8:A669)</f>
        <v>643</v>
      </c>
      <c r="C669" s="323" t="s">
        <v>2222</v>
      </c>
      <c r="D669" s="324">
        <f>E669+F669+G669+H669+I669+J669+L669+M669+N669+O669+P669+Q669+R669+S669+T669+U669+V669+W669+X669+Y669+Z669+AA669</f>
        <v>60000</v>
      </c>
      <c r="E669" s="325">
        <v>0</v>
      </c>
      <c r="F669" s="325">
        <v>0</v>
      </c>
      <c r="G669" s="325">
        <v>0</v>
      </c>
      <c r="H669" s="325">
        <v>0</v>
      </c>
      <c r="I669" s="325">
        <v>0</v>
      </c>
      <c r="J669" s="325">
        <v>0</v>
      </c>
      <c r="K669" s="326">
        <v>0</v>
      </c>
      <c r="L669" s="325">
        <v>0</v>
      </c>
      <c r="M669" s="325">
        <v>60000</v>
      </c>
      <c r="N669" s="325">
        <v>0</v>
      </c>
      <c r="O669" s="325">
        <v>0</v>
      </c>
      <c r="P669" s="325">
        <v>0</v>
      </c>
      <c r="Q669" s="325">
        <v>0</v>
      </c>
      <c r="R669" s="325">
        <v>0</v>
      </c>
      <c r="S669" s="325">
        <v>0</v>
      </c>
      <c r="T669" s="325">
        <v>0</v>
      </c>
      <c r="U669" s="325">
        <v>0</v>
      </c>
      <c r="V669" s="325">
        <v>0</v>
      </c>
      <c r="W669" s="325">
        <v>0</v>
      </c>
      <c r="X669" s="325">
        <v>0</v>
      </c>
      <c r="Y669" s="325">
        <v>0</v>
      </c>
      <c r="Z669" s="325">
        <v>0</v>
      </c>
      <c r="AA669" s="325">
        <v>0</v>
      </c>
      <c r="AB669" s="327">
        <v>2020</v>
      </c>
      <c r="AD669" s="4" t="e">
        <v>#N/A</v>
      </c>
    </row>
    <row r="670" spans="1:30" s="4" customFormat="1" ht="35.25" customHeight="1" x14ac:dyDescent="0.5">
      <c r="B670" s="398" t="s">
        <v>835</v>
      </c>
      <c r="C670" s="323"/>
      <c r="D670" s="324">
        <f>SUM(D671:D672)</f>
        <v>2160133.2400000002</v>
      </c>
      <c r="E670" s="324">
        <f t="shared" ref="E670:AA670" si="36">SUM(E671:E672)</f>
        <v>0</v>
      </c>
      <c r="F670" s="324">
        <f t="shared" si="36"/>
        <v>784582</v>
      </c>
      <c r="G670" s="324">
        <f t="shared" si="36"/>
        <v>0</v>
      </c>
      <c r="H670" s="324">
        <f t="shared" si="36"/>
        <v>0</v>
      </c>
      <c r="I670" s="324">
        <f t="shared" si="36"/>
        <v>0</v>
      </c>
      <c r="J670" s="324">
        <f t="shared" si="36"/>
        <v>0</v>
      </c>
      <c r="K670" s="324">
        <f t="shared" si="36"/>
        <v>0</v>
      </c>
      <c r="L670" s="324">
        <f t="shared" si="36"/>
        <v>0</v>
      </c>
      <c r="M670" s="324">
        <f t="shared" si="36"/>
        <v>1375551.24</v>
      </c>
      <c r="N670" s="324">
        <f t="shared" si="36"/>
        <v>0</v>
      </c>
      <c r="O670" s="324">
        <f t="shared" si="36"/>
        <v>0</v>
      </c>
      <c r="P670" s="324">
        <f t="shared" si="36"/>
        <v>0</v>
      </c>
      <c r="Q670" s="324">
        <f t="shared" si="36"/>
        <v>0</v>
      </c>
      <c r="R670" s="324">
        <f t="shared" si="36"/>
        <v>0</v>
      </c>
      <c r="S670" s="324">
        <f t="shared" si="36"/>
        <v>0</v>
      </c>
      <c r="T670" s="324">
        <f t="shared" si="36"/>
        <v>0</v>
      </c>
      <c r="U670" s="324">
        <f t="shared" si="36"/>
        <v>0</v>
      </c>
      <c r="V670" s="324">
        <f t="shared" si="36"/>
        <v>0</v>
      </c>
      <c r="W670" s="324">
        <f t="shared" si="36"/>
        <v>0</v>
      </c>
      <c r="X670" s="324">
        <f t="shared" si="36"/>
        <v>0</v>
      </c>
      <c r="Y670" s="324">
        <f t="shared" si="36"/>
        <v>0</v>
      </c>
      <c r="Z670" s="324">
        <f t="shared" si="36"/>
        <v>0</v>
      </c>
      <c r="AA670" s="324">
        <f t="shared" si="36"/>
        <v>0</v>
      </c>
      <c r="AB670" s="396" t="s">
        <v>882</v>
      </c>
    </row>
    <row r="671" spans="1:30" s="4" customFormat="1" ht="35.25" customHeight="1" x14ac:dyDescent="0.5">
      <c r="A671" s="4">
        <v>1</v>
      </c>
      <c r="B671" s="171">
        <f>SUBTOTAL(103,$A$8:A671)</f>
        <v>644</v>
      </c>
      <c r="C671" s="323" t="s">
        <v>2223</v>
      </c>
      <c r="D671" s="324">
        <f>E671+F671+G671+H671+I671+J671+L671+M671+N671+O671+P671+Q671+R671+S671+T671+U671+V671+W671+X671+Y671+Z671+AA671</f>
        <v>1375551.24</v>
      </c>
      <c r="E671" s="325">
        <v>0</v>
      </c>
      <c r="F671" s="325">
        <v>0</v>
      </c>
      <c r="G671" s="325">
        <v>0</v>
      </c>
      <c r="H671" s="325">
        <v>0</v>
      </c>
      <c r="I671" s="325">
        <v>0</v>
      </c>
      <c r="J671" s="325">
        <v>0</v>
      </c>
      <c r="K671" s="326">
        <v>0</v>
      </c>
      <c r="L671" s="325">
        <v>0</v>
      </c>
      <c r="M671" s="325">
        <v>1375551.24</v>
      </c>
      <c r="N671" s="325">
        <v>0</v>
      </c>
      <c r="O671" s="325">
        <v>0</v>
      </c>
      <c r="P671" s="325">
        <v>0</v>
      </c>
      <c r="Q671" s="325">
        <v>0</v>
      </c>
      <c r="R671" s="325">
        <v>0</v>
      </c>
      <c r="S671" s="325">
        <v>0</v>
      </c>
      <c r="T671" s="325">
        <v>0</v>
      </c>
      <c r="U671" s="325">
        <v>0</v>
      </c>
      <c r="V671" s="325">
        <v>0</v>
      </c>
      <c r="W671" s="325">
        <v>0</v>
      </c>
      <c r="X671" s="325">
        <v>0</v>
      </c>
      <c r="Y671" s="325">
        <v>0</v>
      </c>
      <c r="Z671" s="325">
        <v>0</v>
      </c>
      <c r="AA671" s="325">
        <v>0</v>
      </c>
      <c r="AB671" s="327">
        <v>2020</v>
      </c>
      <c r="AD671" s="4" t="e">
        <v>#N/A</v>
      </c>
    </row>
    <row r="672" spans="1:30" s="4" customFormat="1" ht="35.25" customHeight="1" x14ac:dyDescent="0.5">
      <c r="A672" s="4">
        <v>1</v>
      </c>
      <c r="B672" s="171">
        <f>SUBTOTAL(103,$A$8:A672)</f>
        <v>645</v>
      </c>
      <c r="C672" s="323" t="s">
        <v>2584</v>
      </c>
      <c r="D672" s="324">
        <v>784582</v>
      </c>
      <c r="E672" s="325">
        <v>0</v>
      </c>
      <c r="F672" s="325">
        <v>784582</v>
      </c>
      <c r="G672" s="325">
        <v>0</v>
      </c>
      <c r="H672" s="325">
        <v>0</v>
      </c>
      <c r="I672" s="325">
        <v>0</v>
      </c>
      <c r="J672" s="325">
        <v>0</v>
      </c>
      <c r="K672" s="326">
        <v>0</v>
      </c>
      <c r="L672" s="325">
        <v>0</v>
      </c>
      <c r="M672" s="325">
        <v>0</v>
      </c>
      <c r="N672" s="325">
        <v>0</v>
      </c>
      <c r="O672" s="325">
        <v>0</v>
      </c>
      <c r="P672" s="325">
        <v>0</v>
      </c>
      <c r="Q672" s="325">
        <v>0</v>
      </c>
      <c r="R672" s="325">
        <v>0</v>
      </c>
      <c r="S672" s="325">
        <v>0</v>
      </c>
      <c r="T672" s="325">
        <v>0</v>
      </c>
      <c r="U672" s="325">
        <v>0</v>
      </c>
      <c r="V672" s="325">
        <v>0</v>
      </c>
      <c r="W672" s="325">
        <v>0</v>
      </c>
      <c r="X672" s="325">
        <v>0</v>
      </c>
      <c r="Y672" s="325">
        <v>0</v>
      </c>
      <c r="Z672" s="325">
        <v>0</v>
      </c>
      <c r="AA672" s="325">
        <v>0</v>
      </c>
      <c r="AB672" s="327">
        <v>2020</v>
      </c>
      <c r="AD672" s="4">
        <v>0</v>
      </c>
    </row>
    <row r="673" spans="1:30" s="4" customFormat="1" ht="35.25" customHeight="1" x14ac:dyDescent="0.5">
      <c r="B673" s="398" t="s">
        <v>838</v>
      </c>
      <c r="C673" s="323"/>
      <c r="D673" s="324">
        <f t="shared" ref="D673:AA673" si="37">SUM(D674:D675)</f>
        <v>1098385.6200000001</v>
      </c>
      <c r="E673" s="324">
        <f t="shared" si="37"/>
        <v>0</v>
      </c>
      <c r="F673" s="324">
        <f t="shared" si="37"/>
        <v>439256.62</v>
      </c>
      <c r="G673" s="324">
        <f t="shared" si="37"/>
        <v>0</v>
      </c>
      <c r="H673" s="324">
        <f t="shared" si="37"/>
        <v>0</v>
      </c>
      <c r="I673" s="324">
        <f t="shared" si="37"/>
        <v>0</v>
      </c>
      <c r="J673" s="324">
        <f t="shared" si="37"/>
        <v>0</v>
      </c>
      <c r="K673" s="324">
        <f t="shared" si="37"/>
        <v>0</v>
      </c>
      <c r="L673" s="324">
        <f t="shared" si="37"/>
        <v>0</v>
      </c>
      <c r="M673" s="324">
        <f t="shared" si="37"/>
        <v>0</v>
      </c>
      <c r="N673" s="324">
        <f t="shared" si="37"/>
        <v>0</v>
      </c>
      <c r="O673" s="324">
        <f t="shared" si="37"/>
        <v>659129</v>
      </c>
      <c r="P673" s="324">
        <f t="shared" si="37"/>
        <v>0</v>
      </c>
      <c r="Q673" s="324">
        <f t="shared" si="37"/>
        <v>0</v>
      </c>
      <c r="R673" s="324">
        <f t="shared" si="37"/>
        <v>0</v>
      </c>
      <c r="S673" s="324">
        <f t="shared" si="37"/>
        <v>0</v>
      </c>
      <c r="T673" s="324">
        <f t="shared" si="37"/>
        <v>0</v>
      </c>
      <c r="U673" s="324">
        <f t="shared" si="37"/>
        <v>0</v>
      </c>
      <c r="V673" s="324">
        <f t="shared" si="37"/>
        <v>0</v>
      </c>
      <c r="W673" s="324">
        <f t="shared" si="37"/>
        <v>0</v>
      </c>
      <c r="X673" s="324">
        <f t="shared" si="37"/>
        <v>0</v>
      </c>
      <c r="Y673" s="324">
        <f t="shared" si="37"/>
        <v>0</v>
      </c>
      <c r="Z673" s="324">
        <f t="shared" si="37"/>
        <v>0</v>
      </c>
      <c r="AA673" s="324">
        <f t="shared" si="37"/>
        <v>0</v>
      </c>
      <c r="AB673" s="396" t="s">
        <v>882</v>
      </c>
    </row>
    <row r="674" spans="1:30" s="4" customFormat="1" ht="35.25" customHeight="1" x14ac:dyDescent="0.5">
      <c r="A674" s="4">
        <v>1</v>
      </c>
      <c r="B674" s="171">
        <f>SUBTOTAL(103,$A$8:A674)</f>
        <v>646</v>
      </c>
      <c r="C674" s="323" t="s">
        <v>2224</v>
      </c>
      <c r="D674" s="324">
        <f>E674+F674+G674+H674+I674+J674+L674+M674+N674+O674+P674+Q674+R674+S674+T674+U674+V674+W674+X674+Y674+Z674+AA674</f>
        <v>439256.62</v>
      </c>
      <c r="E674" s="325">
        <v>0</v>
      </c>
      <c r="F674" s="325">
        <v>439256.62</v>
      </c>
      <c r="G674" s="325">
        <v>0</v>
      </c>
      <c r="H674" s="325">
        <v>0</v>
      </c>
      <c r="I674" s="325">
        <v>0</v>
      </c>
      <c r="J674" s="325">
        <v>0</v>
      </c>
      <c r="K674" s="326">
        <v>0</v>
      </c>
      <c r="L674" s="325">
        <v>0</v>
      </c>
      <c r="M674" s="325">
        <v>0</v>
      </c>
      <c r="N674" s="325">
        <v>0</v>
      </c>
      <c r="O674" s="325">
        <v>0</v>
      </c>
      <c r="P674" s="325">
        <v>0</v>
      </c>
      <c r="Q674" s="325">
        <v>0</v>
      </c>
      <c r="R674" s="325">
        <v>0</v>
      </c>
      <c r="S674" s="325">
        <v>0</v>
      </c>
      <c r="T674" s="325">
        <v>0</v>
      </c>
      <c r="U674" s="325">
        <v>0</v>
      </c>
      <c r="V674" s="325">
        <v>0</v>
      </c>
      <c r="W674" s="325">
        <v>0</v>
      </c>
      <c r="X674" s="325">
        <v>0</v>
      </c>
      <c r="Y674" s="325">
        <v>0</v>
      </c>
      <c r="Z674" s="325">
        <v>0</v>
      </c>
      <c r="AA674" s="325">
        <v>0</v>
      </c>
      <c r="AB674" s="327">
        <v>2020</v>
      </c>
      <c r="AD674" s="4" t="e">
        <v>#N/A</v>
      </c>
    </row>
    <row r="675" spans="1:30" s="4" customFormat="1" ht="35.25" customHeight="1" x14ac:dyDescent="0.5">
      <c r="A675" s="4">
        <v>1</v>
      </c>
      <c r="B675" s="171">
        <f>SUBTOTAL(103,$A$8:A675)</f>
        <v>647</v>
      </c>
      <c r="C675" s="323" t="s">
        <v>2225</v>
      </c>
      <c r="D675" s="324">
        <f>E675+F675+G675+H675+I675+J675+L675+M675+N675+O675+P675+Q675+R675+S675+T675+U675+V675+W675+X675+Y675+Z675+AA675</f>
        <v>659129</v>
      </c>
      <c r="E675" s="325">
        <v>0</v>
      </c>
      <c r="F675" s="325">
        <v>0</v>
      </c>
      <c r="G675" s="325">
        <v>0</v>
      </c>
      <c r="H675" s="325">
        <v>0</v>
      </c>
      <c r="I675" s="325">
        <v>0</v>
      </c>
      <c r="J675" s="325">
        <v>0</v>
      </c>
      <c r="K675" s="326">
        <v>0</v>
      </c>
      <c r="L675" s="325">
        <v>0</v>
      </c>
      <c r="M675" s="325">
        <v>0</v>
      </c>
      <c r="N675" s="325">
        <v>0</v>
      </c>
      <c r="O675" s="325">
        <v>659129</v>
      </c>
      <c r="P675" s="325">
        <v>0</v>
      </c>
      <c r="Q675" s="325">
        <v>0</v>
      </c>
      <c r="R675" s="325">
        <v>0</v>
      </c>
      <c r="S675" s="325">
        <v>0</v>
      </c>
      <c r="T675" s="325">
        <v>0</v>
      </c>
      <c r="U675" s="325">
        <v>0</v>
      </c>
      <c r="V675" s="325">
        <v>0</v>
      </c>
      <c r="W675" s="325">
        <v>0</v>
      </c>
      <c r="X675" s="325">
        <v>0</v>
      </c>
      <c r="Y675" s="325">
        <v>0</v>
      </c>
      <c r="Z675" s="325">
        <v>0</v>
      </c>
      <c r="AA675" s="325">
        <v>0</v>
      </c>
      <c r="AB675" s="327">
        <v>2020</v>
      </c>
      <c r="AD675" s="4">
        <v>0</v>
      </c>
    </row>
    <row r="676" spans="1:30" s="4" customFormat="1" ht="35.25" customHeight="1" x14ac:dyDescent="0.5">
      <c r="B676" s="398" t="s">
        <v>845</v>
      </c>
      <c r="C676" s="323"/>
      <c r="D676" s="324">
        <f>SUM(D677:D688)</f>
        <v>6483306.4900000002</v>
      </c>
      <c r="E676" s="324">
        <f t="shared" ref="E676:AA676" si="38">SUM(E677:E689)</f>
        <v>117654</v>
      </c>
      <c r="F676" s="324">
        <f t="shared" si="38"/>
        <v>0</v>
      </c>
      <c r="G676" s="324">
        <f t="shared" si="38"/>
        <v>979023</v>
      </c>
      <c r="H676" s="324">
        <f t="shared" si="38"/>
        <v>0</v>
      </c>
      <c r="I676" s="324">
        <f t="shared" si="38"/>
        <v>986120.7</v>
      </c>
      <c r="J676" s="324">
        <f t="shared" si="38"/>
        <v>0</v>
      </c>
      <c r="K676" s="399">
        <f t="shared" si="38"/>
        <v>0</v>
      </c>
      <c r="L676" s="324">
        <f t="shared" si="38"/>
        <v>0</v>
      </c>
      <c r="M676" s="324">
        <f t="shared" si="38"/>
        <v>3080898</v>
      </c>
      <c r="N676" s="324">
        <f t="shared" si="38"/>
        <v>2689388</v>
      </c>
      <c r="O676" s="324">
        <f t="shared" si="38"/>
        <v>9125487.7899999991</v>
      </c>
      <c r="P676" s="324">
        <f t="shared" si="38"/>
        <v>0</v>
      </c>
      <c r="Q676" s="324">
        <f t="shared" si="38"/>
        <v>0</v>
      </c>
      <c r="R676" s="324">
        <f t="shared" si="38"/>
        <v>0</v>
      </c>
      <c r="S676" s="324">
        <f t="shared" si="38"/>
        <v>0</v>
      </c>
      <c r="T676" s="324">
        <f t="shared" si="38"/>
        <v>0</v>
      </c>
      <c r="U676" s="324">
        <f t="shared" si="38"/>
        <v>0</v>
      </c>
      <c r="V676" s="324">
        <f t="shared" si="38"/>
        <v>0</v>
      </c>
      <c r="W676" s="324">
        <f t="shared" si="38"/>
        <v>0</v>
      </c>
      <c r="X676" s="324">
        <f t="shared" si="38"/>
        <v>0</v>
      </c>
      <c r="Y676" s="324">
        <f t="shared" si="38"/>
        <v>0</v>
      </c>
      <c r="Z676" s="324">
        <f t="shared" si="38"/>
        <v>0</v>
      </c>
      <c r="AA676" s="324">
        <f t="shared" si="38"/>
        <v>0</v>
      </c>
      <c r="AB676" s="396" t="s">
        <v>882</v>
      </c>
    </row>
    <row r="677" spans="1:30" s="4" customFormat="1" ht="35.25" customHeight="1" x14ac:dyDescent="0.5">
      <c r="A677" s="4">
        <v>1</v>
      </c>
      <c r="B677" s="171">
        <f>SUBTOTAL(103,$A$8:A677)</f>
        <v>648</v>
      </c>
      <c r="C677" s="323" t="s">
        <v>2226</v>
      </c>
      <c r="D677" s="324">
        <f t="shared" ref="D677:D688" si="39">E677+F677+G677+H677+I677+J677+L677+M677+N677+O677+P677+Q677+R677+S677+T677+U677+V677+W677+X677+Y677+Z677+AA677</f>
        <v>824183</v>
      </c>
      <c r="E677" s="325">
        <v>0</v>
      </c>
      <c r="F677" s="325">
        <v>0</v>
      </c>
      <c r="G677" s="325">
        <v>0</v>
      </c>
      <c r="H677" s="325">
        <v>0</v>
      </c>
      <c r="I677" s="325">
        <v>0</v>
      </c>
      <c r="J677" s="325">
        <v>0</v>
      </c>
      <c r="K677" s="326">
        <v>0</v>
      </c>
      <c r="L677" s="325">
        <v>0</v>
      </c>
      <c r="M677" s="325">
        <v>0</v>
      </c>
      <c r="N677" s="325">
        <v>0</v>
      </c>
      <c r="O677" s="325">
        <v>824183</v>
      </c>
      <c r="P677" s="325">
        <v>0</v>
      </c>
      <c r="Q677" s="325">
        <v>0</v>
      </c>
      <c r="R677" s="325">
        <v>0</v>
      </c>
      <c r="S677" s="325">
        <v>0</v>
      </c>
      <c r="T677" s="325">
        <v>0</v>
      </c>
      <c r="U677" s="325">
        <v>0</v>
      </c>
      <c r="V677" s="325">
        <v>0</v>
      </c>
      <c r="W677" s="325">
        <v>0</v>
      </c>
      <c r="X677" s="325">
        <v>0</v>
      </c>
      <c r="Y677" s="325">
        <v>0</v>
      </c>
      <c r="Z677" s="325">
        <v>0</v>
      </c>
      <c r="AA677" s="325">
        <v>0</v>
      </c>
      <c r="AB677" s="327">
        <v>2020</v>
      </c>
      <c r="AD677" s="4" t="e">
        <v>#N/A</v>
      </c>
    </row>
    <row r="678" spans="1:30" s="4" customFormat="1" ht="35.25" customHeight="1" x14ac:dyDescent="0.5">
      <c r="A678" s="4">
        <v>1</v>
      </c>
      <c r="B678" s="171">
        <f>SUBTOTAL(103,$A$8:A678)</f>
        <v>649</v>
      </c>
      <c r="C678" s="323" t="s">
        <v>2585</v>
      </c>
      <c r="D678" s="324">
        <f t="shared" si="39"/>
        <v>817400</v>
      </c>
      <c r="E678" s="325">
        <v>0</v>
      </c>
      <c r="F678" s="325">
        <v>0</v>
      </c>
      <c r="G678" s="325">
        <v>0</v>
      </c>
      <c r="H678" s="325">
        <v>0</v>
      </c>
      <c r="I678" s="325">
        <v>0</v>
      </c>
      <c r="J678" s="325">
        <v>0</v>
      </c>
      <c r="K678" s="326">
        <v>0</v>
      </c>
      <c r="L678" s="325">
        <v>0</v>
      </c>
      <c r="M678" s="325">
        <v>0</v>
      </c>
      <c r="N678" s="325">
        <v>0</v>
      </c>
      <c r="O678" s="325">
        <v>817400</v>
      </c>
      <c r="P678" s="325">
        <v>0</v>
      </c>
      <c r="Q678" s="325">
        <v>0</v>
      </c>
      <c r="R678" s="325">
        <v>0</v>
      </c>
      <c r="S678" s="325">
        <v>0</v>
      </c>
      <c r="T678" s="325">
        <v>0</v>
      </c>
      <c r="U678" s="325">
        <v>0</v>
      </c>
      <c r="V678" s="325">
        <v>0</v>
      </c>
      <c r="W678" s="325">
        <v>0</v>
      </c>
      <c r="X678" s="325">
        <v>0</v>
      </c>
      <c r="Y678" s="325">
        <v>0</v>
      </c>
      <c r="Z678" s="325">
        <v>0</v>
      </c>
      <c r="AA678" s="325">
        <v>0</v>
      </c>
      <c r="AB678" s="327">
        <v>2020</v>
      </c>
      <c r="AD678" s="4">
        <v>0</v>
      </c>
    </row>
    <row r="679" spans="1:30" s="4" customFormat="1" ht="35.25" customHeight="1" x14ac:dyDescent="0.5">
      <c r="A679" s="4">
        <v>1</v>
      </c>
      <c r="B679" s="171">
        <f>SUBTOTAL(103,$A$8:A679)</f>
        <v>650</v>
      </c>
      <c r="C679" s="323" t="s">
        <v>2586</v>
      </c>
      <c r="D679" s="324">
        <f t="shared" si="39"/>
        <v>334400</v>
      </c>
      <c r="E679" s="325">
        <v>0</v>
      </c>
      <c r="F679" s="325">
        <v>0</v>
      </c>
      <c r="G679" s="325">
        <v>0</v>
      </c>
      <c r="H679" s="325">
        <v>0</v>
      </c>
      <c r="I679" s="325">
        <v>0</v>
      </c>
      <c r="J679" s="325">
        <v>0</v>
      </c>
      <c r="K679" s="326">
        <v>0</v>
      </c>
      <c r="L679" s="325">
        <v>0</v>
      </c>
      <c r="M679" s="325">
        <v>0</v>
      </c>
      <c r="N679" s="325">
        <v>0</v>
      </c>
      <c r="O679" s="325">
        <v>334400</v>
      </c>
      <c r="P679" s="325">
        <v>0</v>
      </c>
      <c r="Q679" s="325">
        <v>0</v>
      </c>
      <c r="R679" s="325">
        <v>0</v>
      </c>
      <c r="S679" s="325">
        <v>0</v>
      </c>
      <c r="T679" s="325">
        <v>0</v>
      </c>
      <c r="U679" s="325">
        <v>0</v>
      </c>
      <c r="V679" s="325">
        <v>0</v>
      </c>
      <c r="W679" s="325">
        <v>0</v>
      </c>
      <c r="X679" s="325">
        <v>0</v>
      </c>
      <c r="Y679" s="325">
        <v>0</v>
      </c>
      <c r="Z679" s="325">
        <v>0</v>
      </c>
      <c r="AA679" s="325">
        <v>0</v>
      </c>
      <c r="AB679" s="327">
        <v>2020</v>
      </c>
      <c r="AD679" s="4">
        <v>0</v>
      </c>
    </row>
    <row r="680" spans="1:30" s="4" customFormat="1" ht="35.25" customHeight="1" x14ac:dyDescent="0.5">
      <c r="A680" s="4">
        <v>1</v>
      </c>
      <c r="B680" s="171">
        <f>SUBTOTAL(103,$A$8:A680)</f>
        <v>651</v>
      </c>
      <c r="C680" s="323" t="s">
        <v>2587</v>
      </c>
      <c r="D680" s="324">
        <f t="shared" si="39"/>
        <v>549603</v>
      </c>
      <c r="E680" s="325">
        <v>0</v>
      </c>
      <c r="F680" s="325">
        <v>0</v>
      </c>
      <c r="G680" s="325">
        <v>0</v>
      </c>
      <c r="H680" s="325">
        <v>0</v>
      </c>
      <c r="I680" s="325">
        <v>0</v>
      </c>
      <c r="J680" s="325">
        <v>0</v>
      </c>
      <c r="K680" s="326">
        <v>0</v>
      </c>
      <c r="L680" s="325">
        <v>0</v>
      </c>
      <c r="M680" s="325">
        <v>0</v>
      </c>
      <c r="N680" s="325">
        <v>0</v>
      </c>
      <c r="O680" s="325">
        <v>549603</v>
      </c>
      <c r="P680" s="325">
        <v>0</v>
      </c>
      <c r="Q680" s="325">
        <v>0</v>
      </c>
      <c r="R680" s="325">
        <v>0</v>
      </c>
      <c r="S680" s="325">
        <v>0</v>
      </c>
      <c r="T680" s="325">
        <v>0</v>
      </c>
      <c r="U680" s="325">
        <v>0</v>
      </c>
      <c r="V680" s="325">
        <v>0</v>
      </c>
      <c r="W680" s="325">
        <v>0</v>
      </c>
      <c r="X680" s="325">
        <v>0</v>
      </c>
      <c r="Y680" s="325">
        <v>0</v>
      </c>
      <c r="Z680" s="325">
        <v>0</v>
      </c>
      <c r="AA680" s="325">
        <v>0</v>
      </c>
      <c r="AB680" s="327">
        <v>2020</v>
      </c>
      <c r="AD680" s="4">
        <v>0</v>
      </c>
    </row>
    <row r="681" spans="1:30" s="4" customFormat="1" ht="35.25" customHeight="1" x14ac:dyDescent="0.5">
      <c r="A681" s="4">
        <v>1</v>
      </c>
      <c r="B681" s="171">
        <f>SUBTOTAL(103,$A$8:A681)</f>
        <v>652</v>
      </c>
      <c r="C681" s="323" t="s">
        <v>2588</v>
      </c>
      <c r="D681" s="324">
        <f t="shared" si="39"/>
        <v>500400</v>
      </c>
      <c r="E681" s="325">
        <v>0</v>
      </c>
      <c r="F681" s="325">
        <v>0</v>
      </c>
      <c r="G681" s="325">
        <v>0</v>
      </c>
      <c r="H681" s="325">
        <v>0</v>
      </c>
      <c r="I681" s="325">
        <v>0</v>
      </c>
      <c r="J681" s="325">
        <v>0</v>
      </c>
      <c r="K681" s="326">
        <v>0</v>
      </c>
      <c r="L681" s="325">
        <v>0</v>
      </c>
      <c r="M681" s="325">
        <v>0</v>
      </c>
      <c r="N681" s="325">
        <v>0</v>
      </c>
      <c r="O681" s="325">
        <v>500400</v>
      </c>
      <c r="P681" s="325">
        <v>0</v>
      </c>
      <c r="Q681" s="325">
        <v>0</v>
      </c>
      <c r="R681" s="325">
        <v>0</v>
      </c>
      <c r="S681" s="325">
        <v>0</v>
      </c>
      <c r="T681" s="325">
        <v>0</v>
      </c>
      <c r="U681" s="325">
        <v>0</v>
      </c>
      <c r="V681" s="325">
        <v>0</v>
      </c>
      <c r="W681" s="325">
        <v>0</v>
      </c>
      <c r="X681" s="325">
        <v>0</v>
      </c>
      <c r="Y681" s="325">
        <v>0</v>
      </c>
      <c r="Z681" s="325">
        <v>0</v>
      </c>
      <c r="AA681" s="325">
        <v>0</v>
      </c>
      <c r="AB681" s="327">
        <v>2020</v>
      </c>
      <c r="AD681" s="4">
        <v>0</v>
      </c>
    </row>
    <row r="682" spans="1:30" s="4" customFormat="1" ht="35.25" customHeight="1" x14ac:dyDescent="0.5">
      <c r="A682" s="4">
        <v>1</v>
      </c>
      <c r="B682" s="171">
        <f>SUBTOTAL(103,$A$8:A682)</f>
        <v>653</v>
      </c>
      <c r="C682" s="323" t="s">
        <v>2589</v>
      </c>
      <c r="D682" s="324">
        <f t="shared" si="39"/>
        <v>44789.7</v>
      </c>
      <c r="E682" s="325">
        <v>0</v>
      </c>
      <c r="F682" s="325">
        <v>0</v>
      </c>
      <c r="G682" s="325">
        <v>0</v>
      </c>
      <c r="H682" s="325">
        <v>0</v>
      </c>
      <c r="I682" s="325">
        <v>44789.7</v>
      </c>
      <c r="J682" s="325">
        <v>0</v>
      </c>
      <c r="K682" s="326">
        <v>0</v>
      </c>
      <c r="L682" s="325">
        <v>0</v>
      </c>
      <c r="M682" s="325">
        <v>0</v>
      </c>
      <c r="N682" s="325">
        <v>0</v>
      </c>
      <c r="O682" s="325">
        <v>0</v>
      </c>
      <c r="P682" s="325">
        <v>0</v>
      </c>
      <c r="Q682" s="325">
        <v>0</v>
      </c>
      <c r="R682" s="325">
        <v>0</v>
      </c>
      <c r="S682" s="325">
        <v>0</v>
      </c>
      <c r="T682" s="325">
        <v>0</v>
      </c>
      <c r="U682" s="325">
        <v>0</v>
      </c>
      <c r="V682" s="325">
        <v>0</v>
      </c>
      <c r="W682" s="325">
        <v>0</v>
      </c>
      <c r="X682" s="325">
        <v>0</v>
      </c>
      <c r="Y682" s="325">
        <v>0</v>
      </c>
      <c r="Z682" s="325">
        <v>0</v>
      </c>
      <c r="AA682" s="325">
        <v>0</v>
      </c>
      <c r="AB682" s="327">
        <v>2020</v>
      </c>
      <c r="AD682" s="4">
        <v>0</v>
      </c>
    </row>
    <row r="683" spans="1:30" s="4" customFormat="1" ht="35.25" customHeight="1" x14ac:dyDescent="0.5">
      <c r="A683" s="4">
        <v>1</v>
      </c>
      <c r="B683" s="171">
        <f>SUBTOTAL(103,$A$8:A683)</f>
        <v>654</v>
      </c>
      <c r="C683" s="323" t="s">
        <v>2227</v>
      </c>
      <c r="D683" s="324">
        <f t="shared" si="39"/>
        <v>851863.79</v>
      </c>
      <c r="E683" s="325">
        <v>0</v>
      </c>
      <c r="F683" s="325">
        <v>0</v>
      </c>
      <c r="G683" s="325">
        <v>0</v>
      </c>
      <c r="H683" s="325">
        <v>0</v>
      </c>
      <c r="I683" s="325">
        <v>0</v>
      </c>
      <c r="J683" s="325">
        <v>0</v>
      </c>
      <c r="K683" s="326">
        <v>0</v>
      </c>
      <c r="L683" s="325">
        <v>0</v>
      </c>
      <c r="M683" s="325">
        <v>0</v>
      </c>
      <c r="N683" s="325">
        <v>0</v>
      </c>
      <c r="O683" s="325">
        <v>851863.79</v>
      </c>
      <c r="P683" s="325">
        <v>0</v>
      </c>
      <c r="Q683" s="325">
        <v>0</v>
      </c>
      <c r="R683" s="325">
        <v>0</v>
      </c>
      <c r="S683" s="325">
        <v>0</v>
      </c>
      <c r="T683" s="325">
        <v>0</v>
      </c>
      <c r="U683" s="325">
        <v>0</v>
      </c>
      <c r="V683" s="325">
        <v>0</v>
      </c>
      <c r="W683" s="325">
        <v>0</v>
      </c>
      <c r="X683" s="325">
        <v>0</v>
      </c>
      <c r="Y683" s="325">
        <v>0</v>
      </c>
      <c r="Z683" s="325">
        <v>0</v>
      </c>
      <c r="AA683" s="325">
        <v>0</v>
      </c>
      <c r="AB683" s="327">
        <v>2020</v>
      </c>
      <c r="AD683" s="4" t="e">
        <v>#N/A</v>
      </c>
    </row>
    <row r="684" spans="1:30" s="4" customFormat="1" ht="35.25" customHeight="1" x14ac:dyDescent="0.5">
      <c r="A684" s="4">
        <v>1</v>
      </c>
      <c r="B684" s="171">
        <f>SUBTOTAL(103,$A$8:A684)</f>
        <v>655</v>
      </c>
      <c r="C684" s="323" t="s">
        <v>2228</v>
      </c>
      <c r="D684" s="324">
        <f t="shared" si="39"/>
        <v>979023</v>
      </c>
      <c r="E684" s="325">
        <v>0</v>
      </c>
      <c r="F684" s="325">
        <v>0</v>
      </c>
      <c r="G684" s="325">
        <v>979023</v>
      </c>
      <c r="H684" s="325">
        <v>0</v>
      </c>
      <c r="I684" s="325">
        <v>0</v>
      </c>
      <c r="J684" s="325">
        <v>0</v>
      </c>
      <c r="K684" s="326">
        <v>0</v>
      </c>
      <c r="L684" s="325">
        <v>0</v>
      </c>
      <c r="M684" s="325">
        <v>0</v>
      </c>
      <c r="N684" s="325">
        <v>0</v>
      </c>
      <c r="O684" s="325">
        <v>0</v>
      </c>
      <c r="P684" s="325">
        <v>0</v>
      </c>
      <c r="Q684" s="325">
        <v>0</v>
      </c>
      <c r="R684" s="325">
        <v>0</v>
      </c>
      <c r="S684" s="325">
        <v>0</v>
      </c>
      <c r="T684" s="325">
        <v>0</v>
      </c>
      <c r="U684" s="325">
        <v>0</v>
      </c>
      <c r="V684" s="325">
        <v>0</v>
      </c>
      <c r="W684" s="325">
        <v>0</v>
      </c>
      <c r="X684" s="325">
        <v>0</v>
      </c>
      <c r="Y684" s="325">
        <v>0</v>
      </c>
      <c r="Z684" s="325">
        <v>0</v>
      </c>
      <c r="AA684" s="325">
        <v>0</v>
      </c>
      <c r="AB684" s="327">
        <v>2020</v>
      </c>
      <c r="AD684" s="4">
        <v>0</v>
      </c>
    </row>
    <row r="685" spans="1:30" s="4" customFormat="1" ht="35.25" customHeight="1" x14ac:dyDescent="0.5">
      <c r="A685" s="4">
        <v>1</v>
      </c>
      <c r="B685" s="171">
        <f>SUBTOTAL(103,$A$8:A685)</f>
        <v>656</v>
      </c>
      <c r="C685" s="323" t="s">
        <v>2229</v>
      </c>
      <c r="D685" s="324">
        <f t="shared" si="39"/>
        <v>798318</v>
      </c>
      <c r="E685" s="325">
        <v>0</v>
      </c>
      <c r="F685" s="325">
        <v>0</v>
      </c>
      <c r="G685" s="325">
        <v>0</v>
      </c>
      <c r="H685" s="325">
        <v>0</v>
      </c>
      <c r="I685" s="325">
        <v>0</v>
      </c>
      <c r="J685" s="325">
        <v>0</v>
      </c>
      <c r="K685" s="326">
        <v>0</v>
      </c>
      <c r="L685" s="325">
        <v>0</v>
      </c>
      <c r="M685" s="325">
        <v>0</v>
      </c>
      <c r="N685" s="325">
        <v>0</v>
      </c>
      <c r="O685" s="325">
        <v>798318</v>
      </c>
      <c r="P685" s="325">
        <v>0</v>
      </c>
      <c r="Q685" s="325">
        <v>0</v>
      </c>
      <c r="R685" s="325">
        <v>0</v>
      </c>
      <c r="S685" s="325">
        <v>0</v>
      </c>
      <c r="T685" s="325">
        <v>0</v>
      </c>
      <c r="U685" s="325">
        <v>0</v>
      </c>
      <c r="V685" s="325">
        <v>0</v>
      </c>
      <c r="W685" s="325">
        <v>0</v>
      </c>
      <c r="X685" s="325">
        <v>0</v>
      </c>
      <c r="Y685" s="325">
        <v>0</v>
      </c>
      <c r="Z685" s="325">
        <v>0</v>
      </c>
      <c r="AA685" s="325">
        <v>0</v>
      </c>
      <c r="AB685" s="327">
        <v>2020</v>
      </c>
      <c r="AD685" s="4" t="e">
        <v>#N/A</v>
      </c>
    </row>
    <row r="686" spans="1:30" s="4" customFormat="1" ht="35.25" customHeight="1" x14ac:dyDescent="0.5">
      <c r="A686" s="4">
        <v>1</v>
      </c>
      <c r="B686" s="171">
        <f>SUBTOTAL(103,$A$8:A686)</f>
        <v>657</v>
      </c>
      <c r="C686" s="323" t="s">
        <v>1850</v>
      </c>
      <c r="D686" s="324">
        <f t="shared" si="39"/>
        <v>61000</v>
      </c>
      <c r="E686" s="325">
        <v>0</v>
      </c>
      <c r="F686" s="325">
        <v>0</v>
      </c>
      <c r="G686" s="325">
        <v>0</v>
      </c>
      <c r="H686" s="325">
        <v>0</v>
      </c>
      <c r="I686" s="325">
        <v>0</v>
      </c>
      <c r="J686" s="325">
        <v>0</v>
      </c>
      <c r="K686" s="326">
        <v>0</v>
      </c>
      <c r="L686" s="325">
        <v>0</v>
      </c>
      <c r="M686" s="325">
        <v>0</v>
      </c>
      <c r="N686" s="325">
        <v>0</v>
      </c>
      <c r="O686" s="325">
        <v>61000</v>
      </c>
      <c r="P686" s="325">
        <v>0</v>
      </c>
      <c r="Q686" s="325">
        <v>0</v>
      </c>
      <c r="R686" s="325">
        <v>0</v>
      </c>
      <c r="S686" s="325">
        <v>0</v>
      </c>
      <c r="T686" s="325">
        <v>0</v>
      </c>
      <c r="U686" s="325">
        <v>0</v>
      </c>
      <c r="V686" s="325">
        <v>0</v>
      </c>
      <c r="W686" s="325">
        <v>0</v>
      </c>
      <c r="X686" s="325">
        <v>0</v>
      </c>
      <c r="Y686" s="325">
        <v>0</v>
      </c>
      <c r="Z686" s="325">
        <v>0</v>
      </c>
      <c r="AA686" s="325">
        <v>0</v>
      </c>
      <c r="AB686" s="327">
        <v>2020</v>
      </c>
      <c r="AD686" s="4" t="e">
        <v>#N/A</v>
      </c>
    </row>
    <row r="687" spans="1:30" s="4" customFormat="1" ht="35.25" customHeight="1" x14ac:dyDescent="0.5">
      <c r="A687" s="4">
        <v>1</v>
      </c>
      <c r="B687" s="171">
        <f>SUBTOTAL(103,$A$8:A687)</f>
        <v>658</v>
      </c>
      <c r="C687" s="323" t="s">
        <v>1851</v>
      </c>
      <c r="D687" s="324">
        <f t="shared" si="39"/>
        <v>44000</v>
      </c>
      <c r="E687" s="325">
        <v>0</v>
      </c>
      <c r="F687" s="325">
        <v>0</v>
      </c>
      <c r="G687" s="325">
        <v>0</v>
      </c>
      <c r="H687" s="325">
        <v>0</v>
      </c>
      <c r="I687" s="325">
        <v>0</v>
      </c>
      <c r="J687" s="325">
        <v>0</v>
      </c>
      <c r="K687" s="326">
        <v>0</v>
      </c>
      <c r="L687" s="325">
        <v>0</v>
      </c>
      <c r="M687" s="325">
        <v>0</v>
      </c>
      <c r="N687" s="325">
        <v>0</v>
      </c>
      <c r="O687" s="325">
        <v>44000</v>
      </c>
      <c r="P687" s="325">
        <v>0</v>
      </c>
      <c r="Q687" s="325">
        <v>0</v>
      </c>
      <c r="R687" s="325">
        <v>0</v>
      </c>
      <c r="S687" s="325">
        <v>0</v>
      </c>
      <c r="T687" s="325">
        <v>0</v>
      </c>
      <c r="U687" s="325">
        <v>0</v>
      </c>
      <c r="V687" s="325">
        <v>0</v>
      </c>
      <c r="W687" s="325">
        <v>0</v>
      </c>
      <c r="X687" s="325">
        <v>0</v>
      </c>
      <c r="Y687" s="325">
        <v>0</v>
      </c>
      <c r="Z687" s="325">
        <v>0</v>
      </c>
      <c r="AA687" s="325">
        <v>0</v>
      </c>
      <c r="AB687" s="327">
        <v>2020</v>
      </c>
      <c r="AD687" s="4" t="e">
        <v>#N/A</v>
      </c>
    </row>
    <row r="688" spans="1:30" s="4" customFormat="1" ht="35.25" customHeight="1" x14ac:dyDescent="0.5">
      <c r="A688" s="4">
        <v>1</v>
      </c>
      <c r="B688" s="171">
        <f>SUBTOTAL(103,$A$8:A688)</f>
        <v>659</v>
      </c>
      <c r="C688" s="323" t="s">
        <v>2230</v>
      </c>
      <c r="D688" s="324">
        <f t="shared" si="39"/>
        <v>678326</v>
      </c>
      <c r="E688" s="325">
        <v>117654</v>
      </c>
      <c r="F688" s="325">
        <v>0</v>
      </c>
      <c r="G688" s="325">
        <v>0</v>
      </c>
      <c r="H688" s="325">
        <v>0</v>
      </c>
      <c r="I688" s="325">
        <v>0</v>
      </c>
      <c r="J688" s="325">
        <v>0</v>
      </c>
      <c r="K688" s="326">
        <v>0</v>
      </c>
      <c r="L688" s="325">
        <v>0</v>
      </c>
      <c r="M688" s="325">
        <v>0</v>
      </c>
      <c r="N688" s="325">
        <v>0</v>
      </c>
      <c r="O688" s="325">
        <v>560672</v>
      </c>
      <c r="P688" s="325">
        <v>0</v>
      </c>
      <c r="Q688" s="325">
        <v>0</v>
      </c>
      <c r="R688" s="325">
        <v>0</v>
      </c>
      <c r="S688" s="325">
        <v>0</v>
      </c>
      <c r="T688" s="325">
        <v>0</v>
      </c>
      <c r="U688" s="325">
        <v>0</v>
      </c>
      <c r="V688" s="325">
        <v>0</v>
      </c>
      <c r="W688" s="325">
        <v>0</v>
      </c>
      <c r="X688" s="325">
        <v>0</v>
      </c>
      <c r="Y688" s="325">
        <v>0</v>
      </c>
      <c r="Z688" s="325">
        <v>0</v>
      </c>
      <c r="AA688" s="325">
        <v>0</v>
      </c>
      <c r="AB688" s="327">
        <v>2020</v>
      </c>
      <c r="AD688" s="4" t="e">
        <v>#N/A</v>
      </c>
    </row>
    <row r="689" spans="1:30" s="4" customFormat="1" ht="35.25" customHeight="1" x14ac:dyDescent="0.5">
      <c r="B689" s="398" t="s">
        <v>844</v>
      </c>
      <c r="C689" s="323"/>
      <c r="D689" s="324">
        <f>SUM(D690:D697)</f>
        <v>10495265</v>
      </c>
      <c r="E689" s="324">
        <f t="shared" ref="E689:AA689" si="40">SUM(E690:E697)</f>
        <v>0</v>
      </c>
      <c r="F689" s="324">
        <f t="shared" si="40"/>
        <v>0</v>
      </c>
      <c r="G689" s="324">
        <f t="shared" si="40"/>
        <v>0</v>
      </c>
      <c r="H689" s="324">
        <f t="shared" si="40"/>
        <v>0</v>
      </c>
      <c r="I689" s="324">
        <f t="shared" si="40"/>
        <v>941331</v>
      </c>
      <c r="J689" s="324">
        <f t="shared" si="40"/>
        <v>0</v>
      </c>
      <c r="K689" s="399">
        <f t="shared" si="40"/>
        <v>0</v>
      </c>
      <c r="L689" s="324">
        <f t="shared" si="40"/>
        <v>0</v>
      </c>
      <c r="M689" s="324">
        <f t="shared" si="40"/>
        <v>3080898</v>
      </c>
      <c r="N689" s="324">
        <f t="shared" si="40"/>
        <v>2689388</v>
      </c>
      <c r="O689" s="324">
        <f t="shared" si="40"/>
        <v>3783648</v>
      </c>
      <c r="P689" s="324">
        <f t="shared" si="40"/>
        <v>0</v>
      </c>
      <c r="Q689" s="324">
        <f t="shared" si="40"/>
        <v>0</v>
      </c>
      <c r="R689" s="324">
        <f t="shared" si="40"/>
        <v>0</v>
      </c>
      <c r="S689" s="324">
        <f t="shared" si="40"/>
        <v>0</v>
      </c>
      <c r="T689" s="324">
        <f t="shared" si="40"/>
        <v>0</v>
      </c>
      <c r="U689" s="324">
        <f t="shared" si="40"/>
        <v>0</v>
      </c>
      <c r="V689" s="324">
        <f t="shared" si="40"/>
        <v>0</v>
      </c>
      <c r="W689" s="324">
        <f t="shared" si="40"/>
        <v>0</v>
      </c>
      <c r="X689" s="324">
        <f t="shared" si="40"/>
        <v>0</v>
      </c>
      <c r="Y689" s="324">
        <f t="shared" si="40"/>
        <v>0</v>
      </c>
      <c r="Z689" s="324">
        <f t="shared" si="40"/>
        <v>0</v>
      </c>
      <c r="AA689" s="324">
        <f t="shared" si="40"/>
        <v>0</v>
      </c>
      <c r="AB689" s="396" t="s">
        <v>882</v>
      </c>
    </row>
    <row r="690" spans="1:30" s="4" customFormat="1" ht="35.25" customHeight="1" x14ac:dyDescent="0.5">
      <c r="A690" s="4">
        <v>1</v>
      </c>
      <c r="B690" s="171">
        <f>SUBTOTAL(103,$A$8:A690)</f>
        <v>660</v>
      </c>
      <c r="C690" s="323" t="s">
        <v>2231</v>
      </c>
      <c r="D690" s="324">
        <f t="shared" ref="D690:D697" si="41">E690+F690+G690+H690+I690+J690+L690+M690+N690+O690+P690+Q690+R690+S690+T690+U690+V690+W690+X690+Y690+Z690+AA690</f>
        <v>1531213</v>
      </c>
      <c r="E690" s="325">
        <v>0</v>
      </c>
      <c r="F690" s="325">
        <v>0</v>
      </c>
      <c r="G690" s="325">
        <v>0</v>
      </c>
      <c r="H690" s="325">
        <v>0</v>
      </c>
      <c r="I690" s="325">
        <v>0</v>
      </c>
      <c r="J690" s="325">
        <v>0</v>
      </c>
      <c r="K690" s="326">
        <v>0</v>
      </c>
      <c r="L690" s="325">
        <v>0</v>
      </c>
      <c r="M690" s="325">
        <v>1531213</v>
      </c>
      <c r="N690" s="325">
        <v>0</v>
      </c>
      <c r="O690" s="325">
        <v>0</v>
      </c>
      <c r="P690" s="325">
        <v>0</v>
      </c>
      <c r="Q690" s="325">
        <v>0</v>
      </c>
      <c r="R690" s="325">
        <v>0</v>
      </c>
      <c r="S690" s="325">
        <v>0</v>
      </c>
      <c r="T690" s="325">
        <v>0</v>
      </c>
      <c r="U690" s="325">
        <v>0</v>
      </c>
      <c r="V690" s="325">
        <v>0</v>
      </c>
      <c r="W690" s="325">
        <v>0</v>
      </c>
      <c r="X690" s="325">
        <v>0</v>
      </c>
      <c r="Y690" s="325">
        <v>0</v>
      </c>
      <c r="Z690" s="325">
        <v>0</v>
      </c>
      <c r="AA690" s="325">
        <v>0</v>
      </c>
      <c r="AB690" s="327">
        <v>2020</v>
      </c>
      <c r="AD690" s="4">
        <v>0</v>
      </c>
    </row>
    <row r="691" spans="1:30" s="4" customFormat="1" ht="35.25" customHeight="1" x14ac:dyDescent="0.5">
      <c r="A691" s="4">
        <v>1</v>
      </c>
      <c r="B691" s="171">
        <f>SUBTOTAL(103,$A$8:A691)</f>
        <v>661</v>
      </c>
      <c r="C691" s="323" t="s">
        <v>2232</v>
      </c>
      <c r="D691" s="324">
        <f t="shared" si="41"/>
        <v>800005</v>
      </c>
      <c r="E691" s="325">
        <v>0</v>
      </c>
      <c r="F691" s="325">
        <v>0</v>
      </c>
      <c r="G691" s="325">
        <v>0</v>
      </c>
      <c r="H691" s="325">
        <v>0</v>
      </c>
      <c r="I691" s="325">
        <v>0</v>
      </c>
      <c r="J691" s="325">
        <v>0</v>
      </c>
      <c r="K691" s="326">
        <v>0</v>
      </c>
      <c r="L691" s="325">
        <v>0</v>
      </c>
      <c r="M691" s="325">
        <v>0</v>
      </c>
      <c r="N691" s="325">
        <v>0</v>
      </c>
      <c r="O691" s="325">
        <v>800005</v>
      </c>
      <c r="P691" s="325">
        <v>0</v>
      </c>
      <c r="Q691" s="325">
        <v>0</v>
      </c>
      <c r="R691" s="325">
        <v>0</v>
      </c>
      <c r="S691" s="325">
        <v>0</v>
      </c>
      <c r="T691" s="325">
        <v>0</v>
      </c>
      <c r="U691" s="325">
        <v>0</v>
      </c>
      <c r="V691" s="325">
        <v>0</v>
      </c>
      <c r="W691" s="325">
        <v>0</v>
      </c>
      <c r="X691" s="325">
        <v>0</v>
      </c>
      <c r="Y691" s="325">
        <v>0</v>
      </c>
      <c r="Z691" s="325">
        <v>0</v>
      </c>
      <c r="AA691" s="325">
        <v>0</v>
      </c>
      <c r="AB691" s="327">
        <v>2020</v>
      </c>
      <c r="AD691" s="4" t="e">
        <v>#N/A</v>
      </c>
    </row>
    <row r="692" spans="1:30" s="4" customFormat="1" ht="35.25" customHeight="1" x14ac:dyDescent="0.5">
      <c r="A692" s="4">
        <v>1</v>
      </c>
      <c r="B692" s="171">
        <f>SUBTOTAL(103,$A$8:A692)</f>
        <v>662</v>
      </c>
      <c r="C692" s="323" t="s">
        <v>2590</v>
      </c>
      <c r="D692" s="324">
        <f t="shared" si="41"/>
        <v>2240000</v>
      </c>
      <c r="E692" s="325">
        <v>0</v>
      </c>
      <c r="F692" s="325">
        <v>0</v>
      </c>
      <c r="G692" s="325">
        <v>0</v>
      </c>
      <c r="H692" s="325">
        <v>0</v>
      </c>
      <c r="I692" s="325">
        <v>0</v>
      </c>
      <c r="J692" s="325">
        <v>0</v>
      </c>
      <c r="K692" s="326">
        <v>0</v>
      </c>
      <c r="L692" s="325">
        <v>0</v>
      </c>
      <c r="M692" s="325">
        <v>0</v>
      </c>
      <c r="N692" s="325">
        <v>1439388</v>
      </c>
      <c r="O692" s="325">
        <v>800612</v>
      </c>
      <c r="P692" s="325">
        <v>0</v>
      </c>
      <c r="Q692" s="325">
        <v>0</v>
      </c>
      <c r="R692" s="325">
        <v>0</v>
      </c>
      <c r="S692" s="325">
        <v>0</v>
      </c>
      <c r="T692" s="325">
        <v>0</v>
      </c>
      <c r="U692" s="325">
        <v>0</v>
      </c>
      <c r="V692" s="325">
        <v>0</v>
      </c>
      <c r="W692" s="325">
        <v>0</v>
      </c>
      <c r="X692" s="325">
        <v>0</v>
      </c>
      <c r="Y692" s="325">
        <v>0</v>
      </c>
      <c r="Z692" s="325">
        <v>0</v>
      </c>
      <c r="AA692" s="325">
        <v>0</v>
      </c>
      <c r="AB692" s="327">
        <v>2020</v>
      </c>
      <c r="AD692" s="4">
        <v>0</v>
      </c>
    </row>
    <row r="693" spans="1:30" s="4" customFormat="1" ht="35.25" customHeight="1" x14ac:dyDescent="0.5">
      <c r="A693" s="4">
        <v>1</v>
      </c>
      <c r="B693" s="171">
        <f>SUBTOTAL(103,$A$8:A693)</f>
        <v>663</v>
      </c>
      <c r="C693" s="323" t="s">
        <v>2591</v>
      </c>
      <c r="D693" s="324">
        <f t="shared" si="41"/>
        <v>1823014</v>
      </c>
      <c r="E693" s="325">
        <v>0</v>
      </c>
      <c r="F693" s="325">
        <v>0</v>
      </c>
      <c r="G693" s="325">
        <v>0</v>
      </c>
      <c r="H693" s="325">
        <v>0</v>
      </c>
      <c r="I693" s="325">
        <v>573014</v>
      </c>
      <c r="J693" s="325">
        <v>0</v>
      </c>
      <c r="K693" s="326">
        <v>0</v>
      </c>
      <c r="L693" s="325">
        <v>0</v>
      </c>
      <c r="M693" s="325">
        <v>0</v>
      </c>
      <c r="N693" s="325">
        <v>1250000</v>
      </c>
      <c r="O693" s="325">
        <v>0</v>
      </c>
      <c r="P693" s="325">
        <v>0</v>
      </c>
      <c r="Q693" s="325">
        <v>0</v>
      </c>
      <c r="R693" s="325">
        <v>0</v>
      </c>
      <c r="S693" s="325">
        <v>0</v>
      </c>
      <c r="T693" s="325">
        <v>0</v>
      </c>
      <c r="U693" s="325">
        <v>0</v>
      </c>
      <c r="V693" s="325">
        <v>0</v>
      </c>
      <c r="W693" s="325">
        <v>0</v>
      </c>
      <c r="X693" s="325">
        <v>0</v>
      </c>
      <c r="Y693" s="325">
        <v>0</v>
      </c>
      <c r="Z693" s="325">
        <v>0</v>
      </c>
      <c r="AA693" s="325">
        <v>0</v>
      </c>
      <c r="AB693" s="327">
        <v>2020</v>
      </c>
      <c r="AD693" s="4">
        <v>0</v>
      </c>
    </row>
    <row r="694" spans="1:30" s="4" customFormat="1" ht="35.25" customHeight="1" x14ac:dyDescent="0.5">
      <c r="A694" s="4">
        <v>1</v>
      </c>
      <c r="B694" s="171">
        <f>SUBTOTAL(103,$A$8:A694)</f>
        <v>664</v>
      </c>
      <c r="C694" s="323" t="s">
        <v>2592</v>
      </c>
      <c r="D694" s="324">
        <f t="shared" si="41"/>
        <v>1885685</v>
      </c>
      <c r="E694" s="325">
        <v>0</v>
      </c>
      <c r="F694" s="325">
        <v>0</v>
      </c>
      <c r="G694" s="325">
        <v>0</v>
      </c>
      <c r="H694" s="325">
        <v>0</v>
      </c>
      <c r="I694" s="325">
        <v>0</v>
      </c>
      <c r="J694" s="325">
        <v>0</v>
      </c>
      <c r="K694" s="326">
        <v>0</v>
      </c>
      <c r="L694" s="325">
        <v>0</v>
      </c>
      <c r="M694" s="325">
        <v>1549685</v>
      </c>
      <c r="N694" s="325">
        <v>0</v>
      </c>
      <c r="O694" s="325">
        <v>336000</v>
      </c>
      <c r="P694" s="325">
        <v>0</v>
      </c>
      <c r="Q694" s="325">
        <v>0</v>
      </c>
      <c r="R694" s="325">
        <v>0</v>
      </c>
      <c r="S694" s="325">
        <v>0</v>
      </c>
      <c r="T694" s="325">
        <v>0</v>
      </c>
      <c r="U694" s="325">
        <v>0</v>
      </c>
      <c r="V694" s="325">
        <v>0</v>
      </c>
      <c r="W694" s="325">
        <v>0</v>
      </c>
      <c r="X694" s="325">
        <v>0</v>
      </c>
      <c r="Y694" s="325">
        <v>0</v>
      </c>
      <c r="Z694" s="325">
        <v>0</v>
      </c>
      <c r="AA694" s="325">
        <v>0</v>
      </c>
      <c r="AB694" s="327">
        <v>2020</v>
      </c>
      <c r="AD694" s="4">
        <v>0</v>
      </c>
    </row>
    <row r="695" spans="1:30" s="4" customFormat="1" ht="35.25" customHeight="1" x14ac:dyDescent="0.5">
      <c r="A695" s="4">
        <v>1</v>
      </c>
      <c r="B695" s="171">
        <f>SUBTOTAL(103,$A$8:A695)</f>
        <v>665</v>
      </c>
      <c r="C695" s="323" t="s">
        <v>2593</v>
      </c>
      <c r="D695" s="324">
        <f t="shared" si="41"/>
        <v>953170</v>
      </c>
      <c r="E695" s="325">
        <v>0</v>
      </c>
      <c r="F695" s="325">
        <v>0</v>
      </c>
      <c r="G695" s="325">
        <v>0</v>
      </c>
      <c r="H695" s="325">
        <v>0</v>
      </c>
      <c r="I695" s="325">
        <v>0</v>
      </c>
      <c r="J695" s="325">
        <v>0</v>
      </c>
      <c r="K695" s="326">
        <v>0</v>
      </c>
      <c r="L695" s="325">
        <v>0</v>
      </c>
      <c r="M695" s="325">
        <v>0</v>
      </c>
      <c r="N695" s="325">
        <v>0</v>
      </c>
      <c r="O695" s="325">
        <v>953170</v>
      </c>
      <c r="P695" s="325">
        <v>0</v>
      </c>
      <c r="Q695" s="325">
        <v>0</v>
      </c>
      <c r="R695" s="325">
        <v>0</v>
      </c>
      <c r="S695" s="325">
        <v>0</v>
      </c>
      <c r="T695" s="325">
        <v>0</v>
      </c>
      <c r="U695" s="325">
        <v>0</v>
      </c>
      <c r="V695" s="325">
        <v>0</v>
      </c>
      <c r="W695" s="325">
        <v>0</v>
      </c>
      <c r="X695" s="325">
        <v>0</v>
      </c>
      <c r="Y695" s="325">
        <v>0</v>
      </c>
      <c r="Z695" s="325">
        <v>0</v>
      </c>
      <c r="AA695" s="325">
        <v>0</v>
      </c>
      <c r="AB695" s="327">
        <v>2020</v>
      </c>
      <c r="AD695" s="4">
        <v>0</v>
      </c>
    </row>
    <row r="696" spans="1:30" s="4" customFormat="1" ht="35.25" customHeight="1" x14ac:dyDescent="0.5">
      <c r="A696" s="4">
        <v>1</v>
      </c>
      <c r="B696" s="171">
        <f>SUBTOTAL(103,$A$8:A696)</f>
        <v>666</v>
      </c>
      <c r="C696" s="323" t="s">
        <v>1853</v>
      </c>
      <c r="D696" s="324">
        <f t="shared" si="41"/>
        <v>243861</v>
      </c>
      <c r="E696" s="325">
        <v>0</v>
      </c>
      <c r="F696" s="325">
        <v>0</v>
      </c>
      <c r="G696" s="325">
        <v>0</v>
      </c>
      <c r="H696" s="325">
        <v>0</v>
      </c>
      <c r="I696" s="325">
        <v>0</v>
      </c>
      <c r="J696" s="325">
        <v>0</v>
      </c>
      <c r="K696" s="326">
        <v>0</v>
      </c>
      <c r="L696" s="325">
        <v>0</v>
      </c>
      <c r="M696" s="325">
        <v>0</v>
      </c>
      <c r="N696" s="325">
        <v>0</v>
      </c>
      <c r="O696" s="325">
        <v>243861</v>
      </c>
      <c r="P696" s="325">
        <v>0</v>
      </c>
      <c r="Q696" s="325">
        <v>0</v>
      </c>
      <c r="R696" s="325">
        <v>0</v>
      </c>
      <c r="S696" s="325">
        <v>0</v>
      </c>
      <c r="T696" s="325">
        <v>0</v>
      </c>
      <c r="U696" s="325">
        <v>0</v>
      </c>
      <c r="V696" s="325">
        <v>0</v>
      </c>
      <c r="W696" s="325">
        <v>0</v>
      </c>
      <c r="X696" s="325">
        <v>0</v>
      </c>
      <c r="Y696" s="325">
        <v>0</v>
      </c>
      <c r="Z696" s="325">
        <v>0</v>
      </c>
      <c r="AA696" s="325">
        <v>0</v>
      </c>
      <c r="AB696" s="327">
        <v>2020</v>
      </c>
      <c r="AD696" s="4">
        <v>0</v>
      </c>
    </row>
    <row r="697" spans="1:30" s="4" customFormat="1" ht="35.25" customHeight="1" x14ac:dyDescent="0.5">
      <c r="A697" s="4">
        <v>1</v>
      </c>
      <c r="B697" s="171">
        <f>SUBTOTAL(103,$A$8:A697)</f>
        <v>667</v>
      </c>
      <c r="C697" s="323" t="s">
        <v>2233</v>
      </c>
      <c r="D697" s="324">
        <f t="shared" si="41"/>
        <v>1018317</v>
      </c>
      <c r="E697" s="325">
        <v>0</v>
      </c>
      <c r="F697" s="325">
        <v>0</v>
      </c>
      <c r="G697" s="325">
        <v>0</v>
      </c>
      <c r="H697" s="325">
        <v>0</v>
      </c>
      <c r="I697" s="325">
        <v>368317</v>
      </c>
      <c r="J697" s="325">
        <v>0</v>
      </c>
      <c r="K697" s="326">
        <v>0</v>
      </c>
      <c r="L697" s="325">
        <v>0</v>
      </c>
      <c r="M697" s="325">
        <v>0</v>
      </c>
      <c r="N697" s="325">
        <v>0</v>
      </c>
      <c r="O697" s="325">
        <v>650000</v>
      </c>
      <c r="P697" s="325">
        <v>0</v>
      </c>
      <c r="Q697" s="325">
        <v>0</v>
      </c>
      <c r="R697" s="325">
        <v>0</v>
      </c>
      <c r="S697" s="325">
        <v>0</v>
      </c>
      <c r="T697" s="325">
        <v>0</v>
      </c>
      <c r="U697" s="325">
        <v>0</v>
      </c>
      <c r="V697" s="325">
        <v>0</v>
      </c>
      <c r="W697" s="325">
        <v>0</v>
      </c>
      <c r="X697" s="325">
        <v>0</v>
      </c>
      <c r="Y697" s="325">
        <v>0</v>
      </c>
      <c r="Z697" s="325">
        <v>0</v>
      </c>
      <c r="AA697" s="325">
        <v>0</v>
      </c>
      <c r="AB697" s="327">
        <v>2020</v>
      </c>
      <c r="AD697" s="4">
        <v>0</v>
      </c>
    </row>
    <row r="698" spans="1:30" s="4" customFormat="1" ht="35.25" customHeight="1" x14ac:dyDescent="0.5">
      <c r="B698" s="398" t="s">
        <v>843</v>
      </c>
      <c r="C698" s="323"/>
      <c r="D698" s="324">
        <f t="shared" ref="D698:AA698" si="42">SUM(D699:D707)</f>
        <v>10530683.57</v>
      </c>
      <c r="E698" s="324">
        <f t="shared" si="42"/>
        <v>0</v>
      </c>
      <c r="F698" s="324">
        <f t="shared" si="42"/>
        <v>0</v>
      </c>
      <c r="G698" s="324">
        <f t="shared" si="42"/>
        <v>0</v>
      </c>
      <c r="H698" s="324">
        <f t="shared" si="42"/>
        <v>0</v>
      </c>
      <c r="I698" s="324">
        <f t="shared" si="42"/>
        <v>0</v>
      </c>
      <c r="J698" s="324">
        <f t="shared" si="42"/>
        <v>0</v>
      </c>
      <c r="K698" s="399">
        <f t="shared" si="42"/>
        <v>0</v>
      </c>
      <c r="L698" s="324">
        <f t="shared" si="42"/>
        <v>0</v>
      </c>
      <c r="M698" s="324">
        <f t="shared" si="42"/>
        <v>8980738.1999999993</v>
      </c>
      <c r="N698" s="324">
        <f t="shared" si="42"/>
        <v>0</v>
      </c>
      <c r="O698" s="324">
        <f t="shared" si="42"/>
        <v>663650</v>
      </c>
      <c r="P698" s="324">
        <f t="shared" si="42"/>
        <v>886295.37</v>
      </c>
      <c r="Q698" s="324">
        <f t="shared" si="42"/>
        <v>0</v>
      </c>
      <c r="R698" s="324">
        <f t="shared" si="42"/>
        <v>0</v>
      </c>
      <c r="S698" s="324">
        <f t="shared" si="42"/>
        <v>0</v>
      </c>
      <c r="T698" s="324">
        <f t="shared" si="42"/>
        <v>0</v>
      </c>
      <c r="U698" s="324">
        <f t="shared" si="42"/>
        <v>0</v>
      </c>
      <c r="V698" s="324">
        <f t="shared" si="42"/>
        <v>0</v>
      </c>
      <c r="W698" s="324">
        <f t="shared" si="42"/>
        <v>0</v>
      </c>
      <c r="X698" s="324">
        <f t="shared" si="42"/>
        <v>0</v>
      </c>
      <c r="Y698" s="324">
        <f t="shared" si="42"/>
        <v>0</v>
      </c>
      <c r="Z698" s="324">
        <f t="shared" si="42"/>
        <v>0</v>
      </c>
      <c r="AA698" s="324">
        <f t="shared" si="42"/>
        <v>0</v>
      </c>
      <c r="AB698" s="396" t="s">
        <v>882</v>
      </c>
    </row>
    <row r="699" spans="1:30" s="4" customFormat="1" ht="35.25" customHeight="1" x14ac:dyDescent="0.5">
      <c r="A699" s="4">
        <v>1</v>
      </c>
      <c r="B699" s="171">
        <f>SUBTOTAL(103,$A$8:A699)</f>
        <v>668</v>
      </c>
      <c r="C699" s="323" t="s">
        <v>2234</v>
      </c>
      <c r="D699" s="324">
        <f t="shared" ref="D699:D707" si="43">E699+F699+G699+H699+I699+J699+L699+M699+N699+O699+P699+Q699+R699+S699+T699+U699+V699+W699+X699+Y699+Z699+AA699</f>
        <v>639795.56999999995</v>
      </c>
      <c r="E699" s="325">
        <v>0</v>
      </c>
      <c r="F699" s="325">
        <v>0</v>
      </c>
      <c r="G699" s="325">
        <v>0</v>
      </c>
      <c r="H699" s="325">
        <v>0</v>
      </c>
      <c r="I699" s="325">
        <v>0</v>
      </c>
      <c r="J699" s="325">
        <v>0</v>
      </c>
      <c r="K699" s="326">
        <v>0</v>
      </c>
      <c r="L699" s="325">
        <v>0</v>
      </c>
      <c r="M699" s="325">
        <v>410951.19999999995</v>
      </c>
      <c r="N699" s="325">
        <v>0</v>
      </c>
      <c r="O699" s="325">
        <v>0</v>
      </c>
      <c r="P699" s="325">
        <v>228844.37</v>
      </c>
      <c r="Q699" s="325">
        <v>0</v>
      </c>
      <c r="R699" s="325">
        <v>0</v>
      </c>
      <c r="S699" s="325">
        <v>0</v>
      </c>
      <c r="T699" s="325">
        <v>0</v>
      </c>
      <c r="U699" s="325">
        <v>0</v>
      </c>
      <c r="V699" s="325">
        <v>0</v>
      </c>
      <c r="W699" s="325">
        <v>0</v>
      </c>
      <c r="X699" s="325">
        <v>0</v>
      </c>
      <c r="Y699" s="325">
        <v>0</v>
      </c>
      <c r="Z699" s="325">
        <v>0</v>
      </c>
      <c r="AA699" s="325">
        <v>0</v>
      </c>
      <c r="AB699" s="327">
        <v>2020</v>
      </c>
      <c r="AD699" s="4">
        <v>0</v>
      </c>
    </row>
    <row r="700" spans="1:30" s="4" customFormat="1" ht="35.25" customHeight="1" x14ac:dyDescent="0.5">
      <c r="A700" s="4">
        <v>1</v>
      </c>
      <c r="B700" s="171">
        <f>SUBTOTAL(103,$A$8:A700)</f>
        <v>669</v>
      </c>
      <c r="C700" s="323" t="s">
        <v>2235</v>
      </c>
      <c r="D700" s="324">
        <f t="shared" si="43"/>
        <v>1940000</v>
      </c>
      <c r="E700" s="325">
        <v>0</v>
      </c>
      <c r="F700" s="325">
        <v>0</v>
      </c>
      <c r="G700" s="325">
        <v>0</v>
      </c>
      <c r="H700" s="325">
        <v>0</v>
      </c>
      <c r="I700" s="325">
        <v>0</v>
      </c>
      <c r="J700" s="325">
        <v>0</v>
      </c>
      <c r="K700" s="326">
        <v>0</v>
      </c>
      <c r="L700" s="325">
        <v>0</v>
      </c>
      <c r="M700" s="325">
        <v>1940000</v>
      </c>
      <c r="N700" s="325">
        <v>0</v>
      </c>
      <c r="O700" s="325">
        <v>0</v>
      </c>
      <c r="P700" s="325">
        <v>0</v>
      </c>
      <c r="Q700" s="325">
        <v>0</v>
      </c>
      <c r="R700" s="325">
        <v>0</v>
      </c>
      <c r="S700" s="325">
        <v>0</v>
      </c>
      <c r="T700" s="325">
        <v>0</v>
      </c>
      <c r="U700" s="325">
        <v>0</v>
      </c>
      <c r="V700" s="325">
        <v>0</v>
      </c>
      <c r="W700" s="325">
        <v>0</v>
      </c>
      <c r="X700" s="325">
        <v>0</v>
      </c>
      <c r="Y700" s="325">
        <v>0</v>
      </c>
      <c r="Z700" s="325">
        <v>0</v>
      </c>
      <c r="AA700" s="325">
        <v>0</v>
      </c>
      <c r="AB700" s="327">
        <v>2020</v>
      </c>
      <c r="AD700" s="4" t="e">
        <v>#N/A</v>
      </c>
    </row>
    <row r="701" spans="1:30" s="4" customFormat="1" ht="35.25" customHeight="1" x14ac:dyDescent="0.5">
      <c r="A701" s="4">
        <v>1</v>
      </c>
      <c r="B701" s="171">
        <f>SUBTOTAL(103,$A$8:A701)</f>
        <v>670</v>
      </c>
      <c r="C701" s="323" t="s">
        <v>2236</v>
      </c>
      <c r="D701" s="324">
        <f t="shared" si="43"/>
        <v>1363012</v>
      </c>
      <c r="E701" s="325">
        <v>0</v>
      </c>
      <c r="F701" s="325">
        <v>0</v>
      </c>
      <c r="G701" s="325">
        <v>0</v>
      </c>
      <c r="H701" s="325">
        <v>0</v>
      </c>
      <c r="I701" s="325">
        <v>0</v>
      </c>
      <c r="J701" s="325">
        <v>0</v>
      </c>
      <c r="K701" s="326">
        <v>0</v>
      </c>
      <c r="L701" s="325">
        <v>0</v>
      </c>
      <c r="M701" s="325">
        <v>1363012</v>
      </c>
      <c r="N701" s="325">
        <v>0</v>
      </c>
      <c r="O701" s="325">
        <v>0</v>
      </c>
      <c r="P701" s="325">
        <v>0</v>
      </c>
      <c r="Q701" s="325">
        <v>0</v>
      </c>
      <c r="R701" s="325">
        <v>0</v>
      </c>
      <c r="S701" s="325">
        <v>0</v>
      </c>
      <c r="T701" s="325">
        <v>0</v>
      </c>
      <c r="U701" s="325">
        <v>0</v>
      </c>
      <c r="V701" s="325">
        <v>0</v>
      </c>
      <c r="W701" s="325">
        <v>0</v>
      </c>
      <c r="X701" s="325">
        <v>0</v>
      </c>
      <c r="Y701" s="325">
        <v>0</v>
      </c>
      <c r="Z701" s="325">
        <v>0</v>
      </c>
      <c r="AA701" s="325">
        <v>0</v>
      </c>
      <c r="AB701" s="327">
        <v>2020</v>
      </c>
      <c r="AD701" s="4" t="e">
        <v>#N/A</v>
      </c>
    </row>
    <row r="702" spans="1:30" s="4" customFormat="1" ht="35.25" customHeight="1" x14ac:dyDescent="0.5">
      <c r="A702" s="4">
        <v>1</v>
      </c>
      <c r="B702" s="171">
        <f>SUBTOTAL(103,$A$8:A702)</f>
        <v>671</v>
      </c>
      <c r="C702" s="323" t="s">
        <v>2594</v>
      </c>
      <c r="D702" s="324">
        <f t="shared" si="43"/>
        <v>1275776</v>
      </c>
      <c r="E702" s="325">
        <v>0</v>
      </c>
      <c r="F702" s="325">
        <v>0</v>
      </c>
      <c r="G702" s="325">
        <v>0</v>
      </c>
      <c r="H702" s="325">
        <v>0</v>
      </c>
      <c r="I702" s="325">
        <v>0</v>
      </c>
      <c r="J702" s="325">
        <v>0</v>
      </c>
      <c r="K702" s="326">
        <v>0</v>
      </c>
      <c r="L702" s="325">
        <v>0</v>
      </c>
      <c r="M702" s="325">
        <v>1275776</v>
      </c>
      <c r="N702" s="325">
        <v>0</v>
      </c>
      <c r="O702" s="325">
        <v>0</v>
      </c>
      <c r="P702" s="325">
        <v>0</v>
      </c>
      <c r="Q702" s="325">
        <v>0</v>
      </c>
      <c r="R702" s="325">
        <v>0</v>
      </c>
      <c r="S702" s="325">
        <v>0</v>
      </c>
      <c r="T702" s="325">
        <v>0</v>
      </c>
      <c r="U702" s="325">
        <v>0</v>
      </c>
      <c r="V702" s="325">
        <v>0</v>
      </c>
      <c r="W702" s="325">
        <v>0</v>
      </c>
      <c r="X702" s="325">
        <v>0</v>
      </c>
      <c r="Y702" s="325">
        <v>0</v>
      </c>
      <c r="Z702" s="325">
        <v>0</v>
      </c>
      <c r="AA702" s="325">
        <v>0</v>
      </c>
      <c r="AB702" s="327">
        <v>2020</v>
      </c>
      <c r="AD702" s="4">
        <v>0</v>
      </c>
    </row>
    <row r="703" spans="1:30" s="4" customFormat="1" ht="35.25" customHeight="1" x14ac:dyDescent="0.5">
      <c r="A703" s="4">
        <v>1</v>
      </c>
      <c r="B703" s="171">
        <f>SUBTOTAL(103,$A$8:A703)</f>
        <v>672</v>
      </c>
      <c r="C703" s="323" t="s">
        <v>2595</v>
      </c>
      <c r="D703" s="324">
        <f t="shared" si="43"/>
        <v>1408680</v>
      </c>
      <c r="E703" s="325">
        <v>0</v>
      </c>
      <c r="F703" s="325">
        <v>0</v>
      </c>
      <c r="G703" s="325">
        <v>0</v>
      </c>
      <c r="H703" s="325">
        <v>0</v>
      </c>
      <c r="I703" s="325">
        <v>0</v>
      </c>
      <c r="J703" s="325">
        <v>0</v>
      </c>
      <c r="K703" s="326">
        <v>0</v>
      </c>
      <c r="L703" s="325">
        <v>0</v>
      </c>
      <c r="M703" s="325">
        <v>1408680</v>
      </c>
      <c r="N703" s="325">
        <v>0</v>
      </c>
      <c r="O703" s="325">
        <v>0</v>
      </c>
      <c r="P703" s="325">
        <v>0</v>
      </c>
      <c r="Q703" s="325">
        <v>0</v>
      </c>
      <c r="R703" s="325">
        <v>0</v>
      </c>
      <c r="S703" s="325">
        <v>0</v>
      </c>
      <c r="T703" s="325">
        <v>0</v>
      </c>
      <c r="U703" s="325">
        <v>0</v>
      </c>
      <c r="V703" s="325">
        <v>0</v>
      </c>
      <c r="W703" s="325">
        <v>0</v>
      </c>
      <c r="X703" s="325">
        <v>0</v>
      </c>
      <c r="Y703" s="325">
        <v>0</v>
      </c>
      <c r="Z703" s="325">
        <v>0</v>
      </c>
      <c r="AA703" s="325">
        <v>0</v>
      </c>
      <c r="AB703" s="327">
        <v>2020</v>
      </c>
      <c r="AD703" s="4">
        <v>0</v>
      </c>
    </row>
    <row r="704" spans="1:30" s="4" customFormat="1" ht="35.25" customHeight="1" x14ac:dyDescent="0.5">
      <c r="A704" s="4">
        <v>1</v>
      </c>
      <c r="B704" s="171">
        <f>SUBTOTAL(103,$A$8:A704)</f>
        <v>673</v>
      </c>
      <c r="C704" s="323" t="s">
        <v>2596</v>
      </c>
      <c r="D704" s="324">
        <f t="shared" si="43"/>
        <v>1180351</v>
      </c>
      <c r="E704" s="325">
        <v>0</v>
      </c>
      <c r="F704" s="325">
        <v>0</v>
      </c>
      <c r="G704" s="325">
        <v>0</v>
      </c>
      <c r="H704" s="325">
        <v>0</v>
      </c>
      <c r="I704" s="325">
        <v>0</v>
      </c>
      <c r="J704" s="325">
        <v>0</v>
      </c>
      <c r="K704" s="326">
        <v>0</v>
      </c>
      <c r="L704" s="325">
        <v>0</v>
      </c>
      <c r="M704" s="325">
        <v>1180351</v>
      </c>
      <c r="N704" s="325">
        <v>0</v>
      </c>
      <c r="O704" s="325">
        <v>0</v>
      </c>
      <c r="P704" s="325">
        <v>0</v>
      </c>
      <c r="Q704" s="325">
        <v>0</v>
      </c>
      <c r="R704" s="325">
        <v>0</v>
      </c>
      <c r="S704" s="325">
        <v>0</v>
      </c>
      <c r="T704" s="325">
        <v>0</v>
      </c>
      <c r="U704" s="325">
        <v>0</v>
      </c>
      <c r="V704" s="325">
        <v>0</v>
      </c>
      <c r="W704" s="325">
        <v>0</v>
      </c>
      <c r="X704" s="325">
        <v>0</v>
      </c>
      <c r="Y704" s="325">
        <v>0</v>
      </c>
      <c r="Z704" s="325">
        <v>0</v>
      </c>
      <c r="AA704" s="325">
        <v>0</v>
      </c>
      <c r="AB704" s="327">
        <v>2020</v>
      </c>
      <c r="AD704" s="4">
        <v>0</v>
      </c>
    </row>
    <row r="705" spans="1:30" s="4" customFormat="1" ht="35.25" customHeight="1" x14ac:dyDescent="0.5">
      <c r="A705" s="4">
        <v>1</v>
      </c>
      <c r="B705" s="171">
        <f>SUBTOTAL(103,$A$8:A705)</f>
        <v>674</v>
      </c>
      <c r="C705" s="323" t="s">
        <v>2597</v>
      </c>
      <c r="D705" s="324">
        <f t="shared" si="43"/>
        <v>1401968</v>
      </c>
      <c r="E705" s="325">
        <v>0</v>
      </c>
      <c r="F705" s="325">
        <v>0</v>
      </c>
      <c r="G705" s="325">
        <v>0</v>
      </c>
      <c r="H705" s="325">
        <v>0</v>
      </c>
      <c r="I705" s="325">
        <v>0</v>
      </c>
      <c r="J705" s="325">
        <v>0</v>
      </c>
      <c r="K705" s="326">
        <v>0</v>
      </c>
      <c r="L705" s="325">
        <v>0</v>
      </c>
      <c r="M705" s="325">
        <v>1401968</v>
      </c>
      <c r="N705" s="325">
        <v>0</v>
      </c>
      <c r="O705" s="325">
        <v>0</v>
      </c>
      <c r="P705" s="325">
        <v>0</v>
      </c>
      <c r="Q705" s="325">
        <v>0</v>
      </c>
      <c r="R705" s="325">
        <v>0</v>
      </c>
      <c r="S705" s="325">
        <v>0</v>
      </c>
      <c r="T705" s="325">
        <v>0</v>
      </c>
      <c r="U705" s="325">
        <v>0</v>
      </c>
      <c r="V705" s="325">
        <v>0</v>
      </c>
      <c r="W705" s="325">
        <v>0</v>
      </c>
      <c r="X705" s="325">
        <v>0</v>
      </c>
      <c r="Y705" s="325">
        <v>0</v>
      </c>
      <c r="Z705" s="325">
        <v>0</v>
      </c>
      <c r="AA705" s="325">
        <v>0</v>
      </c>
      <c r="AB705" s="327">
        <v>2020</v>
      </c>
      <c r="AD705" s="4">
        <v>0</v>
      </c>
    </row>
    <row r="706" spans="1:30" s="4" customFormat="1" ht="35.25" customHeight="1" x14ac:dyDescent="0.5">
      <c r="A706" s="4">
        <v>1</v>
      </c>
      <c r="B706" s="171">
        <f>SUBTOTAL(103,$A$8:A706)</f>
        <v>675</v>
      </c>
      <c r="C706" s="323" t="s">
        <v>2598</v>
      </c>
      <c r="D706" s="324">
        <f t="shared" si="43"/>
        <v>657451</v>
      </c>
      <c r="E706" s="325">
        <v>0</v>
      </c>
      <c r="F706" s="325">
        <v>0</v>
      </c>
      <c r="G706" s="325">
        <v>0</v>
      </c>
      <c r="H706" s="325">
        <v>0</v>
      </c>
      <c r="I706" s="325">
        <v>0</v>
      </c>
      <c r="J706" s="325">
        <v>0</v>
      </c>
      <c r="K706" s="326">
        <v>0</v>
      </c>
      <c r="L706" s="325">
        <v>0</v>
      </c>
      <c r="M706" s="325">
        <v>0</v>
      </c>
      <c r="N706" s="325">
        <v>0</v>
      </c>
      <c r="O706" s="325">
        <v>0</v>
      </c>
      <c r="P706" s="325">
        <v>657451</v>
      </c>
      <c r="Q706" s="325">
        <v>0</v>
      </c>
      <c r="R706" s="325">
        <v>0</v>
      </c>
      <c r="S706" s="325">
        <v>0</v>
      </c>
      <c r="T706" s="325">
        <v>0</v>
      </c>
      <c r="U706" s="325">
        <v>0</v>
      </c>
      <c r="V706" s="325">
        <v>0</v>
      </c>
      <c r="W706" s="325">
        <v>0</v>
      </c>
      <c r="X706" s="325">
        <v>0</v>
      </c>
      <c r="Y706" s="325">
        <v>0</v>
      </c>
      <c r="Z706" s="325">
        <v>0</v>
      </c>
      <c r="AA706" s="325">
        <v>0</v>
      </c>
      <c r="AB706" s="327">
        <v>2020</v>
      </c>
      <c r="AD706" s="4">
        <v>0</v>
      </c>
    </row>
    <row r="707" spans="1:30" s="4" customFormat="1" ht="35.25" customHeight="1" x14ac:dyDescent="0.5">
      <c r="A707" s="4">
        <v>1</v>
      </c>
      <c r="B707" s="171">
        <f>SUBTOTAL(103,$A$8:A707)</f>
        <v>676</v>
      </c>
      <c r="C707" s="323" t="s">
        <v>2237</v>
      </c>
      <c r="D707" s="324">
        <f t="shared" si="43"/>
        <v>663650</v>
      </c>
      <c r="E707" s="325">
        <v>0</v>
      </c>
      <c r="F707" s="325">
        <v>0</v>
      </c>
      <c r="G707" s="325">
        <v>0</v>
      </c>
      <c r="H707" s="325">
        <v>0</v>
      </c>
      <c r="I707" s="325">
        <v>0</v>
      </c>
      <c r="J707" s="325">
        <v>0</v>
      </c>
      <c r="K707" s="326">
        <v>0</v>
      </c>
      <c r="L707" s="325">
        <v>0</v>
      </c>
      <c r="M707" s="325">
        <v>0</v>
      </c>
      <c r="N707" s="325">
        <v>0</v>
      </c>
      <c r="O707" s="325">
        <v>663650</v>
      </c>
      <c r="P707" s="325">
        <v>0</v>
      </c>
      <c r="Q707" s="325">
        <v>0</v>
      </c>
      <c r="R707" s="325">
        <v>0</v>
      </c>
      <c r="S707" s="325">
        <v>0</v>
      </c>
      <c r="T707" s="325">
        <v>0</v>
      </c>
      <c r="U707" s="325">
        <v>0</v>
      </c>
      <c r="V707" s="325">
        <v>0</v>
      </c>
      <c r="W707" s="325">
        <v>0</v>
      </c>
      <c r="X707" s="325">
        <v>0</v>
      </c>
      <c r="Y707" s="325">
        <v>0</v>
      </c>
      <c r="Z707" s="325">
        <v>0</v>
      </c>
      <c r="AA707" s="325">
        <v>0</v>
      </c>
      <c r="AB707" s="327">
        <v>2020</v>
      </c>
      <c r="AD707" s="4" t="e">
        <v>#N/A</v>
      </c>
    </row>
    <row r="708" spans="1:30" s="4" customFormat="1" ht="35.25" customHeight="1" x14ac:dyDescent="0.5">
      <c r="B708" s="398" t="s">
        <v>851</v>
      </c>
      <c r="C708" s="323"/>
      <c r="D708" s="324">
        <f>SUM(D709:D718)</f>
        <v>5406373.79</v>
      </c>
      <c r="E708" s="324">
        <f t="shared" ref="E708:AA708" si="44">SUM(E709:E718)</f>
        <v>0</v>
      </c>
      <c r="F708" s="324">
        <f t="shared" si="44"/>
        <v>0</v>
      </c>
      <c r="G708" s="324">
        <f t="shared" si="44"/>
        <v>0</v>
      </c>
      <c r="H708" s="324">
        <f t="shared" si="44"/>
        <v>0</v>
      </c>
      <c r="I708" s="324">
        <f t="shared" si="44"/>
        <v>617671.73</v>
      </c>
      <c r="J708" s="324">
        <f t="shared" si="44"/>
        <v>0</v>
      </c>
      <c r="K708" s="399">
        <f t="shared" si="44"/>
        <v>0</v>
      </c>
      <c r="L708" s="324">
        <f t="shared" si="44"/>
        <v>0</v>
      </c>
      <c r="M708" s="324">
        <f t="shared" si="44"/>
        <v>0</v>
      </c>
      <c r="N708" s="324">
        <f t="shared" si="44"/>
        <v>78045.73</v>
      </c>
      <c r="O708" s="324">
        <f t="shared" si="44"/>
        <v>4546626.53</v>
      </c>
      <c r="P708" s="324">
        <f t="shared" si="44"/>
        <v>164029.79999999999</v>
      </c>
      <c r="Q708" s="324">
        <f t="shared" si="44"/>
        <v>0</v>
      </c>
      <c r="R708" s="324">
        <f t="shared" si="44"/>
        <v>0</v>
      </c>
      <c r="S708" s="324">
        <f t="shared" si="44"/>
        <v>0</v>
      </c>
      <c r="T708" s="324">
        <f t="shared" si="44"/>
        <v>0</v>
      </c>
      <c r="U708" s="324">
        <f t="shared" si="44"/>
        <v>0</v>
      </c>
      <c r="V708" s="324">
        <f t="shared" si="44"/>
        <v>0</v>
      </c>
      <c r="W708" s="324">
        <f t="shared" si="44"/>
        <v>0</v>
      </c>
      <c r="X708" s="324">
        <f t="shared" si="44"/>
        <v>0</v>
      </c>
      <c r="Y708" s="324">
        <f t="shared" si="44"/>
        <v>0</v>
      </c>
      <c r="Z708" s="324">
        <f t="shared" si="44"/>
        <v>0</v>
      </c>
      <c r="AA708" s="324">
        <f t="shared" si="44"/>
        <v>0</v>
      </c>
      <c r="AB708" s="396" t="s">
        <v>882</v>
      </c>
    </row>
    <row r="709" spans="1:30" s="4" customFormat="1" ht="35.25" customHeight="1" x14ac:dyDescent="0.5">
      <c r="A709" s="4">
        <v>1</v>
      </c>
      <c r="B709" s="171">
        <f>SUBTOTAL(103,$A$8:A709)</f>
        <v>677</v>
      </c>
      <c r="C709" s="323" t="s">
        <v>2238</v>
      </c>
      <c r="D709" s="324">
        <f t="shared" ref="D709:D718" si="45">E709+F709+G709+H709+I709+J709+L709+M709+N709+O709+P709+Q709+R709+S709+T709+U709+V709+W709+X709+Y709+Z709+AA709</f>
        <v>190801.84</v>
      </c>
      <c r="E709" s="325">
        <v>0</v>
      </c>
      <c r="F709" s="325">
        <v>0</v>
      </c>
      <c r="G709" s="325">
        <v>0</v>
      </c>
      <c r="H709" s="325">
        <v>0</v>
      </c>
      <c r="I709" s="325">
        <v>0</v>
      </c>
      <c r="J709" s="325">
        <v>0</v>
      </c>
      <c r="K709" s="326">
        <v>0</v>
      </c>
      <c r="L709" s="325">
        <v>0</v>
      </c>
      <c r="M709" s="325">
        <v>0</v>
      </c>
      <c r="N709" s="325">
        <v>0</v>
      </c>
      <c r="O709" s="325">
        <v>190801.84</v>
      </c>
      <c r="P709" s="325">
        <v>0</v>
      </c>
      <c r="Q709" s="325">
        <v>0</v>
      </c>
      <c r="R709" s="325">
        <v>0</v>
      </c>
      <c r="S709" s="325">
        <v>0</v>
      </c>
      <c r="T709" s="325">
        <v>0</v>
      </c>
      <c r="U709" s="325">
        <v>0</v>
      </c>
      <c r="V709" s="325">
        <v>0</v>
      </c>
      <c r="W709" s="325">
        <v>0</v>
      </c>
      <c r="X709" s="325">
        <v>0</v>
      </c>
      <c r="Y709" s="325">
        <v>0</v>
      </c>
      <c r="Z709" s="325">
        <v>0</v>
      </c>
      <c r="AA709" s="325">
        <v>0</v>
      </c>
      <c r="AB709" s="327">
        <v>2020</v>
      </c>
      <c r="AD709" s="4" t="e">
        <v>#N/A</v>
      </c>
    </row>
    <row r="710" spans="1:30" s="4" customFormat="1" ht="35.25" customHeight="1" x14ac:dyDescent="0.5">
      <c r="A710" s="4">
        <v>1</v>
      </c>
      <c r="B710" s="171">
        <f>SUBTOTAL(103,$A$8:A710)</f>
        <v>678</v>
      </c>
      <c r="C710" s="323" t="s">
        <v>2239</v>
      </c>
      <c r="D710" s="324">
        <f t="shared" si="45"/>
        <v>78045.73</v>
      </c>
      <c r="E710" s="325">
        <v>0</v>
      </c>
      <c r="F710" s="325">
        <v>0</v>
      </c>
      <c r="G710" s="325">
        <v>0</v>
      </c>
      <c r="H710" s="325">
        <v>0</v>
      </c>
      <c r="I710" s="325">
        <v>0</v>
      </c>
      <c r="J710" s="325">
        <v>0</v>
      </c>
      <c r="K710" s="326">
        <v>0</v>
      </c>
      <c r="L710" s="325">
        <v>0</v>
      </c>
      <c r="M710" s="325">
        <v>0</v>
      </c>
      <c r="N710" s="325">
        <v>78045.73</v>
      </c>
      <c r="O710" s="325">
        <v>0</v>
      </c>
      <c r="P710" s="325">
        <v>0</v>
      </c>
      <c r="Q710" s="325">
        <v>0</v>
      </c>
      <c r="R710" s="325">
        <v>0</v>
      </c>
      <c r="S710" s="325">
        <v>0</v>
      </c>
      <c r="T710" s="325">
        <v>0</v>
      </c>
      <c r="U710" s="325">
        <v>0</v>
      </c>
      <c r="V710" s="325">
        <v>0</v>
      </c>
      <c r="W710" s="325">
        <v>0</v>
      </c>
      <c r="X710" s="325">
        <v>0</v>
      </c>
      <c r="Y710" s="325">
        <v>0</v>
      </c>
      <c r="Z710" s="325">
        <v>0</v>
      </c>
      <c r="AA710" s="325">
        <v>0</v>
      </c>
      <c r="AB710" s="327">
        <v>2020</v>
      </c>
      <c r="AD710" s="4" t="e">
        <v>#N/A</v>
      </c>
    </row>
    <row r="711" spans="1:30" s="4" customFormat="1" ht="35.25" customHeight="1" x14ac:dyDescent="0.5">
      <c r="A711" s="4">
        <v>1</v>
      </c>
      <c r="B711" s="171">
        <f>SUBTOTAL(103,$A$8:A711)</f>
        <v>679</v>
      </c>
      <c r="C711" s="323" t="s">
        <v>2240</v>
      </c>
      <c r="D711" s="324">
        <f t="shared" si="45"/>
        <v>282509.7</v>
      </c>
      <c r="E711" s="325">
        <v>0</v>
      </c>
      <c r="F711" s="325">
        <v>0</v>
      </c>
      <c r="G711" s="325">
        <v>0</v>
      </c>
      <c r="H711" s="325">
        <v>0</v>
      </c>
      <c r="I711" s="325">
        <v>0</v>
      </c>
      <c r="J711" s="325">
        <v>0</v>
      </c>
      <c r="K711" s="326">
        <v>0</v>
      </c>
      <c r="L711" s="325">
        <v>0</v>
      </c>
      <c r="M711" s="325">
        <v>0</v>
      </c>
      <c r="N711" s="325">
        <v>0</v>
      </c>
      <c r="O711" s="325">
        <v>282509.7</v>
      </c>
      <c r="P711" s="325">
        <v>0</v>
      </c>
      <c r="Q711" s="325">
        <v>0</v>
      </c>
      <c r="R711" s="325">
        <v>0</v>
      </c>
      <c r="S711" s="325">
        <v>0</v>
      </c>
      <c r="T711" s="325">
        <v>0</v>
      </c>
      <c r="U711" s="325">
        <v>0</v>
      </c>
      <c r="V711" s="325">
        <v>0</v>
      </c>
      <c r="W711" s="325">
        <v>0</v>
      </c>
      <c r="X711" s="325">
        <v>0</v>
      </c>
      <c r="Y711" s="325">
        <v>0</v>
      </c>
      <c r="Z711" s="325">
        <v>0</v>
      </c>
      <c r="AA711" s="325">
        <v>0</v>
      </c>
      <c r="AB711" s="327">
        <v>2020</v>
      </c>
      <c r="AD711" s="4" t="e">
        <v>#N/A</v>
      </c>
    </row>
    <row r="712" spans="1:30" s="4" customFormat="1" ht="35.25" customHeight="1" x14ac:dyDescent="0.5">
      <c r="A712" s="4">
        <v>1</v>
      </c>
      <c r="B712" s="171">
        <f>SUBTOTAL(103,$A$8:A712)</f>
        <v>680</v>
      </c>
      <c r="C712" s="323" t="s">
        <v>2241</v>
      </c>
      <c r="D712" s="324">
        <f t="shared" si="45"/>
        <v>1726092.37</v>
      </c>
      <c r="E712" s="325">
        <v>0</v>
      </c>
      <c r="F712" s="325">
        <v>0</v>
      </c>
      <c r="G712" s="325">
        <v>0</v>
      </c>
      <c r="H712" s="325">
        <v>0</v>
      </c>
      <c r="I712" s="325">
        <v>400852</v>
      </c>
      <c r="J712" s="325">
        <v>0</v>
      </c>
      <c r="K712" s="326">
        <v>0</v>
      </c>
      <c r="L712" s="325">
        <v>0</v>
      </c>
      <c r="M712" s="325">
        <v>0</v>
      </c>
      <c r="N712" s="325">
        <v>0</v>
      </c>
      <c r="O712" s="325">
        <v>1325240.3700000001</v>
      </c>
      <c r="P712" s="325">
        <v>0</v>
      </c>
      <c r="Q712" s="325">
        <v>0</v>
      </c>
      <c r="R712" s="325">
        <v>0</v>
      </c>
      <c r="S712" s="325">
        <v>0</v>
      </c>
      <c r="T712" s="325">
        <v>0</v>
      </c>
      <c r="U712" s="325">
        <v>0</v>
      </c>
      <c r="V712" s="325">
        <v>0</v>
      </c>
      <c r="W712" s="325">
        <v>0</v>
      </c>
      <c r="X712" s="325">
        <v>0</v>
      </c>
      <c r="Y712" s="325">
        <v>0</v>
      </c>
      <c r="Z712" s="325">
        <v>0</v>
      </c>
      <c r="AA712" s="325">
        <v>0</v>
      </c>
      <c r="AB712" s="327">
        <v>2020</v>
      </c>
      <c r="AD712" s="4">
        <v>0</v>
      </c>
    </row>
    <row r="713" spans="1:30" s="4" customFormat="1" ht="35.25" customHeight="1" x14ac:dyDescent="0.5">
      <c r="A713" s="4">
        <v>1</v>
      </c>
      <c r="B713" s="171">
        <f>SUBTOTAL(103,$A$8:A713)</f>
        <v>681</v>
      </c>
      <c r="C713" s="323" t="s">
        <v>2599</v>
      </c>
      <c r="D713" s="324">
        <f t="shared" si="45"/>
        <v>744990</v>
      </c>
      <c r="E713" s="325">
        <v>0</v>
      </c>
      <c r="F713" s="325">
        <v>0</v>
      </c>
      <c r="G713" s="325">
        <v>0</v>
      </c>
      <c r="H713" s="325">
        <v>0</v>
      </c>
      <c r="I713" s="325">
        <v>0</v>
      </c>
      <c r="J713" s="325">
        <v>0</v>
      </c>
      <c r="K713" s="326">
        <v>0</v>
      </c>
      <c r="L713" s="325">
        <v>0</v>
      </c>
      <c r="M713" s="325">
        <v>0</v>
      </c>
      <c r="N713" s="325">
        <v>0</v>
      </c>
      <c r="O713" s="325">
        <v>744990</v>
      </c>
      <c r="P713" s="325">
        <v>0</v>
      </c>
      <c r="Q713" s="325">
        <v>0</v>
      </c>
      <c r="R713" s="325">
        <v>0</v>
      </c>
      <c r="S713" s="325">
        <v>0</v>
      </c>
      <c r="T713" s="325">
        <v>0</v>
      </c>
      <c r="U713" s="325">
        <v>0</v>
      </c>
      <c r="V713" s="325">
        <v>0</v>
      </c>
      <c r="W713" s="325">
        <v>0</v>
      </c>
      <c r="X713" s="325">
        <v>0</v>
      </c>
      <c r="Y713" s="325">
        <v>0</v>
      </c>
      <c r="Z713" s="325">
        <v>0</v>
      </c>
      <c r="AA713" s="325">
        <v>0</v>
      </c>
      <c r="AB713" s="327">
        <v>2020</v>
      </c>
      <c r="AD713" s="4">
        <v>0</v>
      </c>
    </row>
    <row r="714" spans="1:30" s="4" customFormat="1" ht="35.25" customHeight="1" x14ac:dyDescent="0.5">
      <c r="A714" s="4">
        <v>1</v>
      </c>
      <c r="B714" s="171">
        <f>SUBTOTAL(103,$A$8:A714)</f>
        <v>682</v>
      </c>
      <c r="C714" s="323" t="s">
        <v>2600</v>
      </c>
      <c r="D714" s="324">
        <f t="shared" si="45"/>
        <v>920919</v>
      </c>
      <c r="E714" s="325">
        <v>0</v>
      </c>
      <c r="F714" s="325">
        <v>0</v>
      </c>
      <c r="G714" s="325">
        <v>0</v>
      </c>
      <c r="H714" s="325">
        <v>0</v>
      </c>
      <c r="I714" s="325">
        <v>0</v>
      </c>
      <c r="J714" s="325">
        <v>0</v>
      </c>
      <c r="K714" s="326">
        <v>0</v>
      </c>
      <c r="L714" s="325">
        <v>0</v>
      </c>
      <c r="M714" s="325">
        <v>0</v>
      </c>
      <c r="N714" s="325">
        <v>0</v>
      </c>
      <c r="O714" s="325">
        <v>920919</v>
      </c>
      <c r="P714" s="325">
        <v>0</v>
      </c>
      <c r="Q714" s="325">
        <v>0</v>
      </c>
      <c r="R714" s="325">
        <v>0</v>
      </c>
      <c r="S714" s="325">
        <v>0</v>
      </c>
      <c r="T714" s="325">
        <v>0</v>
      </c>
      <c r="U714" s="325">
        <v>0</v>
      </c>
      <c r="V714" s="325">
        <v>0</v>
      </c>
      <c r="W714" s="325">
        <v>0</v>
      </c>
      <c r="X714" s="325">
        <v>0</v>
      </c>
      <c r="Y714" s="325">
        <v>0</v>
      </c>
      <c r="Z714" s="325">
        <v>0</v>
      </c>
      <c r="AA714" s="325">
        <v>0</v>
      </c>
      <c r="AB714" s="327">
        <v>2020</v>
      </c>
      <c r="AD714" s="4">
        <v>0</v>
      </c>
    </row>
    <row r="715" spans="1:30" s="4" customFormat="1" ht="35.25" customHeight="1" x14ac:dyDescent="0.5">
      <c r="A715" s="4">
        <v>1</v>
      </c>
      <c r="B715" s="171">
        <f>SUBTOTAL(103,$A$8:A715)</f>
        <v>683</v>
      </c>
      <c r="C715" s="323" t="s">
        <v>2601</v>
      </c>
      <c r="D715" s="324">
        <f t="shared" si="45"/>
        <v>424001.66</v>
      </c>
      <c r="E715" s="325">
        <v>0</v>
      </c>
      <c r="F715" s="325">
        <v>0</v>
      </c>
      <c r="G715" s="325">
        <v>0</v>
      </c>
      <c r="H715" s="325">
        <v>0</v>
      </c>
      <c r="I715" s="325">
        <v>0</v>
      </c>
      <c r="J715" s="325">
        <v>0</v>
      </c>
      <c r="K715" s="326">
        <v>0</v>
      </c>
      <c r="L715" s="325">
        <v>0</v>
      </c>
      <c r="M715" s="325">
        <v>0</v>
      </c>
      <c r="N715" s="325">
        <v>0</v>
      </c>
      <c r="O715" s="325">
        <v>424001.66</v>
      </c>
      <c r="P715" s="325">
        <v>0</v>
      </c>
      <c r="Q715" s="325">
        <v>0</v>
      </c>
      <c r="R715" s="325">
        <v>0</v>
      </c>
      <c r="S715" s="325">
        <v>0</v>
      </c>
      <c r="T715" s="325">
        <v>0</v>
      </c>
      <c r="U715" s="325">
        <v>0</v>
      </c>
      <c r="V715" s="325">
        <v>0</v>
      </c>
      <c r="W715" s="325">
        <v>0</v>
      </c>
      <c r="X715" s="325">
        <v>0</v>
      </c>
      <c r="Y715" s="325">
        <v>0</v>
      </c>
      <c r="Z715" s="325">
        <v>0</v>
      </c>
      <c r="AA715" s="325">
        <v>0</v>
      </c>
      <c r="AB715" s="327">
        <v>2020</v>
      </c>
      <c r="AD715" s="4">
        <v>0</v>
      </c>
    </row>
    <row r="716" spans="1:30" s="4" customFormat="1" ht="35.25" customHeight="1" x14ac:dyDescent="0.5">
      <c r="A716" s="4">
        <v>1</v>
      </c>
      <c r="B716" s="171">
        <f>SUBTOTAL(103,$A$8:A716)</f>
        <v>684</v>
      </c>
      <c r="C716" s="323" t="s">
        <v>2242</v>
      </c>
      <c r="D716" s="324">
        <f t="shared" si="45"/>
        <v>658163.96</v>
      </c>
      <c r="E716" s="325">
        <v>0</v>
      </c>
      <c r="F716" s="325">
        <v>0</v>
      </c>
      <c r="G716" s="325">
        <v>0</v>
      </c>
      <c r="H716" s="325">
        <v>0</v>
      </c>
      <c r="I716" s="325">
        <v>0</v>
      </c>
      <c r="J716" s="325">
        <v>0</v>
      </c>
      <c r="K716" s="326">
        <v>0</v>
      </c>
      <c r="L716" s="325">
        <v>0</v>
      </c>
      <c r="M716" s="325">
        <v>0</v>
      </c>
      <c r="N716" s="325">
        <v>0</v>
      </c>
      <c r="O716" s="325">
        <v>658163.96</v>
      </c>
      <c r="P716" s="325">
        <v>0</v>
      </c>
      <c r="Q716" s="325">
        <v>0</v>
      </c>
      <c r="R716" s="325">
        <v>0</v>
      </c>
      <c r="S716" s="325">
        <v>0</v>
      </c>
      <c r="T716" s="325">
        <v>0</v>
      </c>
      <c r="U716" s="325">
        <v>0</v>
      </c>
      <c r="V716" s="325">
        <v>0</v>
      </c>
      <c r="W716" s="325">
        <v>0</v>
      </c>
      <c r="X716" s="325">
        <v>0</v>
      </c>
      <c r="Y716" s="325">
        <v>0</v>
      </c>
      <c r="Z716" s="325">
        <v>0</v>
      </c>
      <c r="AA716" s="325">
        <v>0</v>
      </c>
      <c r="AB716" s="327">
        <v>2020</v>
      </c>
      <c r="AD716" s="4" t="e">
        <v>#N/A</v>
      </c>
    </row>
    <row r="717" spans="1:30" s="4" customFormat="1" ht="35.25" customHeight="1" x14ac:dyDescent="0.5">
      <c r="A717" s="4">
        <v>1</v>
      </c>
      <c r="B717" s="171">
        <f>SUBTOTAL(103,$A$8:A717)</f>
        <v>685</v>
      </c>
      <c r="C717" s="323" t="s">
        <v>2404</v>
      </c>
      <c r="D717" s="324">
        <f t="shared" si="45"/>
        <v>216819.73</v>
      </c>
      <c r="E717" s="325">
        <v>0</v>
      </c>
      <c r="F717" s="325">
        <v>0</v>
      </c>
      <c r="G717" s="325">
        <v>0</v>
      </c>
      <c r="H717" s="325">
        <v>0</v>
      </c>
      <c r="I717" s="325">
        <v>216819.73</v>
      </c>
      <c r="J717" s="325">
        <v>0</v>
      </c>
      <c r="K717" s="326">
        <v>0</v>
      </c>
      <c r="L717" s="325">
        <v>0</v>
      </c>
      <c r="M717" s="325">
        <v>0</v>
      </c>
      <c r="N717" s="325">
        <v>0</v>
      </c>
      <c r="O717" s="325">
        <v>0</v>
      </c>
      <c r="P717" s="325">
        <v>0</v>
      </c>
      <c r="Q717" s="325">
        <v>0</v>
      </c>
      <c r="R717" s="325">
        <v>0</v>
      </c>
      <c r="S717" s="325">
        <v>0</v>
      </c>
      <c r="T717" s="325">
        <v>0</v>
      </c>
      <c r="U717" s="325">
        <v>0</v>
      </c>
      <c r="V717" s="325">
        <v>0</v>
      </c>
      <c r="W717" s="325">
        <v>0</v>
      </c>
      <c r="X717" s="325">
        <v>0</v>
      </c>
      <c r="Y717" s="325">
        <v>0</v>
      </c>
      <c r="Z717" s="325">
        <v>0</v>
      </c>
      <c r="AA717" s="325">
        <v>0</v>
      </c>
      <c r="AB717" s="327">
        <v>2020</v>
      </c>
      <c r="AD717" s="4" t="e">
        <v>#N/A</v>
      </c>
    </row>
    <row r="718" spans="1:30" s="4" customFormat="1" ht="35.25" customHeight="1" x14ac:dyDescent="0.5">
      <c r="A718" s="4">
        <v>1</v>
      </c>
      <c r="B718" s="171">
        <f>SUBTOTAL(103,$A$8:A718)</f>
        <v>686</v>
      </c>
      <c r="C718" s="323" t="s">
        <v>2243</v>
      </c>
      <c r="D718" s="324">
        <f t="shared" si="45"/>
        <v>164029.79999999999</v>
      </c>
      <c r="E718" s="325">
        <v>0</v>
      </c>
      <c r="F718" s="325">
        <v>0</v>
      </c>
      <c r="G718" s="325">
        <v>0</v>
      </c>
      <c r="H718" s="325">
        <v>0</v>
      </c>
      <c r="I718" s="325">
        <v>0</v>
      </c>
      <c r="J718" s="325">
        <v>0</v>
      </c>
      <c r="K718" s="326">
        <v>0</v>
      </c>
      <c r="L718" s="325">
        <v>0</v>
      </c>
      <c r="M718" s="325">
        <v>0</v>
      </c>
      <c r="N718" s="325">
        <v>0</v>
      </c>
      <c r="O718" s="325">
        <v>0</v>
      </c>
      <c r="P718" s="325">
        <v>164029.79999999999</v>
      </c>
      <c r="Q718" s="325">
        <v>0</v>
      </c>
      <c r="R718" s="325">
        <v>0</v>
      </c>
      <c r="S718" s="325">
        <v>0</v>
      </c>
      <c r="T718" s="325">
        <v>0</v>
      </c>
      <c r="U718" s="325">
        <v>0</v>
      </c>
      <c r="V718" s="325">
        <v>0</v>
      </c>
      <c r="W718" s="325">
        <v>0</v>
      </c>
      <c r="X718" s="325">
        <v>0</v>
      </c>
      <c r="Y718" s="325">
        <v>0</v>
      </c>
      <c r="Z718" s="325">
        <v>0</v>
      </c>
      <c r="AA718" s="325">
        <v>0</v>
      </c>
      <c r="AB718" s="327">
        <v>2020</v>
      </c>
      <c r="AD718" s="4" t="e">
        <v>#N/A</v>
      </c>
    </row>
    <row r="719" spans="1:30" s="4" customFormat="1" ht="35.25" customHeight="1" x14ac:dyDescent="0.5">
      <c r="B719" s="398" t="s">
        <v>2244</v>
      </c>
      <c r="C719" s="323"/>
      <c r="D719" s="324">
        <f>SUM(D720:D723)</f>
        <v>921071.47</v>
      </c>
      <c r="E719" s="324">
        <f t="shared" ref="E719:AA719" si="46">SUM(E720:E723)</f>
        <v>0</v>
      </c>
      <c r="F719" s="324">
        <f t="shared" si="46"/>
        <v>0</v>
      </c>
      <c r="G719" s="324">
        <f t="shared" si="46"/>
        <v>526489.5</v>
      </c>
      <c r="H719" s="324">
        <f t="shared" si="46"/>
        <v>0</v>
      </c>
      <c r="I719" s="324">
        <f t="shared" si="46"/>
        <v>190000</v>
      </c>
      <c r="J719" s="324">
        <f t="shared" si="46"/>
        <v>0</v>
      </c>
      <c r="K719" s="399">
        <f t="shared" si="46"/>
        <v>0</v>
      </c>
      <c r="L719" s="324">
        <f t="shared" si="46"/>
        <v>0</v>
      </c>
      <c r="M719" s="324">
        <f t="shared" si="46"/>
        <v>0</v>
      </c>
      <c r="N719" s="324">
        <f t="shared" si="46"/>
        <v>0</v>
      </c>
      <c r="O719" s="324">
        <f t="shared" si="46"/>
        <v>204581.97</v>
      </c>
      <c r="P719" s="324">
        <f t="shared" si="46"/>
        <v>0</v>
      </c>
      <c r="Q719" s="324">
        <f t="shared" si="46"/>
        <v>0</v>
      </c>
      <c r="R719" s="324">
        <f t="shared" si="46"/>
        <v>0</v>
      </c>
      <c r="S719" s="324">
        <f t="shared" si="46"/>
        <v>0</v>
      </c>
      <c r="T719" s="324">
        <f t="shared" si="46"/>
        <v>0</v>
      </c>
      <c r="U719" s="324">
        <f t="shared" si="46"/>
        <v>0</v>
      </c>
      <c r="V719" s="324">
        <f t="shared" si="46"/>
        <v>0</v>
      </c>
      <c r="W719" s="324">
        <f t="shared" si="46"/>
        <v>0</v>
      </c>
      <c r="X719" s="324">
        <f t="shared" si="46"/>
        <v>0</v>
      </c>
      <c r="Y719" s="324">
        <f t="shared" si="46"/>
        <v>0</v>
      </c>
      <c r="Z719" s="324">
        <f t="shared" si="46"/>
        <v>0</v>
      </c>
      <c r="AA719" s="324">
        <f t="shared" si="46"/>
        <v>0</v>
      </c>
      <c r="AB719" s="396" t="s">
        <v>882</v>
      </c>
    </row>
    <row r="720" spans="1:30" s="4" customFormat="1" ht="35.25" customHeight="1" x14ac:dyDescent="0.5">
      <c r="A720" s="4">
        <v>1</v>
      </c>
      <c r="B720" s="171">
        <f>SUBTOTAL(103,$A$8:A720)</f>
        <v>687</v>
      </c>
      <c r="C720" s="323" t="s">
        <v>2245</v>
      </c>
      <c r="D720" s="324">
        <f>E720+F720+G720+H720+I720+J720+L720+M720+N720+O720+P720+Q720+R720+S720+T720+U720+V720+W720+X720+Y720+Z720+AA720</f>
        <v>230565</v>
      </c>
      <c r="E720" s="325">
        <v>0</v>
      </c>
      <c r="F720" s="325">
        <v>0</v>
      </c>
      <c r="G720" s="325">
        <v>230565</v>
      </c>
      <c r="H720" s="325">
        <v>0</v>
      </c>
      <c r="I720" s="325">
        <v>0</v>
      </c>
      <c r="J720" s="325">
        <v>0</v>
      </c>
      <c r="K720" s="326">
        <v>0</v>
      </c>
      <c r="L720" s="325">
        <v>0</v>
      </c>
      <c r="M720" s="325">
        <v>0</v>
      </c>
      <c r="N720" s="325">
        <v>0</v>
      </c>
      <c r="O720" s="325">
        <v>0</v>
      </c>
      <c r="P720" s="325">
        <v>0</v>
      </c>
      <c r="Q720" s="325">
        <v>0</v>
      </c>
      <c r="R720" s="325">
        <v>0</v>
      </c>
      <c r="S720" s="325">
        <v>0</v>
      </c>
      <c r="T720" s="325">
        <v>0</v>
      </c>
      <c r="U720" s="325">
        <v>0</v>
      </c>
      <c r="V720" s="325">
        <v>0</v>
      </c>
      <c r="W720" s="325">
        <v>0</v>
      </c>
      <c r="X720" s="325">
        <v>0</v>
      </c>
      <c r="Y720" s="325">
        <v>0</v>
      </c>
      <c r="Z720" s="325">
        <v>0</v>
      </c>
      <c r="AA720" s="325">
        <v>0</v>
      </c>
      <c r="AB720" s="327">
        <v>2020</v>
      </c>
      <c r="AD720" s="4" t="e">
        <v>#N/A</v>
      </c>
    </row>
    <row r="721" spans="1:30" s="4" customFormat="1" ht="35.25" customHeight="1" x14ac:dyDescent="0.5">
      <c r="A721" s="4">
        <v>1</v>
      </c>
      <c r="B721" s="171">
        <f>SUBTOTAL(103,$A$8:A721)</f>
        <v>688</v>
      </c>
      <c r="C721" s="323" t="s">
        <v>2602</v>
      </c>
      <c r="D721" s="324">
        <f>E721+F721+G721+H721+I721+J721+L721+M721+N721+O721+P721+Q721+R721+S721+T721+U721+V721+W721+X721+Y721+Z721+AA721</f>
        <v>190000</v>
      </c>
      <c r="E721" s="325">
        <v>0</v>
      </c>
      <c r="F721" s="325">
        <v>0</v>
      </c>
      <c r="G721" s="325">
        <v>0</v>
      </c>
      <c r="H721" s="325">
        <v>0</v>
      </c>
      <c r="I721" s="325">
        <v>190000</v>
      </c>
      <c r="J721" s="325">
        <v>0</v>
      </c>
      <c r="K721" s="326">
        <v>0</v>
      </c>
      <c r="L721" s="325">
        <v>0</v>
      </c>
      <c r="M721" s="325">
        <v>0</v>
      </c>
      <c r="N721" s="325">
        <v>0</v>
      </c>
      <c r="O721" s="325">
        <v>0</v>
      </c>
      <c r="P721" s="325">
        <v>0</v>
      </c>
      <c r="Q721" s="325">
        <v>0</v>
      </c>
      <c r="R721" s="325">
        <v>0</v>
      </c>
      <c r="S721" s="325">
        <v>0</v>
      </c>
      <c r="T721" s="325">
        <v>0</v>
      </c>
      <c r="U721" s="325">
        <v>0</v>
      </c>
      <c r="V721" s="325">
        <v>0</v>
      </c>
      <c r="W721" s="325">
        <v>0</v>
      </c>
      <c r="X721" s="325">
        <v>0</v>
      </c>
      <c r="Y721" s="325">
        <v>0</v>
      </c>
      <c r="Z721" s="325">
        <v>0</v>
      </c>
      <c r="AA721" s="325">
        <v>0</v>
      </c>
      <c r="AB721" s="327">
        <v>2020</v>
      </c>
      <c r="AD721" s="4">
        <v>0</v>
      </c>
    </row>
    <row r="722" spans="1:30" s="4" customFormat="1" ht="35.25" customHeight="1" x14ac:dyDescent="0.5">
      <c r="A722" s="4">
        <v>1</v>
      </c>
      <c r="B722" s="171">
        <f>SUBTOTAL(103,$A$8:A722)</f>
        <v>689</v>
      </c>
      <c r="C722" s="323" t="s">
        <v>2405</v>
      </c>
      <c r="D722" s="324">
        <f>E722+F722+G722+H722+I722+J722+L722+M722+N722+O722+P722+Q722+R722+S722+T722+U722+V722+W722+X722+Y722+Z722+AA722</f>
        <v>204581.97</v>
      </c>
      <c r="E722" s="325">
        <v>0</v>
      </c>
      <c r="F722" s="325">
        <v>0</v>
      </c>
      <c r="G722" s="325">
        <v>0</v>
      </c>
      <c r="H722" s="325">
        <v>0</v>
      </c>
      <c r="I722" s="325">
        <v>0</v>
      </c>
      <c r="J722" s="325">
        <v>0</v>
      </c>
      <c r="K722" s="326">
        <v>0</v>
      </c>
      <c r="L722" s="325">
        <v>0</v>
      </c>
      <c r="M722" s="325">
        <v>0</v>
      </c>
      <c r="N722" s="325">
        <v>0</v>
      </c>
      <c r="O722" s="325">
        <v>204581.97</v>
      </c>
      <c r="P722" s="325">
        <v>0</v>
      </c>
      <c r="Q722" s="325">
        <v>0</v>
      </c>
      <c r="R722" s="325">
        <v>0</v>
      </c>
      <c r="S722" s="325">
        <v>0</v>
      </c>
      <c r="T722" s="325">
        <v>0</v>
      </c>
      <c r="U722" s="325">
        <v>0</v>
      </c>
      <c r="V722" s="325">
        <v>0</v>
      </c>
      <c r="W722" s="325">
        <v>0</v>
      </c>
      <c r="X722" s="325">
        <v>0</v>
      </c>
      <c r="Y722" s="325">
        <v>0</v>
      </c>
      <c r="Z722" s="325">
        <v>0</v>
      </c>
      <c r="AA722" s="325">
        <v>0</v>
      </c>
      <c r="AB722" s="327">
        <v>2020</v>
      </c>
      <c r="AD722" s="4" t="e">
        <v>#N/A</v>
      </c>
    </row>
    <row r="723" spans="1:30" s="4" customFormat="1" ht="35.25" customHeight="1" x14ac:dyDescent="0.5">
      <c r="A723" s="4">
        <v>1</v>
      </c>
      <c r="B723" s="171">
        <f>SUBTOTAL(103,$A$8:A723)</f>
        <v>690</v>
      </c>
      <c r="C723" s="323" t="s">
        <v>2246</v>
      </c>
      <c r="D723" s="324">
        <f>E723+F723+G723+H723+I723+J723+L723+M723+N723+O723+P723+Q723+R723+S723+T723+U723+V723+W723+X723+Y723+Z723+AA723</f>
        <v>295924.5</v>
      </c>
      <c r="E723" s="325">
        <v>0</v>
      </c>
      <c r="F723" s="325">
        <v>0</v>
      </c>
      <c r="G723" s="325">
        <v>295924.5</v>
      </c>
      <c r="H723" s="325">
        <v>0</v>
      </c>
      <c r="I723" s="325">
        <v>0</v>
      </c>
      <c r="J723" s="325">
        <v>0</v>
      </c>
      <c r="K723" s="326">
        <v>0</v>
      </c>
      <c r="L723" s="325">
        <v>0</v>
      </c>
      <c r="M723" s="325">
        <v>0</v>
      </c>
      <c r="N723" s="325">
        <v>0</v>
      </c>
      <c r="O723" s="325">
        <v>0</v>
      </c>
      <c r="P723" s="325">
        <v>0</v>
      </c>
      <c r="Q723" s="325">
        <v>0</v>
      </c>
      <c r="R723" s="325">
        <v>0</v>
      </c>
      <c r="S723" s="325">
        <v>0</v>
      </c>
      <c r="T723" s="325">
        <v>0</v>
      </c>
      <c r="U723" s="325">
        <v>0</v>
      </c>
      <c r="V723" s="325">
        <v>0</v>
      </c>
      <c r="W723" s="325">
        <v>0</v>
      </c>
      <c r="X723" s="325">
        <v>0</v>
      </c>
      <c r="Y723" s="325">
        <v>0</v>
      </c>
      <c r="Z723" s="325">
        <v>0</v>
      </c>
      <c r="AA723" s="325">
        <v>0</v>
      </c>
      <c r="AB723" s="327">
        <v>2020</v>
      </c>
      <c r="AD723" s="4" t="e">
        <v>#N/A</v>
      </c>
    </row>
    <row r="724" spans="1:30" s="4" customFormat="1" ht="35.25" customHeight="1" x14ac:dyDescent="0.5">
      <c r="B724" s="323" t="s">
        <v>872</v>
      </c>
      <c r="C724" s="323"/>
      <c r="D724" s="324">
        <f>SUM(D725:D727)</f>
        <v>1086748.22</v>
      </c>
      <c r="E724" s="324">
        <f t="shared" ref="E724:AA724" si="47">SUM(E725:E727)</f>
        <v>0</v>
      </c>
      <c r="F724" s="324">
        <f t="shared" si="47"/>
        <v>161860.35</v>
      </c>
      <c r="G724" s="324">
        <f t="shared" si="47"/>
        <v>547875.87</v>
      </c>
      <c r="H724" s="324">
        <f t="shared" si="47"/>
        <v>0</v>
      </c>
      <c r="I724" s="324">
        <f t="shared" si="47"/>
        <v>0</v>
      </c>
      <c r="J724" s="324">
        <f t="shared" si="47"/>
        <v>0</v>
      </c>
      <c r="K724" s="399">
        <f t="shared" si="47"/>
        <v>0</v>
      </c>
      <c r="L724" s="324">
        <f t="shared" si="47"/>
        <v>0</v>
      </c>
      <c r="M724" s="324">
        <f t="shared" si="47"/>
        <v>0</v>
      </c>
      <c r="N724" s="324">
        <f t="shared" si="47"/>
        <v>0</v>
      </c>
      <c r="O724" s="324">
        <f t="shared" si="47"/>
        <v>0</v>
      </c>
      <c r="P724" s="324">
        <f t="shared" si="47"/>
        <v>377012</v>
      </c>
      <c r="Q724" s="324">
        <f t="shared" si="47"/>
        <v>0</v>
      </c>
      <c r="R724" s="324">
        <f t="shared" si="47"/>
        <v>0</v>
      </c>
      <c r="S724" s="324">
        <f t="shared" si="47"/>
        <v>0</v>
      </c>
      <c r="T724" s="324">
        <f t="shared" si="47"/>
        <v>0</v>
      </c>
      <c r="U724" s="324">
        <f t="shared" si="47"/>
        <v>0</v>
      </c>
      <c r="V724" s="324">
        <f t="shared" si="47"/>
        <v>0</v>
      </c>
      <c r="W724" s="324">
        <f t="shared" si="47"/>
        <v>0</v>
      </c>
      <c r="X724" s="324">
        <f t="shared" si="47"/>
        <v>0</v>
      </c>
      <c r="Y724" s="324">
        <f t="shared" si="47"/>
        <v>0</v>
      </c>
      <c r="Z724" s="324">
        <f t="shared" si="47"/>
        <v>0</v>
      </c>
      <c r="AA724" s="324">
        <f t="shared" si="47"/>
        <v>0</v>
      </c>
      <c r="AB724" s="396" t="s">
        <v>882</v>
      </c>
    </row>
    <row r="725" spans="1:30" s="4" customFormat="1" ht="35.25" customHeight="1" x14ac:dyDescent="0.5">
      <c r="A725" s="4">
        <v>1</v>
      </c>
      <c r="B725" s="171">
        <f>SUBTOTAL(103,$A$8:A725)</f>
        <v>691</v>
      </c>
      <c r="C725" s="323" t="s">
        <v>2247</v>
      </c>
      <c r="D725" s="324">
        <f>E725+F725+G725+H725+I725+J725+L725+M725+N725+O725+P725+Q725+R725+S725+T725+U725+V725+W725+X725+Y725+Z725+AA725</f>
        <v>124987</v>
      </c>
      <c r="E725" s="325">
        <v>0</v>
      </c>
      <c r="F725" s="325">
        <v>0</v>
      </c>
      <c r="G725" s="325">
        <v>124987</v>
      </c>
      <c r="H725" s="325">
        <v>0</v>
      </c>
      <c r="I725" s="325">
        <v>0</v>
      </c>
      <c r="J725" s="325">
        <v>0</v>
      </c>
      <c r="K725" s="326">
        <v>0</v>
      </c>
      <c r="L725" s="325">
        <v>0</v>
      </c>
      <c r="M725" s="325">
        <v>0</v>
      </c>
      <c r="N725" s="325">
        <v>0</v>
      </c>
      <c r="O725" s="325">
        <v>0</v>
      </c>
      <c r="P725" s="325">
        <v>0</v>
      </c>
      <c r="Q725" s="325">
        <v>0</v>
      </c>
      <c r="R725" s="325">
        <v>0</v>
      </c>
      <c r="S725" s="325">
        <v>0</v>
      </c>
      <c r="T725" s="325">
        <v>0</v>
      </c>
      <c r="U725" s="325">
        <v>0</v>
      </c>
      <c r="V725" s="325">
        <v>0</v>
      </c>
      <c r="W725" s="325">
        <v>0</v>
      </c>
      <c r="X725" s="325">
        <v>0</v>
      </c>
      <c r="Y725" s="325">
        <v>0</v>
      </c>
      <c r="Z725" s="325">
        <v>0</v>
      </c>
      <c r="AA725" s="325">
        <v>0</v>
      </c>
      <c r="AB725" s="327">
        <v>2020</v>
      </c>
      <c r="AD725" s="4">
        <v>0</v>
      </c>
    </row>
    <row r="726" spans="1:30" s="4" customFormat="1" ht="35.25" customHeight="1" x14ac:dyDescent="0.5">
      <c r="A726" s="4">
        <v>1</v>
      </c>
      <c r="B726" s="171">
        <f>SUBTOTAL(103,$A$8:A726)</f>
        <v>692</v>
      </c>
      <c r="C726" s="323" t="s">
        <v>2406</v>
      </c>
      <c r="D726" s="324">
        <f>E726+F726+G726+H726+I726+J726+L726+M726+N726+O726+P726+Q726+R726+S726+T726+U726+V726+W726+X726+Y726+Z726+AA726</f>
        <v>584749.22</v>
      </c>
      <c r="E726" s="325">
        <v>0</v>
      </c>
      <c r="F726" s="325">
        <v>161860.35</v>
      </c>
      <c r="G726" s="325">
        <v>422888.87</v>
      </c>
      <c r="H726" s="325">
        <v>0</v>
      </c>
      <c r="I726" s="325">
        <v>0</v>
      </c>
      <c r="J726" s="325">
        <v>0</v>
      </c>
      <c r="K726" s="326">
        <v>0</v>
      </c>
      <c r="L726" s="325">
        <v>0</v>
      </c>
      <c r="M726" s="325">
        <v>0</v>
      </c>
      <c r="N726" s="325">
        <v>0</v>
      </c>
      <c r="O726" s="325">
        <v>0</v>
      </c>
      <c r="P726" s="325">
        <v>0</v>
      </c>
      <c r="Q726" s="325">
        <v>0</v>
      </c>
      <c r="R726" s="325">
        <v>0</v>
      </c>
      <c r="S726" s="325">
        <v>0</v>
      </c>
      <c r="T726" s="325">
        <v>0</v>
      </c>
      <c r="U726" s="325">
        <v>0</v>
      </c>
      <c r="V726" s="325">
        <v>0</v>
      </c>
      <c r="W726" s="325">
        <v>0</v>
      </c>
      <c r="X726" s="325">
        <v>0</v>
      </c>
      <c r="Y726" s="325">
        <v>0</v>
      </c>
      <c r="Z726" s="325">
        <v>0</v>
      </c>
      <c r="AA726" s="325">
        <v>0</v>
      </c>
      <c r="AB726" s="327">
        <v>2020</v>
      </c>
      <c r="AD726" s="4" t="e">
        <v>#N/A</v>
      </c>
    </row>
    <row r="727" spans="1:30" s="4" customFormat="1" ht="35.25" x14ac:dyDescent="0.5">
      <c r="A727" s="4">
        <v>1</v>
      </c>
      <c r="B727" s="171">
        <f>SUBTOTAL(103,$A$8:A727)</f>
        <v>693</v>
      </c>
      <c r="C727" s="323" t="s">
        <v>2248</v>
      </c>
      <c r="D727" s="324">
        <f>E727+F727+G727+H727+I727+J727+L727+M727+N727+O727+P727+Q727+R727+S727+T727+U727+V727+W727+X727+Y727+Z727+AA727</f>
        <v>377012</v>
      </c>
      <c r="E727" s="325">
        <v>0</v>
      </c>
      <c r="F727" s="325">
        <v>0</v>
      </c>
      <c r="G727" s="325">
        <v>0</v>
      </c>
      <c r="H727" s="325">
        <v>0</v>
      </c>
      <c r="I727" s="325">
        <v>0</v>
      </c>
      <c r="J727" s="325">
        <v>0</v>
      </c>
      <c r="K727" s="326">
        <v>0</v>
      </c>
      <c r="L727" s="325">
        <v>0</v>
      </c>
      <c r="M727" s="325">
        <v>0</v>
      </c>
      <c r="N727" s="325">
        <v>0</v>
      </c>
      <c r="O727" s="325">
        <v>0</v>
      </c>
      <c r="P727" s="325">
        <v>377012</v>
      </c>
      <c r="Q727" s="325">
        <v>0</v>
      </c>
      <c r="R727" s="325">
        <v>0</v>
      </c>
      <c r="S727" s="325">
        <v>0</v>
      </c>
      <c r="T727" s="325">
        <v>0</v>
      </c>
      <c r="U727" s="325">
        <v>0</v>
      </c>
      <c r="V727" s="325">
        <v>0</v>
      </c>
      <c r="W727" s="325">
        <v>0</v>
      </c>
      <c r="X727" s="325">
        <v>0</v>
      </c>
      <c r="Y727" s="325">
        <v>0</v>
      </c>
      <c r="Z727" s="325">
        <v>0</v>
      </c>
      <c r="AA727" s="325">
        <v>0</v>
      </c>
      <c r="AB727" s="327">
        <v>2020</v>
      </c>
      <c r="AD727" s="4" t="e">
        <v>#N/A</v>
      </c>
    </row>
    <row r="728" spans="1:30" s="4" customFormat="1" ht="35.25" x14ac:dyDescent="0.5">
      <c r="B728" s="398" t="s">
        <v>839</v>
      </c>
      <c r="C728" s="323"/>
      <c r="D728" s="324">
        <f>SUM(D729:D733)</f>
        <v>1986455</v>
      </c>
      <c r="E728" s="324">
        <f t="shared" ref="E728:AA728" si="48">SUM(E729:E733)</f>
        <v>0</v>
      </c>
      <c r="F728" s="324">
        <f t="shared" si="48"/>
        <v>0</v>
      </c>
      <c r="G728" s="324">
        <f t="shared" si="48"/>
        <v>164320</v>
      </c>
      <c r="H728" s="324">
        <f t="shared" si="48"/>
        <v>0</v>
      </c>
      <c r="I728" s="324">
        <f t="shared" si="48"/>
        <v>0</v>
      </c>
      <c r="J728" s="324">
        <f t="shared" si="48"/>
        <v>0</v>
      </c>
      <c r="K728" s="324">
        <f t="shared" si="48"/>
        <v>0</v>
      </c>
      <c r="L728" s="324">
        <f t="shared" si="48"/>
        <v>0</v>
      </c>
      <c r="M728" s="324">
        <f t="shared" si="48"/>
        <v>0</v>
      </c>
      <c r="N728" s="324">
        <f t="shared" si="48"/>
        <v>777240</v>
      </c>
      <c r="O728" s="324">
        <f t="shared" si="48"/>
        <v>1044895</v>
      </c>
      <c r="P728" s="324">
        <f t="shared" si="48"/>
        <v>0</v>
      </c>
      <c r="Q728" s="324">
        <f t="shared" si="48"/>
        <v>0</v>
      </c>
      <c r="R728" s="324">
        <f t="shared" si="48"/>
        <v>0</v>
      </c>
      <c r="S728" s="324">
        <f t="shared" si="48"/>
        <v>0</v>
      </c>
      <c r="T728" s="324">
        <f t="shared" si="48"/>
        <v>0</v>
      </c>
      <c r="U728" s="324">
        <f t="shared" si="48"/>
        <v>0</v>
      </c>
      <c r="V728" s="324">
        <f t="shared" si="48"/>
        <v>0</v>
      </c>
      <c r="W728" s="324">
        <f t="shared" si="48"/>
        <v>0</v>
      </c>
      <c r="X728" s="324">
        <f t="shared" si="48"/>
        <v>0</v>
      </c>
      <c r="Y728" s="324">
        <f t="shared" si="48"/>
        <v>0</v>
      </c>
      <c r="Z728" s="324">
        <f t="shared" si="48"/>
        <v>0</v>
      </c>
      <c r="AA728" s="324">
        <f t="shared" si="48"/>
        <v>0</v>
      </c>
      <c r="AB728" s="396" t="s">
        <v>882</v>
      </c>
    </row>
    <row r="729" spans="1:30" s="4" customFormat="1" ht="35.25" x14ac:dyDescent="0.5">
      <c r="A729" s="4">
        <v>1</v>
      </c>
      <c r="B729" s="171">
        <f>SUBTOTAL(103,$A$8:A729)</f>
        <v>694</v>
      </c>
      <c r="C729" s="323" t="s">
        <v>2407</v>
      </c>
      <c r="D729" s="324">
        <f>E729+F729+G729+H729+I729+J729+L729+M729+N729+O729+P729+Q729+R729+S729+T729+U729+V729+W729+X729+Y729+Z729+AA729</f>
        <v>164320</v>
      </c>
      <c r="E729" s="325">
        <v>0</v>
      </c>
      <c r="F729" s="325">
        <v>0</v>
      </c>
      <c r="G729" s="325">
        <v>164320</v>
      </c>
      <c r="H729" s="325">
        <v>0</v>
      </c>
      <c r="I729" s="325">
        <v>0</v>
      </c>
      <c r="J729" s="325">
        <v>0</v>
      </c>
      <c r="K729" s="326">
        <v>0</v>
      </c>
      <c r="L729" s="325">
        <v>0</v>
      </c>
      <c r="M729" s="325">
        <v>0</v>
      </c>
      <c r="N729" s="325">
        <v>0</v>
      </c>
      <c r="O729" s="325">
        <v>0</v>
      </c>
      <c r="P729" s="325">
        <v>0</v>
      </c>
      <c r="Q729" s="325">
        <v>0</v>
      </c>
      <c r="R729" s="325">
        <v>0</v>
      </c>
      <c r="S729" s="325">
        <v>0</v>
      </c>
      <c r="T729" s="325">
        <v>0</v>
      </c>
      <c r="U729" s="325">
        <v>0</v>
      </c>
      <c r="V729" s="325">
        <v>0</v>
      </c>
      <c r="W729" s="325">
        <v>0</v>
      </c>
      <c r="X729" s="325">
        <v>0</v>
      </c>
      <c r="Y729" s="325">
        <v>0</v>
      </c>
      <c r="Z729" s="325">
        <v>0</v>
      </c>
      <c r="AA729" s="325">
        <v>0</v>
      </c>
      <c r="AB729" s="327">
        <v>2020</v>
      </c>
      <c r="AD729" s="4" t="e">
        <v>#N/A</v>
      </c>
    </row>
    <row r="730" spans="1:30" s="4" customFormat="1" ht="35.25" x14ac:dyDescent="0.5">
      <c r="A730" s="4">
        <v>1</v>
      </c>
      <c r="B730" s="171">
        <f>SUBTOTAL(103,$A$8:A730)</f>
        <v>695</v>
      </c>
      <c r="C730" s="323" t="s">
        <v>2408</v>
      </c>
      <c r="D730" s="324">
        <f>E730+F730+G730+H730+I730+J730+L730+M730+N730+O730+P730+Q730+R730+S730+T730+U730+V730+W730+X730+Y730+Z730+AA730</f>
        <v>777240</v>
      </c>
      <c r="E730" s="325">
        <v>0</v>
      </c>
      <c r="F730" s="325">
        <v>0</v>
      </c>
      <c r="G730" s="325">
        <v>0</v>
      </c>
      <c r="H730" s="325">
        <v>0</v>
      </c>
      <c r="I730" s="325">
        <v>0</v>
      </c>
      <c r="J730" s="325">
        <v>0</v>
      </c>
      <c r="K730" s="326">
        <v>0</v>
      </c>
      <c r="L730" s="325">
        <v>0</v>
      </c>
      <c r="M730" s="325">
        <v>0</v>
      </c>
      <c r="N730" s="325">
        <v>777240</v>
      </c>
      <c r="O730" s="325">
        <v>0</v>
      </c>
      <c r="P730" s="325">
        <v>0</v>
      </c>
      <c r="Q730" s="325">
        <v>0</v>
      </c>
      <c r="R730" s="325">
        <v>0</v>
      </c>
      <c r="S730" s="325">
        <v>0</v>
      </c>
      <c r="T730" s="325">
        <v>0</v>
      </c>
      <c r="U730" s="325">
        <v>0</v>
      </c>
      <c r="V730" s="325">
        <v>0</v>
      </c>
      <c r="W730" s="325">
        <v>0</v>
      </c>
      <c r="X730" s="325">
        <v>0</v>
      </c>
      <c r="Y730" s="325">
        <v>0</v>
      </c>
      <c r="Z730" s="325">
        <v>0</v>
      </c>
      <c r="AA730" s="325">
        <v>0</v>
      </c>
      <c r="AB730" s="327">
        <v>2020</v>
      </c>
      <c r="AD730" s="4" t="e">
        <v>#N/A</v>
      </c>
    </row>
    <row r="731" spans="1:30" s="4" customFormat="1" ht="35.25" x14ac:dyDescent="0.5">
      <c r="A731" s="4">
        <v>1</v>
      </c>
      <c r="B731" s="171">
        <f>SUBTOTAL(103,$A$8:A731)</f>
        <v>696</v>
      </c>
      <c r="C731" s="323" t="s">
        <v>2409</v>
      </c>
      <c r="D731" s="324">
        <f>E731+F731+G731+H731+I731+J731+L731+M731+N731+O731+P731+Q731+R731+S731+T731+U731+V731+W731+X731+Y731+Z731+AA731</f>
        <v>334627</v>
      </c>
      <c r="E731" s="325">
        <v>0</v>
      </c>
      <c r="F731" s="325">
        <v>0</v>
      </c>
      <c r="G731" s="325">
        <v>0</v>
      </c>
      <c r="H731" s="325">
        <v>0</v>
      </c>
      <c r="I731" s="325">
        <v>0</v>
      </c>
      <c r="J731" s="325">
        <v>0</v>
      </c>
      <c r="K731" s="326">
        <v>0</v>
      </c>
      <c r="L731" s="325">
        <v>0</v>
      </c>
      <c r="M731" s="325">
        <v>0</v>
      </c>
      <c r="N731" s="325">
        <v>0</v>
      </c>
      <c r="O731" s="325">
        <v>334627</v>
      </c>
      <c r="P731" s="325">
        <v>0</v>
      </c>
      <c r="Q731" s="325">
        <v>0</v>
      </c>
      <c r="R731" s="325">
        <v>0</v>
      </c>
      <c r="S731" s="325">
        <v>0</v>
      </c>
      <c r="T731" s="325">
        <v>0</v>
      </c>
      <c r="U731" s="325">
        <v>0</v>
      </c>
      <c r="V731" s="325">
        <v>0</v>
      </c>
      <c r="W731" s="325">
        <v>0</v>
      </c>
      <c r="X731" s="325">
        <v>0</v>
      </c>
      <c r="Y731" s="325">
        <v>0</v>
      </c>
      <c r="Z731" s="325">
        <v>0</v>
      </c>
      <c r="AA731" s="325">
        <v>0</v>
      </c>
      <c r="AB731" s="327">
        <v>2020</v>
      </c>
      <c r="AD731" s="4" t="e">
        <v>#N/A</v>
      </c>
    </row>
    <row r="732" spans="1:30" s="4" customFormat="1" ht="35.25" x14ac:dyDescent="0.5">
      <c r="A732" s="4">
        <v>1</v>
      </c>
      <c r="B732" s="171">
        <f>SUBTOTAL(103,$A$8:A732)</f>
        <v>697</v>
      </c>
      <c r="C732" s="323" t="s">
        <v>2410</v>
      </c>
      <c r="D732" s="324">
        <f>E732+F732+G732+H732+I732+J732+L732+M732+N732+O732+P732+Q732+R732+S732+T732+U732+V732+W732+X732+Y732+Z732+AA732</f>
        <v>382704</v>
      </c>
      <c r="E732" s="325">
        <v>0</v>
      </c>
      <c r="F732" s="325">
        <v>0</v>
      </c>
      <c r="G732" s="325">
        <v>0</v>
      </c>
      <c r="H732" s="325">
        <v>0</v>
      </c>
      <c r="I732" s="325">
        <v>0</v>
      </c>
      <c r="J732" s="325">
        <v>0</v>
      </c>
      <c r="K732" s="326">
        <v>0</v>
      </c>
      <c r="L732" s="325">
        <v>0</v>
      </c>
      <c r="M732" s="325">
        <v>0</v>
      </c>
      <c r="N732" s="325">
        <v>0</v>
      </c>
      <c r="O732" s="325">
        <f>195571+187133</f>
        <v>382704</v>
      </c>
      <c r="P732" s="325">
        <v>0</v>
      </c>
      <c r="Q732" s="325">
        <v>0</v>
      </c>
      <c r="R732" s="325">
        <v>0</v>
      </c>
      <c r="S732" s="325">
        <v>0</v>
      </c>
      <c r="T732" s="325">
        <v>0</v>
      </c>
      <c r="U732" s="325">
        <v>0</v>
      </c>
      <c r="V732" s="325">
        <v>0</v>
      </c>
      <c r="W732" s="325">
        <v>0</v>
      </c>
      <c r="X732" s="325">
        <v>0</v>
      </c>
      <c r="Y732" s="325">
        <v>0</v>
      </c>
      <c r="Z732" s="325">
        <v>0</v>
      </c>
      <c r="AA732" s="325">
        <v>0</v>
      </c>
      <c r="AB732" s="327">
        <v>2020</v>
      </c>
      <c r="AD732" s="4" t="e">
        <v>#N/A</v>
      </c>
    </row>
    <row r="733" spans="1:30" s="4" customFormat="1" ht="35.25" x14ac:dyDescent="0.5">
      <c r="A733" s="4">
        <v>1</v>
      </c>
      <c r="B733" s="171">
        <f>SUBTOTAL(103,$A$8:A733)</f>
        <v>698</v>
      </c>
      <c r="C733" s="323" t="s">
        <v>2411</v>
      </c>
      <c r="D733" s="324">
        <f>E733+F733+G733+H733+I733+J733+L733+M733+N733+O733+P733+Q733+R733+S733+T733+U733+V733+W733+X733+Y733+Z733+AA733</f>
        <v>327564</v>
      </c>
      <c r="E733" s="325">
        <v>0</v>
      </c>
      <c r="F733" s="325">
        <v>0</v>
      </c>
      <c r="G733" s="325">
        <v>0</v>
      </c>
      <c r="H733" s="325">
        <v>0</v>
      </c>
      <c r="I733" s="325">
        <v>0</v>
      </c>
      <c r="J733" s="325">
        <v>0</v>
      </c>
      <c r="K733" s="326">
        <v>0</v>
      </c>
      <c r="L733" s="325">
        <v>0</v>
      </c>
      <c r="M733" s="325">
        <v>0</v>
      </c>
      <c r="N733" s="325">
        <v>0</v>
      </c>
      <c r="O733" s="325">
        <v>327564</v>
      </c>
      <c r="P733" s="325">
        <v>0</v>
      </c>
      <c r="Q733" s="325">
        <v>0</v>
      </c>
      <c r="R733" s="325">
        <v>0</v>
      </c>
      <c r="S733" s="325">
        <v>0</v>
      </c>
      <c r="T733" s="325">
        <v>0</v>
      </c>
      <c r="U733" s="325">
        <v>0</v>
      </c>
      <c r="V733" s="325">
        <v>0</v>
      </c>
      <c r="W733" s="325">
        <v>0</v>
      </c>
      <c r="X733" s="325">
        <v>0</v>
      </c>
      <c r="Y733" s="325">
        <v>0</v>
      </c>
      <c r="Z733" s="325">
        <v>0</v>
      </c>
      <c r="AA733" s="325">
        <v>0</v>
      </c>
      <c r="AB733" s="327">
        <v>2020</v>
      </c>
      <c r="AD733" s="4" t="e">
        <v>#N/A</v>
      </c>
    </row>
    <row r="734" spans="1:30" s="4" customFormat="1" ht="35.25" x14ac:dyDescent="0.5">
      <c r="B734" s="398" t="s">
        <v>871</v>
      </c>
      <c r="C734" s="323"/>
      <c r="D734" s="324">
        <f>D735</f>
        <v>114543.06</v>
      </c>
      <c r="E734" s="324">
        <f t="shared" ref="E734:AA734" si="49">E735</f>
        <v>0</v>
      </c>
      <c r="F734" s="324">
        <f t="shared" si="49"/>
        <v>0</v>
      </c>
      <c r="G734" s="324">
        <f t="shared" si="49"/>
        <v>0</v>
      </c>
      <c r="H734" s="324">
        <f t="shared" si="49"/>
        <v>0</v>
      </c>
      <c r="I734" s="324">
        <f t="shared" si="49"/>
        <v>0</v>
      </c>
      <c r="J734" s="324">
        <f t="shared" si="49"/>
        <v>0</v>
      </c>
      <c r="K734" s="399">
        <f t="shared" si="49"/>
        <v>0</v>
      </c>
      <c r="L734" s="324">
        <f t="shared" si="49"/>
        <v>0</v>
      </c>
      <c r="M734" s="324">
        <f t="shared" si="49"/>
        <v>0</v>
      </c>
      <c r="N734" s="324">
        <f t="shared" si="49"/>
        <v>0</v>
      </c>
      <c r="O734" s="324">
        <f t="shared" si="49"/>
        <v>114543.06</v>
      </c>
      <c r="P734" s="324">
        <f t="shared" si="49"/>
        <v>0</v>
      </c>
      <c r="Q734" s="324">
        <f t="shared" si="49"/>
        <v>0</v>
      </c>
      <c r="R734" s="324">
        <f t="shared" si="49"/>
        <v>0</v>
      </c>
      <c r="S734" s="324">
        <f t="shared" si="49"/>
        <v>0</v>
      </c>
      <c r="T734" s="324">
        <f t="shared" si="49"/>
        <v>0</v>
      </c>
      <c r="U734" s="324">
        <f t="shared" si="49"/>
        <v>0</v>
      </c>
      <c r="V734" s="324">
        <f t="shared" si="49"/>
        <v>0</v>
      </c>
      <c r="W734" s="324">
        <f t="shared" si="49"/>
        <v>0</v>
      </c>
      <c r="X734" s="324">
        <f t="shared" si="49"/>
        <v>0</v>
      </c>
      <c r="Y734" s="324">
        <f t="shared" si="49"/>
        <v>0</v>
      </c>
      <c r="Z734" s="324">
        <f t="shared" si="49"/>
        <v>0</v>
      </c>
      <c r="AA734" s="324">
        <f t="shared" si="49"/>
        <v>0</v>
      </c>
      <c r="AB734" s="396" t="s">
        <v>882</v>
      </c>
    </row>
    <row r="735" spans="1:30" s="4" customFormat="1" ht="35.25" x14ac:dyDescent="0.5">
      <c r="A735" s="4">
        <v>1</v>
      </c>
      <c r="B735" s="171">
        <f>SUBTOTAL(103,$A$8:A735)</f>
        <v>699</v>
      </c>
      <c r="C735" s="323" t="s">
        <v>2412</v>
      </c>
      <c r="D735" s="324">
        <f>E735+F735+G735+H735+I735+J735+L735+M735+N735+O735+P735+Q735+R735+S735+T735+U735+V735+W735+X735+Y735+Z735+AA735</f>
        <v>114543.06</v>
      </c>
      <c r="E735" s="325">
        <v>0</v>
      </c>
      <c r="F735" s="325">
        <v>0</v>
      </c>
      <c r="G735" s="325">
        <v>0</v>
      </c>
      <c r="H735" s="325">
        <v>0</v>
      </c>
      <c r="I735" s="325">
        <v>0</v>
      </c>
      <c r="J735" s="325">
        <v>0</v>
      </c>
      <c r="K735" s="326">
        <v>0</v>
      </c>
      <c r="L735" s="325">
        <v>0</v>
      </c>
      <c r="M735" s="325">
        <v>0</v>
      </c>
      <c r="N735" s="325">
        <v>0</v>
      </c>
      <c r="O735" s="325">
        <v>114543.06</v>
      </c>
      <c r="P735" s="325">
        <v>0</v>
      </c>
      <c r="Q735" s="325">
        <v>0</v>
      </c>
      <c r="R735" s="325">
        <v>0</v>
      </c>
      <c r="S735" s="325">
        <v>0</v>
      </c>
      <c r="T735" s="325">
        <v>0</v>
      </c>
      <c r="U735" s="325">
        <v>0</v>
      </c>
      <c r="V735" s="325">
        <v>0</v>
      </c>
      <c r="W735" s="325">
        <v>0</v>
      </c>
      <c r="X735" s="325">
        <v>0</v>
      </c>
      <c r="Y735" s="325">
        <v>0</v>
      </c>
      <c r="Z735" s="325">
        <v>0</v>
      </c>
      <c r="AA735" s="325">
        <v>0</v>
      </c>
      <c r="AB735" s="327">
        <v>2020</v>
      </c>
      <c r="AD735" s="4" t="e">
        <v>#N/A</v>
      </c>
    </row>
    <row r="736" spans="1:30" s="4" customFormat="1" ht="35.25" x14ac:dyDescent="0.5">
      <c r="B736" s="398" t="s">
        <v>864</v>
      </c>
      <c r="C736" s="323"/>
      <c r="D736" s="324">
        <f t="shared" ref="D736:AA736" si="50">SUM(D737)</f>
        <v>308647</v>
      </c>
      <c r="E736" s="324">
        <f t="shared" si="50"/>
        <v>108647</v>
      </c>
      <c r="F736" s="324">
        <f t="shared" si="50"/>
        <v>200000</v>
      </c>
      <c r="G736" s="324">
        <f t="shared" si="50"/>
        <v>0</v>
      </c>
      <c r="H736" s="324">
        <f t="shared" si="50"/>
        <v>0</v>
      </c>
      <c r="I736" s="324">
        <f t="shared" si="50"/>
        <v>0</v>
      </c>
      <c r="J736" s="324">
        <f t="shared" si="50"/>
        <v>0</v>
      </c>
      <c r="K736" s="399">
        <f t="shared" si="50"/>
        <v>0</v>
      </c>
      <c r="L736" s="324">
        <f t="shared" si="50"/>
        <v>0</v>
      </c>
      <c r="M736" s="324">
        <f t="shared" si="50"/>
        <v>0</v>
      </c>
      <c r="N736" s="324">
        <f t="shared" si="50"/>
        <v>0</v>
      </c>
      <c r="O736" s="324">
        <f t="shared" si="50"/>
        <v>0</v>
      </c>
      <c r="P736" s="324">
        <f t="shared" si="50"/>
        <v>0</v>
      </c>
      <c r="Q736" s="324">
        <f t="shared" si="50"/>
        <v>0</v>
      </c>
      <c r="R736" s="324">
        <f t="shared" si="50"/>
        <v>0</v>
      </c>
      <c r="S736" s="324">
        <f t="shared" si="50"/>
        <v>0</v>
      </c>
      <c r="T736" s="324">
        <f t="shared" si="50"/>
        <v>0</v>
      </c>
      <c r="U736" s="324">
        <f t="shared" si="50"/>
        <v>0</v>
      </c>
      <c r="V736" s="324">
        <f t="shared" si="50"/>
        <v>0</v>
      </c>
      <c r="W736" s="324">
        <f t="shared" si="50"/>
        <v>0</v>
      </c>
      <c r="X736" s="324">
        <f t="shared" si="50"/>
        <v>0</v>
      </c>
      <c r="Y736" s="324">
        <f t="shared" si="50"/>
        <v>0</v>
      </c>
      <c r="Z736" s="324">
        <f t="shared" si="50"/>
        <v>0</v>
      </c>
      <c r="AA736" s="324">
        <f t="shared" si="50"/>
        <v>0</v>
      </c>
      <c r="AB736" s="396" t="s">
        <v>882</v>
      </c>
    </row>
    <row r="737" spans="1:30" s="4" customFormat="1" ht="35.25" x14ac:dyDescent="0.5">
      <c r="A737" s="4">
        <v>1</v>
      </c>
      <c r="B737" s="171">
        <f>SUBTOTAL(103,$A$8:A737)</f>
        <v>700</v>
      </c>
      <c r="C737" s="323" t="s">
        <v>2603</v>
      </c>
      <c r="D737" s="324">
        <f>E737+F737+G737+H737+I737+J737+L737+M737+N737+O737+P737+Q737+R737+S737+T737+U737+V737+W737+X737+Y737+Z737+AA737</f>
        <v>308647</v>
      </c>
      <c r="E737" s="325">
        <v>108647</v>
      </c>
      <c r="F737" s="325">
        <v>200000</v>
      </c>
      <c r="G737" s="325">
        <v>0</v>
      </c>
      <c r="H737" s="325">
        <v>0</v>
      </c>
      <c r="I737" s="325">
        <v>0</v>
      </c>
      <c r="J737" s="325">
        <v>0</v>
      </c>
      <c r="K737" s="326">
        <v>0</v>
      </c>
      <c r="L737" s="325">
        <v>0</v>
      </c>
      <c r="M737" s="325">
        <v>0</v>
      </c>
      <c r="N737" s="325">
        <v>0</v>
      </c>
      <c r="O737" s="325">
        <v>0</v>
      </c>
      <c r="P737" s="325">
        <v>0</v>
      </c>
      <c r="Q737" s="325">
        <v>0</v>
      </c>
      <c r="R737" s="325">
        <v>0</v>
      </c>
      <c r="S737" s="325">
        <v>0</v>
      </c>
      <c r="T737" s="325">
        <v>0</v>
      </c>
      <c r="U737" s="325">
        <v>0</v>
      </c>
      <c r="V737" s="325">
        <v>0</v>
      </c>
      <c r="W737" s="325">
        <v>0</v>
      </c>
      <c r="X737" s="325">
        <v>0</v>
      </c>
      <c r="Y737" s="325">
        <v>0</v>
      </c>
      <c r="Z737" s="325">
        <v>0</v>
      </c>
      <c r="AA737" s="325">
        <v>0</v>
      </c>
      <c r="AB737" s="327">
        <v>2020</v>
      </c>
      <c r="AD737" s="4">
        <v>0</v>
      </c>
    </row>
    <row r="738" spans="1:30" s="4" customFormat="1" ht="35.25" x14ac:dyDescent="0.5">
      <c r="A738" s="322"/>
      <c r="B738" s="398" t="s">
        <v>2413</v>
      </c>
      <c r="C738" s="323"/>
      <c r="D738" s="324">
        <f>D739+D762+D767</f>
        <v>22337355.870000001</v>
      </c>
      <c r="E738" s="324">
        <f t="shared" ref="E738:AA738" si="51">E739+E762+E767</f>
        <v>325804.28000000003</v>
      </c>
      <c r="F738" s="324">
        <f t="shared" si="51"/>
        <v>654440.56000000006</v>
      </c>
      <c r="G738" s="324">
        <f t="shared" si="51"/>
        <v>2027442.3699999999</v>
      </c>
      <c r="H738" s="324">
        <f t="shared" si="51"/>
        <v>164839</v>
      </c>
      <c r="I738" s="324">
        <f t="shared" si="51"/>
        <v>4509233.7699999996</v>
      </c>
      <c r="J738" s="324">
        <f t="shared" si="51"/>
        <v>0</v>
      </c>
      <c r="K738" s="324">
        <f t="shared" si="51"/>
        <v>47</v>
      </c>
      <c r="L738" s="324">
        <f t="shared" si="51"/>
        <v>105212482.63487107</v>
      </c>
      <c r="M738" s="324">
        <f t="shared" si="51"/>
        <v>2196084</v>
      </c>
      <c r="N738" s="324">
        <f t="shared" si="51"/>
        <v>0</v>
      </c>
      <c r="O738" s="324">
        <f t="shared" si="51"/>
        <v>1679390.89</v>
      </c>
      <c r="P738" s="324">
        <f t="shared" si="51"/>
        <v>0</v>
      </c>
      <c r="Q738" s="324">
        <f t="shared" si="51"/>
        <v>0</v>
      </c>
      <c r="R738" s="324">
        <f t="shared" si="51"/>
        <v>0</v>
      </c>
      <c r="S738" s="324">
        <f t="shared" si="51"/>
        <v>0</v>
      </c>
      <c r="T738" s="324">
        <f t="shared" si="51"/>
        <v>0</v>
      </c>
      <c r="U738" s="324">
        <f t="shared" si="51"/>
        <v>0</v>
      </c>
      <c r="V738" s="324">
        <f t="shared" si="51"/>
        <v>0</v>
      </c>
      <c r="W738" s="324">
        <f t="shared" si="51"/>
        <v>0</v>
      </c>
      <c r="X738" s="324">
        <f t="shared" si="51"/>
        <v>0</v>
      </c>
      <c r="Y738" s="324">
        <f t="shared" si="51"/>
        <v>0</v>
      </c>
      <c r="Z738" s="324">
        <f t="shared" si="51"/>
        <v>0</v>
      </c>
      <c r="AA738" s="324">
        <f t="shared" si="51"/>
        <v>0</v>
      </c>
      <c r="AB738" s="396" t="s">
        <v>882</v>
      </c>
    </row>
    <row r="739" spans="1:30" s="4" customFormat="1" ht="35.25" x14ac:dyDescent="0.5">
      <c r="A739" s="322"/>
      <c r="B739" s="394" t="s">
        <v>1035</v>
      </c>
      <c r="C739" s="395"/>
      <c r="D739" s="324">
        <f>SUM(D740:D749)</f>
        <v>20977874.91</v>
      </c>
      <c r="E739" s="324">
        <f>SUM(E740:E761)</f>
        <v>0</v>
      </c>
      <c r="F739" s="324">
        <f t="shared" ref="F739:AA739" si="52">SUM(F740:F761)</f>
        <v>0</v>
      </c>
      <c r="G739" s="324">
        <f t="shared" si="52"/>
        <v>1715853.14</v>
      </c>
      <c r="H739" s="324">
        <f t="shared" si="52"/>
        <v>164839</v>
      </c>
      <c r="I739" s="324">
        <f t="shared" si="52"/>
        <v>4509233.7699999996</v>
      </c>
      <c r="J739" s="324">
        <f t="shared" si="52"/>
        <v>0</v>
      </c>
      <c r="K739" s="399">
        <f t="shared" si="52"/>
        <v>47</v>
      </c>
      <c r="L739" s="324">
        <f t="shared" si="52"/>
        <v>105212482.63487107</v>
      </c>
      <c r="M739" s="324">
        <f t="shared" si="52"/>
        <v>2196084</v>
      </c>
      <c r="N739" s="324">
        <f t="shared" si="52"/>
        <v>0</v>
      </c>
      <c r="O739" s="324">
        <f t="shared" si="52"/>
        <v>1611744</v>
      </c>
      <c r="P739" s="324">
        <f t="shared" si="52"/>
        <v>0</v>
      </c>
      <c r="Q739" s="324">
        <f t="shared" si="52"/>
        <v>0</v>
      </c>
      <c r="R739" s="324">
        <f t="shared" si="52"/>
        <v>0</v>
      </c>
      <c r="S739" s="324">
        <f t="shared" si="52"/>
        <v>0</v>
      </c>
      <c r="T739" s="324">
        <f t="shared" si="52"/>
        <v>0</v>
      </c>
      <c r="U739" s="324">
        <f t="shared" si="52"/>
        <v>0</v>
      </c>
      <c r="V739" s="324">
        <f t="shared" si="52"/>
        <v>0</v>
      </c>
      <c r="W739" s="324">
        <f t="shared" si="52"/>
        <v>0</v>
      </c>
      <c r="X739" s="324">
        <f t="shared" si="52"/>
        <v>0</v>
      </c>
      <c r="Y739" s="324">
        <f t="shared" si="52"/>
        <v>0</v>
      </c>
      <c r="Z739" s="324">
        <f t="shared" si="52"/>
        <v>0</v>
      </c>
      <c r="AA739" s="324">
        <f t="shared" si="52"/>
        <v>0</v>
      </c>
      <c r="AB739" s="396" t="s">
        <v>882</v>
      </c>
    </row>
    <row r="740" spans="1:30" s="4" customFormat="1" ht="35.25" x14ac:dyDescent="0.5">
      <c r="A740" s="322">
        <v>1</v>
      </c>
      <c r="B740" s="171">
        <f>SUBTOTAL(103,$A$739:A740)</f>
        <v>1</v>
      </c>
      <c r="C740" s="323" t="s">
        <v>1764</v>
      </c>
      <c r="D740" s="324">
        <f t="shared" ref="D740:D749" si="53">E740+F740+G740+H740+I740+J740+L740+M740+N740+O740+P740+Q740+R740+S740+T740+U740+V740+W740+X740+Y740+Z740+AA740</f>
        <v>1465085.67</v>
      </c>
      <c r="E740" s="325">
        <v>0</v>
      </c>
      <c r="F740" s="325">
        <v>0</v>
      </c>
      <c r="G740" s="325">
        <v>1465085.67</v>
      </c>
      <c r="H740" s="325">
        <v>0</v>
      </c>
      <c r="I740" s="325">
        <v>0</v>
      </c>
      <c r="J740" s="325">
        <v>0</v>
      </c>
      <c r="K740" s="326">
        <v>0</v>
      </c>
      <c r="L740" s="325">
        <v>0</v>
      </c>
      <c r="M740" s="325">
        <v>0</v>
      </c>
      <c r="N740" s="325">
        <v>0</v>
      </c>
      <c r="O740" s="325">
        <v>0</v>
      </c>
      <c r="P740" s="325">
        <v>0</v>
      </c>
      <c r="Q740" s="325">
        <v>0</v>
      </c>
      <c r="R740" s="325">
        <v>0</v>
      </c>
      <c r="S740" s="325">
        <v>0</v>
      </c>
      <c r="T740" s="325">
        <v>0</v>
      </c>
      <c r="U740" s="325">
        <v>0</v>
      </c>
      <c r="V740" s="325">
        <v>0</v>
      </c>
      <c r="W740" s="325">
        <v>0</v>
      </c>
      <c r="X740" s="325">
        <v>0</v>
      </c>
      <c r="Y740" s="325">
        <v>0</v>
      </c>
      <c r="Z740" s="325">
        <v>0</v>
      </c>
      <c r="AA740" s="325">
        <v>0</v>
      </c>
      <c r="AB740" s="327">
        <v>2021</v>
      </c>
      <c r="AD740" s="4">
        <v>0</v>
      </c>
    </row>
    <row r="741" spans="1:30" s="4" customFormat="1" ht="35.25" x14ac:dyDescent="0.5">
      <c r="A741" s="322">
        <v>1</v>
      </c>
      <c r="B741" s="171">
        <f>SUBTOTAL(103,$A$739:A741)</f>
        <v>2</v>
      </c>
      <c r="C741" s="323" t="s">
        <v>1778</v>
      </c>
      <c r="D741" s="324">
        <f t="shared" si="53"/>
        <v>250767.47</v>
      </c>
      <c r="E741" s="325">
        <v>0</v>
      </c>
      <c r="F741" s="325">
        <v>0</v>
      </c>
      <c r="G741" s="325">
        <v>250767.47</v>
      </c>
      <c r="H741" s="325">
        <v>0</v>
      </c>
      <c r="I741" s="325">
        <v>0</v>
      </c>
      <c r="J741" s="325">
        <v>0</v>
      </c>
      <c r="K741" s="326">
        <v>0</v>
      </c>
      <c r="L741" s="325">
        <v>0</v>
      </c>
      <c r="M741" s="325">
        <v>0</v>
      </c>
      <c r="N741" s="325">
        <v>0</v>
      </c>
      <c r="O741" s="325">
        <v>0</v>
      </c>
      <c r="P741" s="325">
        <v>0</v>
      </c>
      <c r="Q741" s="325">
        <v>0</v>
      </c>
      <c r="R741" s="325">
        <v>0</v>
      </c>
      <c r="S741" s="325">
        <v>0</v>
      </c>
      <c r="T741" s="325">
        <v>0</v>
      </c>
      <c r="U741" s="325">
        <v>0</v>
      </c>
      <c r="V741" s="325">
        <v>0</v>
      </c>
      <c r="W741" s="325">
        <v>0</v>
      </c>
      <c r="X741" s="325">
        <v>0</v>
      </c>
      <c r="Y741" s="325">
        <v>0</v>
      </c>
      <c r="Z741" s="325">
        <v>0</v>
      </c>
      <c r="AA741" s="325">
        <v>0</v>
      </c>
      <c r="AB741" s="327">
        <v>2021</v>
      </c>
      <c r="AD741" s="4">
        <v>0</v>
      </c>
    </row>
    <row r="742" spans="1:30" s="4" customFormat="1" ht="35.25" x14ac:dyDescent="0.5">
      <c r="A742" s="322">
        <v>1</v>
      </c>
      <c r="B742" s="171">
        <f>SUBTOTAL(103,$A$739:A742)</f>
        <v>3</v>
      </c>
      <c r="C742" s="323" t="s">
        <v>2604</v>
      </c>
      <c r="D742" s="324">
        <f t="shared" si="53"/>
        <v>1341938.77</v>
      </c>
      <c r="E742" s="325">
        <v>0</v>
      </c>
      <c r="F742" s="325">
        <v>0</v>
      </c>
      <c r="G742" s="325">
        <v>0</v>
      </c>
      <c r="H742" s="325">
        <v>164839</v>
      </c>
      <c r="I742" s="325">
        <v>1177099.77</v>
      </c>
      <c r="J742" s="325">
        <v>0</v>
      </c>
      <c r="K742" s="326">
        <v>0</v>
      </c>
      <c r="L742" s="325">
        <v>0</v>
      </c>
      <c r="M742" s="325">
        <v>0</v>
      </c>
      <c r="N742" s="325">
        <v>0</v>
      </c>
      <c r="O742" s="325">
        <v>0</v>
      </c>
      <c r="P742" s="325">
        <v>0</v>
      </c>
      <c r="Q742" s="325">
        <v>0</v>
      </c>
      <c r="R742" s="325">
        <v>0</v>
      </c>
      <c r="S742" s="325">
        <v>0</v>
      </c>
      <c r="T742" s="325">
        <v>0</v>
      </c>
      <c r="U742" s="325">
        <v>0</v>
      </c>
      <c r="V742" s="325">
        <v>0</v>
      </c>
      <c r="W742" s="325">
        <v>0</v>
      </c>
      <c r="X742" s="325">
        <v>0</v>
      </c>
      <c r="Y742" s="325">
        <v>0</v>
      </c>
      <c r="Z742" s="325">
        <v>0</v>
      </c>
      <c r="AA742" s="325">
        <v>0</v>
      </c>
      <c r="AB742" s="327">
        <v>2021</v>
      </c>
      <c r="AD742" s="4">
        <v>0</v>
      </c>
    </row>
    <row r="743" spans="1:30" s="4" customFormat="1" ht="35.25" x14ac:dyDescent="0.5">
      <c r="A743" s="322">
        <v>1</v>
      </c>
      <c r="B743" s="171">
        <f>SUBTOTAL(103,$A$739:A743)</f>
        <v>4</v>
      </c>
      <c r="C743" s="323" t="s">
        <v>2605</v>
      </c>
      <c r="D743" s="324">
        <f t="shared" si="53"/>
        <v>2180000</v>
      </c>
      <c r="E743" s="325">
        <v>0</v>
      </c>
      <c r="F743" s="325">
        <v>0</v>
      </c>
      <c r="G743" s="325">
        <v>0</v>
      </c>
      <c r="H743" s="325">
        <v>0</v>
      </c>
      <c r="I743" s="325">
        <v>2180000</v>
      </c>
      <c r="J743" s="325">
        <v>0</v>
      </c>
      <c r="K743" s="326">
        <v>0</v>
      </c>
      <c r="L743" s="325">
        <v>0</v>
      </c>
      <c r="M743" s="325">
        <v>0</v>
      </c>
      <c r="N743" s="325">
        <v>0</v>
      </c>
      <c r="O743" s="325">
        <v>0</v>
      </c>
      <c r="P743" s="325">
        <v>0</v>
      </c>
      <c r="Q743" s="325">
        <v>0</v>
      </c>
      <c r="R743" s="325">
        <v>0</v>
      </c>
      <c r="S743" s="325">
        <v>0</v>
      </c>
      <c r="T743" s="325">
        <v>0</v>
      </c>
      <c r="U743" s="325">
        <v>0</v>
      </c>
      <c r="V743" s="325">
        <v>0</v>
      </c>
      <c r="W743" s="325">
        <v>0</v>
      </c>
      <c r="X743" s="325">
        <v>0</v>
      </c>
      <c r="Y743" s="325">
        <v>0</v>
      </c>
      <c r="Z743" s="325">
        <v>0</v>
      </c>
      <c r="AA743" s="325">
        <v>0</v>
      </c>
      <c r="AB743" s="327">
        <v>2021</v>
      </c>
      <c r="AD743" s="4">
        <v>0</v>
      </c>
    </row>
    <row r="744" spans="1:30" s="4" customFormat="1" ht="35.25" x14ac:dyDescent="0.5">
      <c r="A744" s="322">
        <v>1</v>
      </c>
      <c r="B744" s="171">
        <f>SUBTOTAL(103,$A$739:A744)</f>
        <v>5</v>
      </c>
      <c r="C744" s="323" t="s">
        <v>2606</v>
      </c>
      <c r="D744" s="324">
        <f t="shared" si="53"/>
        <v>1152134</v>
      </c>
      <c r="E744" s="325">
        <v>0</v>
      </c>
      <c r="F744" s="325">
        <v>0</v>
      </c>
      <c r="G744" s="325">
        <v>0</v>
      </c>
      <c r="H744" s="325">
        <v>0</v>
      </c>
      <c r="I744" s="325">
        <v>1152134</v>
      </c>
      <c r="J744" s="325">
        <v>0</v>
      </c>
      <c r="K744" s="326">
        <v>0</v>
      </c>
      <c r="L744" s="325">
        <v>0</v>
      </c>
      <c r="M744" s="325">
        <v>0</v>
      </c>
      <c r="N744" s="325">
        <v>0</v>
      </c>
      <c r="O744" s="325">
        <v>0</v>
      </c>
      <c r="P744" s="325">
        <v>0</v>
      </c>
      <c r="Q744" s="325">
        <v>0</v>
      </c>
      <c r="R744" s="325">
        <v>0</v>
      </c>
      <c r="S744" s="325">
        <v>0</v>
      </c>
      <c r="T744" s="325">
        <v>0</v>
      </c>
      <c r="U744" s="325">
        <v>0</v>
      </c>
      <c r="V744" s="325">
        <v>0</v>
      </c>
      <c r="W744" s="325">
        <v>0</v>
      </c>
      <c r="X744" s="325">
        <v>0</v>
      </c>
      <c r="Y744" s="325">
        <v>0</v>
      </c>
      <c r="Z744" s="325">
        <v>0</v>
      </c>
      <c r="AA744" s="325">
        <v>0</v>
      </c>
      <c r="AB744" s="327">
        <v>2021</v>
      </c>
      <c r="AD744" s="4">
        <v>0</v>
      </c>
    </row>
    <row r="745" spans="1:30" s="4" customFormat="1" ht="35.25" x14ac:dyDescent="0.5">
      <c r="A745" s="322">
        <v>1</v>
      </c>
      <c r="B745" s="171">
        <f>SUBTOTAL(103,$A$739:A745)</f>
        <v>6</v>
      </c>
      <c r="C745" s="323" t="s">
        <v>2607</v>
      </c>
      <c r="D745" s="324">
        <f t="shared" si="53"/>
        <v>2180121</v>
      </c>
      <c r="E745" s="325">
        <v>0</v>
      </c>
      <c r="F745" s="325">
        <v>0</v>
      </c>
      <c r="G745" s="325">
        <v>0</v>
      </c>
      <c r="H745" s="325">
        <v>0</v>
      </c>
      <c r="I745" s="325">
        <v>0</v>
      </c>
      <c r="J745" s="325">
        <v>0</v>
      </c>
      <c r="K745" s="326">
        <v>1</v>
      </c>
      <c r="L745" s="325">
        <v>2180121</v>
      </c>
      <c r="M745" s="325">
        <v>0</v>
      </c>
      <c r="N745" s="325">
        <v>0</v>
      </c>
      <c r="O745" s="325">
        <v>0</v>
      </c>
      <c r="P745" s="325">
        <v>0</v>
      </c>
      <c r="Q745" s="325">
        <v>0</v>
      </c>
      <c r="R745" s="325">
        <v>0</v>
      </c>
      <c r="S745" s="325">
        <v>0</v>
      </c>
      <c r="T745" s="325">
        <v>0</v>
      </c>
      <c r="U745" s="325">
        <v>0</v>
      </c>
      <c r="V745" s="325">
        <v>0</v>
      </c>
      <c r="W745" s="325">
        <v>0</v>
      </c>
      <c r="X745" s="325">
        <v>0</v>
      </c>
      <c r="Y745" s="325">
        <v>0</v>
      </c>
      <c r="Z745" s="325">
        <v>0</v>
      </c>
      <c r="AA745" s="325">
        <v>0</v>
      </c>
      <c r="AB745" s="327">
        <v>2021</v>
      </c>
      <c r="AD745" s="4">
        <v>0</v>
      </c>
    </row>
    <row r="746" spans="1:30" s="4" customFormat="1" ht="35.25" x14ac:dyDescent="0.5">
      <c r="A746" s="322">
        <v>1</v>
      </c>
      <c r="B746" s="171">
        <f>SUBTOTAL(103,$A$739:A746)</f>
        <v>7</v>
      </c>
      <c r="C746" s="323" t="s">
        <v>2608</v>
      </c>
      <c r="D746" s="324">
        <f t="shared" si="53"/>
        <v>2196084</v>
      </c>
      <c r="E746" s="325">
        <v>0</v>
      </c>
      <c r="F746" s="325">
        <v>0</v>
      </c>
      <c r="G746" s="325">
        <v>0</v>
      </c>
      <c r="H746" s="325">
        <v>0</v>
      </c>
      <c r="I746" s="325">
        <v>0</v>
      </c>
      <c r="J746" s="325">
        <v>0</v>
      </c>
      <c r="K746" s="326">
        <v>0</v>
      </c>
      <c r="L746" s="325">
        <v>0</v>
      </c>
      <c r="M746" s="325">
        <v>2196084</v>
      </c>
      <c r="N746" s="325">
        <v>0</v>
      </c>
      <c r="O746" s="325">
        <v>0</v>
      </c>
      <c r="P746" s="325">
        <v>0</v>
      </c>
      <c r="Q746" s="325">
        <v>0</v>
      </c>
      <c r="R746" s="325">
        <v>0</v>
      </c>
      <c r="S746" s="325">
        <v>0</v>
      </c>
      <c r="T746" s="325">
        <v>0</v>
      </c>
      <c r="U746" s="325">
        <v>0</v>
      </c>
      <c r="V746" s="325">
        <v>0</v>
      </c>
      <c r="W746" s="325">
        <v>0</v>
      </c>
      <c r="X746" s="325">
        <v>0</v>
      </c>
      <c r="Y746" s="325">
        <v>0</v>
      </c>
      <c r="Z746" s="325">
        <v>0</v>
      </c>
      <c r="AA746" s="325">
        <v>0</v>
      </c>
      <c r="AB746" s="327">
        <v>2021</v>
      </c>
      <c r="AD746" s="4">
        <v>0</v>
      </c>
    </row>
    <row r="747" spans="1:30" s="4" customFormat="1" ht="35.25" x14ac:dyDescent="0.5">
      <c r="A747" s="322">
        <v>1</v>
      </c>
      <c r="B747" s="171">
        <f>SUBTOTAL(103,$A$739:A747)</f>
        <v>8</v>
      </c>
      <c r="C747" s="323" t="s">
        <v>2649</v>
      </c>
      <c r="D747" s="324">
        <f t="shared" si="53"/>
        <v>4200000</v>
      </c>
      <c r="E747" s="325">
        <v>0</v>
      </c>
      <c r="F747" s="325">
        <v>0</v>
      </c>
      <c r="G747" s="325">
        <v>0</v>
      </c>
      <c r="H747" s="325">
        <v>0</v>
      </c>
      <c r="I747" s="325">
        <v>0</v>
      </c>
      <c r="J747" s="325">
        <v>0</v>
      </c>
      <c r="K747" s="326">
        <v>2</v>
      </c>
      <c r="L747" s="325">
        <v>4200000</v>
      </c>
      <c r="M747" s="325">
        <v>0</v>
      </c>
      <c r="N747" s="325">
        <v>0</v>
      </c>
      <c r="O747" s="325">
        <v>0</v>
      </c>
      <c r="P747" s="325">
        <v>0</v>
      </c>
      <c r="Q747" s="325">
        <v>0</v>
      </c>
      <c r="R747" s="325">
        <v>0</v>
      </c>
      <c r="S747" s="325">
        <v>0</v>
      </c>
      <c r="T747" s="325">
        <v>0</v>
      </c>
      <c r="U747" s="325">
        <v>0</v>
      </c>
      <c r="V747" s="325">
        <v>0</v>
      </c>
      <c r="W747" s="325">
        <v>0</v>
      </c>
      <c r="X747" s="325">
        <v>0</v>
      </c>
      <c r="Y747" s="325">
        <v>0</v>
      </c>
      <c r="Z747" s="325">
        <v>0</v>
      </c>
      <c r="AA747" s="325">
        <v>0</v>
      </c>
      <c r="AB747" s="327">
        <v>2021</v>
      </c>
    </row>
    <row r="748" spans="1:30" s="4" customFormat="1" ht="35.25" x14ac:dyDescent="0.5">
      <c r="A748" s="322">
        <v>1</v>
      </c>
      <c r="B748" s="171">
        <f>SUBTOTAL(103,$A$739:A748)</f>
        <v>9</v>
      </c>
      <c r="C748" s="323" t="s">
        <v>2650</v>
      </c>
      <c r="D748" s="324">
        <f t="shared" si="53"/>
        <v>4400000</v>
      </c>
      <c r="E748" s="325">
        <v>0</v>
      </c>
      <c r="F748" s="325">
        <v>0</v>
      </c>
      <c r="G748" s="325">
        <v>0</v>
      </c>
      <c r="H748" s="325">
        <v>0</v>
      </c>
      <c r="I748" s="325">
        <v>0</v>
      </c>
      <c r="J748" s="325">
        <v>0</v>
      </c>
      <c r="K748" s="326">
        <v>2</v>
      </c>
      <c r="L748" s="325">
        <v>4400000</v>
      </c>
      <c r="M748" s="325">
        <v>0</v>
      </c>
      <c r="N748" s="325">
        <v>0</v>
      </c>
      <c r="O748" s="325">
        <v>0</v>
      </c>
      <c r="P748" s="325">
        <v>0</v>
      </c>
      <c r="Q748" s="325">
        <v>0</v>
      </c>
      <c r="R748" s="325">
        <v>0</v>
      </c>
      <c r="S748" s="325">
        <v>0</v>
      </c>
      <c r="T748" s="325">
        <v>0</v>
      </c>
      <c r="U748" s="325">
        <v>0</v>
      </c>
      <c r="V748" s="325">
        <v>0</v>
      </c>
      <c r="W748" s="325">
        <v>0</v>
      </c>
      <c r="X748" s="325">
        <v>0</v>
      </c>
      <c r="Y748" s="325">
        <v>0</v>
      </c>
      <c r="Z748" s="325">
        <v>0</v>
      </c>
      <c r="AA748" s="325">
        <v>0</v>
      </c>
      <c r="AB748" s="327">
        <v>2021</v>
      </c>
    </row>
    <row r="749" spans="1:30" s="4" customFormat="1" ht="35.25" x14ac:dyDescent="0.5">
      <c r="A749" s="322">
        <v>1</v>
      </c>
      <c r="B749" s="171">
        <f>SUBTOTAL(103,$A$739:A749)</f>
        <v>10</v>
      </c>
      <c r="C749" s="323" t="s">
        <v>2609</v>
      </c>
      <c r="D749" s="324">
        <f t="shared" si="53"/>
        <v>1611744</v>
      </c>
      <c r="E749" s="325">
        <v>0</v>
      </c>
      <c r="F749" s="325">
        <v>0</v>
      </c>
      <c r="G749" s="325">
        <v>0</v>
      </c>
      <c r="H749" s="325">
        <v>0</v>
      </c>
      <c r="I749" s="325">
        <v>0</v>
      </c>
      <c r="J749" s="325">
        <v>0</v>
      </c>
      <c r="K749" s="326">
        <v>0</v>
      </c>
      <c r="L749" s="325">
        <v>0</v>
      </c>
      <c r="M749" s="325">
        <v>0</v>
      </c>
      <c r="N749" s="325">
        <v>0</v>
      </c>
      <c r="O749" s="325">
        <v>1611744</v>
      </c>
      <c r="P749" s="325">
        <v>0</v>
      </c>
      <c r="Q749" s="325">
        <v>0</v>
      </c>
      <c r="R749" s="325">
        <v>0</v>
      </c>
      <c r="S749" s="325">
        <v>0</v>
      </c>
      <c r="T749" s="325">
        <v>0</v>
      </c>
      <c r="U749" s="325">
        <v>0</v>
      </c>
      <c r="V749" s="325">
        <v>0</v>
      </c>
      <c r="W749" s="325">
        <v>0</v>
      </c>
      <c r="X749" s="325">
        <v>0</v>
      </c>
      <c r="Y749" s="325">
        <v>0</v>
      </c>
      <c r="Z749" s="325">
        <v>0</v>
      </c>
      <c r="AA749" s="325">
        <v>0</v>
      </c>
      <c r="AB749" s="327">
        <v>2021</v>
      </c>
      <c r="AD749" s="4">
        <v>0</v>
      </c>
    </row>
    <row r="750" spans="1:30" s="4" customFormat="1" ht="35.25" x14ac:dyDescent="0.5">
      <c r="A750" s="322">
        <v>1</v>
      </c>
      <c r="B750" s="171">
        <f>SUBTOTAL(103,$A$739:A750)</f>
        <v>11</v>
      </c>
      <c r="C750" s="323" t="s">
        <v>2699</v>
      </c>
      <c r="D750" s="324">
        <f t="shared" ref="D750:D759" si="54">E750+F750+G750+H750+I750+J750+L750+M750+N750+O750+P750+Q750+R750+S750+T750+U750+V750+W750+X750+Y750+Z750+AA750</f>
        <v>8944531.1999999993</v>
      </c>
      <c r="E750" s="325">
        <v>0</v>
      </c>
      <c r="F750" s="325">
        <v>0</v>
      </c>
      <c r="G750" s="325">
        <v>0</v>
      </c>
      <c r="H750" s="325">
        <v>0</v>
      </c>
      <c r="I750" s="325">
        <v>0</v>
      </c>
      <c r="J750" s="325">
        <v>0</v>
      </c>
      <c r="K750" s="326">
        <v>4</v>
      </c>
      <c r="L750" s="325">
        <v>8944531.1999999993</v>
      </c>
      <c r="M750" s="325">
        <v>0</v>
      </c>
      <c r="N750" s="325">
        <v>0</v>
      </c>
      <c r="O750" s="325">
        <v>0</v>
      </c>
      <c r="P750" s="325">
        <v>0</v>
      </c>
      <c r="Q750" s="325">
        <v>0</v>
      </c>
      <c r="R750" s="325">
        <v>0</v>
      </c>
      <c r="S750" s="325">
        <v>0</v>
      </c>
      <c r="T750" s="325">
        <v>0</v>
      </c>
      <c r="U750" s="325">
        <v>0</v>
      </c>
      <c r="V750" s="325">
        <v>0</v>
      </c>
      <c r="W750" s="325">
        <v>0</v>
      </c>
      <c r="X750" s="325">
        <v>0</v>
      </c>
      <c r="Y750" s="325">
        <v>0</v>
      </c>
      <c r="Z750" s="325">
        <v>0</v>
      </c>
      <c r="AA750" s="325">
        <v>0</v>
      </c>
      <c r="AB750" s="327">
        <v>2021</v>
      </c>
      <c r="AD750" s="4">
        <v>0</v>
      </c>
    </row>
    <row r="751" spans="1:30" s="4" customFormat="1" ht="35.25" x14ac:dyDescent="0.5">
      <c r="A751" s="322">
        <v>1</v>
      </c>
      <c r="B751" s="171">
        <f>SUBTOTAL(103,$A$739:A751)</f>
        <v>12</v>
      </c>
      <c r="C751" s="323" t="s">
        <v>2700</v>
      </c>
      <c r="D751" s="324">
        <f t="shared" si="54"/>
        <v>4598198.5736040585</v>
      </c>
      <c r="E751" s="325">
        <v>0</v>
      </c>
      <c r="F751" s="325">
        <v>0</v>
      </c>
      <c r="G751" s="325">
        <v>0</v>
      </c>
      <c r="H751" s="325">
        <v>0</v>
      </c>
      <c r="I751" s="325">
        <v>0</v>
      </c>
      <c r="J751" s="325">
        <v>0</v>
      </c>
      <c r="K751" s="326">
        <v>2</v>
      </c>
      <c r="L751" s="325">
        <v>4598198.5736040585</v>
      </c>
      <c r="M751" s="325">
        <v>0</v>
      </c>
      <c r="N751" s="325">
        <v>0</v>
      </c>
      <c r="O751" s="325">
        <v>0</v>
      </c>
      <c r="P751" s="325">
        <v>0</v>
      </c>
      <c r="Q751" s="325">
        <v>0</v>
      </c>
      <c r="R751" s="325">
        <v>0</v>
      </c>
      <c r="S751" s="325">
        <v>0</v>
      </c>
      <c r="T751" s="325">
        <v>0</v>
      </c>
      <c r="U751" s="325">
        <v>0</v>
      </c>
      <c r="V751" s="325">
        <v>0</v>
      </c>
      <c r="W751" s="325">
        <v>0</v>
      </c>
      <c r="X751" s="325">
        <v>0</v>
      </c>
      <c r="Y751" s="325">
        <v>0</v>
      </c>
      <c r="Z751" s="325">
        <v>0</v>
      </c>
      <c r="AA751" s="325">
        <v>0</v>
      </c>
      <c r="AB751" s="327">
        <v>2021</v>
      </c>
      <c r="AD751" s="4">
        <v>0</v>
      </c>
    </row>
    <row r="752" spans="1:30" s="4" customFormat="1" ht="35.25" x14ac:dyDescent="0.5">
      <c r="A752" s="322">
        <v>1</v>
      </c>
      <c r="B752" s="171">
        <f>SUBTOTAL(103,$A$739:A752)</f>
        <v>13</v>
      </c>
      <c r="C752" s="323" t="s">
        <v>2701</v>
      </c>
      <c r="D752" s="324">
        <f t="shared" si="54"/>
        <v>13416796.800000001</v>
      </c>
      <c r="E752" s="325">
        <v>0</v>
      </c>
      <c r="F752" s="325">
        <v>0</v>
      </c>
      <c r="G752" s="325">
        <v>0</v>
      </c>
      <c r="H752" s="325">
        <v>0</v>
      </c>
      <c r="I752" s="325">
        <v>0</v>
      </c>
      <c r="J752" s="325">
        <v>0</v>
      </c>
      <c r="K752" s="326">
        <v>6</v>
      </c>
      <c r="L752" s="325">
        <v>13416796.800000001</v>
      </c>
      <c r="M752" s="325">
        <v>0</v>
      </c>
      <c r="N752" s="325">
        <v>0</v>
      </c>
      <c r="O752" s="325">
        <v>0</v>
      </c>
      <c r="P752" s="325">
        <v>0</v>
      </c>
      <c r="Q752" s="325">
        <v>0</v>
      </c>
      <c r="R752" s="325">
        <v>0</v>
      </c>
      <c r="S752" s="325">
        <v>0</v>
      </c>
      <c r="T752" s="325">
        <v>0</v>
      </c>
      <c r="U752" s="325">
        <v>0</v>
      </c>
      <c r="V752" s="325">
        <v>0</v>
      </c>
      <c r="W752" s="325">
        <v>0</v>
      </c>
      <c r="X752" s="325">
        <v>0</v>
      </c>
      <c r="Y752" s="325">
        <v>0</v>
      </c>
      <c r="Z752" s="325">
        <v>0</v>
      </c>
      <c r="AA752" s="325">
        <v>0</v>
      </c>
      <c r="AB752" s="327">
        <v>2021</v>
      </c>
      <c r="AD752" s="4">
        <v>0</v>
      </c>
    </row>
    <row r="753" spans="1:30" s="4" customFormat="1" ht="35.25" x14ac:dyDescent="0.5">
      <c r="A753" s="322">
        <v>1</v>
      </c>
      <c r="B753" s="171">
        <f>SUBTOTAL(103,$A$739:A753)</f>
        <v>14</v>
      </c>
      <c r="C753" s="323" t="s">
        <v>2702</v>
      </c>
      <c r="D753" s="324">
        <f t="shared" si="54"/>
        <v>8944531.1999999993</v>
      </c>
      <c r="E753" s="325">
        <v>0</v>
      </c>
      <c r="F753" s="325">
        <v>0</v>
      </c>
      <c r="G753" s="325">
        <v>0</v>
      </c>
      <c r="H753" s="325">
        <v>0</v>
      </c>
      <c r="I753" s="325">
        <v>0</v>
      </c>
      <c r="J753" s="325">
        <v>0</v>
      </c>
      <c r="K753" s="326">
        <v>4</v>
      </c>
      <c r="L753" s="325">
        <v>8944531.1999999993</v>
      </c>
      <c r="M753" s="325">
        <v>0</v>
      </c>
      <c r="N753" s="325">
        <v>0</v>
      </c>
      <c r="O753" s="325">
        <v>0</v>
      </c>
      <c r="P753" s="325">
        <v>0</v>
      </c>
      <c r="Q753" s="325">
        <v>0</v>
      </c>
      <c r="R753" s="325">
        <v>0</v>
      </c>
      <c r="S753" s="325">
        <v>0</v>
      </c>
      <c r="T753" s="325">
        <v>0</v>
      </c>
      <c r="U753" s="325">
        <v>0</v>
      </c>
      <c r="V753" s="325">
        <v>0</v>
      </c>
      <c r="W753" s="325">
        <v>0</v>
      </c>
      <c r="X753" s="325">
        <v>0</v>
      </c>
      <c r="Y753" s="325">
        <v>0</v>
      </c>
      <c r="Z753" s="325">
        <v>0</v>
      </c>
      <c r="AA753" s="325">
        <v>0</v>
      </c>
      <c r="AB753" s="327">
        <v>2021</v>
      </c>
      <c r="AD753" s="4">
        <v>0</v>
      </c>
    </row>
    <row r="754" spans="1:30" s="4" customFormat="1" ht="35.25" x14ac:dyDescent="0.5">
      <c r="A754" s="322">
        <v>1</v>
      </c>
      <c r="B754" s="171">
        <f>SUBTOTAL(103,$A$739:A754)</f>
        <v>15</v>
      </c>
      <c r="C754" s="323" t="s">
        <v>2703</v>
      </c>
      <c r="D754" s="324">
        <f t="shared" si="54"/>
        <v>6708398.3999999994</v>
      </c>
      <c r="E754" s="325">
        <v>0</v>
      </c>
      <c r="F754" s="325">
        <v>0</v>
      </c>
      <c r="G754" s="325">
        <v>0</v>
      </c>
      <c r="H754" s="325">
        <v>0</v>
      </c>
      <c r="I754" s="325">
        <v>0</v>
      </c>
      <c r="J754" s="325">
        <v>0</v>
      </c>
      <c r="K754" s="326">
        <v>3</v>
      </c>
      <c r="L754" s="325">
        <v>6708398.3999999994</v>
      </c>
      <c r="M754" s="325">
        <v>0</v>
      </c>
      <c r="N754" s="325">
        <v>0</v>
      </c>
      <c r="O754" s="325">
        <v>0</v>
      </c>
      <c r="P754" s="325">
        <v>0</v>
      </c>
      <c r="Q754" s="325">
        <v>0</v>
      </c>
      <c r="R754" s="325">
        <v>0</v>
      </c>
      <c r="S754" s="325">
        <v>0</v>
      </c>
      <c r="T754" s="325">
        <v>0</v>
      </c>
      <c r="U754" s="325">
        <v>0</v>
      </c>
      <c r="V754" s="325">
        <v>0</v>
      </c>
      <c r="W754" s="325">
        <v>0</v>
      </c>
      <c r="X754" s="325">
        <v>0</v>
      </c>
      <c r="Y754" s="325">
        <v>0</v>
      </c>
      <c r="Z754" s="325">
        <v>0</v>
      </c>
      <c r="AA754" s="325">
        <v>0</v>
      </c>
      <c r="AB754" s="327">
        <v>2021</v>
      </c>
      <c r="AD754" s="4">
        <v>0</v>
      </c>
    </row>
    <row r="755" spans="1:30" s="4" customFormat="1" ht="35.25" x14ac:dyDescent="0.5">
      <c r="A755" s="322">
        <v>1</v>
      </c>
      <c r="B755" s="171">
        <f>SUBTOTAL(103,$A$739:A755)</f>
        <v>16</v>
      </c>
      <c r="C755" s="323" t="s">
        <v>2704</v>
      </c>
      <c r="D755" s="324">
        <f t="shared" si="54"/>
        <v>15652929.600000001</v>
      </c>
      <c r="E755" s="325">
        <v>0</v>
      </c>
      <c r="F755" s="325">
        <v>0</v>
      </c>
      <c r="G755" s="325">
        <v>0</v>
      </c>
      <c r="H755" s="325">
        <v>0</v>
      </c>
      <c r="I755" s="325">
        <v>0</v>
      </c>
      <c r="J755" s="325">
        <v>0</v>
      </c>
      <c r="K755" s="326">
        <v>7</v>
      </c>
      <c r="L755" s="325">
        <v>15652929.600000001</v>
      </c>
      <c r="M755" s="325">
        <v>0</v>
      </c>
      <c r="N755" s="325">
        <v>0</v>
      </c>
      <c r="O755" s="325">
        <v>0</v>
      </c>
      <c r="P755" s="325">
        <v>0</v>
      </c>
      <c r="Q755" s="325">
        <v>0</v>
      </c>
      <c r="R755" s="325">
        <v>0</v>
      </c>
      <c r="S755" s="325">
        <v>0</v>
      </c>
      <c r="T755" s="325">
        <v>0</v>
      </c>
      <c r="U755" s="325">
        <v>0</v>
      </c>
      <c r="V755" s="325">
        <v>0</v>
      </c>
      <c r="W755" s="325">
        <v>0</v>
      </c>
      <c r="X755" s="325">
        <v>0</v>
      </c>
      <c r="Y755" s="325">
        <v>0</v>
      </c>
      <c r="Z755" s="325">
        <v>0</v>
      </c>
      <c r="AA755" s="325">
        <v>0</v>
      </c>
      <c r="AB755" s="327">
        <v>2021</v>
      </c>
      <c r="AD755" s="4">
        <v>0</v>
      </c>
    </row>
    <row r="756" spans="1:30" s="4" customFormat="1" ht="35.25" x14ac:dyDescent="0.5">
      <c r="A756" s="322">
        <v>1</v>
      </c>
      <c r="B756" s="171">
        <f>SUBTOTAL(103,$A$739:A756)</f>
        <v>17</v>
      </c>
      <c r="C756" s="323" t="s">
        <v>2705</v>
      </c>
      <c r="D756" s="324">
        <f t="shared" si="54"/>
        <v>13416796.800000001</v>
      </c>
      <c r="E756" s="325">
        <v>0</v>
      </c>
      <c r="F756" s="325">
        <v>0</v>
      </c>
      <c r="G756" s="325">
        <v>0</v>
      </c>
      <c r="H756" s="325">
        <v>0</v>
      </c>
      <c r="I756" s="325">
        <v>0</v>
      </c>
      <c r="J756" s="325">
        <v>0</v>
      </c>
      <c r="K756" s="326">
        <v>6</v>
      </c>
      <c r="L756" s="325">
        <v>13416796.800000001</v>
      </c>
      <c r="M756" s="325">
        <v>0</v>
      </c>
      <c r="N756" s="325">
        <v>0</v>
      </c>
      <c r="O756" s="325">
        <v>0</v>
      </c>
      <c r="P756" s="325">
        <v>0</v>
      </c>
      <c r="Q756" s="325">
        <v>0</v>
      </c>
      <c r="R756" s="325">
        <v>0</v>
      </c>
      <c r="S756" s="325">
        <v>0</v>
      </c>
      <c r="T756" s="325">
        <v>0</v>
      </c>
      <c r="U756" s="325">
        <v>0</v>
      </c>
      <c r="V756" s="325">
        <v>0</v>
      </c>
      <c r="W756" s="325">
        <v>0</v>
      </c>
      <c r="X756" s="325">
        <v>0</v>
      </c>
      <c r="Y756" s="325">
        <v>0</v>
      </c>
      <c r="Z756" s="325">
        <v>0</v>
      </c>
      <c r="AA756" s="325">
        <v>0</v>
      </c>
      <c r="AB756" s="327">
        <v>2021</v>
      </c>
      <c r="AD756" s="4">
        <v>0</v>
      </c>
    </row>
    <row r="757" spans="1:30" s="4" customFormat="1" ht="35.25" x14ac:dyDescent="0.5">
      <c r="A757" s="322">
        <v>1</v>
      </c>
      <c r="B757" s="171">
        <f>SUBTOTAL(103,$A$739:A757)</f>
        <v>18</v>
      </c>
      <c r="C757" s="323" t="s">
        <v>2706</v>
      </c>
      <c r="D757" s="324">
        <f t="shared" si="54"/>
        <v>7097249.4612670196</v>
      </c>
      <c r="E757" s="325">
        <v>0</v>
      </c>
      <c r="F757" s="325">
        <v>0</v>
      </c>
      <c r="G757" s="325">
        <v>0</v>
      </c>
      <c r="H757" s="325">
        <v>0</v>
      </c>
      <c r="I757" s="325">
        <v>0</v>
      </c>
      <c r="J757" s="325">
        <v>0</v>
      </c>
      <c r="K757" s="326">
        <v>3</v>
      </c>
      <c r="L757" s="325">
        <v>7097249.4612670196</v>
      </c>
      <c r="M757" s="325">
        <v>0</v>
      </c>
      <c r="N757" s="325">
        <v>0</v>
      </c>
      <c r="O757" s="325">
        <v>0</v>
      </c>
      <c r="P757" s="325">
        <v>0</v>
      </c>
      <c r="Q757" s="325">
        <v>0</v>
      </c>
      <c r="R757" s="325">
        <v>0</v>
      </c>
      <c r="S757" s="325">
        <v>0</v>
      </c>
      <c r="T757" s="325">
        <v>0</v>
      </c>
      <c r="U757" s="325">
        <v>0</v>
      </c>
      <c r="V757" s="325">
        <v>0</v>
      </c>
      <c r="W757" s="325">
        <v>0</v>
      </c>
      <c r="X757" s="325">
        <v>0</v>
      </c>
      <c r="Y757" s="325">
        <v>0</v>
      </c>
      <c r="Z757" s="325">
        <v>0</v>
      </c>
      <c r="AA757" s="325">
        <v>0</v>
      </c>
      <c r="AB757" s="327">
        <v>2021</v>
      </c>
    </row>
    <row r="758" spans="1:30" s="4" customFormat="1" ht="35.25" x14ac:dyDescent="0.5">
      <c r="A758" s="322">
        <v>1</v>
      </c>
      <c r="B758" s="171">
        <f>SUBTOTAL(103,$A$739:A758)</f>
        <v>19</v>
      </c>
      <c r="C758" s="323" t="s">
        <v>2707</v>
      </c>
      <c r="D758" s="324">
        <f t="shared" si="54"/>
        <v>2236132.7999999998</v>
      </c>
      <c r="E758" s="325">
        <v>0</v>
      </c>
      <c r="F758" s="325">
        <v>0</v>
      </c>
      <c r="G758" s="325">
        <v>0</v>
      </c>
      <c r="H758" s="325">
        <v>0</v>
      </c>
      <c r="I758" s="325">
        <v>0</v>
      </c>
      <c r="J758" s="325">
        <v>0</v>
      </c>
      <c r="K758" s="326">
        <v>1</v>
      </c>
      <c r="L758" s="325">
        <v>2236132.7999999998</v>
      </c>
      <c r="M758" s="325">
        <v>0</v>
      </c>
      <c r="N758" s="325">
        <v>0</v>
      </c>
      <c r="O758" s="325">
        <v>0</v>
      </c>
      <c r="P758" s="325">
        <v>0</v>
      </c>
      <c r="Q758" s="325">
        <v>0</v>
      </c>
      <c r="R758" s="325">
        <v>0</v>
      </c>
      <c r="S758" s="325">
        <v>0</v>
      </c>
      <c r="T758" s="325">
        <v>0</v>
      </c>
      <c r="U758" s="325">
        <v>0</v>
      </c>
      <c r="V758" s="325">
        <v>0</v>
      </c>
      <c r="W758" s="325">
        <v>0</v>
      </c>
      <c r="X758" s="325">
        <v>0</v>
      </c>
      <c r="Y758" s="325">
        <v>0</v>
      </c>
      <c r="Z758" s="325">
        <v>0</v>
      </c>
      <c r="AA758" s="325">
        <v>0</v>
      </c>
      <c r="AB758" s="327">
        <v>2021</v>
      </c>
    </row>
    <row r="759" spans="1:30" s="4" customFormat="1" ht="35.25" x14ac:dyDescent="0.5">
      <c r="A759" s="322">
        <v>1</v>
      </c>
      <c r="B759" s="171">
        <f>SUBTOTAL(103,$A$739:A759)</f>
        <v>20</v>
      </c>
      <c r="C759" s="323" t="s">
        <v>2708</v>
      </c>
      <c r="D759" s="324">
        <f t="shared" si="54"/>
        <v>4472265.5999999996</v>
      </c>
      <c r="E759" s="325">
        <v>0</v>
      </c>
      <c r="F759" s="325">
        <v>0</v>
      </c>
      <c r="G759" s="325">
        <v>0</v>
      </c>
      <c r="H759" s="325">
        <v>0</v>
      </c>
      <c r="I759" s="325">
        <v>0</v>
      </c>
      <c r="J759" s="325">
        <v>0</v>
      </c>
      <c r="K759" s="326">
        <v>2</v>
      </c>
      <c r="L759" s="325">
        <v>4472265.5999999996</v>
      </c>
      <c r="M759" s="325">
        <v>0</v>
      </c>
      <c r="N759" s="325">
        <v>0</v>
      </c>
      <c r="O759" s="325">
        <v>0</v>
      </c>
      <c r="P759" s="325">
        <v>0</v>
      </c>
      <c r="Q759" s="325">
        <v>0</v>
      </c>
      <c r="R759" s="325">
        <v>0</v>
      </c>
      <c r="S759" s="325">
        <v>0</v>
      </c>
      <c r="T759" s="325">
        <v>0</v>
      </c>
      <c r="U759" s="325">
        <v>0</v>
      </c>
      <c r="V759" s="325">
        <v>0</v>
      </c>
      <c r="W759" s="325">
        <v>0</v>
      </c>
      <c r="X759" s="325">
        <v>0</v>
      </c>
      <c r="Y759" s="325">
        <v>0</v>
      </c>
      <c r="Z759" s="325">
        <v>0</v>
      </c>
      <c r="AA759" s="325">
        <v>0</v>
      </c>
      <c r="AB759" s="327">
        <v>2021</v>
      </c>
      <c r="AD759" s="4">
        <v>0</v>
      </c>
    </row>
    <row r="760" spans="1:30" s="4" customFormat="1" ht="35.25" x14ac:dyDescent="0.5">
      <c r="A760" s="322">
        <v>1</v>
      </c>
      <c r="B760" s="171">
        <f>SUBTOTAL(103,$A$739:A760)</f>
        <v>21</v>
      </c>
      <c r="C760" s="323" t="s">
        <v>2709</v>
      </c>
      <c r="D760" s="324">
        <f t="shared" ref="D760:D761" si="55">E760+F760+G760+H760+I760+J760+L760+M760+N760+O760+P760+Q760+R760+S760+T760+U760+V760+W760+X760+Y760+Z760+AA760</f>
        <v>4472265.5999999996</v>
      </c>
      <c r="E760" s="325">
        <v>0</v>
      </c>
      <c r="F760" s="325">
        <v>0</v>
      </c>
      <c r="G760" s="325">
        <v>0</v>
      </c>
      <c r="H760" s="325">
        <v>0</v>
      </c>
      <c r="I760" s="325">
        <v>0</v>
      </c>
      <c r="J760" s="325">
        <v>0</v>
      </c>
      <c r="K760" s="326">
        <v>2</v>
      </c>
      <c r="L760" s="325">
        <v>4472265.5999999996</v>
      </c>
      <c r="M760" s="325">
        <v>0</v>
      </c>
      <c r="N760" s="325">
        <v>0</v>
      </c>
      <c r="O760" s="325">
        <v>0</v>
      </c>
      <c r="P760" s="325">
        <v>0</v>
      </c>
      <c r="Q760" s="325">
        <v>0</v>
      </c>
      <c r="R760" s="325">
        <v>0</v>
      </c>
      <c r="S760" s="325">
        <v>0</v>
      </c>
      <c r="T760" s="325">
        <v>0</v>
      </c>
      <c r="U760" s="325">
        <v>0</v>
      </c>
      <c r="V760" s="325">
        <v>0</v>
      </c>
      <c r="W760" s="325">
        <v>0</v>
      </c>
      <c r="X760" s="325">
        <v>0</v>
      </c>
      <c r="Y760" s="325">
        <v>0</v>
      </c>
      <c r="Z760" s="325">
        <v>0</v>
      </c>
      <c r="AA760" s="325">
        <v>0</v>
      </c>
      <c r="AB760" s="327">
        <v>2021</v>
      </c>
    </row>
    <row r="761" spans="1:30" s="4" customFormat="1" ht="35.25" x14ac:dyDescent="0.5">
      <c r="A761" s="322">
        <v>1</v>
      </c>
      <c r="B761" s="171">
        <f>SUBTOTAL(103,$A$739:A761)</f>
        <v>22</v>
      </c>
      <c r="C761" s="323" t="s">
        <v>2710</v>
      </c>
      <c r="D761" s="324">
        <f t="shared" si="55"/>
        <v>4472265.5999999996</v>
      </c>
      <c r="E761" s="325">
        <v>0</v>
      </c>
      <c r="F761" s="325">
        <v>0</v>
      </c>
      <c r="G761" s="325">
        <v>0</v>
      </c>
      <c r="H761" s="325">
        <v>0</v>
      </c>
      <c r="I761" s="325">
        <v>0</v>
      </c>
      <c r="J761" s="325">
        <v>0</v>
      </c>
      <c r="K761" s="326">
        <v>2</v>
      </c>
      <c r="L761" s="325">
        <v>4472265.5999999996</v>
      </c>
      <c r="M761" s="325">
        <v>0</v>
      </c>
      <c r="N761" s="325">
        <v>0</v>
      </c>
      <c r="O761" s="325">
        <v>0</v>
      </c>
      <c r="P761" s="325">
        <v>0</v>
      </c>
      <c r="Q761" s="325">
        <v>0</v>
      </c>
      <c r="R761" s="325">
        <v>0</v>
      </c>
      <c r="S761" s="325">
        <v>0</v>
      </c>
      <c r="T761" s="325">
        <v>0</v>
      </c>
      <c r="U761" s="325">
        <v>0</v>
      </c>
      <c r="V761" s="325">
        <v>0</v>
      </c>
      <c r="W761" s="325">
        <v>0</v>
      </c>
      <c r="X761" s="325">
        <v>0</v>
      </c>
      <c r="Y761" s="325">
        <v>0</v>
      </c>
      <c r="Z761" s="325">
        <v>0</v>
      </c>
      <c r="AA761" s="325">
        <v>0</v>
      </c>
      <c r="AB761" s="327">
        <v>2021</v>
      </c>
      <c r="AD761" s="4">
        <v>0</v>
      </c>
    </row>
    <row r="762" spans="1:30" s="4" customFormat="1" ht="35.25" x14ac:dyDescent="0.5">
      <c r="B762" s="394" t="s">
        <v>830</v>
      </c>
      <c r="C762" s="395"/>
      <c r="D762" s="324">
        <f>SUM(D763:D766)</f>
        <v>743190.53</v>
      </c>
      <c r="E762" s="324">
        <f t="shared" ref="E762:AA762" si="56">SUM(E763:E766)</f>
        <v>100000</v>
      </c>
      <c r="F762" s="324">
        <f t="shared" si="56"/>
        <v>263954.40999999997</v>
      </c>
      <c r="G762" s="324">
        <f t="shared" si="56"/>
        <v>311589.23</v>
      </c>
      <c r="H762" s="324">
        <f t="shared" si="56"/>
        <v>0</v>
      </c>
      <c r="I762" s="324">
        <f t="shared" si="56"/>
        <v>0</v>
      </c>
      <c r="J762" s="324">
        <f t="shared" si="56"/>
        <v>0</v>
      </c>
      <c r="K762" s="324">
        <f t="shared" si="56"/>
        <v>0</v>
      </c>
      <c r="L762" s="324">
        <f t="shared" si="56"/>
        <v>0</v>
      </c>
      <c r="M762" s="324">
        <f t="shared" si="56"/>
        <v>0</v>
      </c>
      <c r="N762" s="324">
        <f t="shared" si="56"/>
        <v>0</v>
      </c>
      <c r="O762" s="324">
        <f t="shared" si="56"/>
        <v>67646.89</v>
      </c>
      <c r="P762" s="324">
        <f t="shared" si="56"/>
        <v>0</v>
      </c>
      <c r="Q762" s="324">
        <f t="shared" si="56"/>
        <v>0</v>
      </c>
      <c r="R762" s="324">
        <f t="shared" si="56"/>
        <v>0</v>
      </c>
      <c r="S762" s="324">
        <f t="shared" si="56"/>
        <v>0</v>
      </c>
      <c r="T762" s="324">
        <f t="shared" si="56"/>
        <v>0</v>
      </c>
      <c r="U762" s="324">
        <f t="shared" si="56"/>
        <v>0</v>
      </c>
      <c r="V762" s="324">
        <f t="shared" si="56"/>
        <v>0</v>
      </c>
      <c r="W762" s="324">
        <f t="shared" si="56"/>
        <v>0</v>
      </c>
      <c r="X762" s="324">
        <f t="shared" si="56"/>
        <v>0</v>
      </c>
      <c r="Y762" s="324">
        <f t="shared" si="56"/>
        <v>0</v>
      </c>
      <c r="Z762" s="324">
        <f t="shared" si="56"/>
        <v>0</v>
      </c>
      <c r="AA762" s="324">
        <f t="shared" si="56"/>
        <v>0</v>
      </c>
      <c r="AB762" s="396" t="s">
        <v>882</v>
      </c>
    </row>
    <row r="763" spans="1:30" s="4" customFormat="1" ht="35.25" x14ac:dyDescent="0.5">
      <c r="A763" s="322">
        <v>1</v>
      </c>
      <c r="B763" s="171">
        <f>SUBTOTAL(103,$A$739:A763)</f>
        <v>23</v>
      </c>
      <c r="C763" s="323" t="s">
        <v>2610</v>
      </c>
      <c r="D763" s="324">
        <f>E763+F763+G763+H763+I763+J763+L763+M763+N763+O763+P763+Q763+R763+S763+T763+U763+V763+W763+X763+Y763+Z763+AA763</f>
        <v>67646.89</v>
      </c>
      <c r="E763" s="325">
        <v>0</v>
      </c>
      <c r="F763" s="325">
        <v>0</v>
      </c>
      <c r="G763" s="325">
        <v>0</v>
      </c>
      <c r="H763" s="325">
        <v>0</v>
      </c>
      <c r="I763" s="325">
        <v>0</v>
      </c>
      <c r="J763" s="325">
        <v>0</v>
      </c>
      <c r="K763" s="326">
        <v>0</v>
      </c>
      <c r="L763" s="325">
        <v>0</v>
      </c>
      <c r="M763" s="325">
        <v>0</v>
      </c>
      <c r="N763" s="325">
        <v>0</v>
      </c>
      <c r="O763" s="325">
        <v>67646.89</v>
      </c>
      <c r="P763" s="325">
        <v>0</v>
      </c>
      <c r="Q763" s="325">
        <v>0</v>
      </c>
      <c r="R763" s="325">
        <v>0</v>
      </c>
      <c r="S763" s="325">
        <v>0</v>
      </c>
      <c r="T763" s="325">
        <v>0</v>
      </c>
      <c r="U763" s="325">
        <v>0</v>
      </c>
      <c r="V763" s="325">
        <v>0</v>
      </c>
      <c r="W763" s="325">
        <v>0</v>
      </c>
      <c r="X763" s="325">
        <v>0</v>
      </c>
      <c r="Y763" s="325">
        <v>0</v>
      </c>
      <c r="Z763" s="325">
        <v>0</v>
      </c>
      <c r="AA763" s="325">
        <v>0</v>
      </c>
      <c r="AB763" s="327">
        <v>2021</v>
      </c>
      <c r="AD763" s="4">
        <v>0</v>
      </c>
    </row>
    <row r="764" spans="1:30" s="4" customFormat="1" ht="35.25" x14ac:dyDescent="0.5">
      <c r="A764" s="322">
        <v>1</v>
      </c>
      <c r="B764" s="171">
        <f>SUBTOTAL(103,$A$739:A764)</f>
        <v>24</v>
      </c>
      <c r="C764" s="323" t="s">
        <v>2611</v>
      </c>
      <c r="D764" s="324">
        <f>E764+F764+G764+H764+I764+J764+L764+M764+N764+O764+P764+Q764+R764+S764+T764+U764+V764+W764+X764+Y764+Z764+AA764</f>
        <v>140292.01999999999</v>
      </c>
      <c r="E764" s="325">
        <v>0</v>
      </c>
      <c r="F764" s="325">
        <v>0</v>
      </c>
      <c r="G764" s="325">
        <v>140292.01999999999</v>
      </c>
      <c r="H764" s="325">
        <v>0</v>
      </c>
      <c r="I764" s="325">
        <v>0</v>
      </c>
      <c r="J764" s="325">
        <v>0</v>
      </c>
      <c r="K764" s="326">
        <v>0</v>
      </c>
      <c r="L764" s="325">
        <v>0</v>
      </c>
      <c r="M764" s="325">
        <v>0</v>
      </c>
      <c r="N764" s="325">
        <v>0</v>
      </c>
      <c r="O764" s="325">
        <v>0</v>
      </c>
      <c r="P764" s="325">
        <v>0</v>
      </c>
      <c r="Q764" s="325">
        <v>0</v>
      </c>
      <c r="R764" s="325">
        <v>0</v>
      </c>
      <c r="S764" s="325">
        <v>0</v>
      </c>
      <c r="T764" s="325">
        <v>0</v>
      </c>
      <c r="U764" s="325">
        <v>0</v>
      </c>
      <c r="V764" s="325">
        <v>0</v>
      </c>
      <c r="W764" s="325">
        <v>0</v>
      </c>
      <c r="X764" s="325">
        <v>0</v>
      </c>
      <c r="Y764" s="325">
        <v>0</v>
      </c>
      <c r="Z764" s="325">
        <v>0</v>
      </c>
      <c r="AA764" s="325">
        <v>0</v>
      </c>
      <c r="AB764" s="327">
        <v>2021</v>
      </c>
      <c r="AD764" s="4">
        <v>0</v>
      </c>
    </row>
    <row r="765" spans="1:30" s="4" customFormat="1" ht="35.25" x14ac:dyDescent="0.5">
      <c r="A765" s="322">
        <v>1</v>
      </c>
      <c r="B765" s="171">
        <f>SUBTOTAL(103,$A$739:A765)</f>
        <v>25</v>
      </c>
      <c r="C765" s="323" t="s">
        <v>2612</v>
      </c>
      <c r="D765" s="324">
        <f>E765+F765+G765+H765+I765+J765+L765+M765+N765+O765+P765+Q765+R765+S765+T765+U765+V765+W765+X765+Y765+Z765+AA765</f>
        <v>171297.21</v>
      </c>
      <c r="E765" s="325">
        <v>0</v>
      </c>
      <c r="F765" s="325">
        <v>0</v>
      </c>
      <c r="G765" s="325">
        <v>171297.21</v>
      </c>
      <c r="H765" s="325">
        <v>0</v>
      </c>
      <c r="I765" s="325">
        <v>0</v>
      </c>
      <c r="J765" s="325">
        <v>0</v>
      </c>
      <c r="K765" s="326">
        <v>0</v>
      </c>
      <c r="L765" s="325">
        <v>0</v>
      </c>
      <c r="M765" s="325">
        <v>0</v>
      </c>
      <c r="N765" s="325">
        <v>0</v>
      </c>
      <c r="O765" s="325">
        <v>0</v>
      </c>
      <c r="P765" s="325">
        <v>0</v>
      </c>
      <c r="Q765" s="325">
        <v>0</v>
      </c>
      <c r="R765" s="325">
        <v>0</v>
      </c>
      <c r="S765" s="325">
        <v>0</v>
      </c>
      <c r="T765" s="325">
        <v>0</v>
      </c>
      <c r="U765" s="325">
        <v>0</v>
      </c>
      <c r="V765" s="325">
        <v>0</v>
      </c>
      <c r="W765" s="325">
        <v>0</v>
      </c>
      <c r="X765" s="325">
        <v>0</v>
      </c>
      <c r="Y765" s="325">
        <v>0</v>
      </c>
      <c r="Z765" s="325">
        <v>0</v>
      </c>
      <c r="AA765" s="325">
        <v>0</v>
      </c>
      <c r="AB765" s="327">
        <v>2021</v>
      </c>
      <c r="AD765" s="4">
        <v>0</v>
      </c>
    </row>
    <row r="766" spans="1:30" s="4" customFormat="1" ht="35.25" x14ac:dyDescent="0.5">
      <c r="A766" s="322">
        <v>1</v>
      </c>
      <c r="B766" s="171">
        <f>SUBTOTAL(103,$A$739:A766)</f>
        <v>26</v>
      </c>
      <c r="C766" s="323" t="s">
        <v>2613</v>
      </c>
      <c r="D766" s="324">
        <f>E766+F766+G766+H766+I766+J766+L766+M766+N766+O766+P766+Q766+R766+S766+T766+U766+V766+W766+X766+Y766+Z766+AA766</f>
        <v>363954.41</v>
      </c>
      <c r="E766" s="325">
        <v>100000</v>
      </c>
      <c r="F766" s="325">
        <v>263954.40999999997</v>
      </c>
      <c r="G766" s="325">
        <v>0</v>
      </c>
      <c r="H766" s="325">
        <v>0</v>
      </c>
      <c r="I766" s="325">
        <v>0</v>
      </c>
      <c r="J766" s="325">
        <v>0</v>
      </c>
      <c r="K766" s="326">
        <v>0</v>
      </c>
      <c r="L766" s="325">
        <v>0</v>
      </c>
      <c r="M766" s="325">
        <v>0</v>
      </c>
      <c r="N766" s="325">
        <v>0</v>
      </c>
      <c r="O766" s="325">
        <v>0</v>
      </c>
      <c r="P766" s="325">
        <v>0</v>
      </c>
      <c r="Q766" s="325">
        <v>0</v>
      </c>
      <c r="R766" s="325">
        <v>0</v>
      </c>
      <c r="S766" s="325">
        <v>0</v>
      </c>
      <c r="T766" s="325">
        <v>0</v>
      </c>
      <c r="U766" s="325">
        <v>0</v>
      </c>
      <c r="V766" s="325">
        <v>0</v>
      </c>
      <c r="W766" s="325">
        <v>0</v>
      </c>
      <c r="X766" s="325">
        <v>0</v>
      </c>
      <c r="Y766" s="325">
        <v>0</v>
      </c>
      <c r="Z766" s="325">
        <v>0</v>
      </c>
      <c r="AA766" s="325">
        <v>0</v>
      </c>
      <c r="AB766" s="327">
        <v>2021</v>
      </c>
      <c r="AD766" s="4">
        <v>0</v>
      </c>
    </row>
    <row r="767" spans="1:30" s="4" customFormat="1" ht="35.25" x14ac:dyDescent="0.5">
      <c r="B767" s="323" t="s">
        <v>1037</v>
      </c>
      <c r="C767" s="323"/>
      <c r="D767" s="324">
        <f>SUM(D768)</f>
        <v>616290.43000000005</v>
      </c>
      <c r="E767" s="324">
        <f t="shared" ref="E767:AA767" si="57">SUM(E768)</f>
        <v>225804.28</v>
      </c>
      <c r="F767" s="324">
        <f t="shared" si="57"/>
        <v>390486.15</v>
      </c>
      <c r="G767" s="324">
        <f t="shared" si="57"/>
        <v>0</v>
      </c>
      <c r="H767" s="324">
        <f t="shared" si="57"/>
        <v>0</v>
      </c>
      <c r="I767" s="324">
        <f t="shared" si="57"/>
        <v>0</v>
      </c>
      <c r="J767" s="324">
        <f t="shared" si="57"/>
        <v>0</v>
      </c>
      <c r="K767" s="399">
        <f t="shared" si="57"/>
        <v>0</v>
      </c>
      <c r="L767" s="324">
        <f t="shared" si="57"/>
        <v>0</v>
      </c>
      <c r="M767" s="324">
        <f t="shared" si="57"/>
        <v>0</v>
      </c>
      <c r="N767" s="324">
        <f t="shared" si="57"/>
        <v>0</v>
      </c>
      <c r="O767" s="324">
        <f t="shared" si="57"/>
        <v>0</v>
      </c>
      <c r="P767" s="324">
        <f t="shared" si="57"/>
        <v>0</v>
      </c>
      <c r="Q767" s="324">
        <f t="shared" si="57"/>
        <v>0</v>
      </c>
      <c r="R767" s="324">
        <f t="shared" si="57"/>
        <v>0</v>
      </c>
      <c r="S767" s="324">
        <f t="shared" si="57"/>
        <v>0</v>
      </c>
      <c r="T767" s="324">
        <f t="shared" si="57"/>
        <v>0</v>
      </c>
      <c r="U767" s="324">
        <f t="shared" si="57"/>
        <v>0</v>
      </c>
      <c r="V767" s="324">
        <f t="shared" si="57"/>
        <v>0</v>
      </c>
      <c r="W767" s="324">
        <f t="shared" si="57"/>
        <v>0</v>
      </c>
      <c r="X767" s="324">
        <f t="shared" si="57"/>
        <v>0</v>
      </c>
      <c r="Y767" s="324">
        <f t="shared" si="57"/>
        <v>0</v>
      </c>
      <c r="Z767" s="324">
        <f t="shared" si="57"/>
        <v>0</v>
      </c>
      <c r="AA767" s="324">
        <f t="shared" si="57"/>
        <v>0</v>
      </c>
      <c r="AB767" s="396" t="s">
        <v>882</v>
      </c>
    </row>
    <row r="768" spans="1:30" s="4" customFormat="1" ht="35.25" x14ac:dyDescent="0.5">
      <c r="A768" s="4">
        <v>1</v>
      </c>
      <c r="B768" s="171">
        <f>SUBTOTAL(103,$A$739:A768)</f>
        <v>27</v>
      </c>
      <c r="C768" s="323" t="s">
        <v>2614</v>
      </c>
      <c r="D768" s="324">
        <f>E768+F768+G768+H768+I768+J768+L768+M768+N768+O768+P768+Q768+R768+S768+T768+U768+V768+W768+X768+Y768+Z768+AA768</f>
        <v>616290.43000000005</v>
      </c>
      <c r="E768" s="325">
        <v>225804.28</v>
      </c>
      <c r="F768" s="325">
        <v>390486.15</v>
      </c>
      <c r="G768" s="325">
        <v>0</v>
      </c>
      <c r="H768" s="325">
        <v>0</v>
      </c>
      <c r="I768" s="325">
        <v>0</v>
      </c>
      <c r="J768" s="325">
        <v>0</v>
      </c>
      <c r="K768" s="326">
        <v>0</v>
      </c>
      <c r="L768" s="325">
        <v>0</v>
      </c>
      <c r="M768" s="325">
        <v>0</v>
      </c>
      <c r="N768" s="325">
        <v>0</v>
      </c>
      <c r="O768" s="325">
        <v>0</v>
      </c>
      <c r="P768" s="325">
        <v>0</v>
      </c>
      <c r="Q768" s="325">
        <v>0</v>
      </c>
      <c r="R768" s="325">
        <v>0</v>
      </c>
      <c r="S768" s="325">
        <v>0</v>
      </c>
      <c r="T768" s="325">
        <v>0</v>
      </c>
      <c r="U768" s="325">
        <v>0</v>
      </c>
      <c r="V768" s="325">
        <v>0</v>
      </c>
      <c r="W768" s="325">
        <v>0</v>
      </c>
      <c r="X768" s="325">
        <v>0</v>
      </c>
      <c r="Y768" s="325">
        <v>0</v>
      </c>
      <c r="Z768" s="325">
        <v>0</v>
      </c>
      <c r="AA768" s="325">
        <v>0</v>
      </c>
      <c r="AB768" s="327">
        <v>2021</v>
      </c>
      <c r="AD768" s="4">
        <v>0</v>
      </c>
    </row>
  </sheetData>
  <autoFilter ref="A7:AB482" xr:uid="{00000000-0009-0000-0000-000004000000}"/>
  <mergeCells count="24"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  <mergeCell ref="Z3:Z4"/>
    <mergeCell ref="AA3:AA4"/>
    <mergeCell ref="T3:T4"/>
    <mergeCell ref="U3:U4"/>
    <mergeCell ref="V3:V4"/>
    <mergeCell ref="W3:W4"/>
    <mergeCell ref="X3:X4"/>
    <mergeCell ref="Y3:Y4"/>
  </mergeCells>
  <conditionalFormatting sqref="C769:C65540">
    <cfRule type="duplicateValues" dxfId="30" priority="161" stopIfTrue="1"/>
  </conditionalFormatting>
  <conditionalFormatting sqref="C538:C542 C333 C335 C337:C350 C558:C620 C268:C286 C472:C476 C479:C486 C291:C331 C544:C556 C9">
    <cfRule type="duplicateValues" dxfId="29" priority="25" stopIfTrue="1"/>
  </conditionalFormatting>
  <conditionalFormatting sqref="C487:C488">
    <cfRule type="duplicateValues" dxfId="28" priority="24" stopIfTrue="1"/>
  </conditionalFormatting>
  <conditionalFormatting sqref="C494">
    <cfRule type="duplicateValues" dxfId="27" priority="23" stopIfTrue="1"/>
  </conditionalFormatting>
  <conditionalFormatting sqref="C493">
    <cfRule type="duplicateValues" dxfId="26" priority="22" stopIfTrue="1"/>
  </conditionalFormatting>
  <conditionalFormatting sqref="C492">
    <cfRule type="duplicateValues" dxfId="25" priority="21" stopIfTrue="1"/>
  </conditionalFormatting>
  <conditionalFormatting sqref="C491">
    <cfRule type="duplicateValues" dxfId="24" priority="20" stopIfTrue="1"/>
  </conditionalFormatting>
  <conditionalFormatting sqref="C490">
    <cfRule type="duplicateValues" dxfId="23" priority="19" stopIfTrue="1"/>
  </conditionalFormatting>
  <conditionalFormatting sqref="C332">
    <cfRule type="duplicateValues" dxfId="22" priority="18" stopIfTrue="1"/>
  </conditionalFormatting>
  <conditionalFormatting sqref="C334">
    <cfRule type="duplicateValues" dxfId="21" priority="17" stopIfTrue="1"/>
  </conditionalFormatting>
  <conditionalFormatting sqref="C336">
    <cfRule type="duplicateValues" dxfId="20" priority="16" stopIfTrue="1"/>
  </conditionalFormatting>
  <conditionalFormatting sqref="C543">
    <cfRule type="duplicateValues" dxfId="19" priority="15" stopIfTrue="1"/>
  </conditionalFormatting>
  <conditionalFormatting sqref="C557">
    <cfRule type="duplicateValues" dxfId="18" priority="14" stopIfTrue="1"/>
  </conditionalFormatting>
  <conditionalFormatting sqref="C29">
    <cfRule type="duplicateValues" dxfId="17" priority="13" stopIfTrue="1"/>
  </conditionalFormatting>
  <conditionalFormatting sqref="C51">
    <cfRule type="duplicateValues" dxfId="16" priority="12" stopIfTrue="1"/>
  </conditionalFormatting>
  <conditionalFormatting sqref="C36">
    <cfRule type="duplicateValues" dxfId="15" priority="11" stopIfTrue="1"/>
  </conditionalFormatting>
  <conditionalFormatting sqref="C39">
    <cfRule type="duplicateValues" dxfId="14" priority="10" stopIfTrue="1"/>
  </conditionalFormatting>
  <conditionalFormatting sqref="C208:C286 C394:C466 C479:C495 C291:C392 C537:C644 C471:C476 C9:C119">
    <cfRule type="duplicateValues" dxfId="13" priority="9" stopIfTrue="1"/>
  </conditionalFormatting>
  <conditionalFormatting sqref="C393">
    <cfRule type="duplicateValues" dxfId="12" priority="8" stopIfTrue="1"/>
  </conditionalFormatting>
  <conditionalFormatting sqref="C393">
    <cfRule type="duplicateValues" dxfId="11" priority="7" stopIfTrue="1"/>
  </conditionalFormatting>
  <conditionalFormatting sqref="C477:C478">
    <cfRule type="duplicateValues" dxfId="10" priority="6" stopIfTrue="1"/>
  </conditionalFormatting>
  <conditionalFormatting sqref="C477:C478">
    <cfRule type="duplicateValues" dxfId="9" priority="5" stopIfTrue="1"/>
  </conditionalFormatting>
  <conditionalFormatting sqref="C52:C87 C30:C35 C37:C38 C40:C50 C10:C28">
    <cfRule type="duplicateValues" dxfId="8" priority="26" stopIfTrue="1"/>
  </conditionalFormatting>
  <conditionalFormatting sqref="C287:C290">
    <cfRule type="duplicateValues" dxfId="7" priority="4" stopIfTrue="1"/>
  </conditionalFormatting>
  <conditionalFormatting sqref="C287:C290">
    <cfRule type="duplicateValues" dxfId="6" priority="3" stopIfTrue="1"/>
  </conditionalFormatting>
  <conditionalFormatting sqref="C394:C466 C351:C392 C471">
    <cfRule type="duplicateValues" dxfId="5" priority="27" stopIfTrue="1"/>
  </conditionalFormatting>
  <conditionalFormatting sqref="C489">
    <cfRule type="duplicateValues" dxfId="4" priority="28" stopIfTrue="1"/>
  </conditionalFormatting>
  <conditionalFormatting sqref="C208:C267 C88:C119">
    <cfRule type="duplicateValues" dxfId="3" priority="29" stopIfTrue="1"/>
  </conditionalFormatting>
  <conditionalFormatting sqref="C208:C267 C10:C119">
    <cfRule type="duplicateValues" dxfId="2" priority="30" stopIfTrue="1"/>
  </conditionalFormatting>
  <conditionalFormatting sqref="C767:C768">
    <cfRule type="duplicateValues" dxfId="1" priority="2" stopIfTrue="1"/>
  </conditionalFormatting>
  <conditionalFormatting sqref="C767:C768">
    <cfRule type="duplicateValues" dxfId="0" priority="1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C19"/>
  <sheetViews>
    <sheetView view="pageBreakPreview" topLeftCell="C1" zoomScale="40" zoomScaleNormal="55" zoomScaleSheetLayoutView="40" workbookViewId="0">
      <selection activeCell="D19" sqref="D19"/>
    </sheetView>
  </sheetViews>
  <sheetFormatPr defaultRowHeight="15" x14ac:dyDescent="0.25"/>
  <cols>
    <col min="1" max="2" width="0" style="108" hidden="1" customWidth="1"/>
    <col min="3" max="3" width="15.7109375" style="108" customWidth="1"/>
    <col min="4" max="4" width="106.85546875" style="108" customWidth="1"/>
    <col min="5" max="5" width="32.28515625" style="108" customWidth="1"/>
    <col min="6" max="6" width="23.7109375" style="108" customWidth="1"/>
    <col min="7" max="7" width="26.42578125" style="108" customWidth="1"/>
    <col min="8" max="8" width="26.5703125" style="108" customWidth="1"/>
    <col min="9" max="9" width="27.85546875" style="108" customWidth="1"/>
    <col min="10" max="10" width="28.140625" style="108" customWidth="1"/>
    <col min="11" max="11" width="24.28515625" style="108" customWidth="1"/>
    <col min="12" max="12" width="13.140625" style="108" customWidth="1"/>
    <col min="13" max="13" width="19.85546875" style="108" customWidth="1"/>
    <col min="14" max="14" width="34.42578125" style="108" customWidth="1"/>
    <col min="15" max="15" width="18.140625" style="108" customWidth="1"/>
    <col min="16" max="16" width="24.7109375" style="108" customWidth="1"/>
    <col min="17" max="17" width="23.28515625" style="108" customWidth="1"/>
    <col min="18" max="18" width="18.42578125" style="108" customWidth="1"/>
    <col min="19" max="19" width="27.85546875" style="108" customWidth="1"/>
    <col min="20" max="20" width="49.42578125" style="108" customWidth="1"/>
    <col min="21" max="21" width="32.140625" style="108" customWidth="1"/>
    <col min="22" max="22" width="22.42578125" style="108" customWidth="1"/>
    <col min="23" max="23" width="33" style="108" customWidth="1"/>
    <col min="24" max="24" width="58.85546875" style="108" customWidth="1"/>
    <col min="25" max="25" width="37.85546875" style="108" customWidth="1"/>
    <col min="26" max="26" width="17.5703125" style="108" customWidth="1"/>
    <col min="27" max="27" width="16.5703125" style="108" customWidth="1"/>
    <col min="28" max="28" width="28.7109375" style="108" customWidth="1"/>
    <col min="29" max="29" width="23.85546875" style="108" customWidth="1"/>
    <col min="30" max="256" width="9.140625" style="108"/>
    <col min="257" max="258" width="0" style="108" hidden="1" customWidth="1"/>
    <col min="259" max="259" width="15.7109375" style="108" customWidth="1"/>
    <col min="260" max="260" width="93.42578125" style="108" customWidth="1"/>
    <col min="261" max="261" width="32.28515625" style="108" customWidth="1"/>
    <col min="262" max="262" width="23.7109375" style="108" customWidth="1"/>
    <col min="263" max="263" width="26.42578125" style="108" customWidth="1"/>
    <col min="264" max="264" width="26.5703125" style="108" customWidth="1"/>
    <col min="265" max="265" width="27.85546875" style="108" customWidth="1"/>
    <col min="266" max="266" width="28.140625" style="108" customWidth="1"/>
    <col min="267" max="267" width="24.28515625" style="108" customWidth="1"/>
    <col min="268" max="268" width="13.140625" style="108" customWidth="1"/>
    <col min="269" max="269" width="19.85546875" style="108" customWidth="1"/>
    <col min="270" max="270" width="34.42578125" style="108" customWidth="1"/>
    <col min="271" max="271" width="18.140625" style="108" customWidth="1"/>
    <col min="272" max="272" width="24.7109375" style="108" customWidth="1"/>
    <col min="273" max="273" width="23.28515625" style="108" customWidth="1"/>
    <col min="274" max="274" width="18.42578125" style="108" customWidth="1"/>
    <col min="275" max="275" width="27.85546875" style="108" customWidth="1"/>
    <col min="276" max="276" width="49.42578125" style="108" customWidth="1"/>
    <col min="277" max="277" width="32.140625" style="108" customWidth="1"/>
    <col min="278" max="278" width="22.42578125" style="108" customWidth="1"/>
    <col min="279" max="279" width="33" style="108" customWidth="1"/>
    <col min="280" max="280" width="58.85546875" style="108" customWidth="1"/>
    <col min="281" max="281" width="37.85546875" style="108" customWidth="1"/>
    <col min="282" max="282" width="17.5703125" style="108" customWidth="1"/>
    <col min="283" max="283" width="16.5703125" style="108" customWidth="1"/>
    <col min="284" max="284" width="28.7109375" style="108" customWidth="1"/>
    <col min="285" max="285" width="23.85546875" style="108" customWidth="1"/>
    <col min="286" max="512" width="9.140625" style="108"/>
    <col min="513" max="514" width="0" style="108" hidden="1" customWidth="1"/>
    <col min="515" max="515" width="15.7109375" style="108" customWidth="1"/>
    <col min="516" max="516" width="93.42578125" style="108" customWidth="1"/>
    <col min="517" max="517" width="32.28515625" style="108" customWidth="1"/>
    <col min="518" max="518" width="23.7109375" style="108" customWidth="1"/>
    <col min="519" max="519" width="26.42578125" style="108" customWidth="1"/>
    <col min="520" max="520" width="26.5703125" style="108" customWidth="1"/>
    <col min="521" max="521" width="27.85546875" style="108" customWidth="1"/>
    <col min="522" max="522" width="28.140625" style="108" customWidth="1"/>
    <col min="523" max="523" width="24.28515625" style="108" customWidth="1"/>
    <col min="524" max="524" width="13.140625" style="108" customWidth="1"/>
    <col min="525" max="525" width="19.85546875" style="108" customWidth="1"/>
    <col min="526" max="526" width="34.42578125" style="108" customWidth="1"/>
    <col min="527" max="527" width="18.140625" style="108" customWidth="1"/>
    <col min="528" max="528" width="24.7109375" style="108" customWidth="1"/>
    <col min="529" max="529" width="23.28515625" style="108" customWidth="1"/>
    <col min="530" max="530" width="18.42578125" style="108" customWidth="1"/>
    <col min="531" max="531" width="27.85546875" style="108" customWidth="1"/>
    <col min="532" max="532" width="49.42578125" style="108" customWidth="1"/>
    <col min="533" max="533" width="32.140625" style="108" customWidth="1"/>
    <col min="534" max="534" width="22.42578125" style="108" customWidth="1"/>
    <col min="535" max="535" width="33" style="108" customWidth="1"/>
    <col min="536" max="536" width="58.85546875" style="108" customWidth="1"/>
    <col min="537" max="537" width="37.85546875" style="108" customWidth="1"/>
    <col min="538" max="538" width="17.5703125" style="108" customWidth="1"/>
    <col min="539" max="539" width="16.5703125" style="108" customWidth="1"/>
    <col min="540" max="540" width="28.7109375" style="108" customWidth="1"/>
    <col min="541" max="541" width="23.85546875" style="108" customWidth="1"/>
    <col min="542" max="768" width="9.140625" style="108"/>
    <col min="769" max="770" width="0" style="108" hidden="1" customWidth="1"/>
    <col min="771" max="771" width="15.7109375" style="108" customWidth="1"/>
    <col min="772" max="772" width="93.42578125" style="108" customWidth="1"/>
    <col min="773" max="773" width="32.28515625" style="108" customWidth="1"/>
    <col min="774" max="774" width="23.7109375" style="108" customWidth="1"/>
    <col min="775" max="775" width="26.42578125" style="108" customWidth="1"/>
    <col min="776" max="776" width="26.5703125" style="108" customWidth="1"/>
    <col min="777" max="777" width="27.85546875" style="108" customWidth="1"/>
    <col min="778" max="778" width="28.140625" style="108" customWidth="1"/>
    <col min="779" max="779" width="24.28515625" style="108" customWidth="1"/>
    <col min="780" max="780" width="13.140625" style="108" customWidth="1"/>
    <col min="781" max="781" width="19.85546875" style="108" customWidth="1"/>
    <col min="782" max="782" width="34.42578125" style="108" customWidth="1"/>
    <col min="783" max="783" width="18.140625" style="108" customWidth="1"/>
    <col min="784" max="784" width="24.7109375" style="108" customWidth="1"/>
    <col min="785" max="785" width="23.28515625" style="108" customWidth="1"/>
    <col min="786" max="786" width="18.42578125" style="108" customWidth="1"/>
    <col min="787" max="787" width="27.85546875" style="108" customWidth="1"/>
    <col min="788" max="788" width="49.42578125" style="108" customWidth="1"/>
    <col min="789" max="789" width="32.140625" style="108" customWidth="1"/>
    <col min="790" max="790" width="22.42578125" style="108" customWidth="1"/>
    <col min="791" max="791" width="33" style="108" customWidth="1"/>
    <col min="792" max="792" width="58.85546875" style="108" customWidth="1"/>
    <col min="793" max="793" width="37.85546875" style="108" customWidth="1"/>
    <col min="794" max="794" width="17.5703125" style="108" customWidth="1"/>
    <col min="795" max="795" width="16.5703125" style="108" customWidth="1"/>
    <col min="796" max="796" width="28.7109375" style="108" customWidth="1"/>
    <col min="797" max="797" width="23.85546875" style="108" customWidth="1"/>
    <col min="798" max="1024" width="9.140625" style="108"/>
    <col min="1025" max="1026" width="0" style="108" hidden="1" customWidth="1"/>
    <col min="1027" max="1027" width="15.7109375" style="108" customWidth="1"/>
    <col min="1028" max="1028" width="93.42578125" style="108" customWidth="1"/>
    <col min="1029" max="1029" width="32.28515625" style="108" customWidth="1"/>
    <col min="1030" max="1030" width="23.7109375" style="108" customWidth="1"/>
    <col min="1031" max="1031" width="26.42578125" style="108" customWidth="1"/>
    <col min="1032" max="1032" width="26.5703125" style="108" customWidth="1"/>
    <col min="1033" max="1033" width="27.85546875" style="108" customWidth="1"/>
    <col min="1034" max="1034" width="28.140625" style="108" customWidth="1"/>
    <col min="1035" max="1035" width="24.28515625" style="108" customWidth="1"/>
    <col min="1036" max="1036" width="13.140625" style="108" customWidth="1"/>
    <col min="1037" max="1037" width="19.85546875" style="108" customWidth="1"/>
    <col min="1038" max="1038" width="34.42578125" style="108" customWidth="1"/>
    <col min="1039" max="1039" width="18.140625" style="108" customWidth="1"/>
    <col min="1040" max="1040" width="24.7109375" style="108" customWidth="1"/>
    <col min="1041" max="1041" width="23.28515625" style="108" customWidth="1"/>
    <col min="1042" max="1042" width="18.42578125" style="108" customWidth="1"/>
    <col min="1043" max="1043" width="27.85546875" style="108" customWidth="1"/>
    <col min="1044" max="1044" width="49.42578125" style="108" customWidth="1"/>
    <col min="1045" max="1045" width="32.140625" style="108" customWidth="1"/>
    <col min="1046" max="1046" width="22.42578125" style="108" customWidth="1"/>
    <col min="1047" max="1047" width="33" style="108" customWidth="1"/>
    <col min="1048" max="1048" width="58.85546875" style="108" customWidth="1"/>
    <col min="1049" max="1049" width="37.85546875" style="108" customWidth="1"/>
    <col min="1050" max="1050" width="17.5703125" style="108" customWidth="1"/>
    <col min="1051" max="1051" width="16.5703125" style="108" customWidth="1"/>
    <col min="1052" max="1052" width="28.7109375" style="108" customWidth="1"/>
    <col min="1053" max="1053" width="23.85546875" style="108" customWidth="1"/>
    <col min="1054" max="1280" width="9.140625" style="108"/>
    <col min="1281" max="1282" width="0" style="108" hidden="1" customWidth="1"/>
    <col min="1283" max="1283" width="15.7109375" style="108" customWidth="1"/>
    <col min="1284" max="1284" width="93.42578125" style="108" customWidth="1"/>
    <col min="1285" max="1285" width="32.28515625" style="108" customWidth="1"/>
    <col min="1286" max="1286" width="23.7109375" style="108" customWidth="1"/>
    <col min="1287" max="1287" width="26.42578125" style="108" customWidth="1"/>
    <col min="1288" max="1288" width="26.5703125" style="108" customWidth="1"/>
    <col min="1289" max="1289" width="27.85546875" style="108" customWidth="1"/>
    <col min="1290" max="1290" width="28.140625" style="108" customWidth="1"/>
    <col min="1291" max="1291" width="24.28515625" style="108" customWidth="1"/>
    <col min="1292" max="1292" width="13.140625" style="108" customWidth="1"/>
    <col min="1293" max="1293" width="19.85546875" style="108" customWidth="1"/>
    <col min="1294" max="1294" width="34.42578125" style="108" customWidth="1"/>
    <col min="1295" max="1295" width="18.140625" style="108" customWidth="1"/>
    <col min="1296" max="1296" width="24.7109375" style="108" customWidth="1"/>
    <col min="1297" max="1297" width="23.28515625" style="108" customWidth="1"/>
    <col min="1298" max="1298" width="18.42578125" style="108" customWidth="1"/>
    <col min="1299" max="1299" width="27.85546875" style="108" customWidth="1"/>
    <col min="1300" max="1300" width="49.42578125" style="108" customWidth="1"/>
    <col min="1301" max="1301" width="32.140625" style="108" customWidth="1"/>
    <col min="1302" max="1302" width="22.42578125" style="108" customWidth="1"/>
    <col min="1303" max="1303" width="33" style="108" customWidth="1"/>
    <col min="1304" max="1304" width="58.85546875" style="108" customWidth="1"/>
    <col min="1305" max="1305" width="37.85546875" style="108" customWidth="1"/>
    <col min="1306" max="1306" width="17.5703125" style="108" customWidth="1"/>
    <col min="1307" max="1307" width="16.5703125" style="108" customWidth="1"/>
    <col min="1308" max="1308" width="28.7109375" style="108" customWidth="1"/>
    <col min="1309" max="1309" width="23.85546875" style="108" customWidth="1"/>
    <col min="1310" max="1536" width="9.140625" style="108"/>
    <col min="1537" max="1538" width="0" style="108" hidden="1" customWidth="1"/>
    <col min="1539" max="1539" width="15.7109375" style="108" customWidth="1"/>
    <col min="1540" max="1540" width="93.42578125" style="108" customWidth="1"/>
    <col min="1541" max="1541" width="32.28515625" style="108" customWidth="1"/>
    <col min="1542" max="1542" width="23.7109375" style="108" customWidth="1"/>
    <col min="1543" max="1543" width="26.42578125" style="108" customWidth="1"/>
    <col min="1544" max="1544" width="26.5703125" style="108" customWidth="1"/>
    <col min="1545" max="1545" width="27.85546875" style="108" customWidth="1"/>
    <col min="1546" max="1546" width="28.140625" style="108" customWidth="1"/>
    <col min="1547" max="1547" width="24.28515625" style="108" customWidth="1"/>
    <col min="1548" max="1548" width="13.140625" style="108" customWidth="1"/>
    <col min="1549" max="1549" width="19.85546875" style="108" customWidth="1"/>
    <col min="1550" max="1550" width="34.42578125" style="108" customWidth="1"/>
    <col min="1551" max="1551" width="18.140625" style="108" customWidth="1"/>
    <col min="1552" max="1552" width="24.7109375" style="108" customWidth="1"/>
    <col min="1553" max="1553" width="23.28515625" style="108" customWidth="1"/>
    <col min="1554" max="1554" width="18.42578125" style="108" customWidth="1"/>
    <col min="1555" max="1555" width="27.85546875" style="108" customWidth="1"/>
    <col min="1556" max="1556" width="49.42578125" style="108" customWidth="1"/>
    <col min="1557" max="1557" width="32.140625" style="108" customWidth="1"/>
    <col min="1558" max="1558" width="22.42578125" style="108" customWidth="1"/>
    <col min="1559" max="1559" width="33" style="108" customWidth="1"/>
    <col min="1560" max="1560" width="58.85546875" style="108" customWidth="1"/>
    <col min="1561" max="1561" width="37.85546875" style="108" customWidth="1"/>
    <col min="1562" max="1562" width="17.5703125" style="108" customWidth="1"/>
    <col min="1563" max="1563" width="16.5703125" style="108" customWidth="1"/>
    <col min="1564" max="1564" width="28.7109375" style="108" customWidth="1"/>
    <col min="1565" max="1565" width="23.85546875" style="108" customWidth="1"/>
    <col min="1566" max="1792" width="9.140625" style="108"/>
    <col min="1793" max="1794" width="0" style="108" hidden="1" customWidth="1"/>
    <col min="1795" max="1795" width="15.7109375" style="108" customWidth="1"/>
    <col min="1796" max="1796" width="93.42578125" style="108" customWidth="1"/>
    <col min="1797" max="1797" width="32.28515625" style="108" customWidth="1"/>
    <col min="1798" max="1798" width="23.7109375" style="108" customWidth="1"/>
    <col min="1799" max="1799" width="26.42578125" style="108" customWidth="1"/>
    <col min="1800" max="1800" width="26.5703125" style="108" customWidth="1"/>
    <col min="1801" max="1801" width="27.85546875" style="108" customWidth="1"/>
    <col min="1802" max="1802" width="28.140625" style="108" customWidth="1"/>
    <col min="1803" max="1803" width="24.28515625" style="108" customWidth="1"/>
    <col min="1804" max="1804" width="13.140625" style="108" customWidth="1"/>
    <col min="1805" max="1805" width="19.85546875" style="108" customWidth="1"/>
    <col min="1806" max="1806" width="34.42578125" style="108" customWidth="1"/>
    <col min="1807" max="1807" width="18.140625" style="108" customWidth="1"/>
    <col min="1808" max="1808" width="24.7109375" style="108" customWidth="1"/>
    <col min="1809" max="1809" width="23.28515625" style="108" customWidth="1"/>
    <col min="1810" max="1810" width="18.42578125" style="108" customWidth="1"/>
    <col min="1811" max="1811" width="27.85546875" style="108" customWidth="1"/>
    <col min="1812" max="1812" width="49.42578125" style="108" customWidth="1"/>
    <col min="1813" max="1813" width="32.140625" style="108" customWidth="1"/>
    <col min="1814" max="1814" width="22.42578125" style="108" customWidth="1"/>
    <col min="1815" max="1815" width="33" style="108" customWidth="1"/>
    <col min="1816" max="1816" width="58.85546875" style="108" customWidth="1"/>
    <col min="1817" max="1817" width="37.85546875" style="108" customWidth="1"/>
    <col min="1818" max="1818" width="17.5703125" style="108" customWidth="1"/>
    <col min="1819" max="1819" width="16.5703125" style="108" customWidth="1"/>
    <col min="1820" max="1820" width="28.7109375" style="108" customWidth="1"/>
    <col min="1821" max="1821" width="23.85546875" style="108" customWidth="1"/>
    <col min="1822" max="2048" width="9.140625" style="108"/>
    <col min="2049" max="2050" width="0" style="108" hidden="1" customWidth="1"/>
    <col min="2051" max="2051" width="15.7109375" style="108" customWidth="1"/>
    <col min="2052" max="2052" width="93.42578125" style="108" customWidth="1"/>
    <col min="2053" max="2053" width="32.28515625" style="108" customWidth="1"/>
    <col min="2054" max="2054" width="23.7109375" style="108" customWidth="1"/>
    <col min="2055" max="2055" width="26.42578125" style="108" customWidth="1"/>
    <col min="2056" max="2056" width="26.5703125" style="108" customWidth="1"/>
    <col min="2057" max="2057" width="27.85546875" style="108" customWidth="1"/>
    <col min="2058" max="2058" width="28.140625" style="108" customWidth="1"/>
    <col min="2059" max="2059" width="24.28515625" style="108" customWidth="1"/>
    <col min="2060" max="2060" width="13.140625" style="108" customWidth="1"/>
    <col min="2061" max="2061" width="19.85546875" style="108" customWidth="1"/>
    <col min="2062" max="2062" width="34.42578125" style="108" customWidth="1"/>
    <col min="2063" max="2063" width="18.140625" style="108" customWidth="1"/>
    <col min="2064" max="2064" width="24.7109375" style="108" customWidth="1"/>
    <col min="2065" max="2065" width="23.28515625" style="108" customWidth="1"/>
    <col min="2066" max="2066" width="18.42578125" style="108" customWidth="1"/>
    <col min="2067" max="2067" width="27.85546875" style="108" customWidth="1"/>
    <col min="2068" max="2068" width="49.42578125" style="108" customWidth="1"/>
    <col min="2069" max="2069" width="32.140625" style="108" customWidth="1"/>
    <col min="2070" max="2070" width="22.42578125" style="108" customWidth="1"/>
    <col min="2071" max="2071" width="33" style="108" customWidth="1"/>
    <col min="2072" max="2072" width="58.85546875" style="108" customWidth="1"/>
    <col min="2073" max="2073" width="37.85546875" style="108" customWidth="1"/>
    <col min="2074" max="2074" width="17.5703125" style="108" customWidth="1"/>
    <col min="2075" max="2075" width="16.5703125" style="108" customWidth="1"/>
    <col min="2076" max="2076" width="28.7109375" style="108" customWidth="1"/>
    <col min="2077" max="2077" width="23.85546875" style="108" customWidth="1"/>
    <col min="2078" max="2304" width="9.140625" style="108"/>
    <col min="2305" max="2306" width="0" style="108" hidden="1" customWidth="1"/>
    <col min="2307" max="2307" width="15.7109375" style="108" customWidth="1"/>
    <col min="2308" max="2308" width="93.42578125" style="108" customWidth="1"/>
    <col min="2309" max="2309" width="32.28515625" style="108" customWidth="1"/>
    <col min="2310" max="2310" width="23.7109375" style="108" customWidth="1"/>
    <col min="2311" max="2311" width="26.42578125" style="108" customWidth="1"/>
    <col min="2312" max="2312" width="26.5703125" style="108" customWidth="1"/>
    <col min="2313" max="2313" width="27.85546875" style="108" customWidth="1"/>
    <col min="2314" max="2314" width="28.140625" style="108" customWidth="1"/>
    <col min="2315" max="2315" width="24.28515625" style="108" customWidth="1"/>
    <col min="2316" max="2316" width="13.140625" style="108" customWidth="1"/>
    <col min="2317" max="2317" width="19.85546875" style="108" customWidth="1"/>
    <col min="2318" max="2318" width="34.42578125" style="108" customWidth="1"/>
    <col min="2319" max="2319" width="18.140625" style="108" customWidth="1"/>
    <col min="2320" max="2320" width="24.7109375" style="108" customWidth="1"/>
    <col min="2321" max="2321" width="23.28515625" style="108" customWidth="1"/>
    <col min="2322" max="2322" width="18.42578125" style="108" customWidth="1"/>
    <col min="2323" max="2323" width="27.85546875" style="108" customWidth="1"/>
    <col min="2324" max="2324" width="49.42578125" style="108" customWidth="1"/>
    <col min="2325" max="2325" width="32.140625" style="108" customWidth="1"/>
    <col min="2326" max="2326" width="22.42578125" style="108" customWidth="1"/>
    <col min="2327" max="2327" width="33" style="108" customWidth="1"/>
    <col min="2328" max="2328" width="58.85546875" style="108" customWidth="1"/>
    <col min="2329" max="2329" width="37.85546875" style="108" customWidth="1"/>
    <col min="2330" max="2330" width="17.5703125" style="108" customWidth="1"/>
    <col min="2331" max="2331" width="16.5703125" style="108" customWidth="1"/>
    <col min="2332" max="2332" width="28.7109375" style="108" customWidth="1"/>
    <col min="2333" max="2333" width="23.85546875" style="108" customWidth="1"/>
    <col min="2334" max="2560" width="9.140625" style="108"/>
    <col min="2561" max="2562" width="0" style="108" hidden="1" customWidth="1"/>
    <col min="2563" max="2563" width="15.7109375" style="108" customWidth="1"/>
    <col min="2564" max="2564" width="93.42578125" style="108" customWidth="1"/>
    <col min="2565" max="2565" width="32.28515625" style="108" customWidth="1"/>
    <col min="2566" max="2566" width="23.7109375" style="108" customWidth="1"/>
    <col min="2567" max="2567" width="26.42578125" style="108" customWidth="1"/>
    <col min="2568" max="2568" width="26.5703125" style="108" customWidth="1"/>
    <col min="2569" max="2569" width="27.85546875" style="108" customWidth="1"/>
    <col min="2570" max="2570" width="28.140625" style="108" customWidth="1"/>
    <col min="2571" max="2571" width="24.28515625" style="108" customWidth="1"/>
    <col min="2572" max="2572" width="13.140625" style="108" customWidth="1"/>
    <col min="2573" max="2573" width="19.85546875" style="108" customWidth="1"/>
    <col min="2574" max="2574" width="34.42578125" style="108" customWidth="1"/>
    <col min="2575" max="2575" width="18.140625" style="108" customWidth="1"/>
    <col min="2576" max="2576" width="24.7109375" style="108" customWidth="1"/>
    <col min="2577" max="2577" width="23.28515625" style="108" customWidth="1"/>
    <col min="2578" max="2578" width="18.42578125" style="108" customWidth="1"/>
    <col min="2579" max="2579" width="27.85546875" style="108" customWidth="1"/>
    <col min="2580" max="2580" width="49.42578125" style="108" customWidth="1"/>
    <col min="2581" max="2581" width="32.140625" style="108" customWidth="1"/>
    <col min="2582" max="2582" width="22.42578125" style="108" customWidth="1"/>
    <col min="2583" max="2583" width="33" style="108" customWidth="1"/>
    <col min="2584" max="2584" width="58.85546875" style="108" customWidth="1"/>
    <col min="2585" max="2585" width="37.85546875" style="108" customWidth="1"/>
    <col min="2586" max="2586" width="17.5703125" style="108" customWidth="1"/>
    <col min="2587" max="2587" width="16.5703125" style="108" customWidth="1"/>
    <col min="2588" max="2588" width="28.7109375" style="108" customWidth="1"/>
    <col min="2589" max="2589" width="23.85546875" style="108" customWidth="1"/>
    <col min="2590" max="2816" width="9.140625" style="108"/>
    <col min="2817" max="2818" width="0" style="108" hidden="1" customWidth="1"/>
    <col min="2819" max="2819" width="15.7109375" style="108" customWidth="1"/>
    <col min="2820" max="2820" width="93.42578125" style="108" customWidth="1"/>
    <col min="2821" max="2821" width="32.28515625" style="108" customWidth="1"/>
    <col min="2822" max="2822" width="23.7109375" style="108" customWidth="1"/>
    <col min="2823" max="2823" width="26.42578125" style="108" customWidth="1"/>
    <col min="2824" max="2824" width="26.5703125" style="108" customWidth="1"/>
    <col min="2825" max="2825" width="27.85546875" style="108" customWidth="1"/>
    <col min="2826" max="2826" width="28.140625" style="108" customWidth="1"/>
    <col min="2827" max="2827" width="24.28515625" style="108" customWidth="1"/>
    <col min="2828" max="2828" width="13.140625" style="108" customWidth="1"/>
    <col min="2829" max="2829" width="19.85546875" style="108" customWidth="1"/>
    <col min="2830" max="2830" width="34.42578125" style="108" customWidth="1"/>
    <col min="2831" max="2831" width="18.140625" style="108" customWidth="1"/>
    <col min="2832" max="2832" width="24.7109375" style="108" customWidth="1"/>
    <col min="2833" max="2833" width="23.28515625" style="108" customWidth="1"/>
    <col min="2834" max="2834" width="18.42578125" style="108" customWidth="1"/>
    <col min="2835" max="2835" width="27.85546875" style="108" customWidth="1"/>
    <col min="2836" max="2836" width="49.42578125" style="108" customWidth="1"/>
    <col min="2837" max="2837" width="32.140625" style="108" customWidth="1"/>
    <col min="2838" max="2838" width="22.42578125" style="108" customWidth="1"/>
    <col min="2839" max="2839" width="33" style="108" customWidth="1"/>
    <col min="2840" max="2840" width="58.85546875" style="108" customWidth="1"/>
    <col min="2841" max="2841" width="37.85546875" style="108" customWidth="1"/>
    <col min="2842" max="2842" width="17.5703125" style="108" customWidth="1"/>
    <col min="2843" max="2843" width="16.5703125" style="108" customWidth="1"/>
    <col min="2844" max="2844" width="28.7109375" style="108" customWidth="1"/>
    <col min="2845" max="2845" width="23.85546875" style="108" customWidth="1"/>
    <col min="2846" max="3072" width="9.140625" style="108"/>
    <col min="3073" max="3074" width="0" style="108" hidden="1" customWidth="1"/>
    <col min="3075" max="3075" width="15.7109375" style="108" customWidth="1"/>
    <col min="3076" max="3076" width="93.42578125" style="108" customWidth="1"/>
    <col min="3077" max="3077" width="32.28515625" style="108" customWidth="1"/>
    <col min="3078" max="3078" width="23.7109375" style="108" customWidth="1"/>
    <col min="3079" max="3079" width="26.42578125" style="108" customWidth="1"/>
    <col min="3080" max="3080" width="26.5703125" style="108" customWidth="1"/>
    <col min="3081" max="3081" width="27.85546875" style="108" customWidth="1"/>
    <col min="3082" max="3082" width="28.140625" style="108" customWidth="1"/>
    <col min="3083" max="3083" width="24.28515625" style="108" customWidth="1"/>
    <col min="3084" max="3084" width="13.140625" style="108" customWidth="1"/>
    <col min="3085" max="3085" width="19.85546875" style="108" customWidth="1"/>
    <col min="3086" max="3086" width="34.42578125" style="108" customWidth="1"/>
    <col min="3087" max="3087" width="18.140625" style="108" customWidth="1"/>
    <col min="3088" max="3088" width="24.7109375" style="108" customWidth="1"/>
    <col min="3089" max="3089" width="23.28515625" style="108" customWidth="1"/>
    <col min="3090" max="3090" width="18.42578125" style="108" customWidth="1"/>
    <col min="3091" max="3091" width="27.85546875" style="108" customWidth="1"/>
    <col min="3092" max="3092" width="49.42578125" style="108" customWidth="1"/>
    <col min="3093" max="3093" width="32.140625" style="108" customWidth="1"/>
    <col min="3094" max="3094" width="22.42578125" style="108" customWidth="1"/>
    <col min="3095" max="3095" width="33" style="108" customWidth="1"/>
    <col min="3096" max="3096" width="58.85546875" style="108" customWidth="1"/>
    <col min="3097" max="3097" width="37.85546875" style="108" customWidth="1"/>
    <col min="3098" max="3098" width="17.5703125" style="108" customWidth="1"/>
    <col min="3099" max="3099" width="16.5703125" style="108" customWidth="1"/>
    <col min="3100" max="3100" width="28.7109375" style="108" customWidth="1"/>
    <col min="3101" max="3101" width="23.85546875" style="108" customWidth="1"/>
    <col min="3102" max="3328" width="9.140625" style="108"/>
    <col min="3329" max="3330" width="0" style="108" hidden="1" customWidth="1"/>
    <col min="3331" max="3331" width="15.7109375" style="108" customWidth="1"/>
    <col min="3332" max="3332" width="93.42578125" style="108" customWidth="1"/>
    <col min="3333" max="3333" width="32.28515625" style="108" customWidth="1"/>
    <col min="3334" max="3334" width="23.7109375" style="108" customWidth="1"/>
    <col min="3335" max="3335" width="26.42578125" style="108" customWidth="1"/>
    <col min="3336" max="3336" width="26.5703125" style="108" customWidth="1"/>
    <col min="3337" max="3337" width="27.85546875" style="108" customWidth="1"/>
    <col min="3338" max="3338" width="28.140625" style="108" customWidth="1"/>
    <col min="3339" max="3339" width="24.28515625" style="108" customWidth="1"/>
    <col min="3340" max="3340" width="13.140625" style="108" customWidth="1"/>
    <col min="3341" max="3341" width="19.85546875" style="108" customWidth="1"/>
    <col min="3342" max="3342" width="34.42578125" style="108" customWidth="1"/>
    <col min="3343" max="3343" width="18.140625" style="108" customWidth="1"/>
    <col min="3344" max="3344" width="24.7109375" style="108" customWidth="1"/>
    <col min="3345" max="3345" width="23.28515625" style="108" customWidth="1"/>
    <col min="3346" max="3346" width="18.42578125" style="108" customWidth="1"/>
    <col min="3347" max="3347" width="27.85546875" style="108" customWidth="1"/>
    <col min="3348" max="3348" width="49.42578125" style="108" customWidth="1"/>
    <col min="3349" max="3349" width="32.140625" style="108" customWidth="1"/>
    <col min="3350" max="3350" width="22.42578125" style="108" customWidth="1"/>
    <col min="3351" max="3351" width="33" style="108" customWidth="1"/>
    <col min="3352" max="3352" width="58.85546875" style="108" customWidth="1"/>
    <col min="3353" max="3353" width="37.85546875" style="108" customWidth="1"/>
    <col min="3354" max="3354" width="17.5703125" style="108" customWidth="1"/>
    <col min="3355" max="3355" width="16.5703125" style="108" customWidth="1"/>
    <col min="3356" max="3356" width="28.7109375" style="108" customWidth="1"/>
    <col min="3357" max="3357" width="23.85546875" style="108" customWidth="1"/>
    <col min="3358" max="3584" width="9.140625" style="108"/>
    <col min="3585" max="3586" width="0" style="108" hidden="1" customWidth="1"/>
    <col min="3587" max="3587" width="15.7109375" style="108" customWidth="1"/>
    <col min="3588" max="3588" width="93.42578125" style="108" customWidth="1"/>
    <col min="3589" max="3589" width="32.28515625" style="108" customWidth="1"/>
    <col min="3590" max="3590" width="23.7109375" style="108" customWidth="1"/>
    <col min="3591" max="3591" width="26.42578125" style="108" customWidth="1"/>
    <col min="3592" max="3592" width="26.5703125" style="108" customWidth="1"/>
    <col min="3593" max="3593" width="27.85546875" style="108" customWidth="1"/>
    <col min="3594" max="3594" width="28.140625" style="108" customWidth="1"/>
    <col min="3595" max="3595" width="24.28515625" style="108" customWidth="1"/>
    <col min="3596" max="3596" width="13.140625" style="108" customWidth="1"/>
    <col min="3597" max="3597" width="19.85546875" style="108" customWidth="1"/>
    <col min="3598" max="3598" width="34.42578125" style="108" customWidth="1"/>
    <col min="3599" max="3599" width="18.140625" style="108" customWidth="1"/>
    <col min="3600" max="3600" width="24.7109375" style="108" customWidth="1"/>
    <col min="3601" max="3601" width="23.28515625" style="108" customWidth="1"/>
    <col min="3602" max="3602" width="18.42578125" style="108" customWidth="1"/>
    <col min="3603" max="3603" width="27.85546875" style="108" customWidth="1"/>
    <col min="3604" max="3604" width="49.42578125" style="108" customWidth="1"/>
    <col min="3605" max="3605" width="32.140625" style="108" customWidth="1"/>
    <col min="3606" max="3606" width="22.42578125" style="108" customWidth="1"/>
    <col min="3607" max="3607" width="33" style="108" customWidth="1"/>
    <col min="3608" max="3608" width="58.85546875" style="108" customWidth="1"/>
    <col min="3609" max="3609" width="37.85546875" style="108" customWidth="1"/>
    <col min="3610" max="3610" width="17.5703125" style="108" customWidth="1"/>
    <col min="3611" max="3611" width="16.5703125" style="108" customWidth="1"/>
    <col min="3612" max="3612" width="28.7109375" style="108" customWidth="1"/>
    <col min="3613" max="3613" width="23.85546875" style="108" customWidth="1"/>
    <col min="3614" max="3840" width="9.140625" style="108"/>
    <col min="3841" max="3842" width="0" style="108" hidden="1" customWidth="1"/>
    <col min="3843" max="3843" width="15.7109375" style="108" customWidth="1"/>
    <col min="3844" max="3844" width="93.42578125" style="108" customWidth="1"/>
    <col min="3845" max="3845" width="32.28515625" style="108" customWidth="1"/>
    <col min="3846" max="3846" width="23.7109375" style="108" customWidth="1"/>
    <col min="3847" max="3847" width="26.42578125" style="108" customWidth="1"/>
    <col min="3848" max="3848" width="26.5703125" style="108" customWidth="1"/>
    <col min="3849" max="3849" width="27.85546875" style="108" customWidth="1"/>
    <col min="3850" max="3850" width="28.140625" style="108" customWidth="1"/>
    <col min="3851" max="3851" width="24.28515625" style="108" customWidth="1"/>
    <col min="3852" max="3852" width="13.140625" style="108" customWidth="1"/>
    <col min="3853" max="3853" width="19.85546875" style="108" customWidth="1"/>
    <col min="3854" max="3854" width="34.42578125" style="108" customWidth="1"/>
    <col min="3855" max="3855" width="18.140625" style="108" customWidth="1"/>
    <col min="3856" max="3856" width="24.7109375" style="108" customWidth="1"/>
    <col min="3857" max="3857" width="23.28515625" style="108" customWidth="1"/>
    <col min="3858" max="3858" width="18.42578125" style="108" customWidth="1"/>
    <col min="3859" max="3859" width="27.85546875" style="108" customWidth="1"/>
    <col min="3860" max="3860" width="49.42578125" style="108" customWidth="1"/>
    <col min="3861" max="3861" width="32.140625" style="108" customWidth="1"/>
    <col min="3862" max="3862" width="22.42578125" style="108" customWidth="1"/>
    <col min="3863" max="3863" width="33" style="108" customWidth="1"/>
    <col min="3864" max="3864" width="58.85546875" style="108" customWidth="1"/>
    <col min="3865" max="3865" width="37.85546875" style="108" customWidth="1"/>
    <col min="3866" max="3866" width="17.5703125" style="108" customWidth="1"/>
    <col min="3867" max="3867" width="16.5703125" style="108" customWidth="1"/>
    <col min="3868" max="3868" width="28.7109375" style="108" customWidth="1"/>
    <col min="3869" max="3869" width="23.85546875" style="108" customWidth="1"/>
    <col min="3870" max="4096" width="9.140625" style="108"/>
    <col min="4097" max="4098" width="0" style="108" hidden="1" customWidth="1"/>
    <col min="4099" max="4099" width="15.7109375" style="108" customWidth="1"/>
    <col min="4100" max="4100" width="93.42578125" style="108" customWidth="1"/>
    <col min="4101" max="4101" width="32.28515625" style="108" customWidth="1"/>
    <col min="4102" max="4102" width="23.7109375" style="108" customWidth="1"/>
    <col min="4103" max="4103" width="26.42578125" style="108" customWidth="1"/>
    <col min="4104" max="4104" width="26.5703125" style="108" customWidth="1"/>
    <col min="4105" max="4105" width="27.85546875" style="108" customWidth="1"/>
    <col min="4106" max="4106" width="28.140625" style="108" customWidth="1"/>
    <col min="4107" max="4107" width="24.28515625" style="108" customWidth="1"/>
    <col min="4108" max="4108" width="13.140625" style="108" customWidth="1"/>
    <col min="4109" max="4109" width="19.85546875" style="108" customWidth="1"/>
    <col min="4110" max="4110" width="34.42578125" style="108" customWidth="1"/>
    <col min="4111" max="4111" width="18.140625" style="108" customWidth="1"/>
    <col min="4112" max="4112" width="24.7109375" style="108" customWidth="1"/>
    <col min="4113" max="4113" width="23.28515625" style="108" customWidth="1"/>
    <col min="4114" max="4114" width="18.42578125" style="108" customWidth="1"/>
    <col min="4115" max="4115" width="27.85546875" style="108" customWidth="1"/>
    <col min="4116" max="4116" width="49.42578125" style="108" customWidth="1"/>
    <col min="4117" max="4117" width="32.140625" style="108" customWidth="1"/>
    <col min="4118" max="4118" width="22.42578125" style="108" customWidth="1"/>
    <col min="4119" max="4119" width="33" style="108" customWidth="1"/>
    <col min="4120" max="4120" width="58.85546875" style="108" customWidth="1"/>
    <col min="4121" max="4121" width="37.85546875" style="108" customWidth="1"/>
    <col min="4122" max="4122" width="17.5703125" style="108" customWidth="1"/>
    <col min="4123" max="4123" width="16.5703125" style="108" customWidth="1"/>
    <col min="4124" max="4124" width="28.7109375" style="108" customWidth="1"/>
    <col min="4125" max="4125" width="23.85546875" style="108" customWidth="1"/>
    <col min="4126" max="4352" width="9.140625" style="108"/>
    <col min="4353" max="4354" width="0" style="108" hidden="1" customWidth="1"/>
    <col min="4355" max="4355" width="15.7109375" style="108" customWidth="1"/>
    <col min="4356" max="4356" width="93.42578125" style="108" customWidth="1"/>
    <col min="4357" max="4357" width="32.28515625" style="108" customWidth="1"/>
    <col min="4358" max="4358" width="23.7109375" style="108" customWidth="1"/>
    <col min="4359" max="4359" width="26.42578125" style="108" customWidth="1"/>
    <col min="4360" max="4360" width="26.5703125" style="108" customWidth="1"/>
    <col min="4361" max="4361" width="27.85546875" style="108" customWidth="1"/>
    <col min="4362" max="4362" width="28.140625" style="108" customWidth="1"/>
    <col min="4363" max="4363" width="24.28515625" style="108" customWidth="1"/>
    <col min="4364" max="4364" width="13.140625" style="108" customWidth="1"/>
    <col min="4365" max="4365" width="19.85546875" style="108" customWidth="1"/>
    <col min="4366" max="4366" width="34.42578125" style="108" customWidth="1"/>
    <col min="4367" max="4367" width="18.140625" style="108" customWidth="1"/>
    <col min="4368" max="4368" width="24.7109375" style="108" customWidth="1"/>
    <col min="4369" max="4369" width="23.28515625" style="108" customWidth="1"/>
    <col min="4370" max="4370" width="18.42578125" style="108" customWidth="1"/>
    <col min="4371" max="4371" width="27.85546875" style="108" customWidth="1"/>
    <col min="4372" max="4372" width="49.42578125" style="108" customWidth="1"/>
    <col min="4373" max="4373" width="32.140625" style="108" customWidth="1"/>
    <col min="4374" max="4374" width="22.42578125" style="108" customWidth="1"/>
    <col min="4375" max="4375" width="33" style="108" customWidth="1"/>
    <col min="4376" max="4376" width="58.85546875" style="108" customWidth="1"/>
    <col min="4377" max="4377" width="37.85546875" style="108" customWidth="1"/>
    <col min="4378" max="4378" width="17.5703125" style="108" customWidth="1"/>
    <col min="4379" max="4379" width="16.5703125" style="108" customWidth="1"/>
    <col min="4380" max="4380" width="28.7109375" style="108" customWidth="1"/>
    <col min="4381" max="4381" width="23.85546875" style="108" customWidth="1"/>
    <col min="4382" max="4608" width="9.140625" style="108"/>
    <col min="4609" max="4610" width="0" style="108" hidden="1" customWidth="1"/>
    <col min="4611" max="4611" width="15.7109375" style="108" customWidth="1"/>
    <col min="4612" max="4612" width="93.42578125" style="108" customWidth="1"/>
    <col min="4613" max="4613" width="32.28515625" style="108" customWidth="1"/>
    <col min="4614" max="4614" width="23.7109375" style="108" customWidth="1"/>
    <col min="4615" max="4615" width="26.42578125" style="108" customWidth="1"/>
    <col min="4616" max="4616" width="26.5703125" style="108" customWidth="1"/>
    <col min="4617" max="4617" width="27.85546875" style="108" customWidth="1"/>
    <col min="4618" max="4618" width="28.140625" style="108" customWidth="1"/>
    <col min="4619" max="4619" width="24.28515625" style="108" customWidth="1"/>
    <col min="4620" max="4620" width="13.140625" style="108" customWidth="1"/>
    <col min="4621" max="4621" width="19.85546875" style="108" customWidth="1"/>
    <col min="4622" max="4622" width="34.42578125" style="108" customWidth="1"/>
    <col min="4623" max="4623" width="18.140625" style="108" customWidth="1"/>
    <col min="4624" max="4624" width="24.7109375" style="108" customWidth="1"/>
    <col min="4625" max="4625" width="23.28515625" style="108" customWidth="1"/>
    <col min="4626" max="4626" width="18.42578125" style="108" customWidth="1"/>
    <col min="4627" max="4627" width="27.85546875" style="108" customWidth="1"/>
    <col min="4628" max="4628" width="49.42578125" style="108" customWidth="1"/>
    <col min="4629" max="4629" width="32.140625" style="108" customWidth="1"/>
    <col min="4630" max="4630" width="22.42578125" style="108" customWidth="1"/>
    <col min="4631" max="4631" width="33" style="108" customWidth="1"/>
    <col min="4632" max="4632" width="58.85546875" style="108" customWidth="1"/>
    <col min="4633" max="4633" width="37.85546875" style="108" customWidth="1"/>
    <col min="4634" max="4634" width="17.5703125" style="108" customWidth="1"/>
    <col min="4635" max="4635" width="16.5703125" style="108" customWidth="1"/>
    <col min="4636" max="4636" width="28.7109375" style="108" customWidth="1"/>
    <col min="4637" max="4637" width="23.85546875" style="108" customWidth="1"/>
    <col min="4638" max="4864" width="9.140625" style="108"/>
    <col min="4865" max="4866" width="0" style="108" hidden="1" customWidth="1"/>
    <col min="4867" max="4867" width="15.7109375" style="108" customWidth="1"/>
    <col min="4868" max="4868" width="93.42578125" style="108" customWidth="1"/>
    <col min="4869" max="4869" width="32.28515625" style="108" customWidth="1"/>
    <col min="4870" max="4870" width="23.7109375" style="108" customWidth="1"/>
    <col min="4871" max="4871" width="26.42578125" style="108" customWidth="1"/>
    <col min="4872" max="4872" width="26.5703125" style="108" customWidth="1"/>
    <col min="4873" max="4873" width="27.85546875" style="108" customWidth="1"/>
    <col min="4874" max="4874" width="28.140625" style="108" customWidth="1"/>
    <col min="4875" max="4875" width="24.28515625" style="108" customWidth="1"/>
    <col min="4876" max="4876" width="13.140625" style="108" customWidth="1"/>
    <col min="4877" max="4877" width="19.85546875" style="108" customWidth="1"/>
    <col min="4878" max="4878" width="34.42578125" style="108" customWidth="1"/>
    <col min="4879" max="4879" width="18.140625" style="108" customWidth="1"/>
    <col min="4880" max="4880" width="24.7109375" style="108" customWidth="1"/>
    <col min="4881" max="4881" width="23.28515625" style="108" customWidth="1"/>
    <col min="4882" max="4882" width="18.42578125" style="108" customWidth="1"/>
    <col min="4883" max="4883" width="27.85546875" style="108" customWidth="1"/>
    <col min="4884" max="4884" width="49.42578125" style="108" customWidth="1"/>
    <col min="4885" max="4885" width="32.140625" style="108" customWidth="1"/>
    <col min="4886" max="4886" width="22.42578125" style="108" customWidth="1"/>
    <col min="4887" max="4887" width="33" style="108" customWidth="1"/>
    <col min="4888" max="4888" width="58.85546875" style="108" customWidth="1"/>
    <col min="4889" max="4889" width="37.85546875" style="108" customWidth="1"/>
    <col min="4890" max="4890" width="17.5703125" style="108" customWidth="1"/>
    <col min="4891" max="4891" width="16.5703125" style="108" customWidth="1"/>
    <col min="4892" max="4892" width="28.7109375" style="108" customWidth="1"/>
    <col min="4893" max="4893" width="23.85546875" style="108" customWidth="1"/>
    <col min="4894" max="5120" width="9.140625" style="108"/>
    <col min="5121" max="5122" width="0" style="108" hidden="1" customWidth="1"/>
    <col min="5123" max="5123" width="15.7109375" style="108" customWidth="1"/>
    <col min="5124" max="5124" width="93.42578125" style="108" customWidth="1"/>
    <col min="5125" max="5125" width="32.28515625" style="108" customWidth="1"/>
    <col min="5126" max="5126" width="23.7109375" style="108" customWidth="1"/>
    <col min="5127" max="5127" width="26.42578125" style="108" customWidth="1"/>
    <col min="5128" max="5128" width="26.5703125" style="108" customWidth="1"/>
    <col min="5129" max="5129" width="27.85546875" style="108" customWidth="1"/>
    <col min="5130" max="5130" width="28.140625" style="108" customWidth="1"/>
    <col min="5131" max="5131" width="24.28515625" style="108" customWidth="1"/>
    <col min="5132" max="5132" width="13.140625" style="108" customWidth="1"/>
    <col min="5133" max="5133" width="19.85546875" style="108" customWidth="1"/>
    <col min="5134" max="5134" width="34.42578125" style="108" customWidth="1"/>
    <col min="5135" max="5135" width="18.140625" style="108" customWidth="1"/>
    <col min="5136" max="5136" width="24.7109375" style="108" customWidth="1"/>
    <col min="5137" max="5137" width="23.28515625" style="108" customWidth="1"/>
    <col min="5138" max="5138" width="18.42578125" style="108" customWidth="1"/>
    <col min="5139" max="5139" width="27.85546875" style="108" customWidth="1"/>
    <col min="5140" max="5140" width="49.42578125" style="108" customWidth="1"/>
    <col min="5141" max="5141" width="32.140625" style="108" customWidth="1"/>
    <col min="5142" max="5142" width="22.42578125" style="108" customWidth="1"/>
    <col min="5143" max="5143" width="33" style="108" customWidth="1"/>
    <col min="5144" max="5144" width="58.85546875" style="108" customWidth="1"/>
    <col min="5145" max="5145" width="37.85546875" style="108" customWidth="1"/>
    <col min="5146" max="5146" width="17.5703125" style="108" customWidth="1"/>
    <col min="5147" max="5147" width="16.5703125" style="108" customWidth="1"/>
    <col min="5148" max="5148" width="28.7109375" style="108" customWidth="1"/>
    <col min="5149" max="5149" width="23.85546875" style="108" customWidth="1"/>
    <col min="5150" max="5376" width="9.140625" style="108"/>
    <col min="5377" max="5378" width="0" style="108" hidden="1" customWidth="1"/>
    <col min="5379" max="5379" width="15.7109375" style="108" customWidth="1"/>
    <col min="5380" max="5380" width="93.42578125" style="108" customWidth="1"/>
    <col min="5381" max="5381" width="32.28515625" style="108" customWidth="1"/>
    <col min="5382" max="5382" width="23.7109375" style="108" customWidth="1"/>
    <col min="5383" max="5383" width="26.42578125" style="108" customWidth="1"/>
    <col min="5384" max="5384" width="26.5703125" style="108" customWidth="1"/>
    <col min="5385" max="5385" width="27.85546875" style="108" customWidth="1"/>
    <col min="5386" max="5386" width="28.140625" style="108" customWidth="1"/>
    <col min="5387" max="5387" width="24.28515625" style="108" customWidth="1"/>
    <col min="5388" max="5388" width="13.140625" style="108" customWidth="1"/>
    <col min="5389" max="5389" width="19.85546875" style="108" customWidth="1"/>
    <col min="5390" max="5390" width="34.42578125" style="108" customWidth="1"/>
    <col min="5391" max="5391" width="18.140625" style="108" customWidth="1"/>
    <col min="5392" max="5392" width="24.7109375" style="108" customWidth="1"/>
    <col min="5393" max="5393" width="23.28515625" style="108" customWidth="1"/>
    <col min="5394" max="5394" width="18.42578125" style="108" customWidth="1"/>
    <col min="5395" max="5395" width="27.85546875" style="108" customWidth="1"/>
    <col min="5396" max="5396" width="49.42578125" style="108" customWidth="1"/>
    <col min="5397" max="5397" width="32.140625" style="108" customWidth="1"/>
    <col min="5398" max="5398" width="22.42578125" style="108" customWidth="1"/>
    <col min="5399" max="5399" width="33" style="108" customWidth="1"/>
    <col min="5400" max="5400" width="58.85546875" style="108" customWidth="1"/>
    <col min="5401" max="5401" width="37.85546875" style="108" customWidth="1"/>
    <col min="5402" max="5402" width="17.5703125" style="108" customWidth="1"/>
    <col min="5403" max="5403" width="16.5703125" style="108" customWidth="1"/>
    <col min="5404" max="5404" width="28.7109375" style="108" customWidth="1"/>
    <col min="5405" max="5405" width="23.85546875" style="108" customWidth="1"/>
    <col min="5406" max="5632" width="9.140625" style="108"/>
    <col min="5633" max="5634" width="0" style="108" hidden="1" customWidth="1"/>
    <col min="5635" max="5635" width="15.7109375" style="108" customWidth="1"/>
    <col min="5636" max="5636" width="93.42578125" style="108" customWidth="1"/>
    <col min="5637" max="5637" width="32.28515625" style="108" customWidth="1"/>
    <col min="5638" max="5638" width="23.7109375" style="108" customWidth="1"/>
    <col min="5639" max="5639" width="26.42578125" style="108" customWidth="1"/>
    <col min="5640" max="5640" width="26.5703125" style="108" customWidth="1"/>
    <col min="5641" max="5641" width="27.85546875" style="108" customWidth="1"/>
    <col min="5642" max="5642" width="28.140625" style="108" customWidth="1"/>
    <col min="5643" max="5643" width="24.28515625" style="108" customWidth="1"/>
    <col min="5644" max="5644" width="13.140625" style="108" customWidth="1"/>
    <col min="5645" max="5645" width="19.85546875" style="108" customWidth="1"/>
    <col min="5646" max="5646" width="34.42578125" style="108" customWidth="1"/>
    <col min="5647" max="5647" width="18.140625" style="108" customWidth="1"/>
    <col min="5648" max="5648" width="24.7109375" style="108" customWidth="1"/>
    <col min="5649" max="5649" width="23.28515625" style="108" customWidth="1"/>
    <col min="5650" max="5650" width="18.42578125" style="108" customWidth="1"/>
    <col min="5651" max="5651" width="27.85546875" style="108" customWidth="1"/>
    <col min="5652" max="5652" width="49.42578125" style="108" customWidth="1"/>
    <col min="5653" max="5653" width="32.140625" style="108" customWidth="1"/>
    <col min="5654" max="5654" width="22.42578125" style="108" customWidth="1"/>
    <col min="5655" max="5655" width="33" style="108" customWidth="1"/>
    <col min="5656" max="5656" width="58.85546875" style="108" customWidth="1"/>
    <col min="5657" max="5657" width="37.85546875" style="108" customWidth="1"/>
    <col min="5658" max="5658" width="17.5703125" style="108" customWidth="1"/>
    <col min="5659" max="5659" width="16.5703125" style="108" customWidth="1"/>
    <col min="5660" max="5660" width="28.7109375" style="108" customWidth="1"/>
    <col min="5661" max="5661" width="23.85546875" style="108" customWidth="1"/>
    <col min="5662" max="5888" width="9.140625" style="108"/>
    <col min="5889" max="5890" width="0" style="108" hidden="1" customWidth="1"/>
    <col min="5891" max="5891" width="15.7109375" style="108" customWidth="1"/>
    <col min="5892" max="5892" width="93.42578125" style="108" customWidth="1"/>
    <col min="5893" max="5893" width="32.28515625" style="108" customWidth="1"/>
    <col min="5894" max="5894" width="23.7109375" style="108" customWidth="1"/>
    <col min="5895" max="5895" width="26.42578125" style="108" customWidth="1"/>
    <col min="5896" max="5896" width="26.5703125" style="108" customWidth="1"/>
    <col min="5897" max="5897" width="27.85546875" style="108" customWidth="1"/>
    <col min="5898" max="5898" width="28.140625" style="108" customWidth="1"/>
    <col min="5899" max="5899" width="24.28515625" style="108" customWidth="1"/>
    <col min="5900" max="5900" width="13.140625" style="108" customWidth="1"/>
    <col min="5901" max="5901" width="19.85546875" style="108" customWidth="1"/>
    <col min="5902" max="5902" width="34.42578125" style="108" customWidth="1"/>
    <col min="5903" max="5903" width="18.140625" style="108" customWidth="1"/>
    <col min="5904" max="5904" width="24.7109375" style="108" customWidth="1"/>
    <col min="5905" max="5905" width="23.28515625" style="108" customWidth="1"/>
    <col min="5906" max="5906" width="18.42578125" style="108" customWidth="1"/>
    <col min="5907" max="5907" width="27.85546875" style="108" customWidth="1"/>
    <col min="5908" max="5908" width="49.42578125" style="108" customWidth="1"/>
    <col min="5909" max="5909" width="32.140625" style="108" customWidth="1"/>
    <col min="5910" max="5910" width="22.42578125" style="108" customWidth="1"/>
    <col min="5911" max="5911" width="33" style="108" customWidth="1"/>
    <col min="5912" max="5912" width="58.85546875" style="108" customWidth="1"/>
    <col min="5913" max="5913" width="37.85546875" style="108" customWidth="1"/>
    <col min="5914" max="5914" width="17.5703125" style="108" customWidth="1"/>
    <col min="5915" max="5915" width="16.5703125" style="108" customWidth="1"/>
    <col min="5916" max="5916" width="28.7109375" style="108" customWidth="1"/>
    <col min="5917" max="5917" width="23.85546875" style="108" customWidth="1"/>
    <col min="5918" max="6144" width="9.140625" style="108"/>
    <col min="6145" max="6146" width="0" style="108" hidden="1" customWidth="1"/>
    <col min="6147" max="6147" width="15.7109375" style="108" customWidth="1"/>
    <col min="6148" max="6148" width="93.42578125" style="108" customWidth="1"/>
    <col min="6149" max="6149" width="32.28515625" style="108" customWidth="1"/>
    <col min="6150" max="6150" width="23.7109375" style="108" customWidth="1"/>
    <col min="6151" max="6151" width="26.42578125" style="108" customWidth="1"/>
    <col min="6152" max="6152" width="26.5703125" style="108" customWidth="1"/>
    <col min="6153" max="6153" width="27.85546875" style="108" customWidth="1"/>
    <col min="6154" max="6154" width="28.140625" style="108" customWidth="1"/>
    <col min="6155" max="6155" width="24.28515625" style="108" customWidth="1"/>
    <col min="6156" max="6156" width="13.140625" style="108" customWidth="1"/>
    <col min="6157" max="6157" width="19.85546875" style="108" customWidth="1"/>
    <col min="6158" max="6158" width="34.42578125" style="108" customWidth="1"/>
    <col min="6159" max="6159" width="18.140625" style="108" customWidth="1"/>
    <col min="6160" max="6160" width="24.7109375" style="108" customWidth="1"/>
    <col min="6161" max="6161" width="23.28515625" style="108" customWidth="1"/>
    <col min="6162" max="6162" width="18.42578125" style="108" customWidth="1"/>
    <col min="6163" max="6163" width="27.85546875" style="108" customWidth="1"/>
    <col min="6164" max="6164" width="49.42578125" style="108" customWidth="1"/>
    <col min="6165" max="6165" width="32.140625" style="108" customWidth="1"/>
    <col min="6166" max="6166" width="22.42578125" style="108" customWidth="1"/>
    <col min="6167" max="6167" width="33" style="108" customWidth="1"/>
    <col min="6168" max="6168" width="58.85546875" style="108" customWidth="1"/>
    <col min="6169" max="6169" width="37.85546875" style="108" customWidth="1"/>
    <col min="6170" max="6170" width="17.5703125" style="108" customWidth="1"/>
    <col min="6171" max="6171" width="16.5703125" style="108" customWidth="1"/>
    <col min="6172" max="6172" width="28.7109375" style="108" customWidth="1"/>
    <col min="6173" max="6173" width="23.85546875" style="108" customWidth="1"/>
    <col min="6174" max="6400" width="9.140625" style="108"/>
    <col min="6401" max="6402" width="0" style="108" hidden="1" customWidth="1"/>
    <col min="6403" max="6403" width="15.7109375" style="108" customWidth="1"/>
    <col min="6404" max="6404" width="93.42578125" style="108" customWidth="1"/>
    <col min="6405" max="6405" width="32.28515625" style="108" customWidth="1"/>
    <col min="6406" max="6406" width="23.7109375" style="108" customWidth="1"/>
    <col min="6407" max="6407" width="26.42578125" style="108" customWidth="1"/>
    <col min="6408" max="6408" width="26.5703125" style="108" customWidth="1"/>
    <col min="6409" max="6409" width="27.85546875" style="108" customWidth="1"/>
    <col min="6410" max="6410" width="28.140625" style="108" customWidth="1"/>
    <col min="6411" max="6411" width="24.28515625" style="108" customWidth="1"/>
    <col min="6412" max="6412" width="13.140625" style="108" customWidth="1"/>
    <col min="6413" max="6413" width="19.85546875" style="108" customWidth="1"/>
    <col min="6414" max="6414" width="34.42578125" style="108" customWidth="1"/>
    <col min="6415" max="6415" width="18.140625" style="108" customWidth="1"/>
    <col min="6416" max="6416" width="24.7109375" style="108" customWidth="1"/>
    <col min="6417" max="6417" width="23.28515625" style="108" customWidth="1"/>
    <col min="6418" max="6418" width="18.42578125" style="108" customWidth="1"/>
    <col min="6419" max="6419" width="27.85546875" style="108" customWidth="1"/>
    <col min="6420" max="6420" width="49.42578125" style="108" customWidth="1"/>
    <col min="6421" max="6421" width="32.140625" style="108" customWidth="1"/>
    <col min="6422" max="6422" width="22.42578125" style="108" customWidth="1"/>
    <col min="6423" max="6423" width="33" style="108" customWidth="1"/>
    <col min="6424" max="6424" width="58.85546875" style="108" customWidth="1"/>
    <col min="6425" max="6425" width="37.85546875" style="108" customWidth="1"/>
    <col min="6426" max="6426" width="17.5703125" style="108" customWidth="1"/>
    <col min="6427" max="6427" width="16.5703125" style="108" customWidth="1"/>
    <col min="6428" max="6428" width="28.7109375" style="108" customWidth="1"/>
    <col min="6429" max="6429" width="23.85546875" style="108" customWidth="1"/>
    <col min="6430" max="6656" width="9.140625" style="108"/>
    <col min="6657" max="6658" width="0" style="108" hidden="1" customWidth="1"/>
    <col min="6659" max="6659" width="15.7109375" style="108" customWidth="1"/>
    <col min="6660" max="6660" width="93.42578125" style="108" customWidth="1"/>
    <col min="6661" max="6661" width="32.28515625" style="108" customWidth="1"/>
    <col min="6662" max="6662" width="23.7109375" style="108" customWidth="1"/>
    <col min="6663" max="6663" width="26.42578125" style="108" customWidth="1"/>
    <col min="6664" max="6664" width="26.5703125" style="108" customWidth="1"/>
    <col min="6665" max="6665" width="27.85546875" style="108" customWidth="1"/>
    <col min="6666" max="6666" width="28.140625" style="108" customWidth="1"/>
    <col min="6667" max="6667" width="24.28515625" style="108" customWidth="1"/>
    <col min="6668" max="6668" width="13.140625" style="108" customWidth="1"/>
    <col min="6669" max="6669" width="19.85546875" style="108" customWidth="1"/>
    <col min="6670" max="6670" width="34.42578125" style="108" customWidth="1"/>
    <col min="6671" max="6671" width="18.140625" style="108" customWidth="1"/>
    <col min="6672" max="6672" width="24.7109375" style="108" customWidth="1"/>
    <col min="6673" max="6673" width="23.28515625" style="108" customWidth="1"/>
    <col min="6674" max="6674" width="18.42578125" style="108" customWidth="1"/>
    <col min="6675" max="6675" width="27.85546875" style="108" customWidth="1"/>
    <col min="6676" max="6676" width="49.42578125" style="108" customWidth="1"/>
    <col min="6677" max="6677" width="32.140625" style="108" customWidth="1"/>
    <col min="6678" max="6678" width="22.42578125" style="108" customWidth="1"/>
    <col min="6679" max="6679" width="33" style="108" customWidth="1"/>
    <col min="6680" max="6680" width="58.85546875" style="108" customWidth="1"/>
    <col min="6681" max="6681" width="37.85546875" style="108" customWidth="1"/>
    <col min="6682" max="6682" width="17.5703125" style="108" customWidth="1"/>
    <col min="6683" max="6683" width="16.5703125" style="108" customWidth="1"/>
    <col min="6684" max="6684" width="28.7109375" style="108" customWidth="1"/>
    <col min="6685" max="6685" width="23.85546875" style="108" customWidth="1"/>
    <col min="6686" max="6912" width="9.140625" style="108"/>
    <col min="6913" max="6914" width="0" style="108" hidden="1" customWidth="1"/>
    <col min="6915" max="6915" width="15.7109375" style="108" customWidth="1"/>
    <col min="6916" max="6916" width="93.42578125" style="108" customWidth="1"/>
    <col min="6917" max="6917" width="32.28515625" style="108" customWidth="1"/>
    <col min="6918" max="6918" width="23.7109375" style="108" customWidth="1"/>
    <col min="6919" max="6919" width="26.42578125" style="108" customWidth="1"/>
    <col min="6920" max="6920" width="26.5703125" style="108" customWidth="1"/>
    <col min="6921" max="6921" width="27.85546875" style="108" customWidth="1"/>
    <col min="6922" max="6922" width="28.140625" style="108" customWidth="1"/>
    <col min="6923" max="6923" width="24.28515625" style="108" customWidth="1"/>
    <col min="6924" max="6924" width="13.140625" style="108" customWidth="1"/>
    <col min="6925" max="6925" width="19.85546875" style="108" customWidth="1"/>
    <col min="6926" max="6926" width="34.42578125" style="108" customWidth="1"/>
    <col min="6927" max="6927" width="18.140625" style="108" customWidth="1"/>
    <col min="6928" max="6928" width="24.7109375" style="108" customWidth="1"/>
    <col min="6929" max="6929" width="23.28515625" style="108" customWidth="1"/>
    <col min="6930" max="6930" width="18.42578125" style="108" customWidth="1"/>
    <col min="6931" max="6931" width="27.85546875" style="108" customWidth="1"/>
    <col min="6932" max="6932" width="49.42578125" style="108" customWidth="1"/>
    <col min="6933" max="6933" width="32.140625" style="108" customWidth="1"/>
    <col min="6934" max="6934" width="22.42578125" style="108" customWidth="1"/>
    <col min="6935" max="6935" width="33" style="108" customWidth="1"/>
    <col min="6936" max="6936" width="58.85546875" style="108" customWidth="1"/>
    <col min="6937" max="6937" width="37.85546875" style="108" customWidth="1"/>
    <col min="6938" max="6938" width="17.5703125" style="108" customWidth="1"/>
    <col min="6939" max="6939" width="16.5703125" style="108" customWidth="1"/>
    <col min="6940" max="6940" width="28.7109375" style="108" customWidth="1"/>
    <col min="6941" max="6941" width="23.85546875" style="108" customWidth="1"/>
    <col min="6942" max="7168" width="9.140625" style="108"/>
    <col min="7169" max="7170" width="0" style="108" hidden="1" customWidth="1"/>
    <col min="7171" max="7171" width="15.7109375" style="108" customWidth="1"/>
    <col min="7172" max="7172" width="93.42578125" style="108" customWidth="1"/>
    <col min="7173" max="7173" width="32.28515625" style="108" customWidth="1"/>
    <col min="7174" max="7174" width="23.7109375" style="108" customWidth="1"/>
    <col min="7175" max="7175" width="26.42578125" style="108" customWidth="1"/>
    <col min="7176" max="7176" width="26.5703125" style="108" customWidth="1"/>
    <col min="7177" max="7177" width="27.85546875" style="108" customWidth="1"/>
    <col min="7178" max="7178" width="28.140625" style="108" customWidth="1"/>
    <col min="7179" max="7179" width="24.28515625" style="108" customWidth="1"/>
    <col min="7180" max="7180" width="13.140625" style="108" customWidth="1"/>
    <col min="7181" max="7181" width="19.85546875" style="108" customWidth="1"/>
    <col min="7182" max="7182" width="34.42578125" style="108" customWidth="1"/>
    <col min="7183" max="7183" width="18.140625" style="108" customWidth="1"/>
    <col min="7184" max="7184" width="24.7109375" style="108" customWidth="1"/>
    <col min="7185" max="7185" width="23.28515625" style="108" customWidth="1"/>
    <col min="7186" max="7186" width="18.42578125" style="108" customWidth="1"/>
    <col min="7187" max="7187" width="27.85546875" style="108" customWidth="1"/>
    <col min="7188" max="7188" width="49.42578125" style="108" customWidth="1"/>
    <col min="7189" max="7189" width="32.140625" style="108" customWidth="1"/>
    <col min="7190" max="7190" width="22.42578125" style="108" customWidth="1"/>
    <col min="7191" max="7191" width="33" style="108" customWidth="1"/>
    <col min="7192" max="7192" width="58.85546875" style="108" customWidth="1"/>
    <col min="7193" max="7193" width="37.85546875" style="108" customWidth="1"/>
    <col min="7194" max="7194" width="17.5703125" style="108" customWidth="1"/>
    <col min="7195" max="7195" width="16.5703125" style="108" customWidth="1"/>
    <col min="7196" max="7196" width="28.7109375" style="108" customWidth="1"/>
    <col min="7197" max="7197" width="23.85546875" style="108" customWidth="1"/>
    <col min="7198" max="7424" width="9.140625" style="108"/>
    <col min="7425" max="7426" width="0" style="108" hidden="1" customWidth="1"/>
    <col min="7427" max="7427" width="15.7109375" style="108" customWidth="1"/>
    <col min="7428" max="7428" width="93.42578125" style="108" customWidth="1"/>
    <col min="7429" max="7429" width="32.28515625" style="108" customWidth="1"/>
    <col min="7430" max="7430" width="23.7109375" style="108" customWidth="1"/>
    <col min="7431" max="7431" width="26.42578125" style="108" customWidth="1"/>
    <col min="7432" max="7432" width="26.5703125" style="108" customWidth="1"/>
    <col min="7433" max="7433" width="27.85546875" style="108" customWidth="1"/>
    <col min="7434" max="7434" width="28.140625" style="108" customWidth="1"/>
    <col min="7435" max="7435" width="24.28515625" style="108" customWidth="1"/>
    <col min="7436" max="7436" width="13.140625" style="108" customWidth="1"/>
    <col min="7437" max="7437" width="19.85546875" style="108" customWidth="1"/>
    <col min="7438" max="7438" width="34.42578125" style="108" customWidth="1"/>
    <col min="7439" max="7439" width="18.140625" style="108" customWidth="1"/>
    <col min="7440" max="7440" width="24.7109375" style="108" customWidth="1"/>
    <col min="7441" max="7441" width="23.28515625" style="108" customWidth="1"/>
    <col min="7442" max="7442" width="18.42578125" style="108" customWidth="1"/>
    <col min="7443" max="7443" width="27.85546875" style="108" customWidth="1"/>
    <col min="7444" max="7444" width="49.42578125" style="108" customWidth="1"/>
    <col min="7445" max="7445" width="32.140625" style="108" customWidth="1"/>
    <col min="7446" max="7446" width="22.42578125" style="108" customWidth="1"/>
    <col min="7447" max="7447" width="33" style="108" customWidth="1"/>
    <col min="7448" max="7448" width="58.85546875" style="108" customWidth="1"/>
    <col min="7449" max="7449" width="37.85546875" style="108" customWidth="1"/>
    <col min="7450" max="7450" width="17.5703125" style="108" customWidth="1"/>
    <col min="7451" max="7451" width="16.5703125" style="108" customWidth="1"/>
    <col min="7452" max="7452" width="28.7109375" style="108" customWidth="1"/>
    <col min="7453" max="7453" width="23.85546875" style="108" customWidth="1"/>
    <col min="7454" max="7680" width="9.140625" style="108"/>
    <col min="7681" max="7682" width="0" style="108" hidden="1" customWidth="1"/>
    <col min="7683" max="7683" width="15.7109375" style="108" customWidth="1"/>
    <col min="7684" max="7684" width="93.42578125" style="108" customWidth="1"/>
    <col min="7685" max="7685" width="32.28515625" style="108" customWidth="1"/>
    <col min="7686" max="7686" width="23.7109375" style="108" customWidth="1"/>
    <col min="7687" max="7687" width="26.42578125" style="108" customWidth="1"/>
    <col min="7688" max="7688" width="26.5703125" style="108" customWidth="1"/>
    <col min="7689" max="7689" width="27.85546875" style="108" customWidth="1"/>
    <col min="7690" max="7690" width="28.140625" style="108" customWidth="1"/>
    <col min="7691" max="7691" width="24.28515625" style="108" customWidth="1"/>
    <col min="7692" max="7692" width="13.140625" style="108" customWidth="1"/>
    <col min="7693" max="7693" width="19.85546875" style="108" customWidth="1"/>
    <col min="7694" max="7694" width="34.42578125" style="108" customWidth="1"/>
    <col min="7695" max="7695" width="18.140625" style="108" customWidth="1"/>
    <col min="7696" max="7696" width="24.7109375" style="108" customWidth="1"/>
    <col min="7697" max="7697" width="23.28515625" style="108" customWidth="1"/>
    <col min="7698" max="7698" width="18.42578125" style="108" customWidth="1"/>
    <col min="7699" max="7699" width="27.85546875" style="108" customWidth="1"/>
    <col min="7700" max="7700" width="49.42578125" style="108" customWidth="1"/>
    <col min="7701" max="7701" width="32.140625" style="108" customWidth="1"/>
    <col min="7702" max="7702" width="22.42578125" style="108" customWidth="1"/>
    <col min="7703" max="7703" width="33" style="108" customWidth="1"/>
    <col min="7704" max="7704" width="58.85546875" style="108" customWidth="1"/>
    <col min="7705" max="7705" width="37.85546875" style="108" customWidth="1"/>
    <col min="7706" max="7706" width="17.5703125" style="108" customWidth="1"/>
    <col min="7707" max="7707" width="16.5703125" style="108" customWidth="1"/>
    <col min="7708" max="7708" width="28.7109375" style="108" customWidth="1"/>
    <col min="7709" max="7709" width="23.85546875" style="108" customWidth="1"/>
    <col min="7710" max="7936" width="9.140625" style="108"/>
    <col min="7937" max="7938" width="0" style="108" hidden="1" customWidth="1"/>
    <col min="7939" max="7939" width="15.7109375" style="108" customWidth="1"/>
    <col min="7940" max="7940" width="93.42578125" style="108" customWidth="1"/>
    <col min="7941" max="7941" width="32.28515625" style="108" customWidth="1"/>
    <col min="7942" max="7942" width="23.7109375" style="108" customWidth="1"/>
    <col min="7943" max="7943" width="26.42578125" style="108" customWidth="1"/>
    <col min="7944" max="7944" width="26.5703125" style="108" customWidth="1"/>
    <col min="7945" max="7945" width="27.85546875" style="108" customWidth="1"/>
    <col min="7946" max="7946" width="28.140625" style="108" customWidth="1"/>
    <col min="7947" max="7947" width="24.28515625" style="108" customWidth="1"/>
    <col min="7948" max="7948" width="13.140625" style="108" customWidth="1"/>
    <col min="7949" max="7949" width="19.85546875" style="108" customWidth="1"/>
    <col min="7950" max="7950" width="34.42578125" style="108" customWidth="1"/>
    <col min="7951" max="7951" width="18.140625" style="108" customWidth="1"/>
    <col min="7952" max="7952" width="24.7109375" style="108" customWidth="1"/>
    <col min="7953" max="7953" width="23.28515625" style="108" customWidth="1"/>
    <col min="7954" max="7954" width="18.42578125" style="108" customWidth="1"/>
    <col min="7955" max="7955" width="27.85546875" style="108" customWidth="1"/>
    <col min="7956" max="7956" width="49.42578125" style="108" customWidth="1"/>
    <col min="7957" max="7957" width="32.140625" style="108" customWidth="1"/>
    <col min="7958" max="7958" width="22.42578125" style="108" customWidth="1"/>
    <col min="7959" max="7959" width="33" style="108" customWidth="1"/>
    <col min="7960" max="7960" width="58.85546875" style="108" customWidth="1"/>
    <col min="7961" max="7961" width="37.85546875" style="108" customWidth="1"/>
    <col min="7962" max="7962" width="17.5703125" style="108" customWidth="1"/>
    <col min="7963" max="7963" width="16.5703125" style="108" customWidth="1"/>
    <col min="7964" max="7964" width="28.7109375" style="108" customWidth="1"/>
    <col min="7965" max="7965" width="23.85546875" style="108" customWidth="1"/>
    <col min="7966" max="8192" width="9.140625" style="108"/>
    <col min="8193" max="8194" width="0" style="108" hidden="1" customWidth="1"/>
    <col min="8195" max="8195" width="15.7109375" style="108" customWidth="1"/>
    <col min="8196" max="8196" width="93.42578125" style="108" customWidth="1"/>
    <col min="8197" max="8197" width="32.28515625" style="108" customWidth="1"/>
    <col min="8198" max="8198" width="23.7109375" style="108" customWidth="1"/>
    <col min="8199" max="8199" width="26.42578125" style="108" customWidth="1"/>
    <col min="8200" max="8200" width="26.5703125" style="108" customWidth="1"/>
    <col min="8201" max="8201" width="27.85546875" style="108" customWidth="1"/>
    <col min="8202" max="8202" width="28.140625" style="108" customWidth="1"/>
    <col min="8203" max="8203" width="24.28515625" style="108" customWidth="1"/>
    <col min="8204" max="8204" width="13.140625" style="108" customWidth="1"/>
    <col min="8205" max="8205" width="19.85546875" style="108" customWidth="1"/>
    <col min="8206" max="8206" width="34.42578125" style="108" customWidth="1"/>
    <col min="8207" max="8207" width="18.140625" style="108" customWidth="1"/>
    <col min="8208" max="8208" width="24.7109375" style="108" customWidth="1"/>
    <col min="8209" max="8209" width="23.28515625" style="108" customWidth="1"/>
    <col min="8210" max="8210" width="18.42578125" style="108" customWidth="1"/>
    <col min="8211" max="8211" width="27.85546875" style="108" customWidth="1"/>
    <col min="8212" max="8212" width="49.42578125" style="108" customWidth="1"/>
    <col min="8213" max="8213" width="32.140625" style="108" customWidth="1"/>
    <col min="8214" max="8214" width="22.42578125" style="108" customWidth="1"/>
    <col min="8215" max="8215" width="33" style="108" customWidth="1"/>
    <col min="8216" max="8216" width="58.85546875" style="108" customWidth="1"/>
    <col min="8217" max="8217" width="37.85546875" style="108" customWidth="1"/>
    <col min="8218" max="8218" width="17.5703125" style="108" customWidth="1"/>
    <col min="8219" max="8219" width="16.5703125" style="108" customWidth="1"/>
    <col min="8220" max="8220" width="28.7109375" style="108" customWidth="1"/>
    <col min="8221" max="8221" width="23.85546875" style="108" customWidth="1"/>
    <col min="8222" max="8448" width="9.140625" style="108"/>
    <col min="8449" max="8450" width="0" style="108" hidden="1" customWidth="1"/>
    <col min="8451" max="8451" width="15.7109375" style="108" customWidth="1"/>
    <col min="8452" max="8452" width="93.42578125" style="108" customWidth="1"/>
    <col min="8453" max="8453" width="32.28515625" style="108" customWidth="1"/>
    <col min="8454" max="8454" width="23.7109375" style="108" customWidth="1"/>
    <col min="8455" max="8455" width="26.42578125" style="108" customWidth="1"/>
    <col min="8456" max="8456" width="26.5703125" style="108" customWidth="1"/>
    <col min="8457" max="8457" width="27.85546875" style="108" customWidth="1"/>
    <col min="8458" max="8458" width="28.140625" style="108" customWidth="1"/>
    <col min="8459" max="8459" width="24.28515625" style="108" customWidth="1"/>
    <col min="8460" max="8460" width="13.140625" style="108" customWidth="1"/>
    <col min="8461" max="8461" width="19.85546875" style="108" customWidth="1"/>
    <col min="8462" max="8462" width="34.42578125" style="108" customWidth="1"/>
    <col min="8463" max="8463" width="18.140625" style="108" customWidth="1"/>
    <col min="8464" max="8464" width="24.7109375" style="108" customWidth="1"/>
    <col min="8465" max="8465" width="23.28515625" style="108" customWidth="1"/>
    <col min="8466" max="8466" width="18.42578125" style="108" customWidth="1"/>
    <col min="8467" max="8467" width="27.85546875" style="108" customWidth="1"/>
    <col min="8468" max="8468" width="49.42578125" style="108" customWidth="1"/>
    <col min="8469" max="8469" width="32.140625" style="108" customWidth="1"/>
    <col min="8470" max="8470" width="22.42578125" style="108" customWidth="1"/>
    <col min="8471" max="8471" width="33" style="108" customWidth="1"/>
    <col min="8472" max="8472" width="58.85546875" style="108" customWidth="1"/>
    <col min="8473" max="8473" width="37.85546875" style="108" customWidth="1"/>
    <col min="8474" max="8474" width="17.5703125" style="108" customWidth="1"/>
    <col min="8475" max="8475" width="16.5703125" style="108" customWidth="1"/>
    <col min="8476" max="8476" width="28.7109375" style="108" customWidth="1"/>
    <col min="8477" max="8477" width="23.85546875" style="108" customWidth="1"/>
    <col min="8478" max="8704" width="9.140625" style="108"/>
    <col min="8705" max="8706" width="0" style="108" hidden="1" customWidth="1"/>
    <col min="8707" max="8707" width="15.7109375" style="108" customWidth="1"/>
    <col min="8708" max="8708" width="93.42578125" style="108" customWidth="1"/>
    <col min="8709" max="8709" width="32.28515625" style="108" customWidth="1"/>
    <col min="8710" max="8710" width="23.7109375" style="108" customWidth="1"/>
    <col min="8711" max="8711" width="26.42578125" style="108" customWidth="1"/>
    <col min="8712" max="8712" width="26.5703125" style="108" customWidth="1"/>
    <col min="8713" max="8713" width="27.85546875" style="108" customWidth="1"/>
    <col min="8714" max="8714" width="28.140625" style="108" customWidth="1"/>
    <col min="8715" max="8715" width="24.28515625" style="108" customWidth="1"/>
    <col min="8716" max="8716" width="13.140625" style="108" customWidth="1"/>
    <col min="8717" max="8717" width="19.85546875" style="108" customWidth="1"/>
    <col min="8718" max="8718" width="34.42578125" style="108" customWidth="1"/>
    <col min="8719" max="8719" width="18.140625" style="108" customWidth="1"/>
    <col min="8720" max="8720" width="24.7109375" style="108" customWidth="1"/>
    <col min="8721" max="8721" width="23.28515625" style="108" customWidth="1"/>
    <col min="8722" max="8722" width="18.42578125" style="108" customWidth="1"/>
    <col min="8723" max="8723" width="27.85546875" style="108" customWidth="1"/>
    <col min="8724" max="8724" width="49.42578125" style="108" customWidth="1"/>
    <col min="8725" max="8725" width="32.140625" style="108" customWidth="1"/>
    <col min="8726" max="8726" width="22.42578125" style="108" customWidth="1"/>
    <col min="8727" max="8727" width="33" style="108" customWidth="1"/>
    <col min="8728" max="8728" width="58.85546875" style="108" customWidth="1"/>
    <col min="8729" max="8729" width="37.85546875" style="108" customWidth="1"/>
    <col min="8730" max="8730" width="17.5703125" style="108" customWidth="1"/>
    <col min="8731" max="8731" width="16.5703125" style="108" customWidth="1"/>
    <col min="8732" max="8732" width="28.7109375" style="108" customWidth="1"/>
    <col min="8733" max="8733" width="23.85546875" style="108" customWidth="1"/>
    <col min="8734" max="8960" width="9.140625" style="108"/>
    <col min="8961" max="8962" width="0" style="108" hidden="1" customWidth="1"/>
    <col min="8963" max="8963" width="15.7109375" style="108" customWidth="1"/>
    <col min="8964" max="8964" width="93.42578125" style="108" customWidth="1"/>
    <col min="8965" max="8965" width="32.28515625" style="108" customWidth="1"/>
    <col min="8966" max="8966" width="23.7109375" style="108" customWidth="1"/>
    <col min="8967" max="8967" width="26.42578125" style="108" customWidth="1"/>
    <col min="8968" max="8968" width="26.5703125" style="108" customWidth="1"/>
    <col min="8969" max="8969" width="27.85546875" style="108" customWidth="1"/>
    <col min="8970" max="8970" width="28.140625" style="108" customWidth="1"/>
    <col min="8971" max="8971" width="24.28515625" style="108" customWidth="1"/>
    <col min="8972" max="8972" width="13.140625" style="108" customWidth="1"/>
    <col min="8973" max="8973" width="19.85546875" style="108" customWidth="1"/>
    <col min="8974" max="8974" width="34.42578125" style="108" customWidth="1"/>
    <col min="8975" max="8975" width="18.140625" style="108" customWidth="1"/>
    <col min="8976" max="8976" width="24.7109375" style="108" customWidth="1"/>
    <col min="8977" max="8977" width="23.28515625" style="108" customWidth="1"/>
    <col min="8978" max="8978" width="18.42578125" style="108" customWidth="1"/>
    <col min="8979" max="8979" width="27.85546875" style="108" customWidth="1"/>
    <col min="8980" max="8980" width="49.42578125" style="108" customWidth="1"/>
    <col min="8981" max="8981" width="32.140625" style="108" customWidth="1"/>
    <col min="8982" max="8982" width="22.42578125" style="108" customWidth="1"/>
    <col min="8983" max="8983" width="33" style="108" customWidth="1"/>
    <col min="8984" max="8984" width="58.85546875" style="108" customWidth="1"/>
    <col min="8985" max="8985" width="37.85546875" style="108" customWidth="1"/>
    <col min="8986" max="8986" width="17.5703125" style="108" customWidth="1"/>
    <col min="8987" max="8987" width="16.5703125" style="108" customWidth="1"/>
    <col min="8988" max="8988" width="28.7109375" style="108" customWidth="1"/>
    <col min="8989" max="8989" width="23.85546875" style="108" customWidth="1"/>
    <col min="8990" max="9216" width="9.140625" style="108"/>
    <col min="9217" max="9218" width="0" style="108" hidden="1" customWidth="1"/>
    <col min="9219" max="9219" width="15.7109375" style="108" customWidth="1"/>
    <col min="9220" max="9220" width="93.42578125" style="108" customWidth="1"/>
    <col min="9221" max="9221" width="32.28515625" style="108" customWidth="1"/>
    <col min="9222" max="9222" width="23.7109375" style="108" customWidth="1"/>
    <col min="9223" max="9223" width="26.42578125" style="108" customWidth="1"/>
    <col min="9224" max="9224" width="26.5703125" style="108" customWidth="1"/>
    <col min="9225" max="9225" width="27.85546875" style="108" customWidth="1"/>
    <col min="9226" max="9226" width="28.140625" style="108" customWidth="1"/>
    <col min="9227" max="9227" width="24.28515625" style="108" customWidth="1"/>
    <col min="9228" max="9228" width="13.140625" style="108" customWidth="1"/>
    <col min="9229" max="9229" width="19.85546875" style="108" customWidth="1"/>
    <col min="9230" max="9230" width="34.42578125" style="108" customWidth="1"/>
    <col min="9231" max="9231" width="18.140625" style="108" customWidth="1"/>
    <col min="9232" max="9232" width="24.7109375" style="108" customWidth="1"/>
    <col min="9233" max="9233" width="23.28515625" style="108" customWidth="1"/>
    <col min="9234" max="9234" width="18.42578125" style="108" customWidth="1"/>
    <col min="9235" max="9235" width="27.85546875" style="108" customWidth="1"/>
    <col min="9236" max="9236" width="49.42578125" style="108" customWidth="1"/>
    <col min="9237" max="9237" width="32.140625" style="108" customWidth="1"/>
    <col min="9238" max="9238" width="22.42578125" style="108" customWidth="1"/>
    <col min="9239" max="9239" width="33" style="108" customWidth="1"/>
    <col min="9240" max="9240" width="58.85546875" style="108" customWidth="1"/>
    <col min="9241" max="9241" width="37.85546875" style="108" customWidth="1"/>
    <col min="9242" max="9242" width="17.5703125" style="108" customWidth="1"/>
    <col min="9243" max="9243" width="16.5703125" style="108" customWidth="1"/>
    <col min="9244" max="9244" width="28.7109375" style="108" customWidth="1"/>
    <col min="9245" max="9245" width="23.85546875" style="108" customWidth="1"/>
    <col min="9246" max="9472" width="9.140625" style="108"/>
    <col min="9473" max="9474" width="0" style="108" hidden="1" customWidth="1"/>
    <col min="9475" max="9475" width="15.7109375" style="108" customWidth="1"/>
    <col min="9476" max="9476" width="93.42578125" style="108" customWidth="1"/>
    <col min="9477" max="9477" width="32.28515625" style="108" customWidth="1"/>
    <col min="9478" max="9478" width="23.7109375" style="108" customWidth="1"/>
    <col min="9479" max="9479" width="26.42578125" style="108" customWidth="1"/>
    <col min="9480" max="9480" width="26.5703125" style="108" customWidth="1"/>
    <col min="9481" max="9481" width="27.85546875" style="108" customWidth="1"/>
    <col min="9482" max="9482" width="28.140625" style="108" customWidth="1"/>
    <col min="9483" max="9483" width="24.28515625" style="108" customWidth="1"/>
    <col min="9484" max="9484" width="13.140625" style="108" customWidth="1"/>
    <col min="9485" max="9485" width="19.85546875" style="108" customWidth="1"/>
    <col min="9486" max="9486" width="34.42578125" style="108" customWidth="1"/>
    <col min="9487" max="9487" width="18.140625" style="108" customWidth="1"/>
    <col min="9488" max="9488" width="24.7109375" style="108" customWidth="1"/>
    <col min="9489" max="9489" width="23.28515625" style="108" customWidth="1"/>
    <col min="9490" max="9490" width="18.42578125" style="108" customWidth="1"/>
    <col min="9491" max="9491" width="27.85546875" style="108" customWidth="1"/>
    <col min="9492" max="9492" width="49.42578125" style="108" customWidth="1"/>
    <col min="9493" max="9493" width="32.140625" style="108" customWidth="1"/>
    <col min="9494" max="9494" width="22.42578125" style="108" customWidth="1"/>
    <col min="9495" max="9495" width="33" style="108" customWidth="1"/>
    <col min="9496" max="9496" width="58.85546875" style="108" customWidth="1"/>
    <col min="9497" max="9497" width="37.85546875" style="108" customWidth="1"/>
    <col min="9498" max="9498" width="17.5703125" style="108" customWidth="1"/>
    <col min="9499" max="9499" width="16.5703125" style="108" customWidth="1"/>
    <col min="9500" max="9500" width="28.7109375" style="108" customWidth="1"/>
    <col min="9501" max="9501" width="23.85546875" style="108" customWidth="1"/>
    <col min="9502" max="9728" width="9.140625" style="108"/>
    <col min="9729" max="9730" width="0" style="108" hidden="1" customWidth="1"/>
    <col min="9731" max="9731" width="15.7109375" style="108" customWidth="1"/>
    <col min="9732" max="9732" width="93.42578125" style="108" customWidth="1"/>
    <col min="9733" max="9733" width="32.28515625" style="108" customWidth="1"/>
    <col min="9734" max="9734" width="23.7109375" style="108" customWidth="1"/>
    <col min="9735" max="9735" width="26.42578125" style="108" customWidth="1"/>
    <col min="9736" max="9736" width="26.5703125" style="108" customWidth="1"/>
    <col min="9737" max="9737" width="27.85546875" style="108" customWidth="1"/>
    <col min="9738" max="9738" width="28.140625" style="108" customWidth="1"/>
    <col min="9739" max="9739" width="24.28515625" style="108" customWidth="1"/>
    <col min="9740" max="9740" width="13.140625" style="108" customWidth="1"/>
    <col min="9741" max="9741" width="19.85546875" style="108" customWidth="1"/>
    <col min="9742" max="9742" width="34.42578125" style="108" customWidth="1"/>
    <col min="9743" max="9743" width="18.140625" style="108" customWidth="1"/>
    <col min="9744" max="9744" width="24.7109375" style="108" customWidth="1"/>
    <col min="9745" max="9745" width="23.28515625" style="108" customWidth="1"/>
    <col min="9746" max="9746" width="18.42578125" style="108" customWidth="1"/>
    <col min="9747" max="9747" width="27.85546875" style="108" customWidth="1"/>
    <col min="9748" max="9748" width="49.42578125" style="108" customWidth="1"/>
    <col min="9749" max="9749" width="32.140625" style="108" customWidth="1"/>
    <col min="9750" max="9750" width="22.42578125" style="108" customWidth="1"/>
    <col min="9751" max="9751" width="33" style="108" customWidth="1"/>
    <col min="9752" max="9752" width="58.85546875" style="108" customWidth="1"/>
    <col min="9753" max="9753" width="37.85546875" style="108" customWidth="1"/>
    <col min="9754" max="9754" width="17.5703125" style="108" customWidth="1"/>
    <col min="9755" max="9755" width="16.5703125" style="108" customWidth="1"/>
    <col min="9756" max="9756" width="28.7109375" style="108" customWidth="1"/>
    <col min="9757" max="9757" width="23.85546875" style="108" customWidth="1"/>
    <col min="9758" max="9984" width="9.140625" style="108"/>
    <col min="9985" max="9986" width="0" style="108" hidden="1" customWidth="1"/>
    <col min="9987" max="9987" width="15.7109375" style="108" customWidth="1"/>
    <col min="9988" max="9988" width="93.42578125" style="108" customWidth="1"/>
    <col min="9989" max="9989" width="32.28515625" style="108" customWidth="1"/>
    <col min="9990" max="9990" width="23.7109375" style="108" customWidth="1"/>
    <col min="9991" max="9991" width="26.42578125" style="108" customWidth="1"/>
    <col min="9992" max="9992" width="26.5703125" style="108" customWidth="1"/>
    <col min="9993" max="9993" width="27.85546875" style="108" customWidth="1"/>
    <col min="9994" max="9994" width="28.140625" style="108" customWidth="1"/>
    <col min="9995" max="9995" width="24.28515625" style="108" customWidth="1"/>
    <col min="9996" max="9996" width="13.140625" style="108" customWidth="1"/>
    <col min="9997" max="9997" width="19.85546875" style="108" customWidth="1"/>
    <col min="9998" max="9998" width="34.42578125" style="108" customWidth="1"/>
    <col min="9999" max="9999" width="18.140625" style="108" customWidth="1"/>
    <col min="10000" max="10000" width="24.7109375" style="108" customWidth="1"/>
    <col min="10001" max="10001" width="23.28515625" style="108" customWidth="1"/>
    <col min="10002" max="10002" width="18.42578125" style="108" customWidth="1"/>
    <col min="10003" max="10003" width="27.85546875" style="108" customWidth="1"/>
    <col min="10004" max="10004" width="49.42578125" style="108" customWidth="1"/>
    <col min="10005" max="10005" width="32.140625" style="108" customWidth="1"/>
    <col min="10006" max="10006" width="22.42578125" style="108" customWidth="1"/>
    <col min="10007" max="10007" width="33" style="108" customWidth="1"/>
    <col min="10008" max="10008" width="58.85546875" style="108" customWidth="1"/>
    <col min="10009" max="10009" width="37.85546875" style="108" customWidth="1"/>
    <col min="10010" max="10010" width="17.5703125" style="108" customWidth="1"/>
    <col min="10011" max="10011" width="16.5703125" style="108" customWidth="1"/>
    <col min="10012" max="10012" width="28.7109375" style="108" customWidth="1"/>
    <col min="10013" max="10013" width="23.85546875" style="108" customWidth="1"/>
    <col min="10014" max="10240" width="9.140625" style="108"/>
    <col min="10241" max="10242" width="0" style="108" hidden="1" customWidth="1"/>
    <col min="10243" max="10243" width="15.7109375" style="108" customWidth="1"/>
    <col min="10244" max="10244" width="93.42578125" style="108" customWidth="1"/>
    <col min="10245" max="10245" width="32.28515625" style="108" customWidth="1"/>
    <col min="10246" max="10246" width="23.7109375" style="108" customWidth="1"/>
    <col min="10247" max="10247" width="26.42578125" style="108" customWidth="1"/>
    <col min="10248" max="10248" width="26.5703125" style="108" customWidth="1"/>
    <col min="10249" max="10249" width="27.85546875" style="108" customWidth="1"/>
    <col min="10250" max="10250" width="28.140625" style="108" customWidth="1"/>
    <col min="10251" max="10251" width="24.28515625" style="108" customWidth="1"/>
    <col min="10252" max="10252" width="13.140625" style="108" customWidth="1"/>
    <col min="10253" max="10253" width="19.85546875" style="108" customWidth="1"/>
    <col min="10254" max="10254" width="34.42578125" style="108" customWidth="1"/>
    <col min="10255" max="10255" width="18.140625" style="108" customWidth="1"/>
    <col min="10256" max="10256" width="24.7109375" style="108" customWidth="1"/>
    <col min="10257" max="10257" width="23.28515625" style="108" customWidth="1"/>
    <col min="10258" max="10258" width="18.42578125" style="108" customWidth="1"/>
    <col min="10259" max="10259" width="27.85546875" style="108" customWidth="1"/>
    <col min="10260" max="10260" width="49.42578125" style="108" customWidth="1"/>
    <col min="10261" max="10261" width="32.140625" style="108" customWidth="1"/>
    <col min="10262" max="10262" width="22.42578125" style="108" customWidth="1"/>
    <col min="10263" max="10263" width="33" style="108" customWidth="1"/>
    <col min="10264" max="10264" width="58.85546875" style="108" customWidth="1"/>
    <col min="10265" max="10265" width="37.85546875" style="108" customWidth="1"/>
    <col min="10266" max="10266" width="17.5703125" style="108" customWidth="1"/>
    <col min="10267" max="10267" width="16.5703125" style="108" customWidth="1"/>
    <col min="10268" max="10268" width="28.7109375" style="108" customWidth="1"/>
    <col min="10269" max="10269" width="23.85546875" style="108" customWidth="1"/>
    <col min="10270" max="10496" width="9.140625" style="108"/>
    <col min="10497" max="10498" width="0" style="108" hidden="1" customWidth="1"/>
    <col min="10499" max="10499" width="15.7109375" style="108" customWidth="1"/>
    <col min="10500" max="10500" width="93.42578125" style="108" customWidth="1"/>
    <col min="10501" max="10501" width="32.28515625" style="108" customWidth="1"/>
    <col min="10502" max="10502" width="23.7109375" style="108" customWidth="1"/>
    <col min="10503" max="10503" width="26.42578125" style="108" customWidth="1"/>
    <col min="10504" max="10504" width="26.5703125" style="108" customWidth="1"/>
    <col min="10505" max="10505" width="27.85546875" style="108" customWidth="1"/>
    <col min="10506" max="10506" width="28.140625" style="108" customWidth="1"/>
    <col min="10507" max="10507" width="24.28515625" style="108" customWidth="1"/>
    <col min="10508" max="10508" width="13.140625" style="108" customWidth="1"/>
    <col min="10509" max="10509" width="19.85546875" style="108" customWidth="1"/>
    <col min="10510" max="10510" width="34.42578125" style="108" customWidth="1"/>
    <col min="10511" max="10511" width="18.140625" style="108" customWidth="1"/>
    <col min="10512" max="10512" width="24.7109375" style="108" customWidth="1"/>
    <col min="10513" max="10513" width="23.28515625" style="108" customWidth="1"/>
    <col min="10514" max="10514" width="18.42578125" style="108" customWidth="1"/>
    <col min="10515" max="10515" width="27.85546875" style="108" customWidth="1"/>
    <col min="10516" max="10516" width="49.42578125" style="108" customWidth="1"/>
    <col min="10517" max="10517" width="32.140625" style="108" customWidth="1"/>
    <col min="10518" max="10518" width="22.42578125" style="108" customWidth="1"/>
    <col min="10519" max="10519" width="33" style="108" customWidth="1"/>
    <col min="10520" max="10520" width="58.85546875" style="108" customWidth="1"/>
    <col min="10521" max="10521" width="37.85546875" style="108" customWidth="1"/>
    <col min="10522" max="10522" width="17.5703125" style="108" customWidth="1"/>
    <col min="10523" max="10523" width="16.5703125" style="108" customWidth="1"/>
    <col min="10524" max="10524" width="28.7109375" style="108" customWidth="1"/>
    <col min="10525" max="10525" width="23.85546875" style="108" customWidth="1"/>
    <col min="10526" max="10752" width="9.140625" style="108"/>
    <col min="10753" max="10754" width="0" style="108" hidden="1" customWidth="1"/>
    <col min="10755" max="10755" width="15.7109375" style="108" customWidth="1"/>
    <col min="10756" max="10756" width="93.42578125" style="108" customWidth="1"/>
    <col min="10757" max="10757" width="32.28515625" style="108" customWidth="1"/>
    <col min="10758" max="10758" width="23.7109375" style="108" customWidth="1"/>
    <col min="10759" max="10759" width="26.42578125" style="108" customWidth="1"/>
    <col min="10760" max="10760" width="26.5703125" style="108" customWidth="1"/>
    <col min="10761" max="10761" width="27.85546875" style="108" customWidth="1"/>
    <col min="10762" max="10762" width="28.140625" style="108" customWidth="1"/>
    <col min="10763" max="10763" width="24.28515625" style="108" customWidth="1"/>
    <col min="10764" max="10764" width="13.140625" style="108" customWidth="1"/>
    <col min="10765" max="10765" width="19.85546875" style="108" customWidth="1"/>
    <col min="10766" max="10766" width="34.42578125" style="108" customWidth="1"/>
    <col min="10767" max="10767" width="18.140625" style="108" customWidth="1"/>
    <col min="10768" max="10768" width="24.7109375" style="108" customWidth="1"/>
    <col min="10769" max="10769" width="23.28515625" style="108" customWidth="1"/>
    <col min="10770" max="10770" width="18.42578125" style="108" customWidth="1"/>
    <col min="10771" max="10771" width="27.85546875" style="108" customWidth="1"/>
    <col min="10772" max="10772" width="49.42578125" style="108" customWidth="1"/>
    <col min="10773" max="10773" width="32.140625" style="108" customWidth="1"/>
    <col min="10774" max="10774" width="22.42578125" style="108" customWidth="1"/>
    <col min="10775" max="10775" width="33" style="108" customWidth="1"/>
    <col min="10776" max="10776" width="58.85546875" style="108" customWidth="1"/>
    <col min="10777" max="10777" width="37.85546875" style="108" customWidth="1"/>
    <col min="10778" max="10778" width="17.5703125" style="108" customWidth="1"/>
    <col min="10779" max="10779" width="16.5703125" style="108" customWidth="1"/>
    <col min="10780" max="10780" width="28.7109375" style="108" customWidth="1"/>
    <col min="10781" max="10781" width="23.85546875" style="108" customWidth="1"/>
    <col min="10782" max="11008" width="9.140625" style="108"/>
    <col min="11009" max="11010" width="0" style="108" hidden="1" customWidth="1"/>
    <col min="11011" max="11011" width="15.7109375" style="108" customWidth="1"/>
    <col min="11012" max="11012" width="93.42578125" style="108" customWidth="1"/>
    <col min="11013" max="11013" width="32.28515625" style="108" customWidth="1"/>
    <col min="11014" max="11014" width="23.7109375" style="108" customWidth="1"/>
    <col min="11015" max="11015" width="26.42578125" style="108" customWidth="1"/>
    <col min="11016" max="11016" width="26.5703125" style="108" customWidth="1"/>
    <col min="11017" max="11017" width="27.85546875" style="108" customWidth="1"/>
    <col min="11018" max="11018" width="28.140625" style="108" customWidth="1"/>
    <col min="11019" max="11019" width="24.28515625" style="108" customWidth="1"/>
    <col min="11020" max="11020" width="13.140625" style="108" customWidth="1"/>
    <col min="11021" max="11021" width="19.85546875" style="108" customWidth="1"/>
    <col min="11022" max="11022" width="34.42578125" style="108" customWidth="1"/>
    <col min="11023" max="11023" width="18.140625" style="108" customWidth="1"/>
    <col min="11024" max="11024" width="24.7109375" style="108" customWidth="1"/>
    <col min="11025" max="11025" width="23.28515625" style="108" customWidth="1"/>
    <col min="11026" max="11026" width="18.42578125" style="108" customWidth="1"/>
    <col min="11027" max="11027" width="27.85546875" style="108" customWidth="1"/>
    <col min="11028" max="11028" width="49.42578125" style="108" customWidth="1"/>
    <col min="11029" max="11029" width="32.140625" style="108" customWidth="1"/>
    <col min="11030" max="11030" width="22.42578125" style="108" customWidth="1"/>
    <col min="11031" max="11031" width="33" style="108" customWidth="1"/>
    <col min="11032" max="11032" width="58.85546875" style="108" customWidth="1"/>
    <col min="11033" max="11033" width="37.85546875" style="108" customWidth="1"/>
    <col min="11034" max="11034" width="17.5703125" style="108" customWidth="1"/>
    <col min="11035" max="11035" width="16.5703125" style="108" customWidth="1"/>
    <col min="11036" max="11036" width="28.7109375" style="108" customWidth="1"/>
    <col min="11037" max="11037" width="23.85546875" style="108" customWidth="1"/>
    <col min="11038" max="11264" width="9.140625" style="108"/>
    <col min="11265" max="11266" width="0" style="108" hidden="1" customWidth="1"/>
    <col min="11267" max="11267" width="15.7109375" style="108" customWidth="1"/>
    <col min="11268" max="11268" width="93.42578125" style="108" customWidth="1"/>
    <col min="11269" max="11269" width="32.28515625" style="108" customWidth="1"/>
    <col min="11270" max="11270" width="23.7109375" style="108" customWidth="1"/>
    <col min="11271" max="11271" width="26.42578125" style="108" customWidth="1"/>
    <col min="11272" max="11272" width="26.5703125" style="108" customWidth="1"/>
    <col min="11273" max="11273" width="27.85546875" style="108" customWidth="1"/>
    <col min="11274" max="11274" width="28.140625" style="108" customWidth="1"/>
    <col min="11275" max="11275" width="24.28515625" style="108" customWidth="1"/>
    <col min="11276" max="11276" width="13.140625" style="108" customWidth="1"/>
    <col min="11277" max="11277" width="19.85546875" style="108" customWidth="1"/>
    <col min="11278" max="11278" width="34.42578125" style="108" customWidth="1"/>
    <col min="11279" max="11279" width="18.140625" style="108" customWidth="1"/>
    <col min="11280" max="11280" width="24.7109375" style="108" customWidth="1"/>
    <col min="11281" max="11281" width="23.28515625" style="108" customWidth="1"/>
    <col min="11282" max="11282" width="18.42578125" style="108" customWidth="1"/>
    <col min="11283" max="11283" width="27.85546875" style="108" customWidth="1"/>
    <col min="11284" max="11284" width="49.42578125" style="108" customWidth="1"/>
    <col min="11285" max="11285" width="32.140625" style="108" customWidth="1"/>
    <col min="11286" max="11286" width="22.42578125" style="108" customWidth="1"/>
    <col min="11287" max="11287" width="33" style="108" customWidth="1"/>
    <col min="11288" max="11288" width="58.85546875" style="108" customWidth="1"/>
    <col min="11289" max="11289" width="37.85546875" style="108" customWidth="1"/>
    <col min="11290" max="11290" width="17.5703125" style="108" customWidth="1"/>
    <col min="11291" max="11291" width="16.5703125" style="108" customWidth="1"/>
    <col min="11292" max="11292" width="28.7109375" style="108" customWidth="1"/>
    <col min="11293" max="11293" width="23.85546875" style="108" customWidth="1"/>
    <col min="11294" max="11520" width="9.140625" style="108"/>
    <col min="11521" max="11522" width="0" style="108" hidden="1" customWidth="1"/>
    <col min="11523" max="11523" width="15.7109375" style="108" customWidth="1"/>
    <col min="11524" max="11524" width="93.42578125" style="108" customWidth="1"/>
    <col min="11525" max="11525" width="32.28515625" style="108" customWidth="1"/>
    <col min="11526" max="11526" width="23.7109375" style="108" customWidth="1"/>
    <col min="11527" max="11527" width="26.42578125" style="108" customWidth="1"/>
    <col min="11528" max="11528" width="26.5703125" style="108" customWidth="1"/>
    <col min="11529" max="11529" width="27.85546875" style="108" customWidth="1"/>
    <col min="11530" max="11530" width="28.140625" style="108" customWidth="1"/>
    <col min="11531" max="11531" width="24.28515625" style="108" customWidth="1"/>
    <col min="11532" max="11532" width="13.140625" style="108" customWidth="1"/>
    <col min="11533" max="11533" width="19.85546875" style="108" customWidth="1"/>
    <col min="11534" max="11534" width="34.42578125" style="108" customWidth="1"/>
    <col min="11535" max="11535" width="18.140625" style="108" customWidth="1"/>
    <col min="11536" max="11536" width="24.7109375" style="108" customWidth="1"/>
    <col min="11537" max="11537" width="23.28515625" style="108" customWidth="1"/>
    <col min="11538" max="11538" width="18.42578125" style="108" customWidth="1"/>
    <col min="11539" max="11539" width="27.85546875" style="108" customWidth="1"/>
    <col min="11540" max="11540" width="49.42578125" style="108" customWidth="1"/>
    <col min="11541" max="11541" width="32.140625" style="108" customWidth="1"/>
    <col min="11542" max="11542" width="22.42578125" style="108" customWidth="1"/>
    <col min="11543" max="11543" width="33" style="108" customWidth="1"/>
    <col min="11544" max="11544" width="58.85546875" style="108" customWidth="1"/>
    <col min="11545" max="11545" width="37.85546875" style="108" customWidth="1"/>
    <col min="11546" max="11546" width="17.5703125" style="108" customWidth="1"/>
    <col min="11547" max="11547" width="16.5703125" style="108" customWidth="1"/>
    <col min="11548" max="11548" width="28.7109375" style="108" customWidth="1"/>
    <col min="11549" max="11549" width="23.85546875" style="108" customWidth="1"/>
    <col min="11550" max="11776" width="9.140625" style="108"/>
    <col min="11777" max="11778" width="0" style="108" hidden="1" customWidth="1"/>
    <col min="11779" max="11779" width="15.7109375" style="108" customWidth="1"/>
    <col min="11780" max="11780" width="93.42578125" style="108" customWidth="1"/>
    <col min="11781" max="11781" width="32.28515625" style="108" customWidth="1"/>
    <col min="11782" max="11782" width="23.7109375" style="108" customWidth="1"/>
    <col min="11783" max="11783" width="26.42578125" style="108" customWidth="1"/>
    <col min="11784" max="11784" width="26.5703125" style="108" customWidth="1"/>
    <col min="11785" max="11785" width="27.85546875" style="108" customWidth="1"/>
    <col min="11786" max="11786" width="28.140625" style="108" customWidth="1"/>
    <col min="11787" max="11787" width="24.28515625" style="108" customWidth="1"/>
    <col min="11788" max="11788" width="13.140625" style="108" customWidth="1"/>
    <col min="11789" max="11789" width="19.85546875" style="108" customWidth="1"/>
    <col min="11790" max="11790" width="34.42578125" style="108" customWidth="1"/>
    <col min="11791" max="11791" width="18.140625" style="108" customWidth="1"/>
    <col min="11792" max="11792" width="24.7109375" style="108" customWidth="1"/>
    <col min="11793" max="11793" width="23.28515625" style="108" customWidth="1"/>
    <col min="11794" max="11794" width="18.42578125" style="108" customWidth="1"/>
    <col min="11795" max="11795" width="27.85546875" style="108" customWidth="1"/>
    <col min="11796" max="11796" width="49.42578125" style="108" customWidth="1"/>
    <col min="11797" max="11797" width="32.140625" style="108" customWidth="1"/>
    <col min="11798" max="11798" width="22.42578125" style="108" customWidth="1"/>
    <col min="11799" max="11799" width="33" style="108" customWidth="1"/>
    <col min="11800" max="11800" width="58.85546875" style="108" customWidth="1"/>
    <col min="11801" max="11801" width="37.85546875" style="108" customWidth="1"/>
    <col min="11802" max="11802" width="17.5703125" style="108" customWidth="1"/>
    <col min="11803" max="11803" width="16.5703125" style="108" customWidth="1"/>
    <col min="11804" max="11804" width="28.7109375" style="108" customWidth="1"/>
    <col min="11805" max="11805" width="23.85546875" style="108" customWidth="1"/>
    <col min="11806" max="12032" width="9.140625" style="108"/>
    <col min="12033" max="12034" width="0" style="108" hidden="1" customWidth="1"/>
    <col min="12035" max="12035" width="15.7109375" style="108" customWidth="1"/>
    <col min="12036" max="12036" width="93.42578125" style="108" customWidth="1"/>
    <col min="12037" max="12037" width="32.28515625" style="108" customWidth="1"/>
    <col min="12038" max="12038" width="23.7109375" style="108" customWidth="1"/>
    <col min="12039" max="12039" width="26.42578125" style="108" customWidth="1"/>
    <col min="12040" max="12040" width="26.5703125" style="108" customWidth="1"/>
    <col min="12041" max="12041" width="27.85546875" style="108" customWidth="1"/>
    <col min="12042" max="12042" width="28.140625" style="108" customWidth="1"/>
    <col min="12043" max="12043" width="24.28515625" style="108" customWidth="1"/>
    <col min="12044" max="12044" width="13.140625" style="108" customWidth="1"/>
    <col min="12045" max="12045" width="19.85546875" style="108" customWidth="1"/>
    <col min="12046" max="12046" width="34.42578125" style="108" customWidth="1"/>
    <col min="12047" max="12047" width="18.140625" style="108" customWidth="1"/>
    <col min="12048" max="12048" width="24.7109375" style="108" customWidth="1"/>
    <col min="12049" max="12049" width="23.28515625" style="108" customWidth="1"/>
    <col min="12050" max="12050" width="18.42578125" style="108" customWidth="1"/>
    <col min="12051" max="12051" width="27.85546875" style="108" customWidth="1"/>
    <col min="12052" max="12052" width="49.42578125" style="108" customWidth="1"/>
    <col min="12053" max="12053" width="32.140625" style="108" customWidth="1"/>
    <col min="12054" max="12054" width="22.42578125" style="108" customWidth="1"/>
    <col min="12055" max="12055" width="33" style="108" customWidth="1"/>
    <col min="12056" max="12056" width="58.85546875" style="108" customWidth="1"/>
    <col min="12057" max="12057" width="37.85546875" style="108" customWidth="1"/>
    <col min="12058" max="12058" width="17.5703125" style="108" customWidth="1"/>
    <col min="12059" max="12059" width="16.5703125" style="108" customWidth="1"/>
    <col min="12060" max="12060" width="28.7109375" style="108" customWidth="1"/>
    <col min="12061" max="12061" width="23.85546875" style="108" customWidth="1"/>
    <col min="12062" max="12288" width="9.140625" style="108"/>
    <col min="12289" max="12290" width="0" style="108" hidden="1" customWidth="1"/>
    <col min="12291" max="12291" width="15.7109375" style="108" customWidth="1"/>
    <col min="12292" max="12292" width="93.42578125" style="108" customWidth="1"/>
    <col min="12293" max="12293" width="32.28515625" style="108" customWidth="1"/>
    <col min="12294" max="12294" width="23.7109375" style="108" customWidth="1"/>
    <col min="12295" max="12295" width="26.42578125" style="108" customWidth="1"/>
    <col min="12296" max="12296" width="26.5703125" style="108" customWidth="1"/>
    <col min="12297" max="12297" width="27.85546875" style="108" customWidth="1"/>
    <col min="12298" max="12298" width="28.140625" style="108" customWidth="1"/>
    <col min="12299" max="12299" width="24.28515625" style="108" customWidth="1"/>
    <col min="12300" max="12300" width="13.140625" style="108" customWidth="1"/>
    <col min="12301" max="12301" width="19.85546875" style="108" customWidth="1"/>
    <col min="12302" max="12302" width="34.42578125" style="108" customWidth="1"/>
    <col min="12303" max="12303" width="18.140625" style="108" customWidth="1"/>
    <col min="12304" max="12304" width="24.7109375" style="108" customWidth="1"/>
    <col min="12305" max="12305" width="23.28515625" style="108" customWidth="1"/>
    <col min="12306" max="12306" width="18.42578125" style="108" customWidth="1"/>
    <col min="12307" max="12307" width="27.85546875" style="108" customWidth="1"/>
    <col min="12308" max="12308" width="49.42578125" style="108" customWidth="1"/>
    <col min="12309" max="12309" width="32.140625" style="108" customWidth="1"/>
    <col min="12310" max="12310" width="22.42578125" style="108" customWidth="1"/>
    <col min="12311" max="12311" width="33" style="108" customWidth="1"/>
    <col min="12312" max="12312" width="58.85546875" style="108" customWidth="1"/>
    <col min="12313" max="12313" width="37.85546875" style="108" customWidth="1"/>
    <col min="12314" max="12314" width="17.5703125" style="108" customWidth="1"/>
    <col min="12315" max="12315" width="16.5703125" style="108" customWidth="1"/>
    <col min="12316" max="12316" width="28.7109375" style="108" customWidth="1"/>
    <col min="12317" max="12317" width="23.85546875" style="108" customWidth="1"/>
    <col min="12318" max="12544" width="9.140625" style="108"/>
    <col min="12545" max="12546" width="0" style="108" hidden="1" customWidth="1"/>
    <col min="12547" max="12547" width="15.7109375" style="108" customWidth="1"/>
    <col min="12548" max="12548" width="93.42578125" style="108" customWidth="1"/>
    <col min="12549" max="12549" width="32.28515625" style="108" customWidth="1"/>
    <col min="12550" max="12550" width="23.7109375" style="108" customWidth="1"/>
    <col min="12551" max="12551" width="26.42578125" style="108" customWidth="1"/>
    <col min="12552" max="12552" width="26.5703125" style="108" customWidth="1"/>
    <col min="12553" max="12553" width="27.85546875" style="108" customWidth="1"/>
    <col min="12554" max="12554" width="28.140625" style="108" customWidth="1"/>
    <col min="12555" max="12555" width="24.28515625" style="108" customWidth="1"/>
    <col min="12556" max="12556" width="13.140625" style="108" customWidth="1"/>
    <col min="12557" max="12557" width="19.85546875" style="108" customWidth="1"/>
    <col min="12558" max="12558" width="34.42578125" style="108" customWidth="1"/>
    <col min="12559" max="12559" width="18.140625" style="108" customWidth="1"/>
    <col min="12560" max="12560" width="24.7109375" style="108" customWidth="1"/>
    <col min="12561" max="12561" width="23.28515625" style="108" customWidth="1"/>
    <col min="12562" max="12562" width="18.42578125" style="108" customWidth="1"/>
    <col min="12563" max="12563" width="27.85546875" style="108" customWidth="1"/>
    <col min="12564" max="12564" width="49.42578125" style="108" customWidth="1"/>
    <col min="12565" max="12565" width="32.140625" style="108" customWidth="1"/>
    <col min="12566" max="12566" width="22.42578125" style="108" customWidth="1"/>
    <col min="12567" max="12567" width="33" style="108" customWidth="1"/>
    <col min="12568" max="12568" width="58.85546875" style="108" customWidth="1"/>
    <col min="12569" max="12569" width="37.85546875" style="108" customWidth="1"/>
    <col min="12570" max="12570" width="17.5703125" style="108" customWidth="1"/>
    <col min="12571" max="12571" width="16.5703125" style="108" customWidth="1"/>
    <col min="12572" max="12572" width="28.7109375" style="108" customWidth="1"/>
    <col min="12573" max="12573" width="23.85546875" style="108" customWidth="1"/>
    <col min="12574" max="12800" width="9.140625" style="108"/>
    <col min="12801" max="12802" width="0" style="108" hidden="1" customWidth="1"/>
    <col min="12803" max="12803" width="15.7109375" style="108" customWidth="1"/>
    <col min="12804" max="12804" width="93.42578125" style="108" customWidth="1"/>
    <col min="12805" max="12805" width="32.28515625" style="108" customWidth="1"/>
    <col min="12806" max="12806" width="23.7109375" style="108" customWidth="1"/>
    <col min="12807" max="12807" width="26.42578125" style="108" customWidth="1"/>
    <col min="12808" max="12808" width="26.5703125" style="108" customWidth="1"/>
    <col min="12809" max="12809" width="27.85546875" style="108" customWidth="1"/>
    <col min="12810" max="12810" width="28.140625" style="108" customWidth="1"/>
    <col min="12811" max="12811" width="24.28515625" style="108" customWidth="1"/>
    <col min="12812" max="12812" width="13.140625" style="108" customWidth="1"/>
    <col min="12813" max="12813" width="19.85546875" style="108" customWidth="1"/>
    <col min="12814" max="12814" width="34.42578125" style="108" customWidth="1"/>
    <col min="12815" max="12815" width="18.140625" style="108" customWidth="1"/>
    <col min="12816" max="12816" width="24.7109375" style="108" customWidth="1"/>
    <col min="12817" max="12817" width="23.28515625" style="108" customWidth="1"/>
    <col min="12818" max="12818" width="18.42578125" style="108" customWidth="1"/>
    <col min="12819" max="12819" width="27.85546875" style="108" customWidth="1"/>
    <col min="12820" max="12820" width="49.42578125" style="108" customWidth="1"/>
    <col min="12821" max="12821" width="32.140625" style="108" customWidth="1"/>
    <col min="12822" max="12822" width="22.42578125" style="108" customWidth="1"/>
    <col min="12823" max="12823" width="33" style="108" customWidth="1"/>
    <col min="12824" max="12824" width="58.85546875" style="108" customWidth="1"/>
    <col min="12825" max="12825" width="37.85546875" style="108" customWidth="1"/>
    <col min="12826" max="12826" width="17.5703125" style="108" customWidth="1"/>
    <col min="12827" max="12827" width="16.5703125" style="108" customWidth="1"/>
    <col min="12828" max="12828" width="28.7109375" style="108" customWidth="1"/>
    <col min="12829" max="12829" width="23.85546875" style="108" customWidth="1"/>
    <col min="12830" max="13056" width="9.140625" style="108"/>
    <col min="13057" max="13058" width="0" style="108" hidden="1" customWidth="1"/>
    <col min="13059" max="13059" width="15.7109375" style="108" customWidth="1"/>
    <col min="13060" max="13060" width="93.42578125" style="108" customWidth="1"/>
    <col min="13061" max="13061" width="32.28515625" style="108" customWidth="1"/>
    <col min="13062" max="13062" width="23.7109375" style="108" customWidth="1"/>
    <col min="13063" max="13063" width="26.42578125" style="108" customWidth="1"/>
    <col min="13064" max="13064" width="26.5703125" style="108" customWidth="1"/>
    <col min="13065" max="13065" width="27.85546875" style="108" customWidth="1"/>
    <col min="13066" max="13066" width="28.140625" style="108" customWidth="1"/>
    <col min="13067" max="13067" width="24.28515625" style="108" customWidth="1"/>
    <col min="13068" max="13068" width="13.140625" style="108" customWidth="1"/>
    <col min="13069" max="13069" width="19.85546875" style="108" customWidth="1"/>
    <col min="13070" max="13070" width="34.42578125" style="108" customWidth="1"/>
    <col min="13071" max="13071" width="18.140625" style="108" customWidth="1"/>
    <col min="13072" max="13072" width="24.7109375" style="108" customWidth="1"/>
    <col min="13073" max="13073" width="23.28515625" style="108" customWidth="1"/>
    <col min="13074" max="13074" width="18.42578125" style="108" customWidth="1"/>
    <col min="13075" max="13075" width="27.85546875" style="108" customWidth="1"/>
    <col min="13076" max="13076" width="49.42578125" style="108" customWidth="1"/>
    <col min="13077" max="13077" width="32.140625" style="108" customWidth="1"/>
    <col min="13078" max="13078" width="22.42578125" style="108" customWidth="1"/>
    <col min="13079" max="13079" width="33" style="108" customWidth="1"/>
    <col min="13080" max="13080" width="58.85546875" style="108" customWidth="1"/>
    <col min="13081" max="13081" width="37.85546875" style="108" customWidth="1"/>
    <col min="13082" max="13082" width="17.5703125" style="108" customWidth="1"/>
    <col min="13083" max="13083" width="16.5703125" style="108" customWidth="1"/>
    <col min="13084" max="13084" width="28.7109375" style="108" customWidth="1"/>
    <col min="13085" max="13085" width="23.85546875" style="108" customWidth="1"/>
    <col min="13086" max="13312" width="9.140625" style="108"/>
    <col min="13313" max="13314" width="0" style="108" hidden="1" customWidth="1"/>
    <col min="13315" max="13315" width="15.7109375" style="108" customWidth="1"/>
    <col min="13316" max="13316" width="93.42578125" style="108" customWidth="1"/>
    <col min="13317" max="13317" width="32.28515625" style="108" customWidth="1"/>
    <col min="13318" max="13318" width="23.7109375" style="108" customWidth="1"/>
    <col min="13319" max="13319" width="26.42578125" style="108" customWidth="1"/>
    <col min="13320" max="13320" width="26.5703125" style="108" customWidth="1"/>
    <col min="13321" max="13321" width="27.85546875" style="108" customWidth="1"/>
    <col min="13322" max="13322" width="28.140625" style="108" customWidth="1"/>
    <col min="13323" max="13323" width="24.28515625" style="108" customWidth="1"/>
    <col min="13324" max="13324" width="13.140625" style="108" customWidth="1"/>
    <col min="13325" max="13325" width="19.85546875" style="108" customWidth="1"/>
    <col min="13326" max="13326" width="34.42578125" style="108" customWidth="1"/>
    <col min="13327" max="13327" width="18.140625" style="108" customWidth="1"/>
    <col min="13328" max="13328" width="24.7109375" style="108" customWidth="1"/>
    <col min="13329" max="13329" width="23.28515625" style="108" customWidth="1"/>
    <col min="13330" max="13330" width="18.42578125" style="108" customWidth="1"/>
    <col min="13331" max="13331" width="27.85546875" style="108" customWidth="1"/>
    <col min="13332" max="13332" width="49.42578125" style="108" customWidth="1"/>
    <col min="13333" max="13333" width="32.140625" style="108" customWidth="1"/>
    <col min="13334" max="13334" width="22.42578125" style="108" customWidth="1"/>
    <col min="13335" max="13335" width="33" style="108" customWidth="1"/>
    <col min="13336" max="13336" width="58.85546875" style="108" customWidth="1"/>
    <col min="13337" max="13337" width="37.85546875" style="108" customWidth="1"/>
    <col min="13338" max="13338" width="17.5703125" style="108" customWidth="1"/>
    <col min="13339" max="13339" width="16.5703125" style="108" customWidth="1"/>
    <col min="13340" max="13340" width="28.7109375" style="108" customWidth="1"/>
    <col min="13341" max="13341" width="23.85546875" style="108" customWidth="1"/>
    <col min="13342" max="13568" width="9.140625" style="108"/>
    <col min="13569" max="13570" width="0" style="108" hidden="1" customWidth="1"/>
    <col min="13571" max="13571" width="15.7109375" style="108" customWidth="1"/>
    <col min="13572" max="13572" width="93.42578125" style="108" customWidth="1"/>
    <col min="13573" max="13573" width="32.28515625" style="108" customWidth="1"/>
    <col min="13574" max="13574" width="23.7109375" style="108" customWidth="1"/>
    <col min="13575" max="13575" width="26.42578125" style="108" customWidth="1"/>
    <col min="13576" max="13576" width="26.5703125" style="108" customWidth="1"/>
    <col min="13577" max="13577" width="27.85546875" style="108" customWidth="1"/>
    <col min="13578" max="13578" width="28.140625" style="108" customWidth="1"/>
    <col min="13579" max="13579" width="24.28515625" style="108" customWidth="1"/>
    <col min="13580" max="13580" width="13.140625" style="108" customWidth="1"/>
    <col min="13581" max="13581" width="19.85546875" style="108" customWidth="1"/>
    <col min="13582" max="13582" width="34.42578125" style="108" customWidth="1"/>
    <col min="13583" max="13583" width="18.140625" style="108" customWidth="1"/>
    <col min="13584" max="13584" width="24.7109375" style="108" customWidth="1"/>
    <col min="13585" max="13585" width="23.28515625" style="108" customWidth="1"/>
    <col min="13586" max="13586" width="18.42578125" style="108" customWidth="1"/>
    <col min="13587" max="13587" width="27.85546875" style="108" customWidth="1"/>
    <col min="13588" max="13588" width="49.42578125" style="108" customWidth="1"/>
    <col min="13589" max="13589" width="32.140625" style="108" customWidth="1"/>
    <col min="13590" max="13590" width="22.42578125" style="108" customWidth="1"/>
    <col min="13591" max="13591" width="33" style="108" customWidth="1"/>
    <col min="13592" max="13592" width="58.85546875" style="108" customWidth="1"/>
    <col min="13593" max="13593" width="37.85546875" style="108" customWidth="1"/>
    <col min="13594" max="13594" width="17.5703125" style="108" customWidth="1"/>
    <col min="13595" max="13595" width="16.5703125" style="108" customWidth="1"/>
    <col min="13596" max="13596" width="28.7109375" style="108" customWidth="1"/>
    <col min="13597" max="13597" width="23.85546875" style="108" customWidth="1"/>
    <col min="13598" max="13824" width="9.140625" style="108"/>
    <col min="13825" max="13826" width="0" style="108" hidden="1" customWidth="1"/>
    <col min="13827" max="13827" width="15.7109375" style="108" customWidth="1"/>
    <col min="13828" max="13828" width="93.42578125" style="108" customWidth="1"/>
    <col min="13829" max="13829" width="32.28515625" style="108" customWidth="1"/>
    <col min="13830" max="13830" width="23.7109375" style="108" customWidth="1"/>
    <col min="13831" max="13831" width="26.42578125" style="108" customWidth="1"/>
    <col min="13832" max="13832" width="26.5703125" style="108" customWidth="1"/>
    <col min="13833" max="13833" width="27.85546875" style="108" customWidth="1"/>
    <col min="13834" max="13834" width="28.140625" style="108" customWidth="1"/>
    <col min="13835" max="13835" width="24.28515625" style="108" customWidth="1"/>
    <col min="13836" max="13836" width="13.140625" style="108" customWidth="1"/>
    <col min="13837" max="13837" width="19.85546875" style="108" customWidth="1"/>
    <col min="13838" max="13838" width="34.42578125" style="108" customWidth="1"/>
    <col min="13839" max="13839" width="18.140625" style="108" customWidth="1"/>
    <col min="13840" max="13840" width="24.7109375" style="108" customWidth="1"/>
    <col min="13841" max="13841" width="23.28515625" style="108" customWidth="1"/>
    <col min="13842" max="13842" width="18.42578125" style="108" customWidth="1"/>
    <col min="13843" max="13843" width="27.85546875" style="108" customWidth="1"/>
    <col min="13844" max="13844" width="49.42578125" style="108" customWidth="1"/>
    <col min="13845" max="13845" width="32.140625" style="108" customWidth="1"/>
    <col min="13846" max="13846" width="22.42578125" style="108" customWidth="1"/>
    <col min="13847" max="13847" width="33" style="108" customWidth="1"/>
    <col min="13848" max="13848" width="58.85546875" style="108" customWidth="1"/>
    <col min="13849" max="13849" width="37.85546875" style="108" customWidth="1"/>
    <col min="13850" max="13850" width="17.5703125" style="108" customWidth="1"/>
    <col min="13851" max="13851" width="16.5703125" style="108" customWidth="1"/>
    <col min="13852" max="13852" width="28.7109375" style="108" customWidth="1"/>
    <col min="13853" max="13853" width="23.85546875" style="108" customWidth="1"/>
    <col min="13854" max="14080" width="9.140625" style="108"/>
    <col min="14081" max="14082" width="0" style="108" hidden="1" customWidth="1"/>
    <col min="14083" max="14083" width="15.7109375" style="108" customWidth="1"/>
    <col min="14084" max="14084" width="93.42578125" style="108" customWidth="1"/>
    <col min="14085" max="14085" width="32.28515625" style="108" customWidth="1"/>
    <col min="14086" max="14086" width="23.7109375" style="108" customWidth="1"/>
    <col min="14087" max="14087" width="26.42578125" style="108" customWidth="1"/>
    <col min="14088" max="14088" width="26.5703125" style="108" customWidth="1"/>
    <col min="14089" max="14089" width="27.85546875" style="108" customWidth="1"/>
    <col min="14090" max="14090" width="28.140625" style="108" customWidth="1"/>
    <col min="14091" max="14091" width="24.28515625" style="108" customWidth="1"/>
    <col min="14092" max="14092" width="13.140625" style="108" customWidth="1"/>
    <col min="14093" max="14093" width="19.85546875" style="108" customWidth="1"/>
    <col min="14094" max="14094" width="34.42578125" style="108" customWidth="1"/>
    <col min="14095" max="14095" width="18.140625" style="108" customWidth="1"/>
    <col min="14096" max="14096" width="24.7109375" style="108" customWidth="1"/>
    <col min="14097" max="14097" width="23.28515625" style="108" customWidth="1"/>
    <col min="14098" max="14098" width="18.42578125" style="108" customWidth="1"/>
    <col min="14099" max="14099" width="27.85546875" style="108" customWidth="1"/>
    <col min="14100" max="14100" width="49.42578125" style="108" customWidth="1"/>
    <col min="14101" max="14101" width="32.140625" style="108" customWidth="1"/>
    <col min="14102" max="14102" width="22.42578125" style="108" customWidth="1"/>
    <col min="14103" max="14103" width="33" style="108" customWidth="1"/>
    <col min="14104" max="14104" width="58.85546875" style="108" customWidth="1"/>
    <col min="14105" max="14105" width="37.85546875" style="108" customWidth="1"/>
    <col min="14106" max="14106" width="17.5703125" style="108" customWidth="1"/>
    <col min="14107" max="14107" width="16.5703125" style="108" customWidth="1"/>
    <col min="14108" max="14108" width="28.7109375" style="108" customWidth="1"/>
    <col min="14109" max="14109" width="23.85546875" style="108" customWidth="1"/>
    <col min="14110" max="14336" width="9.140625" style="108"/>
    <col min="14337" max="14338" width="0" style="108" hidden="1" customWidth="1"/>
    <col min="14339" max="14339" width="15.7109375" style="108" customWidth="1"/>
    <col min="14340" max="14340" width="93.42578125" style="108" customWidth="1"/>
    <col min="14341" max="14341" width="32.28515625" style="108" customWidth="1"/>
    <col min="14342" max="14342" width="23.7109375" style="108" customWidth="1"/>
    <col min="14343" max="14343" width="26.42578125" style="108" customWidth="1"/>
    <col min="14344" max="14344" width="26.5703125" style="108" customWidth="1"/>
    <col min="14345" max="14345" width="27.85546875" style="108" customWidth="1"/>
    <col min="14346" max="14346" width="28.140625" style="108" customWidth="1"/>
    <col min="14347" max="14347" width="24.28515625" style="108" customWidth="1"/>
    <col min="14348" max="14348" width="13.140625" style="108" customWidth="1"/>
    <col min="14349" max="14349" width="19.85546875" style="108" customWidth="1"/>
    <col min="14350" max="14350" width="34.42578125" style="108" customWidth="1"/>
    <col min="14351" max="14351" width="18.140625" style="108" customWidth="1"/>
    <col min="14352" max="14352" width="24.7109375" style="108" customWidth="1"/>
    <col min="14353" max="14353" width="23.28515625" style="108" customWidth="1"/>
    <col min="14354" max="14354" width="18.42578125" style="108" customWidth="1"/>
    <col min="14355" max="14355" width="27.85546875" style="108" customWidth="1"/>
    <col min="14356" max="14356" width="49.42578125" style="108" customWidth="1"/>
    <col min="14357" max="14357" width="32.140625" style="108" customWidth="1"/>
    <col min="14358" max="14358" width="22.42578125" style="108" customWidth="1"/>
    <col min="14359" max="14359" width="33" style="108" customWidth="1"/>
    <col min="14360" max="14360" width="58.85546875" style="108" customWidth="1"/>
    <col min="14361" max="14361" width="37.85546875" style="108" customWidth="1"/>
    <col min="14362" max="14362" width="17.5703125" style="108" customWidth="1"/>
    <col min="14363" max="14363" width="16.5703125" style="108" customWidth="1"/>
    <col min="14364" max="14364" width="28.7109375" style="108" customWidth="1"/>
    <col min="14365" max="14365" width="23.85546875" style="108" customWidth="1"/>
    <col min="14366" max="14592" width="9.140625" style="108"/>
    <col min="14593" max="14594" width="0" style="108" hidden="1" customWidth="1"/>
    <col min="14595" max="14595" width="15.7109375" style="108" customWidth="1"/>
    <col min="14596" max="14596" width="93.42578125" style="108" customWidth="1"/>
    <col min="14597" max="14597" width="32.28515625" style="108" customWidth="1"/>
    <col min="14598" max="14598" width="23.7109375" style="108" customWidth="1"/>
    <col min="14599" max="14599" width="26.42578125" style="108" customWidth="1"/>
    <col min="14600" max="14600" width="26.5703125" style="108" customWidth="1"/>
    <col min="14601" max="14601" width="27.85546875" style="108" customWidth="1"/>
    <col min="14602" max="14602" width="28.140625" style="108" customWidth="1"/>
    <col min="14603" max="14603" width="24.28515625" style="108" customWidth="1"/>
    <col min="14604" max="14604" width="13.140625" style="108" customWidth="1"/>
    <col min="14605" max="14605" width="19.85546875" style="108" customWidth="1"/>
    <col min="14606" max="14606" width="34.42578125" style="108" customWidth="1"/>
    <col min="14607" max="14607" width="18.140625" style="108" customWidth="1"/>
    <col min="14608" max="14608" width="24.7109375" style="108" customWidth="1"/>
    <col min="14609" max="14609" width="23.28515625" style="108" customWidth="1"/>
    <col min="14610" max="14610" width="18.42578125" style="108" customWidth="1"/>
    <col min="14611" max="14611" width="27.85546875" style="108" customWidth="1"/>
    <col min="14612" max="14612" width="49.42578125" style="108" customWidth="1"/>
    <col min="14613" max="14613" width="32.140625" style="108" customWidth="1"/>
    <col min="14614" max="14614" width="22.42578125" style="108" customWidth="1"/>
    <col min="14615" max="14615" width="33" style="108" customWidth="1"/>
    <col min="14616" max="14616" width="58.85546875" style="108" customWidth="1"/>
    <col min="14617" max="14617" width="37.85546875" style="108" customWidth="1"/>
    <col min="14618" max="14618" width="17.5703125" style="108" customWidth="1"/>
    <col min="14619" max="14619" width="16.5703125" style="108" customWidth="1"/>
    <col min="14620" max="14620" width="28.7109375" style="108" customWidth="1"/>
    <col min="14621" max="14621" width="23.85546875" style="108" customWidth="1"/>
    <col min="14622" max="14848" width="9.140625" style="108"/>
    <col min="14849" max="14850" width="0" style="108" hidden="1" customWidth="1"/>
    <col min="14851" max="14851" width="15.7109375" style="108" customWidth="1"/>
    <col min="14852" max="14852" width="93.42578125" style="108" customWidth="1"/>
    <col min="14853" max="14853" width="32.28515625" style="108" customWidth="1"/>
    <col min="14854" max="14854" width="23.7109375" style="108" customWidth="1"/>
    <col min="14855" max="14855" width="26.42578125" style="108" customWidth="1"/>
    <col min="14856" max="14856" width="26.5703125" style="108" customWidth="1"/>
    <col min="14857" max="14857" width="27.85546875" style="108" customWidth="1"/>
    <col min="14858" max="14858" width="28.140625" style="108" customWidth="1"/>
    <col min="14859" max="14859" width="24.28515625" style="108" customWidth="1"/>
    <col min="14860" max="14860" width="13.140625" style="108" customWidth="1"/>
    <col min="14861" max="14861" width="19.85546875" style="108" customWidth="1"/>
    <col min="14862" max="14862" width="34.42578125" style="108" customWidth="1"/>
    <col min="14863" max="14863" width="18.140625" style="108" customWidth="1"/>
    <col min="14864" max="14864" width="24.7109375" style="108" customWidth="1"/>
    <col min="14865" max="14865" width="23.28515625" style="108" customWidth="1"/>
    <col min="14866" max="14866" width="18.42578125" style="108" customWidth="1"/>
    <col min="14867" max="14867" width="27.85546875" style="108" customWidth="1"/>
    <col min="14868" max="14868" width="49.42578125" style="108" customWidth="1"/>
    <col min="14869" max="14869" width="32.140625" style="108" customWidth="1"/>
    <col min="14870" max="14870" width="22.42578125" style="108" customWidth="1"/>
    <col min="14871" max="14871" width="33" style="108" customWidth="1"/>
    <col min="14872" max="14872" width="58.85546875" style="108" customWidth="1"/>
    <col min="14873" max="14873" width="37.85546875" style="108" customWidth="1"/>
    <col min="14874" max="14874" width="17.5703125" style="108" customWidth="1"/>
    <col min="14875" max="14875" width="16.5703125" style="108" customWidth="1"/>
    <col min="14876" max="14876" width="28.7109375" style="108" customWidth="1"/>
    <col min="14877" max="14877" width="23.85546875" style="108" customWidth="1"/>
    <col min="14878" max="15104" width="9.140625" style="108"/>
    <col min="15105" max="15106" width="0" style="108" hidden="1" customWidth="1"/>
    <col min="15107" max="15107" width="15.7109375" style="108" customWidth="1"/>
    <col min="15108" max="15108" width="93.42578125" style="108" customWidth="1"/>
    <col min="15109" max="15109" width="32.28515625" style="108" customWidth="1"/>
    <col min="15110" max="15110" width="23.7109375" style="108" customWidth="1"/>
    <col min="15111" max="15111" width="26.42578125" style="108" customWidth="1"/>
    <col min="15112" max="15112" width="26.5703125" style="108" customWidth="1"/>
    <col min="15113" max="15113" width="27.85546875" style="108" customWidth="1"/>
    <col min="15114" max="15114" width="28.140625" style="108" customWidth="1"/>
    <col min="15115" max="15115" width="24.28515625" style="108" customWidth="1"/>
    <col min="15116" max="15116" width="13.140625" style="108" customWidth="1"/>
    <col min="15117" max="15117" width="19.85546875" style="108" customWidth="1"/>
    <col min="15118" max="15118" width="34.42578125" style="108" customWidth="1"/>
    <col min="15119" max="15119" width="18.140625" style="108" customWidth="1"/>
    <col min="15120" max="15120" width="24.7109375" style="108" customWidth="1"/>
    <col min="15121" max="15121" width="23.28515625" style="108" customWidth="1"/>
    <col min="15122" max="15122" width="18.42578125" style="108" customWidth="1"/>
    <col min="15123" max="15123" width="27.85546875" style="108" customWidth="1"/>
    <col min="15124" max="15124" width="49.42578125" style="108" customWidth="1"/>
    <col min="15125" max="15125" width="32.140625" style="108" customWidth="1"/>
    <col min="15126" max="15126" width="22.42578125" style="108" customWidth="1"/>
    <col min="15127" max="15127" width="33" style="108" customWidth="1"/>
    <col min="15128" max="15128" width="58.85546875" style="108" customWidth="1"/>
    <col min="15129" max="15129" width="37.85546875" style="108" customWidth="1"/>
    <col min="15130" max="15130" width="17.5703125" style="108" customWidth="1"/>
    <col min="15131" max="15131" width="16.5703125" style="108" customWidth="1"/>
    <col min="15132" max="15132" width="28.7109375" style="108" customWidth="1"/>
    <col min="15133" max="15133" width="23.85546875" style="108" customWidth="1"/>
    <col min="15134" max="15360" width="9.140625" style="108"/>
    <col min="15361" max="15362" width="0" style="108" hidden="1" customWidth="1"/>
    <col min="15363" max="15363" width="15.7109375" style="108" customWidth="1"/>
    <col min="15364" max="15364" width="93.42578125" style="108" customWidth="1"/>
    <col min="15365" max="15365" width="32.28515625" style="108" customWidth="1"/>
    <col min="15366" max="15366" width="23.7109375" style="108" customWidth="1"/>
    <col min="15367" max="15367" width="26.42578125" style="108" customWidth="1"/>
    <col min="15368" max="15368" width="26.5703125" style="108" customWidth="1"/>
    <col min="15369" max="15369" width="27.85546875" style="108" customWidth="1"/>
    <col min="15370" max="15370" width="28.140625" style="108" customWidth="1"/>
    <col min="15371" max="15371" width="24.28515625" style="108" customWidth="1"/>
    <col min="15372" max="15372" width="13.140625" style="108" customWidth="1"/>
    <col min="15373" max="15373" width="19.85546875" style="108" customWidth="1"/>
    <col min="15374" max="15374" width="34.42578125" style="108" customWidth="1"/>
    <col min="15375" max="15375" width="18.140625" style="108" customWidth="1"/>
    <col min="15376" max="15376" width="24.7109375" style="108" customWidth="1"/>
    <col min="15377" max="15377" width="23.28515625" style="108" customWidth="1"/>
    <col min="15378" max="15378" width="18.42578125" style="108" customWidth="1"/>
    <col min="15379" max="15379" width="27.85546875" style="108" customWidth="1"/>
    <col min="15380" max="15380" width="49.42578125" style="108" customWidth="1"/>
    <col min="15381" max="15381" width="32.140625" style="108" customWidth="1"/>
    <col min="15382" max="15382" width="22.42578125" style="108" customWidth="1"/>
    <col min="15383" max="15383" width="33" style="108" customWidth="1"/>
    <col min="15384" max="15384" width="58.85546875" style="108" customWidth="1"/>
    <col min="15385" max="15385" width="37.85546875" style="108" customWidth="1"/>
    <col min="15386" max="15386" width="17.5703125" style="108" customWidth="1"/>
    <col min="15387" max="15387" width="16.5703125" style="108" customWidth="1"/>
    <col min="15388" max="15388" width="28.7109375" style="108" customWidth="1"/>
    <col min="15389" max="15389" width="23.85546875" style="108" customWidth="1"/>
    <col min="15390" max="15616" width="9.140625" style="108"/>
    <col min="15617" max="15618" width="0" style="108" hidden="1" customWidth="1"/>
    <col min="15619" max="15619" width="15.7109375" style="108" customWidth="1"/>
    <col min="15620" max="15620" width="93.42578125" style="108" customWidth="1"/>
    <col min="15621" max="15621" width="32.28515625" style="108" customWidth="1"/>
    <col min="15622" max="15622" width="23.7109375" style="108" customWidth="1"/>
    <col min="15623" max="15623" width="26.42578125" style="108" customWidth="1"/>
    <col min="15624" max="15624" width="26.5703125" style="108" customWidth="1"/>
    <col min="15625" max="15625" width="27.85546875" style="108" customWidth="1"/>
    <col min="15626" max="15626" width="28.140625" style="108" customWidth="1"/>
    <col min="15627" max="15627" width="24.28515625" style="108" customWidth="1"/>
    <col min="15628" max="15628" width="13.140625" style="108" customWidth="1"/>
    <col min="15629" max="15629" width="19.85546875" style="108" customWidth="1"/>
    <col min="15630" max="15630" width="34.42578125" style="108" customWidth="1"/>
    <col min="15631" max="15631" width="18.140625" style="108" customWidth="1"/>
    <col min="15632" max="15632" width="24.7109375" style="108" customWidth="1"/>
    <col min="15633" max="15633" width="23.28515625" style="108" customWidth="1"/>
    <col min="15634" max="15634" width="18.42578125" style="108" customWidth="1"/>
    <col min="15635" max="15635" width="27.85546875" style="108" customWidth="1"/>
    <col min="15636" max="15636" width="49.42578125" style="108" customWidth="1"/>
    <col min="15637" max="15637" width="32.140625" style="108" customWidth="1"/>
    <col min="15638" max="15638" width="22.42578125" style="108" customWidth="1"/>
    <col min="15639" max="15639" width="33" style="108" customWidth="1"/>
    <col min="15640" max="15640" width="58.85546875" style="108" customWidth="1"/>
    <col min="15641" max="15641" width="37.85546875" style="108" customWidth="1"/>
    <col min="15642" max="15642" width="17.5703125" style="108" customWidth="1"/>
    <col min="15643" max="15643" width="16.5703125" style="108" customWidth="1"/>
    <col min="15644" max="15644" width="28.7109375" style="108" customWidth="1"/>
    <col min="15645" max="15645" width="23.85546875" style="108" customWidth="1"/>
    <col min="15646" max="15872" width="9.140625" style="108"/>
    <col min="15873" max="15874" width="0" style="108" hidden="1" customWidth="1"/>
    <col min="15875" max="15875" width="15.7109375" style="108" customWidth="1"/>
    <col min="15876" max="15876" width="93.42578125" style="108" customWidth="1"/>
    <col min="15877" max="15877" width="32.28515625" style="108" customWidth="1"/>
    <col min="15878" max="15878" width="23.7109375" style="108" customWidth="1"/>
    <col min="15879" max="15879" width="26.42578125" style="108" customWidth="1"/>
    <col min="15880" max="15880" width="26.5703125" style="108" customWidth="1"/>
    <col min="15881" max="15881" width="27.85546875" style="108" customWidth="1"/>
    <col min="15882" max="15882" width="28.140625" style="108" customWidth="1"/>
    <col min="15883" max="15883" width="24.28515625" style="108" customWidth="1"/>
    <col min="15884" max="15884" width="13.140625" style="108" customWidth="1"/>
    <col min="15885" max="15885" width="19.85546875" style="108" customWidth="1"/>
    <col min="15886" max="15886" width="34.42578125" style="108" customWidth="1"/>
    <col min="15887" max="15887" width="18.140625" style="108" customWidth="1"/>
    <col min="15888" max="15888" width="24.7109375" style="108" customWidth="1"/>
    <col min="15889" max="15889" width="23.28515625" style="108" customWidth="1"/>
    <col min="15890" max="15890" width="18.42578125" style="108" customWidth="1"/>
    <col min="15891" max="15891" width="27.85546875" style="108" customWidth="1"/>
    <col min="15892" max="15892" width="49.42578125" style="108" customWidth="1"/>
    <col min="15893" max="15893" width="32.140625" style="108" customWidth="1"/>
    <col min="15894" max="15894" width="22.42578125" style="108" customWidth="1"/>
    <col min="15895" max="15895" width="33" style="108" customWidth="1"/>
    <col min="15896" max="15896" width="58.85546875" style="108" customWidth="1"/>
    <col min="15897" max="15897" width="37.85546875" style="108" customWidth="1"/>
    <col min="15898" max="15898" width="17.5703125" style="108" customWidth="1"/>
    <col min="15899" max="15899" width="16.5703125" style="108" customWidth="1"/>
    <col min="15900" max="15900" width="28.7109375" style="108" customWidth="1"/>
    <col min="15901" max="15901" width="23.85546875" style="108" customWidth="1"/>
    <col min="15902" max="16128" width="9.140625" style="108"/>
    <col min="16129" max="16130" width="0" style="108" hidden="1" customWidth="1"/>
    <col min="16131" max="16131" width="15.7109375" style="108" customWidth="1"/>
    <col min="16132" max="16132" width="93.42578125" style="108" customWidth="1"/>
    <col min="16133" max="16133" width="32.28515625" style="108" customWidth="1"/>
    <col min="16134" max="16134" width="23.7109375" style="108" customWidth="1"/>
    <col min="16135" max="16135" width="26.42578125" style="108" customWidth="1"/>
    <col min="16136" max="16136" width="26.5703125" style="108" customWidth="1"/>
    <col min="16137" max="16137" width="27.85546875" style="108" customWidth="1"/>
    <col min="16138" max="16138" width="28.140625" style="108" customWidth="1"/>
    <col min="16139" max="16139" width="24.28515625" style="108" customWidth="1"/>
    <col min="16140" max="16140" width="13.140625" style="108" customWidth="1"/>
    <col min="16141" max="16141" width="19.85546875" style="108" customWidth="1"/>
    <col min="16142" max="16142" width="34.42578125" style="108" customWidth="1"/>
    <col min="16143" max="16143" width="18.140625" style="108" customWidth="1"/>
    <col min="16144" max="16144" width="24.7109375" style="108" customWidth="1"/>
    <col min="16145" max="16145" width="23.28515625" style="108" customWidth="1"/>
    <col min="16146" max="16146" width="18.42578125" style="108" customWidth="1"/>
    <col min="16147" max="16147" width="27.85546875" style="108" customWidth="1"/>
    <col min="16148" max="16148" width="49.42578125" style="108" customWidth="1"/>
    <col min="16149" max="16149" width="32.140625" style="108" customWidth="1"/>
    <col min="16150" max="16150" width="22.42578125" style="108" customWidth="1"/>
    <col min="16151" max="16151" width="33" style="108" customWidth="1"/>
    <col min="16152" max="16152" width="58.85546875" style="108" customWidth="1"/>
    <col min="16153" max="16153" width="37.85546875" style="108" customWidth="1"/>
    <col min="16154" max="16154" width="17.5703125" style="108" customWidth="1"/>
    <col min="16155" max="16155" width="16.5703125" style="108" customWidth="1"/>
    <col min="16156" max="16156" width="28.7109375" style="108" customWidth="1"/>
    <col min="16157" max="16157" width="23.85546875" style="108" customWidth="1"/>
    <col min="16158" max="16384" width="9.140625" style="108"/>
  </cols>
  <sheetData>
    <row r="1" spans="1:29" ht="31.5" x14ac:dyDescent="0.5">
      <c r="F1" s="109"/>
      <c r="G1" s="109"/>
      <c r="H1" s="109"/>
      <c r="I1" s="109"/>
      <c r="J1" s="109"/>
      <c r="K1" s="109"/>
      <c r="L1" s="280"/>
      <c r="M1" s="280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10"/>
      <c r="AA1" s="281"/>
      <c r="AB1" s="281"/>
      <c r="AC1" s="281"/>
    </row>
    <row r="2" spans="1:29" ht="20.25" x14ac:dyDescent="0.3">
      <c r="Z2" s="281"/>
      <c r="AA2" s="281"/>
      <c r="AB2" s="281"/>
      <c r="AC2" s="281"/>
    </row>
    <row r="3" spans="1:29" ht="21" x14ac:dyDescent="0.35">
      <c r="Z3" s="110"/>
      <c r="AA3" s="281"/>
      <c r="AB3" s="281"/>
      <c r="AC3" s="281"/>
    </row>
    <row r="4" spans="1:29" ht="31.5" x14ac:dyDescent="0.5">
      <c r="AA4" s="109"/>
      <c r="AB4" s="111"/>
      <c r="AC4" s="112"/>
    </row>
    <row r="5" spans="1:29" ht="147.75" customHeight="1" x14ac:dyDescent="0.25">
      <c r="C5" s="282" t="s">
        <v>1705</v>
      </c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</row>
    <row r="6" spans="1:29" s="113" customFormat="1" ht="30.75" customHeight="1" x14ac:dyDescent="0.4">
      <c r="C6" s="283" t="s">
        <v>6</v>
      </c>
      <c r="D6" s="283" t="s">
        <v>7</v>
      </c>
      <c r="E6" s="284" t="s">
        <v>8</v>
      </c>
      <c r="F6" s="276" t="s">
        <v>976</v>
      </c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87" t="s">
        <v>9</v>
      </c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75" t="s">
        <v>1692</v>
      </c>
    </row>
    <row r="7" spans="1:29" s="113" customFormat="1" ht="48.75" customHeight="1" x14ac:dyDescent="0.4">
      <c r="C7" s="283"/>
      <c r="D7" s="283"/>
      <c r="E7" s="285"/>
      <c r="F7" s="276" t="s">
        <v>13</v>
      </c>
      <c r="G7" s="276"/>
      <c r="H7" s="276"/>
      <c r="I7" s="276"/>
      <c r="J7" s="276"/>
      <c r="K7" s="276"/>
      <c r="L7" s="277" t="s">
        <v>14</v>
      </c>
      <c r="M7" s="277"/>
      <c r="N7" s="277" t="s">
        <v>15</v>
      </c>
      <c r="O7" s="277" t="s">
        <v>16</v>
      </c>
      <c r="P7" s="277" t="s">
        <v>17</v>
      </c>
      <c r="Q7" s="277" t="s">
        <v>18</v>
      </c>
      <c r="R7" s="278" t="s">
        <v>1693</v>
      </c>
      <c r="S7" s="278" t="s">
        <v>1694</v>
      </c>
      <c r="T7" s="278" t="s">
        <v>1695</v>
      </c>
      <c r="U7" s="278" t="s">
        <v>1696</v>
      </c>
      <c r="V7" s="278" t="s">
        <v>23</v>
      </c>
      <c r="W7" s="278" t="s">
        <v>1697</v>
      </c>
      <c r="X7" s="278" t="s">
        <v>1698</v>
      </c>
      <c r="Y7" s="278" t="s">
        <v>1699</v>
      </c>
      <c r="Z7" s="278" t="s">
        <v>27</v>
      </c>
      <c r="AA7" s="278" t="s">
        <v>28</v>
      </c>
      <c r="AB7" s="278" t="s">
        <v>1700</v>
      </c>
      <c r="AC7" s="275"/>
    </row>
    <row r="8" spans="1:29" s="113" customFormat="1" ht="409.5" customHeight="1" x14ac:dyDescent="0.4">
      <c r="C8" s="283"/>
      <c r="D8" s="283"/>
      <c r="E8" s="286"/>
      <c r="F8" s="114" t="s">
        <v>30</v>
      </c>
      <c r="G8" s="114" t="s">
        <v>31</v>
      </c>
      <c r="H8" s="114" t="s">
        <v>32</v>
      </c>
      <c r="I8" s="114" t="s">
        <v>33</v>
      </c>
      <c r="J8" s="114" t="s">
        <v>34</v>
      </c>
      <c r="K8" s="114" t="s">
        <v>35</v>
      </c>
      <c r="L8" s="277"/>
      <c r="M8" s="277"/>
      <c r="N8" s="277"/>
      <c r="O8" s="277"/>
      <c r="P8" s="277"/>
      <c r="Q8" s="277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5"/>
    </row>
    <row r="9" spans="1:29" s="113" customFormat="1" ht="38.25" customHeight="1" x14ac:dyDescent="0.4">
      <c r="C9" s="283"/>
      <c r="D9" s="283"/>
      <c r="E9" s="115" t="s">
        <v>36</v>
      </c>
      <c r="F9" s="116" t="s">
        <v>36</v>
      </c>
      <c r="G9" s="116" t="s">
        <v>36</v>
      </c>
      <c r="H9" s="116" t="s">
        <v>36</v>
      </c>
      <c r="I9" s="116" t="s">
        <v>36</v>
      </c>
      <c r="J9" s="116" t="s">
        <v>36</v>
      </c>
      <c r="K9" s="116" t="s">
        <v>36</v>
      </c>
      <c r="L9" s="116" t="s">
        <v>37</v>
      </c>
      <c r="M9" s="116" t="s">
        <v>36</v>
      </c>
      <c r="N9" s="116" t="s">
        <v>36</v>
      </c>
      <c r="O9" s="116" t="s">
        <v>36</v>
      </c>
      <c r="P9" s="116" t="s">
        <v>36</v>
      </c>
      <c r="Q9" s="116" t="s">
        <v>36</v>
      </c>
      <c r="R9" s="116" t="s">
        <v>36</v>
      </c>
      <c r="S9" s="116" t="s">
        <v>36</v>
      </c>
      <c r="T9" s="116" t="s">
        <v>36</v>
      </c>
      <c r="U9" s="116" t="s">
        <v>36</v>
      </c>
      <c r="V9" s="116" t="s">
        <v>36</v>
      </c>
      <c r="W9" s="116" t="s">
        <v>36</v>
      </c>
      <c r="X9" s="116" t="s">
        <v>36</v>
      </c>
      <c r="Y9" s="116" t="s">
        <v>36</v>
      </c>
      <c r="Z9" s="116" t="s">
        <v>36</v>
      </c>
      <c r="AA9" s="116" t="s">
        <v>36</v>
      </c>
      <c r="AB9" s="116" t="s">
        <v>36</v>
      </c>
      <c r="AC9" s="275"/>
    </row>
    <row r="10" spans="1:29" s="113" customFormat="1" ht="34.5" customHeight="1" x14ac:dyDescent="0.45">
      <c r="A10" s="113">
        <v>1</v>
      </c>
      <c r="C10" s="117">
        <v>1</v>
      </c>
      <c r="D10" s="117">
        <v>2</v>
      </c>
      <c r="E10" s="118">
        <f>D10+1</f>
        <v>3</v>
      </c>
      <c r="F10" s="118">
        <f>E10+1</f>
        <v>4</v>
      </c>
      <c r="G10" s="118">
        <v>5</v>
      </c>
      <c r="H10" s="118">
        <v>6</v>
      </c>
      <c r="I10" s="118">
        <v>7</v>
      </c>
      <c r="J10" s="118">
        <v>8</v>
      </c>
      <c r="K10" s="118">
        <v>9</v>
      </c>
      <c r="L10" s="118">
        <v>10</v>
      </c>
      <c r="M10" s="118">
        <v>11</v>
      </c>
      <c r="N10" s="118">
        <v>12</v>
      </c>
      <c r="O10" s="118">
        <v>13</v>
      </c>
      <c r="P10" s="118">
        <v>14</v>
      </c>
      <c r="Q10" s="118">
        <v>15</v>
      </c>
      <c r="R10" s="118">
        <v>16</v>
      </c>
      <c r="S10" s="118">
        <v>17</v>
      </c>
      <c r="T10" s="118">
        <v>18</v>
      </c>
      <c r="U10" s="118">
        <v>19</v>
      </c>
      <c r="V10" s="118">
        <v>20</v>
      </c>
      <c r="W10" s="118">
        <v>21</v>
      </c>
      <c r="X10" s="118">
        <v>22</v>
      </c>
      <c r="Y10" s="118">
        <v>23</v>
      </c>
      <c r="Z10" s="118">
        <v>24</v>
      </c>
      <c r="AA10" s="118">
        <v>25</v>
      </c>
      <c r="AB10" s="118">
        <v>26</v>
      </c>
      <c r="AC10" s="118">
        <v>27</v>
      </c>
    </row>
    <row r="11" spans="1:29" s="113" customFormat="1" ht="27.75" x14ac:dyDescent="0.4">
      <c r="C11" s="119" t="s">
        <v>1701</v>
      </c>
      <c r="D11" s="117"/>
      <c r="E11" s="120">
        <f>E12</f>
        <v>58937.15</v>
      </c>
      <c r="F11" s="120">
        <f t="shared" ref="F11:AB11" si="0">F12</f>
        <v>0</v>
      </c>
      <c r="G11" s="120">
        <f t="shared" si="0"/>
        <v>0</v>
      </c>
      <c r="H11" s="120">
        <f t="shared" si="0"/>
        <v>0</v>
      </c>
      <c r="I11" s="120">
        <f t="shared" si="0"/>
        <v>58937.15</v>
      </c>
      <c r="J11" s="120">
        <f t="shared" si="0"/>
        <v>0</v>
      </c>
      <c r="K11" s="120">
        <f t="shared" si="0"/>
        <v>0</v>
      </c>
      <c r="L11" s="121">
        <f t="shared" si="0"/>
        <v>0</v>
      </c>
      <c r="M11" s="120">
        <f t="shared" si="0"/>
        <v>0</v>
      </c>
      <c r="N11" s="120">
        <f t="shared" si="0"/>
        <v>0</v>
      </c>
      <c r="O11" s="120">
        <f t="shared" si="0"/>
        <v>0</v>
      </c>
      <c r="P11" s="120">
        <f t="shared" si="0"/>
        <v>0</v>
      </c>
      <c r="Q11" s="120">
        <f t="shared" si="0"/>
        <v>0</v>
      </c>
      <c r="R11" s="120">
        <f t="shared" si="0"/>
        <v>0</v>
      </c>
      <c r="S11" s="120">
        <f t="shared" si="0"/>
        <v>0</v>
      </c>
      <c r="T11" s="120">
        <f t="shared" si="0"/>
        <v>0</v>
      </c>
      <c r="U11" s="120">
        <f t="shared" si="0"/>
        <v>0</v>
      </c>
      <c r="V11" s="120">
        <f t="shared" si="0"/>
        <v>0</v>
      </c>
      <c r="W11" s="120">
        <f t="shared" si="0"/>
        <v>0</v>
      </c>
      <c r="X11" s="120">
        <f t="shared" si="0"/>
        <v>0</v>
      </c>
      <c r="Y11" s="120">
        <f t="shared" si="0"/>
        <v>0</v>
      </c>
      <c r="Z11" s="120">
        <f t="shared" si="0"/>
        <v>0</v>
      </c>
      <c r="AA11" s="120">
        <f t="shared" si="0"/>
        <v>0</v>
      </c>
      <c r="AB11" s="120">
        <f t="shared" si="0"/>
        <v>0</v>
      </c>
      <c r="AC11" s="117" t="s">
        <v>882</v>
      </c>
    </row>
    <row r="12" spans="1:29" s="113" customFormat="1" ht="27.75" x14ac:dyDescent="0.4">
      <c r="C12" s="122" t="s">
        <v>1702</v>
      </c>
      <c r="D12" s="117"/>
      <c r="E12" s="120">
        <f>E13</f>
        <v>58937.15</v>
      </c>
      <c r="F12" s="120">
        <f t="shared" ref="F12:AB12" si="1">F13</f>
        <v>0</v>
      </c>
      <c r="G12" s="120">
        <f t="shared" si="1"/>
        <v>0</v>
      </c>
      <c r="H12" s="120">
        <f t="shared" si="1"/>
        <v>0</v>
      </c>
      <c r="I12" s="120">
        <f t="shared" si="1"/>
        <v>58937.15</v>
      </c>
      <c r="J12" s="120">
        <f t="shared" si="1"/>
        <v>0</v>
      </c>
      <c r="K12" s="120">
        <f t="shared" si="1"/>
        <v>0</v>
      </c>
      <c r="L12" s="121">
        <f t="shared" si="1"/>
        <v>0</v>
      </c>
      <c r="M12" s="120">
        <f t="shared" si="1"/>
        <v>0</v>
      </c>
      <c r="N12" s="120">
        <f t="shared" si="1"/>
        <v>0</v>
      </c>
      <c r="O12" s="120">
        <f t="shared" si="1"/>
        <v>0</v>
      </c>
      <c r="P12" s="120">
        <f t="shared" si="1"/>
        <v>0</v>
      </c>
      <c r="Q12" s="120">
        <f t="shared" si="1"/>
        <v>0</v>
      </c>
      <c r="R12" s="120">
        <f t="shared" si="1"/>
        <v>0</v>
      </c>
      <c r="S12" s="120">
        <f t="shared" si="1"/>
        <v>0</v>
      </c>
      <c r="T12" s="120">
        <f t="shared" si="1"/>
        <v>0</v>
      </c>
      <c r="U12" s="120">
        <f t="shared" si="1"/>
        <v>0</v>
      </c>
      <c r="V12" s="120">
        <f t="shared" si="1"/>
        <v>0</v>
      </c>
      <c r="W12" s="120">
        <f t="shared" si="1"/>
        <v>0</v>
      </c>
      <c r="X12" s="120">
        <f t="shared" si="1"/>
        <v>0</v>
      </c>
      <c r="Y12" s="120">
        <f t="shared" si="1"/>
        <v>0</v>
      </c>
      <c r="Z12" s="120">
        <f t="shared" si="1"/>
        <v>0</v>
      </c>
      <c r="AA12" s="120">
        <f t="shared" si="1"/>
        <v>0</v>
      </c>
      <c r="AB12" s="120">
        <f t="shared" si="1"/>
        <v>0</v>
      </c>
      <c r="AC12" s="117" t="s">
        <v>882</v>
      </c>
    </row>
    <row r="13" spans="1:29" s="113" customFormat="1" ht="27.75" x14ac:dyDescent="0.4">
      <c r="A13" s="113">
        <v>2</v>
      </c>
      <c r="C13" s="122" t="s">
        <v>1704</v>
      </c>
      <c r="D13" s="117"/>
      <c r="E13" s="120">
        <f>F13+G13+H13+I13+J13+K13+M13+N13+O13+P13+Q13+R13+S13+T13+U13+V13+W13+X13+Y13+Z13+AA13+AB13</f>
        <v>58937.15</v>
      </c>
      <c r="F13" s="120">
        <f t="shared" ref="F13:Q13" si="2">F14</f>
        <v>0</v>
      </c>
      <c r="G13" s="120">
        <f t="shared" si="2"/>
        <v>0</v>
      </c>
      <c r="H13" s="120">
        <f t="shared" si="2"/>
        <v>0</v>
      </c>
      <c r="I13" s="120">
        <f t="shared" si="2"/>
        <v>58937.15</v>
      </c>
      <c r="J13" s="120">
        <f t="shared" si="2"/>
        <v>0</v>
      </c>
      <c r="K13" s="120">
        <f t="shared" si="2"/>
        <v>0</v>
      </c>
      <c r="L13" s="121">
        <f t="shared" si="2"/>
        <v>0</v>
      </c>
      <c r="M13" s="120">
        <f t="shared" si="2"/>
        <v>0</v>
      </c>
      <c r="N13" s="120">
        <f t="shared" si="2"/>
        <v>0</v>
      </c>
      <c r="O13" s="120">
        <f t="shared" si="2"/>
        <v>0</v>
      </c>
      <c r="P13" s="120">
        <f t="shared" si="2"/>
        <v>0</v>
      </c>
      <c r="Q13" s="120">
        <f t="shared" si="2"/>
        <v>0</v>
      </c>
      <c r="R13" s="120">
        <v>0</v>
      </c>
      <c r="S13" s="120">
        <v>0</v>
      </c>
      <c r="T13" s="120">
        <v>0</v>
      </c>
      <c r="U13" s="120">
        <v>0</v>
      </c>
      <c r="V13" s="120">
        <v>0</v>
      </c>
      <c r="W13" s="120">
        <v>0</v>
      </c>
      <c r="X13" s="120">
        <v>0</v>
      </c>
      <c r="Y13" s="120">
        <v>0</v>
      </c>
      <c r="Z13" s="120">
        <f>Z14</f>
        <v>0</v>
      </c>
      <c r="AA13" s="120">
        <f>AA14</f>
        <v>0</v>
      </c>
      <c r="AB13" s="120">
        <f>AB14</f>
        <v>0</v>
      </c>
      <c r="AC13" s="117" t="s">
        <v>882</v>
      </c>
    </row>
    <row r="14" spans="1:29" s="113" customFormat="1" ht="27.75" x14ac:dyDescent="0.4">
      <c r="A14" s="113">
        <v>3</v>
      </c>
      <c r="B14" s="113">
        <v>1</v>
      </c>
      <c r="C14" s="123">
        <v>1</v>
      </c>
      <c r="D14" s="124" t="s">
        <v>1703</v>
      </c>
      <c r="E14" s="120">
        <f>F14+G14+H14+I14+J14+K14+M14+N14+O14+P14+Q14+R14+S14+T14+U14+V14+W14+X14+Y14+Z14+AA14+AB14</f>
        <v>58937.15</v>
      </c>
      <c r="F14" s="125">
        <v>0</v>
      </c>
      <c r="G14" s="125">
        <v>0</v>
      </c>
      <c r="H14" s="125">
        <v>0</v>
      </c>
      <c r="I14" s="125">
        <v>58937.15</v>
      </c>
      <c r="J14" s="125">
        <v>0</v>
      </c>
      <c r="K14" s="125">
        <v>0</v>
      </c>
      <c r="L14" s="124">
        <v>0</v>
      </c>
      <c r="M14" s="125">
        <v>0</v>
      </c>
      <c r="N14" s="125">
        <v>0</v>
      </c>
      <c r="O14" s="125">
        <v>0</v>
      </c>
      <c r="P14" s="125">
        <v>0</v>
      </c>
      <c r="Q14" s="125">
        <v>0</v>
      </c>
      <c r="R14" s="125">
        <v>0</v>
      </c>
      <c r="S14" s="125">
        <v>0</v>
      </c>
      <c r="T14" s="125">
        <v>0</v>
      </c>
      <c r="U14" s="125">
        <v>0</v>
      </c>
      <c r="V14" s="125">
        <v>0</v>
      </c>
      <c r="W14" s="125">
        <v>0</v>
      </c>
      <c r="X14" s="125">
        <v>0</v>
      </c>
      <c r="Y14" s="125">
        <v>0</v>
      </c>
      <c r="Z14" s="125">
        <v>0</v>
      </c>
      <c r="AA14" s="125">
        <v>0</v>
      </c>
      <c r="AB14" s="125">
        <v>0</v>
      </c>
      <c r="AC14" s="123">
        <v>2020</v>
      </c>
    </row>
    <row r="15" spans="1:29" s="113" customFormat="1" ht="27.75" x14ac:dyDescent="0.4">
      <c r="A15" s="113">
        <v>2</v>
      </c>
      <c r="C15" s="122" t="s">
        <v>1035</v>
      </c>
      <c r="D15" s="117"/>
      <c r="E15" s="120">
        <f>F15+G15+H15+I15+J15+K15+M15+N15+O15+P15+Q15+R15+S15+T15+U15+V15+W15+X15+Y15+Z15+AA15+AB15</f>
        <v>560539.34</v>
      </c>
      <c r="F15" s="120">
        <f t="shared" ref="F15:Q15" si="3">F16</f>
        <v>0</v>
      </c>
      <c r="G15" s="120">
        <f t="shared" si="3"/>
        <v>0</v>
      </c>
      <c r="H15" s="120">
        <f t="shared" si="3"/>
        <v>560539.34</v>
      </c>
      <c r="I15" s="120">
        <f t="shared" si="3"/>
        <v>0</v>
      </c>
      <c r="J15" s="120">
        <f t="shared" si="3"/>
        <v>0</v>
      </c>
      <c r="K15" s="120">
        <f t="shared" si="3"/>
        <v>0</v>
      </c>
      <c r="L15" s="121">
        <f t="shared" si="3"/>
        <v>0</v>
      </c>
      <c r="M15" s="120">
        <f t="shared" si="3"/>
        <v>0</v>
      </c>
      <c r="N15" s="120">
        <f t="shared" si="3"/>
        <v>0</v>
      </c>
      <c r="O15" s="120">
        <f t="shared" si="3"/>
        <v>0</v>
      </c>
      <c r="P15" s="120">
        <f t="shared" si="3"/>
        <v>0</v>
      </c>
      <c r="Q15" s="120">
        <f t="shared" si="3"/>
        <v>0</v>
      </c>
      <c r="R15" s="120">
        <v>0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0</v>
      </c>
      <c r="Y15" s="120">
        <v>0</v>
      </c>
      <c r="Z15" s="120">
        <f>Z16</f>
        <v>0</v>
      </c>
      <c r="AA15" s="120">
        <f>AA16</f>
        <v>0</v>
      </c>
      <c r="AB15" s="120">
        <f>AB16</f>
        <v>0</v>
      </c>
      <c r="AC15" s="117" t="s">
        <v>882</v>
      </c>
    </row>
    <row r="16" spans="1:29" s="113" customFormat="1" ht="27.75" x14ac:dyDescent="0.4">
      <c r="A16" s="113">
        <v>3</v>
      </c>
      <c r="B16" s="113">
        <v>1</v>
      </c>
      <c r="C16" s="123">
        <v>2</v>
      </c>
      <c r="D16" s="124" t="s">
        <v>1911</v>
      </c>
      <c r="E16" s="120">
        <f>F16+G16+H16+I16+J16+K16+M16+N16+O16+P16+Q16+R16+S16+T16+U16+V16+W16+X16+Y16+Z16+AA16+AB16</f>
        <v>560539.34</v>
      </c>
      <c r="F16" s="125">
        <v>0</v>
      </c>
      <c r="G16" s="125">
        <v>0</v>
      </c>
      <c r="H16" s="125">
        <v>560539.34</v>
      </c>
      <c r="I16" s="125">
        <v>0</v>
      </c>
      <c r="J16" s="125">
        <v>0</v>
      </c>
      <c r="K16" s="125">
        <v>0</v>
      </c>
      <c r="L16" s="124">
        <v>0</v>
      </c>
      <c r="M16" s="125">
        <v>0</v>
      </c>
      <c r="N16" s="125">
        <v>0</v>
      </c>
      <c r="O16" s="125">
        <v>0</v>
      </c>
      <c r="P16" s="125">
        <v>0</v>
      </c>
      <c r="Q16" s="125">
        <v>0</v>
      </c>
      <c r="R16" s="125">
        <v>0</v>
      </c>
      <c r="S16" s="125">
        <v>0</v>
      </c>
      <c r="T16" s="125">
        <v>0</v>
      </c>
      <c r="U16" s="125">
        <v>0</v>
      </c>
      <c r="V16" s="125">
        <v>0</v>
      </c>
      <c r="W16" s="125">
        <v>0</v>
      </c>
      <c r="X16" s="125">
        <v>0</v>
      </c>
      <c r="Y16" s="125">
        <v>0</v>
      </c>
      <c r="Z16" s="125">
        <v>0</v>
      </c>
      <c r="AA16" s="125">
        <v>0</v>
      </c>
      <c r="AB16" s="125">
        <v>0</v>
      </c>
      <c r="AC16" s="123">
        <v>2020</v>
      </c>
    </row>
    <row r="17" spans="1:29" s="113" customFormat="1" ht="27.75" x14ac:dyDescent="0.4">
      <c r="C17" s="122" t="s">
        <v>2413</v>
      </c>
      <c r="D17" s="117"/>
      <c r="E17" s="120">
        <f>E18</f>
        <v>409751.5</v>
      </c>
      <c r="F17" s="120">
        <f t="shared" ref="F17:AB18" si="4">F18</f>
        <v>0</v>
      </c>
      <c r="G17" s="120">
        <f t="shared" si="4"/>
        <v>0</v>
      </c>
      <c r="H17" s="120">
        <f t="shared" si="4"/>
        <v>0</v>
      </c>
      <c r="I17" s="120">
        <f t="shared" si="4"/>
        <v>0</v>
      </c>
      <c r="J17" s="120">
        <f t="shared" si="4"/>
        <v>140121</v>
      </c>
      <c r="K17" s="120">
        <f t="shared" si="4"/>
        <v>0</v>
      </c>
      <c r="L17" s="121">
        <f t="shared" si="4"/>
        <v>0</v>
      </c>
      <c r="M17" s="120">
        <f t="shared" si="4"/>
        <v>0</v>
      </c>
      <c r="N17" s="120">
        <f t="shared" si="4"/>
        <v>193013</v>
      </c>
      <c r="O17" s="120">
        <f t="shared" si="4"/>
        <v>0</v>
      </c>
      <c r="P17" s="120">
        <f t="shared" si="4"/>
        <v>76617.5</v>
      </c>
      <c r="Q17" s="120">
        <f t="shared" si="4"/>
        <v>0</v>
      </c>
      <c r="R17" s="120">
        <f t="shared" si="4"/>
        <v>0</v>
      </c>
      <c r="S17" s="120">
        <f t="shared" si="4"/>
        <v>0</v>
      </c>
      <c r="T17" s="120">
        <f t="shared" si="4"/>
        <v>0</v>
      </c>
      <c r="U17" s="120">
        <f t="shared" si="4"/>
        <v>0</v>
      </c>
      <c r="V17" s="120">
        <f t="shared" si="4"/>
        <v>0</v>
      </c>
      <c r="W17" s="120">
        <f t="shared" si="4"/>
        <v>0</v>
      </c>
      <c r="X17" s="120">
        <f t="shared" si="4"/>
        <v>0</v>
      </c>
      <c r="Y17" s="120">
        <f t="shared" si="4"/>
        <v>0</v>
      </c>
      <c r="Z17" s="120">
        <f t="shared" si="4"/>
        <v>0</v>
      </c>
      <c r="AA17" s="120">
        <f t="shared" si="4"/>
        <v>0</v>
      </c>
      <c r="AB17" s="120">
        <f t="shared" si="4"/>
        <v>0</v>
      </c>
      <c r="AC17" s="117" t="s">
        <v>882</v>
      </c>
    </row>
    <row r="18" spans="1:29" s="113" customFormat="1" ht="27.75" x14ac:dyDescent="0.4">
      <c r="A18" s="113">
        <v>2</v>
      </c>
      <c r="C18" s="122" t="s">
        <v>833</v>
      </c>
      <c r="D18" s="117"/>
      <c r="E18" s="120">
        <f>F18+G18+H18+I18+J18+K18+M18+N18+O18+P18+Q18+R18+S18+T18+U18+V18+W18+X18+Y18+Z18+AA18+AB18</f>
        <v>409751.5</v>
      </c>
      <c r="F18" s="120">
        <f t="shared" si="4"/>
        <v>0</v>
      </c>
      <c r="G18" s="120">
        <f t="shared" si="4"/>
        <v>0</v>
      </c>
      <c r="H18" s="120">
        <f t="shared" si="4"/>
        <v>0</v>
      </c>
      <c r="I18" s="120">
        <f t="shared" si="4"/>
        <v>0</v>
      </c>
      <c r="J18" s="120">
        <f t="shared" si="4"/>
        <v>140121</v>
      </c>
      <c r="K18" s="120">
        <f t="shared" si="4"/>
        <v>0</v>
      </c>
      <c r="L18" s="121">
        <f t="shared" si="4"/>
        <v>0</v>
      </c>
      <c r="M18" s="120">
        <f t="shared" si="4"/>
        <v>0</v>
      </c>
      <c r="N18" s="120">
        <f t="shared" si="4"/>
        <v>193013</v>
      </c>
      <c r="O18" s="120">
        <f t="shared" si="4"/>
        <v>0</v>
      </c>
      <c r="P18" s="120">
        <f t="shared" si="4"/>
        <v>76617.5</v>
      </c>
      <c r="Q18" s="120">
        <f t="shared" si="4"/>
        <v>0</v>
      </c>
      <c r="R18" s="120">
        <v>0</v>
      </c>
      <c r="S18" s="120">
        <v>0</v>
      </c>
      <c r="T18" s="120">
        <v>0</v>
      </c>
      <c r="U18" s="120">
        <v>0</v>
      </c>
      <c r="V18" s="120">
        <v>0</v>
      </c>
      <c r="W18" s="120">
        <v>0</v>
      </c>
      <c r="X18" s="120">
        <v>0</v>
      </c>
      <c r="Y18" s="120">
        <v>0</v>
      </c>
      <c r="Z18" s="120">
        <f>Z19</f>
        <v>0</v>
      </c>
      <c r="AA18" s="120">
        <f>AA19</f>
        <v>0</v>
      </c>
      <c r="AB18" s="120">
        <f>AB19</f>
        <v>0</v>
      </c>
      <c r="AC18" s="117" t="s">
        <v>882</v>
      </c>
    </row>
    <row r="19" spans="1:29" s="113" customFormat="1" ht="27.75" x14ac:dyDescent="0.4">
      <c r="A19" s="113">
        <v>3</v>
      </c>
      <c r="B19" s="113">
        <v>1</v>
      </c>
      <c r="C19" s="123">
        <v>1</v>
      </c>
      <c r="D19" s="124" t="s">
        <v>2414</v>
      </c>
      <c r="E19" s="120">
        <f>F19+G19+H19+I19+J19+K19+M19+N19+O19+P19+Q19+R19+S19+T19+U19+V19+W19+X19+Y19+Z19+AA19+AB19</f>
        <v>409751.5</v>
      </c>
      <c r="F19" s="125">
        <v>0</v>
      </c>
      <c r="G19" s="125">
        <v>0</v>
      </c>
      <c r="H19" s="125">
        <v>0</v>
      </c>
      <c r="I19" s="125">
        <v>0</v>
      </c>
      <c r="J19" s="125">
        <v>140121</v>
      </c>
      <c r="K19" s="125">
        <v>0</v>
      </c>
      <c r="L19" s="124">
        <v>0</v>
      </c>
      <c r="M19" s="125">
        <v>0</v>
      </c>
      <c r="N19" s="125">
        <v>193013</v>
      </c>
      <c r="O19" s="125">
        <v>0</v>
      </c>
      <c r="P19" s="125">
        <v>76617.5</v>
      </c>
      <c r="Q19" s="125">
        <v>0</v>
      </c>
      <c r="R19" s="125">
        <v>0</v>
      </c>
      <c r="S19" s="125">
        <v>0</v>
      </c>
      <c r="T19" s="125">
        <v>0</v>
      </c>
      <c r="U19" s="125">
        <v>0</v>
      </c>
      <c r="V19" s="125">
        <v>0</v>
      </c>
      <c r="W19" s="125">
        <v>0</v>
      </c>
      <c r="X19" s="125">
        <v>0</v>
      </c>
      <c r="Y19" s="125">
        <v>0</v>
      </c>
      <c r="Z19" s="125">
        <v>0</v>
      </c>
      <c r="AA19" s="125">
        <v>0</v>
      </c>
      <c r="AB19" s="125">
        <v>0</v>
      </c>
      <c r="AC19" s="123">
        <v>2021</v>
      </c>
    </row>
  </sheetData>
  <mergeCells count="28">
    <mergeCell ref="C6:C9"/>
    <mergeCell ref="D6:D9"/>
    <mergeCell ref="E6:E8"/>
    <mergeCell ref="F6:Q6"/>
    <mergeCell ref="R6:AB6"/>
    <mergeCell ref="Y7:Y8"/>
    <mergeCell ref="Z7:Z8"/>
    <mergeCell ref="L1:M1"/>
    <mergeCell ref="AA1:AC1"/>
    <mergeCell ref="Z2:AC2"/>
    <mergeCell ref="AA3:AC3"/>
    <mergeCell ref="C5:AC5"/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</mergeCells>
  <pageMargins left="0" right="0" top="0" bottom="0" header="0" footer="0"/>
  <pageSetup paperSize="9" scale="1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N241"/>
  <sheetViews>
    <sheetView topLeftCell="B1" zoomScale="20" zoomScaleNormal="20" workbookViewId="0">
      <pane xSplit="2" ySplit="10" topLeftCell="D125" activePane="bottomRight" state="frozen"/>
      <selection activeCell="B1" sqref="B1"/>
      <selection pane="topRight" activeCell="D1" sqref="D1"/>
      <selection pane="bottomLeft" activeCell="B11" sqref="B11"/>
      <selection pane="bottomRight" activeCell="B1" sqref="A1:XFD1048576"/>
    </sheetView>
  </sheetViews>
  <sheetFormatPr defaultRowHeight="15" x14ac:dyDescent="0.25"/>
  <cols>
    <col min="1" max="1" width="9.140625" style="4" hidden="1" customWidth="1"/>
    <col min="2" max="2" width="26.42578125" style="4" customWidth="1"/>
    <col min="3" max="3" width="253.42578125" style="4" customWidth="1"/>
    <col min="4" max="4" width="58.85546875" style="4" customWidth="1"/>
    <col min="5" max="5" width="72.140625" style="4" customWidth="1"/>
    <col min="6" max="6" width="53.5703125" style="4" customWidth="1"/>
    <col min="7" max="9" width="54.28515625" style="4" customWidth="1"/>
    <col min="10" max="10" width="49.28515625" style="4" customWidth="1"/>
    <col min="11" max="11" width="52.85546875" style="4" customWidth="1"/>
    <col min="12" max="12" width="47.85546875" style="4" customWidth="1"/>
    <col min="13" max="13" width="40.140625" style="56" customWidth="1"/>
    <col min="14" max="14" width="44.42578125" style="4" customWidth="1"/>
    <col min="15" max="15" width="43.7109375" style="4" customWidth="1"/>
    <col min="16" max="16" width="58.5703125" style="4" customWidth="1"/>
    <col min="17" max="17" width="41.42578125" style="4" customWidth="1"/>
    <col min="18" max="18" width="42.5703125" style="4" customWidth="1"/>
    <col min="19" max="19" width="43.85546875" style="4" customWidth="1"/>
    <col min="20" max="20" width="60.28515625" style="4" customWidth="1"/>
    <col min="21" max="21" width="35.42578125" style="4" customWidth="1"/>
    <col min="22" max="22" width="49.140625" style="4" customWidth="1"/>
    <col min="23" max="23" width="34.28515625" style="4" customWidth="1"/>
    <col min="24" max="24" width="58" style="4" customWidth="1"/>
    <col min="25" max="25" width="66.28515625" style="4" customWidth="1"/>
    <col min="26" max="26" width="51.85546875" style="4" customWidth="1"/>
    <col min="27" max="27" width="41.42578125" style="4" customWidth="1"/>
    <col min="28" max="28" width="69" style="4" customWidth="1"/>
    <col min="29" max="29" width="96.7109375" style="4" customWidth="1"/>
    <col min="30" max="30" width="55.28515625" style="4" customWidth="1"/>
    <col min="31" max="32" width="51" style="4" customWidth="1"/>
    <col min="33" max="33" width="63.28515625" style="4" customWidth="1"/>
    <col min="34" max="34" width="38.140625" style="4" customWidth="1"/>
    <col min="35" max="35" width="41.7109375" style="4" customWidth="1"/>
    <col min="36" max="36" width="45.28515625" style="4" customWidth="1"/>
    <col min="37" max="16384" width="9.140625" style="4"/>
  </cols>
  <sheetData>
    <row r="1" spans="1:36" ht="90" x14ac:dyDescent="1.1499999999999999">
      <c r="B1" s="301" t="s">
        <v>970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</row>
    <row r="2" spans="1:36" ht="90" x14ac:dyDescent="0.25">
      <c r="B2" s="302" t="s">
        <v>1929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</row>
    <row r="3" spans="1:36" ht="76.5" x14ac:dyDescent="1.05">
      <c r="B3" s="52" t="s">
        <v>972</v>
      </c>
      <c r="C3" s="303" t="s">
        <v>2269</v>
      </c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</row>
    <row r="4" spans="1:36" ht="76.5" x14ac:dyDescent="0.25">
      <c r="B4" s="52" t="s">
        <v>973</v>
      </c>
      <c r="C4" s="304" t="s">
        <v>998</v>
      </c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1:36" ht="45.75" customHeight="1" x14ac:dyDescent="0.25">
      <c r="B5" s="215" t="s">
        <v>6</v>
      </c>
      <c r="C5" s="215" t="s">
        <v>7</v>
      </c>
      <c r="D5" s="305" t="s">
        <v>999</v>
      </c>
      <c r="E5" s="305" t="s">
        <v>1000</v>
      </c>
      <c r="F5" s="308" t="s">
        <v>8</v>
      </c>
      <c r="G5" s="215" t="s">
        <v>976</v>
      </c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311" t="s">
        <v>9</v>
      </c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293" t="s">
        <v>10</v>
      </c>
      <c r="AI5" s="293" t="s">
        <v>11</v>
      </c>
      <c r="AJ5" s="293" t="s">
        <v>12</v>
      </c>
    </row>
    <row r="6" spans="1:36" ht="45.75" x14ac:dyDescent="0.25">
      <c r="B6" s="215"/>
      <c r="C6" s="215"/>
      <c r="D6" s="306"/>
      <c r="E6" s="306"/>
      <c r="F6" s="309"/>
      <c r="G6" s="215" t="s">
        <v>13</v>
      </c>
      <c r="H6" s="215"/>
      <c r="I6" s="215"/>
      <c r="J6" s="215"/>
      <c r="K6" s="215"/>
      <c r="L6" s="215"/>
      <c r="M6" s="296" t="s">
        <v>14</v>
      </c>
      <c r="N6" s="297"/>
      <c r="O6" s="296" t="s">
        <v>15</v>
      </c>
      <c r="P6" s="297"/>
      <c r="Q6" s="296" t="s">
        <v>16</v>
      </c>
      <c r="R6" s="297"/>
      <c r="S6" s="296" t="s">
        <v>17</v>
      </c>
      <c r="T6" s="297"/>
      <c r="U6" s="296" t="s">
        <v>18</v>
      </c>
      <c r="V6" s="297"/>
      <c r="W6" s="289" t="s">
        <v>19</v>
      </c>
      <c r="X6" s="289" t="s">
        <v>1001</v>
      </c>
      <c r="Y6" s="289" t="s">
        <v>21</v>
      </c>
      <c r="Z6" s="289" t="s">
        <v>22</v>
      </c>
      <c r="AA6" s="289" t="s">
        <v>23</v>
      </c>
      <c r="AB6" s="289" t="s">
        <v>1002</v>
      </c>
      <c r="AC6" s="289" t="s">
        <v>1003</v>
      </c>
      <c r="AD6" s="289" t="s">
        <v>1004</v>
      </c>
      <c r="AE6" s="291" t="s">
        <v>27</v>
      </c>
      <c r="AF6" s="291" t="s">
        <v>28</v>
      </c>
      <c r="AG6" s="291" t="s">
        <v>1005</v>
      </c>
      <c r="AH6" s="294"/>
      <c r="AI6" s="294"/>
      <c r="AJ6" s="294"/>
    </row>
    <row r="7" spans="1:36" ht="303" customHeight="1" x14ac:dyDescent="0.25">
      <c r="B7" s="215"/>
      <c r="C7" s="215"/>
      <c r="D7" s="306"/>
      <c r="E7" s="307"/>
      <c r="F7" s="310"/>
      <c r="G7" s="53" t="s">
        <v>30</v>
      </c>
      <c r="H7" s="53" t="s">
        <v>31</v>
      </c>
      <c r="I7" s="53" t="s">
        <v>32</v>
      </c>
      <c r="J7" s="53" t="s">
        <v>33</v>
      </c>
      <c r="K7" s="53" t="s">
        <v>34</v>
      </c>
      <c r="L7" s="53" t="s">
        <v>35</v>
      </c>
      <c r="M7" s="298"/>
      <c r="N7" s="299"/>
      <c r="O7" s="298"/>
      <c r="P7" s="299"/>
      <c r="Q7" s="298"/>
      <c r="R7" s="299"/>
      <c r="S7" s="298"/>
      <c r="T7" s="299"/>
      <c r="U7" s="298"/>
      <c r="V7" s="299"/>
      <c r="W7" s="290"/>
      <c r="X7" s="290"/>
      <c r="Y7" s="290"/>
      <c r="Z7" s="290"/>
      <c r="AA7" s="290"/>
      <c r="AB7" s="290"/>
      <c r="AC7" s="290"/>
      <c r="AD7" s="290"/>
      <c r="AE7" s="292"/>
      <c r="AF7" s="292"/>
      <c r="AG7" s="292"/>
      <c r="AH7" s="294"/>
      <c r="AI7" s="294"/>
      <c r="AJ7" s="294"/>
    </row>
    <row r="8" spans="1:36" ht="45.75" x14ac:dyDescent="0.25">
      <c r="B8" s="215"/>
      <c r="C8" s="215"/>
      <c r="D8" s="307"/>
      <c r="E8" s="195" t="s">
        <v>1006</v>
      </c>
      <c r="F8" s="194" t="s">
        <v>36</v>
      </c>
      <c r="G8" s="195" t="s">
        <v>36</v>
      </c>
      <c r="H8" s="195" t="s">
        <v>36</v>
      </c>
      <c r="I8" s="195" t="s">
        <v>36</v>
      </c>
      <c r="J8" s="195" t="s">
        <v>36</v>
      </c>
      <c r="K8" s="195" t="s">
        <v>36</v>
      </c>
      <c r="L8" s="195" t="s">
        <v>36</v>
      </c>
      <c r="M8" s="24" t="s">
        <v>37</v>
      </c>
      <c r="N8" s="195" t="s">
        <v>36</v>
      </c>
      <c r="O8" s="195" t="s">
        <v>38</v>
      </c>
      <c r="P8" s="195" t="s">
        <v>36</v>
      </c>
      <c r="Q8" s="195" t="s">
        <v>38</v>
      </c>
      <c r="R8" s="195" t="s">
        <v>36</v>
      </c>
      <c r="S8" s="195" t="s">
        <v>38</v>
      </c>
      <c r="T8" s="195" t="s">
        <v>36</v>
      </c>
      <c r="U8" s="195" t="s">
        <v>39</v>
      </c>
      <c r="V8" s="195" t="s">
        <v>36</v>
      </c>
      <c r="W8" s="195" t="s">
        <v>36</v>
      </c>
      <c r="X8" s="195" t="s">
        <v>36</v>
      </c>
      <c r="Y8" s="195" t="s">
        <v>36</v>
      </c>
      <c r="Z8" s="195" t="s">
        <v>36</v>
      </c>
      <c r="AA8" s="195" t="s">
        <v>36</v>
      </c>
      <c r="AB8" s="195" t="s">
        <v>36</v>
      </c>
      <c r="AC8" s="195" t="s">
        <v>36</v>
      </c>
      <c r="AD8" s="195" t="s">
        <v>36</v>
      </c>
      <c r="AE8" s="195" t="s">
        <v>36</v>
      </c>
      <c r="AF8" s="195" t="s">
        <v>36</v>
      </c>
      <c r="AG8" s="195" t="s">
        <v>36</v>
      </c>
      <c r="AH8" s="295"/>
      <c r="AI8" s="295"/>
      <c r="AJ8" s="295"/>
    </row>
    <row r="9" spans="1:36" ht="45.75" x14ac:dyDescent="0.65">
      <c r="B9" s="196">
        <v>1</v>
      </c>
      <c r="C9" s="196">
        <v>2</v>
      </c>
      <c r="D9" s="196">
        <v>3</v>
      </c>
      <c r="E9" s="196">
        <v>4</v>
      </c>
      <c r="F9" s="196">
        <v>5</v>
      </c>
      <c r="G9" s="196">
        <v>6</v>
      </c>
      <c r="H9" s="196">
        <v>7</v>
      </c>
      <c r="I9" s="196">
        <v>8</v>
      </c>
      <c r="J9" s="196">
        <v>9</v>
      </c>
      <c r="K9" s="196">
        <v>10</v>
      </c>
      <c r="L9" s="196">
        <v>11</v>
      </c>
      <c r="M9" s="54">
        <v>12</v>
      </c>
      <c r="N9" s="196">
        <v>13</v>
      </c>
      <c r="O9" s="196">
        <v>14</v>
      </c>
      <c r="P9" s="196">
        <v>15</v>
      </c>
      <c r="Q9" s="196">
        <v>16</v>
      </c>
      <c r="R9" s="196">
        <v>17</v>
      </c>
      <c r="S9" s="196">
        <v>18</v>
      </c>
      <c r="T9" s="196">
        <v>19</v>
      </c>
      <c r="U9" s="196">
        <v>20</v>
      </c>
      <c r="V9" s="196">
        <v>21</v>
      </c>
      <c r="W9" s="196">
        <v>22</v>
      </c>
      <c r="X9" s="196">
        <v>23</v>
      </c>
      <c r="Y9" s="196">
        <v>24</v>
      </c>
      <c r="Z9" s="196">
        <v>25</v>
      </c>
      <c r="AA9" s="196">
        <v>26</v>
      </c>
      <c r="AB9" s="196">
        <v>27</v>
      </c>
      <c r="AC9" s="196">
        <v>28</v>
      </c>
      <c r="AD9" s="196">
        <v>29</v>
      </c>
      <c r="AE9" s="196">
        <v>30</v>
      </c>
      <c r="AF9" s="196">
        <v>31</v>
      </c>
      <c r="AG9" s="196">
        <v>32</v>
      </c>
      <c r="AH9" s="196">
        <v>33</v>
      </c>
      <c r="AI9" s="196">
        <v>34</v>
      </c>
      <c r="AJ9" s="196">
        <v>35</v>
      </c>
    </row>
    <row r="10" spans="1:36" ht="61.5" x14ac:dyDescent="0.25">
      <c r="B10" s="300" t="s">
        <v>1007</v>
      </c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</row>
    <row r="11" spans="1:36" s="63" customFormat="1" ht="61.5" x14ac:dyDescent="0.85">
      <c r="B11" s="150" t="s">
        <v>1927</v>
      </c>
      <c r="C11" s="64"/>
      <c r="D11" s="59" t="s">
        <v>882</v>
      </c>
      <c r="E11" s="60">
        <f>AVERAGE(E13:E59)</f>
        <v>1.007232092198582</v>
      </c>
      <c r="F11" s="29">
        <f t="shared" ref="F11:AG11" si="0">F12+F64</f>
        <v>81758127.070000008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597348</v>
      </c>
      <c r="L11" s="29">
        <f t="shared" si="0"/>
        <v>0</v>
      </c>
      <c r="M11" s="66">
        <f t="shared" si="0"/>
        <v>0</v>
      </c>
      <c r="N11" s="29">
        <f t="shared" si="0"/>
        <v>0</v>
      </c>
      <c r="O11" s="29">
        <f t="shared" si="0"/>
        <v>16220.169999999998</v>
      </c>
      <c r="P11" s="29">
        <f t="shared" si="0"/>
        <v>73360178.480000004</v>
      </c>
      <c r="Q11" s="29">
        <f t="shared" si="0"/>
        <v>0</v>
      </c>
      <c r="R11" s="29">
        <f t="shared" si="0"/>
        <v>0</v>
      </c>
      <c r="S11" s="29">
        <f t="shared" si="0"/>
        <v>1379.5099999999998</v>
      </c>
      <c r="T11" s="29">
        <f t="shared" si="0"/>
        <v>5125367.97</v>
      </c>
      <c r="U11" s="29">
        <f t="shared" si="0"/>
        <v>0</v>
      </c>
      <c r="V11" s="29">
        <f t="shared" si="0"/>
        <v>0</v>
      </c>
      <c r="W11" s="29">
        <f t="shared" si="0"/>
        <v>0</v>
      </c>
      <c r="X11" s="29">
        <f t="shared" si="0"/>
        <v>0</v>
      </c>
      <c r="Y11" s="29">
        <f t="shared" si="0"/>
        <v>0</v>
      </c>
      <c r="Z11" s="29">
        <f t="shared" si="0"/>
        <v>0</v>
      </c>
      <c r="AA11" s="29">
        <f t="shared" si="0"/>
        <v>0</v>
      </c>
      <c r="AB11" s="29">
        <f t="shared" si="0"/>
        <v>0</v>
      </c>
      <c r="AC11" s="29">
        <f t="shared" si="0"/>
        <v>0</v>
      </c>
      <c r="AD11" s="29">
        <f t="shared" si="0"/>
        <v>0</v>
      </c>
      <c r="AE11" s="29">
        <f t="shared" si="0"/>
        <v>898020.4</v>
      </c>
      <c r="AF11" s="29">
        <f t="shared" si="0"/>
        <v>1777212.22</v>
      </c>
      <c r="AG11" s="29">
        <f t="shared" si="0"/>
        <v>0</v>
      </c>
      <c r="AH11" s="33" t="s">
        <v>882</v>
      </c>
      <c r="AI11" s="33" t="s">
        <v>882</v>
      </c>
      <c r="AJ11" s="33" t="s">
        <v>882</v>
      </c>
    </row>
    <row r="12" spans="1:36" s="63" customFormat="1" ht="61.5" x14ac:dyDescent="0.85">
      <c r="B12" s="150" t="s">
        <v>1651</v>
      </c>
      <c r="C12" s="64"/>
      <c r="D12" s="59" t="s">
        <v>882</v>
      </c>
      <c r="E12" s="60">
        <f>AVERAGE(E14:E59)</f>
        <v>1.0072697463768121</v>
      </c>
      <c r="F12" s="29">
        <f>F13+F15+F24+F26+F28+F30+F33+F36+F40+F42+F44+F48+F50+F52+F54+F58+F62+F60</f>
        <v>51357504.920000009</v>
      </c>
      <c r="G12" s="29">
        <f t="shared" ref="G12:AG12" si="1">G13+G15+G24+G26+G28+G30+G33+G36+G40+G42+G44+G48+G50+G52+G54+G58+G62+G60</f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29">
        <f t="shared" si="1"/>
        <v>597348</v>
      </c>
      <c r="L12" s="29">
        <f t="shared" si="1"/>
        <v>0</v>
      </c>
      <c r="M12" s="66">
        <f t="shared" si="1"/>
        <v>0</v>
      </c>
      <c r="N12" s="29">
        <f t="shared" si="1"/>
        <v>0</v>
      </c>
      <c r="O12" s="29">
        <f t="shared" si="1"/>
        <v>10871.88</v>
      </c>
      <c r="P12" s="29">
        <f t="shared" si="1"/>
        <v>46165774.080000006</v>
      </c>
      <c r="Q12" s="29">
        <f t="shared" si="1"/>
        <v>0</v>
      </c>
      <c r="R12" s="29">
        <f t="shared" si="1"/>
        <v>0</v>
      </c>
      <c r="S12" s="29">
        <f t="shared" si="1"/>
        <v>857.57999999999993</v>
      </c>
      <c r="T12" s="29">
        <f t="shared" si="1"/>
        <v>2568651.2599999998</v>
      </c>
      <c r="U12" s="29">
        <f t="shared" si="1"/>
        <v>0</v>
      </c>
      <c r="V12" s="29">
        <f t="shared" si="1"/>
        <v>0</v>
      </c>
      <c r="W12" s="29">
        <f t="shared" si="1"/>
        <v>0</v>
      </c>
      <c r="X12" s="29">
        <f t="shared" si="1"/>
        <v>0</v>
      </c>
      <c r="Y12" s="29">
        <f t="shared" si="1"/>
        <v>0</v>
      </c>
      <c r="Z12" s="29">
        <f t="shared" si="1"/>
        <v>0</v>
      </c>
      <c r="AA12" s="29">
        <f t="shared" si="1"/>
        <v>0</v>
      </c>
      <c r="AB12" s="29">
        <f t="shared" si="1"/>
        <v>0</v>
      </c>
      <c r="AC12" s="29">
        <f t="shared" si="1"/>
        <v>0</v>
      </c>
      <c r="AD12" s="29">
        <f t="shared" si="1"/>
        <v>0</v>
      </c>
      <c r="AE12" s="29">
        <f t="shared" si="1"/>
        <v>460388.37000000005</v>
      </c>
      <c r="AF12" s="29">
        <f t="shared" si="1"/>
        <v>1565343.21</v>
      </c>
      <c r="AG12" s="29">
        <f t="shared" si="1"/>
        <v>0</v>
      </c>
      <c r="AH12" s="33" t="s">
        <v>882</v>
      </c>
      <c r="AI12" s="33" t="s">
        <v>882</v>
      </c>
      <c r="AJ12" s="33" t="s">
        <v>882</v>
      </c>
    </row>
    <row r="13" spans="1:36" s="18" customFormat="1" ht="61.5" x14ac:dyDescent="0.85">
      <c r="B13" s="405" t="s">
        <v>807</v>
      </c>
      <c r="C13" s="22"/>
      <c r="D13" s="59" t="s">
        <v>882</v>
      </c>
      <c r="E13" s="60">
        <f>AVERAGE(E14:E14)</f>
        <v>1.0055000000000001</v>
      </c>
      <c r="F13" s="29">
        <f>F14</f>
        <v>2123521.14</v>
      </c>
      <c r="G13" s="29">
        <f t="shared" ref="G13:AG13" si="2">G14</f>
        <v>0</v>
      </c>
      <c r="H13" s="29">
        <f t="shared" si="2"/>
        <v>0</v>
      </c>
      <c r="I13" s="29">
        <f t="shared" si="2"/>
        <v>0</v>
      </c>
      <c r="J13" s="29">
        <f t="shared" si="2"/>
        <v>0</v>
      </c>
      <c r="K13" s="29">
        <f t="shared" si="2"/>
        <v>0</v>
      </c>
      <c r="L13" s="29">
        <f t="shared" si="2"/>
        <v>0</v>
      </c>
      <c r="M13" s="66">
        <f t="shared" si="2"/>
        <v>0</v>
      </c>
      <c r="N13" s="29">
        <f t="shared" si="2"/>
        <v>0</v>
      </c>
      <c r="O13" s="29">
        <f t="shared" si="2"/>
        <v>521</v>
      </c>
      <c r="P13" s="29">
        <f t="shared" si="2"/>
        <v>2110856</v>
      </c>
      <c r="Q13" s="29">
        <f t="shared" si="2"/>
        <v>0</v>
      </c>
      <c r="R13" s="29">
        <f t="shared" si="2"/>
        <v>0</v>
      </c>
      <c r="S13" s="29">
        <f t="shared" si="2"/>
        <v>0</v>
      </c>
      <c r="T13" s="29">
        <f t="shared" si="2"/>
        <v>0</v>
      </c>
      <c r="U13" s="29">
        <f t="shared" si="2"/>
        <v>0</v>
      </c>
      <c r="V13" s="29">
        <f t="shared" si="2"/>
        <v>0</v>
      </c>
      <c r="W13" s="29">
        <f t="shared" si="2"/>
        <v>0</v>
      </c>
      <c r="X13" s="29">
        <f t="shared" si="2"/>
        <v>0</v>
      </c>
      <c r="Y13" s="29">
        <f t="shared" si="2"/>
        <v>0</v>
      </c>
      <c r="Z13" s="29">
        <f t="shared" si="2"/>
        <v>0</v>
      </c>
      <c r="AA13" s="29">
        <f t="shared" si="2"/>
        <v>0</v>
      </c>
      <c r="AB13" s="29">
        <f t="shared" si="2"/>
        <v>0</v>
      </c>
      <c r="AC13" s="29">
        <f t="shared" si="2"/>
        <v>0</v>
      </c>
      <c r="AD13" s="29">
        <f t="shared" si="2"/>
        <v>0</v>
      </c>
      <c r="AE13" s="58">
        <f t="shared" si="2"/>
        <v>12665.14</v>
      </c>
      <c r="AF13" s="58">
        <f t="shared" si="2"/>
        <v>0</v>
      </c>
      <c r="AG13" s="29">
        <f t="shared" si="2"/>
        <v>0</v>
      </c>
      <c r="AH13" s="33" t="s">
        <v>882</v>
      </c>
      <c r="AI13" s="33" t="s">
        <v>882</v>
      </c>
      <c r="AJ13" s="33" t="s">
        <v>882</v>
      </c>
    </row>
    <row r="14" spans="1:36" s="18" customFormat="1" ht="61.5" x14ac:dyDescent="0.85">
      <c r="A14" s="18">
        <v>1</v>
      </c>
      <c r="B14" s="57">
        <f>SUBTOTAL(103,$A14:A$14)</f>
        <v>1</v>
      </c>
      <c r="C14" s="22" t="s">
        <v>1008</v>
      </c>
      <c r="D14" s="59" t="s">
        <v>1027</v>
      </c>
      <c r="E14" s="60">
        <v>1.0055000000000001</v>
      </c>
      <c r="F14" s="29">
        <f>G14+H14+I14+J14+K14+L14+N14+P14+R14+T14+V14+W14+X14+Y14+Z14+AA14+AB14+AC14+AD14+AE14+AF14+AG14</f>
        <v>2123521.14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66">
        <v>0</v>
      </c>
      <c r="N14" s="29">
        <v>0</v>
      </c>
      <c r="O14" s="37">
        <v>521</v>
      </c>
      <c r="P14" s="37">
        <v>2110856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58">
        <v>12665.14</v>
      </c>
      <c r="AF14" s="58">
        <v>0</v>
      </c>
      <c r="AG14" s="58">
        <v>0</v>
      </c>
      <c r="AH14" s="33" t="s">
        <v>268</v>
      </c>
      <c r="AI14" s="33">
        <v>2020</v>
      </c>
      <c r="AJ14" s="33">
        <v>2020</v>
      </c>
    </row>
    <row r="15" spans="1:36" s="18" customFormat="1" ht="61.5" x14ac:dyDescent="0.85">
      <c r="B15" s="405" t="s">
        <v>1035</v>
      </c>
      <c r="C15" s="22"/>
      <c r="D15" s="59" t="s">
        <v>882</v>
      </c>
      <c r="E15" s="60">
        <f>AVERAGE(E16:E23)</f>
        <v>1.0039750000000001</v>
      </c>
      <c r="F15" s="29">
        <f t="shared" ref="F15:AG15" si="3">SUM(F16:F23)</f>
        <v>14141903.43</v>
      </c>
      <c r="G15" s="29">
        <f t="shared" si="3"/>
        <v>0</v>
      </c>
      <c r="H15" s="29">
        <f t="shared" si="3"/>
        <v>0</v>
      </c>
      <c r="I15" s="29">
        <f t="shared" si="3"/>
        <v>0</v>
      </c>
      <c r="J15" s="29">
        <f t="shared" si="3"/>
        <v>0</v>
      </c>
      <c r="K15" s="29">
        <f t="shared" si="3"/>
        <v>0</v>
      </c>
      <c r="L15" s="29">
        <f t="shared" si="3"/>
        <v>0</v>
      </c>
      <c r="M15" s="66">
        <f t="shared" si="3"/>
        <v>0</v>
      </c>
      <c r="N15" s="29">
        <f t="shared" si="3"/>
        <v>0</v>
      </c>
      <c r="O15" s="29">
        <f t="shared" si="3"/>
        <v>2840</v>
      </c>
      <c r="P15" s="29">
        <f t="shared" si="3"/>
        <v>12813797.620000001</v>
      </c>
      <c r="Q15" s="29">
        <f t="shared" si="3"/>
        <v>0</v>
      </c>
      <c r="R15" s="29">
        <f t="shared" si="3"/>
        <v>0</v>
      </c>
      <c r="S15" s="29">
        <f t="shared" si="3"/>
        <v>419</v>
      </c>
      <c r="T15" s="29">
        <f t="shared" si="3"/>
        <v>981934.24</v>
      </c>
      <c r="U15" s="29">
        <f t="shared" si="3"/>
        <v>0</v>
      </c>
      <c r="V15" s="29">
        <f t="shared" si="3"/>
        <v>0</v>
      </c>
      <c r="W15" s="29">
        <f t="shared" si="3"/>
        <v>0</v>
      </c>
      <c r="X15" s="29">
        <f t="shared" si="3"/>
        <v>0</v>
      </c>
      <c r="Y15" s="29">
        <f t="shared" si="3"/>
        <v>0</v>
      </c>
      <c r="Z15" s="29">
        <f t="shared" si="3"/>
        <v>0</v>
      </c>
      <c r="AA15" s="29">
        <f t="shared" si="3"/>
        <v>0</v>
      </c>
      <c r="AB15" s="29">
        <f t="shared" si="3"/>
        <v>0</v>
      </c>
      <c r="AC15" s="29">
        <f t="shared" si="3"/>
        <v>0</v>
      </c>
      <c r="AD15" s="29">
        <f t="shared" si="3"/>
        <v>0</v>
      </c>
      <c r="AE15" s="29">
        <f t="shared" si="3"/>
        <v>190381.11000000002</v>
      </c>
      <c r="AF15" s="29">
        <f t="shared" si="3"/>
        <v>155790.46000000002</v>
      </c>
      <c r="AG15" s="29">
        <f t="shared" si="3"/>
        <v>0</v>
      </c>
      <c r="AH15" s="33" t="s">
        <v>882</v>
      </c>
      <c r="AI15" s="33" t="s">
        <v>882</v>
      </c>
      <c r="AJ15" s="33" t="s">
        <v>882</v>
      </c>
    </row>
    <row r="16" spans="1:36" s="18" customFormat="1" ht="61.5" x14ac:dyDescent="0.85">
      <c r="A16" s="18">
        <v>1</v>
      </c>
      <c r="B16" s="57">
        <f>SUBTOTAL(103,$A$14:A16)</f>
        <v>2</v>
      </c>
      <c r="C16" s="22" t="s">
        <v>1009</v>
      </c>
      <c r="D16" s="59" t="s">
        <v>1028</v>
      </c>
      <c r="E16" s="60">
        <v>1.0047999999999999</v>
      </c>
      <c r="F16" s="29">
        <f t="shared" ref="F16:F63" si="4">G16+H16+I16+J16+K16+L16+N16+P16+R16+T16+V16+W16+X16+Y16+Z16+AA16+AB16+AC16+AD16+AE16+AF16+AG16</f>
        <v>6213014.2000000002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66">
        <v>0</v>
      </c>
      <c r="N16" s="29">
        <v>0</v>
      </c>
      <c r="O16" s="29">
        <v>1441</v>
      </c>
      <c r="P16" s="406">
        <v>6128441.7000000002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407">
        <v>84572.5</v>
      </c>
      <c r="AF16" s="58">
        <v>0</v>
      </c>
      <c r="AG16" s="58">
        <v>0</v>
      </c>
      <c r="AH16" s="33" t="s">
        <v>268</v>
      </c>
      <c r="AI16" s="33">
        <v>2020</v>
      </c>
      <c r="AJ16" s="33">
        <v>2020</v>
      </c>
    </row>
    <row r="17" spans="1:36" s="18" customFormat="1" ht="61.5" x14ac:dyDescent="0.85">
      <c r="A17" s="18">
        <v>1</v>
      </c>
      <c r="B17" s="57">
        <f>SUBTOTAL(103,$A$14:A17)</f>
        <v>3</v>
      </c>
      <c r="C17" s="22" t="s">
        <v>1010</v>
      </c>
      <c r="D17" s="59" t="s">
        <v>1027</v>
      </c>
      <c r="E17" s="60">
        <v>1</v>
      </c>
      <c r="F17" s="29">
        <f t="shared" si="4"/>
        <v>801933.34000000008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66">
        <v>0</v>
      </c>
      <c r="N17" s="29">
        <v>0</v>
      </c>
      <c r="O17" s="37">
        <v>163</v>
      </c>
      <c r="P17" s="37">
        <v>791017.3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58">
        <v>10916.04</v>
      </c>
      <c r="AF17" s="58">
        <v>0</v>
      </c>
      <c r="AG17" s="58">
        <v>0</v>
      </c>
      <c r="AH17" s="33" t="s">
        <v>268</v>
      </c>
      <c r="AI17" s="33">
        <v>2020</v>
      </c>
      <c r="AJ17" s="33">
        <v>2020</v>
      </c>
    </row>
    <row r="18" spans="1:36" s="18" customFormat="1" ht="61.5" x14ac:dyDescent="0.85">
      <c r="A18" s="18">
        <v>1</v>
      </c>
      <c r="B18" s="57">
        <f>SUBTOTAL(103,$A$14:A18)</f>
        <v>4</v>
      </c>
      <c r="C18" s="22" t="s">
        <v>1011</v>
      </c>
      <c r="D18" s="59" t="s">
        <v>1029</v>
      </c>
      <c r="E18" s="60">
        <v>1.0003</v>
      </c>
      <c r="F18" s="29">
        <f t="shared" si="4"/>
        <v>61989.62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66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58">
        <f>ROUND(P18*1.5%,2)</f>
        <v>0</v>
      </c>
      <c r="AF18" s="408">
        <v>61989.62</v>
      </c>
      <c r="AG18" s="58">
        <v>0</v>
      </c>
      <c r="AH18" s="33">
        <v>2020</v>
      </c>
      <c r="AI18" s="33" t="s">
        <v>268</v>
      </c>
      <c r="AJ18" s="33" t="s">
        <v>268</v>
      </c>
    </row>
    <row r="19" spans="1:36" s="18" customFormat="1" ht="61.5" x14ac:dyDescent="0.85">
      <c r="A19" s="18">
        <v>1</v>
      </c>
      <c r="B19" s="57">
        <f>SUBTOTAL(103,$A$14:A19)</f>
        <v>5</v>
      </c>
      <c r="C19" s="22" t="s">
        <v>1024</v>
      </c>
      <c r="D19" s="59" t="s">
        <v>1028</v>
      </c>
      <c r="E19" s="60">
        <v>1.0178</v>
      </c>
      <c r="F19" s="29">
        <f t="shared" si="4"/>
        <v>995484.92999999993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66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37">
        <v>419</v>
      </c>
      <c r="T19" s="37">
        <v>981934.24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37">
        <v>13550.69</v>
      </c>
      <c r="AF19" s="58">
        <v>0</v>
      </c>
      <c r="AG19" s="58">
        <v>0</v>
      </c>
      <c r="AH19" s="33" t="s">
        <v>268</v>
      </c>
      <c r="AI19" s="33">
        <v>2020</v>
      </c>
      <c r="AJ19" s="33">
        <v>2020</v>
      </c>
    </row>
    <row r="20" spans="1:36" s="18" customFormat="1" ht="61.5" x14ac:dyDescent="0.85">
      <c r="A20" s="18">
        <v>1</v>
      </c>
      <c r="B20" s="57">
        <f>SUBTOTAL(103,$A$14:A20)</f>
        <v>6</v>
      </c>
      <c r="C20" s="22" t="s">
        <v>1067</v>
      </c>
      <c r="D20" s="59" t="s">
        <v>1030</v>
      </c>
      <c r="E20" s="60">
        <v>1</v>
      </c>
      <c r="F20" s="29">
        <f t="shared" si="4"/>
        <v>4973435.79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66">
        <v>0</v>
      </c>
      <c r="N20" s="29">
        <v>0</v>
      </c>
      <c r="O20" s="406">
        <v>977</v>
      </c>
      <c r="P20" s="406">
        <v>4905736.62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37">
        <v>67699.17</v>
      </c>
      <c r="AF20" s="58">
        <v>0</v>
      </c>
      <c r="AG20" s="58">
        <v>0</v>
      </c>
      <c r="AH20" s="33" t="s">
        <v>268</v>
      </c>
      <c r="AI20" s="33">
        <v>2020</v>
      </c>
      <c r="AJ20" s="33">
        <v>2020</v>
      </c>
    </row>
    <row r="21" spans="1:36" s="18" customFormat="1" ht="61.5" x14ac:dyDescent="0.85">
      <c r="A21" s="18">
        <v>1</v>
      </c>
      <c r="B21" s="57">
        <f>SUBTOTAL(103,$A$14:A21)</f>
        <v>7</v>
      </c>
      <c r="C21" s="22" t="s">
        <v>1075</v>
      </c>
      <c r="D21" s="59" t="s">
        <v>1028</v>
      </c>
      <c r="E21" s="60">
        <v>1.0053000000000001</v>
      </c>
      <c r="F21" s="29">
        <f t="shared" si="4"/>
        <v>50283.37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66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58">
        <f>ROUND(P21*1.5%,2)</f>
        <v>0</v>
      </c>
      <c r="AF21" s="408">
        <v>50283.37</v>
      </c>
      <c r="AG21" s="58">
        <v>0</v>
      </c>
      <c r="AH21" s="33">
        <v>2020</v>
      </c>
      <c r="AI21" s="33" t="s">
        <v>268</v>
      </c>
      <c r="AJ21" s="33" t="s">
        <v>268</v>
      </c>
    </row>
    <row r="22" spans="1:36" s="18" customFormat="1" ht="61.5" x14ac:dyDescent="0.85">
      <c r="A22" s="18">
        <v>1</v>
      </c>
      <c r="B22" s="57">
        <f>SUBTOTAL(103,$A$14:A22)</f>
        <v>8</v>
      </c>
      <c r="C22" s="22" t="s">
        <v>1390</v>
      </c>
      <c r="D22" s="59" t="s">
        <v>1028</v>
      </c>
      <c r="E22" s="60">
        <v>1.0036</v>
      </c>
      <c r="F22" s="29">
        <f>G22+H22+I22+J22+K22+L22+N22+P22+R22+T22+V22+W22+X22+Y22+Z22+AA22+AB22+AC22+AD22+AE22+AF22+AG22</f>
        <v>43517.47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66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58">
        <f>ROUND(P22*1.5%,2)</f>
        <v>0</v>
      </c>
      <c r="AF22" s="408">
        <v>43517.47</v>
      </c>
      <c r="AG22" s="58">
        <v>0</v>
      </c>
      <c r="AH22" s="33">
        <v>2020</v>
      </c>
      <c r="AI22" s="33" t="s">
        <v>268</v>
      </c>
      <c r="AJ22" s="33" t="s">
        <v>268</v>
      </c>
    </row>
    <row r="23" spans="1:36" s="18" customFormat="1" ht="61.5" x14ac:dyDescent="0.85">
      <c r="A23" s="18">
        <v>1</v>
      </c>
      <c r="B23" s="57">
        <f>SUBTOTAL(103,$A$14:A23)</f>
        <v>9</v>
      </c>
      <c r="C23" s="22" t="s">
        <v>1706</v>
      </c>
      <c r="D23" s="59" t="s">
        <v>1029</v>
      </c>
      <c r="E23" s="60">
        <v>1</v>
      </c>
      <c r="F23" s="29">
        <f t="shared" si="4"/>
        <v>1002244.71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66">
        <v>0</v>
      </c>
      <c r="N23" s="29">
        <v>0</v>
      </c>
      <c r="O23" s="29">
        <v>259</v>
      </c>
      <c r="P23" s="29">
        <v>988602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58">
        <v>13642.71</v>
      </c>
      <c r="AF23" s="92">
        <v>0</v>
      </c>
      <c r="AG23" s="58">
        <v>0</v>
      </c>
      <c r="AH23" s="33" t="s">
        <v>268</v>
      </c>
      <c r="AI23" s="33">
        <v>2020</v>
      </c>
      <c r="AJ23" s="33">
        <v>2020</v>
      </c>
    </row>
    <row r="24" spans="1:36" s="18" customFormat="1" ht="61.5" x14ac:dyDescent="0.85">
      <c r="B24" s="405" t="s">
        <v>811</v>
      </c>
      <c r="C24" s="22"/>
      <c r="D24" s="59" t="s">
        <v>882</v>
      </c>
      <c r="E24" s="60">
        <f>AVERAGE(E25)</f>
        <v>1.0267999999999999</v>
      </c>
      <c r="F24" s="29">
        <f>F25</f>
        <v>2046844.64</v>
      </c>
      <c r="G24" s="29">
        <f t="shared" ref="G24:AG24" si="5">G25</f>
        <v>0</v>
      </c>
      <c r="H24" s="29">
        <f t="shared" si="5"/>
        <v>0</v>
      </c>
      <c r="I24" s="29">
        <f t="shared" si="5"/>
        <v>0</v>
      </c>
      <c r="J24" s="29">
        <f t="shared" si="5"/>
        <v>0</v>
      </c>
      <c r="K24" s="29">
        <f t="shared" si="5"/>
        <v>0</v>
      </c>
      <c r="L24" s="29">
        <f t="shared" si="5"/>
        <v>0</v>
      </c>
      <c r="M24" s="66">
        <f t="shared" si="5"/>
        <v>0</v>
      </c>
      <c r="N24" s="29">
        <f t="shared" si="5"/>
        <v>0</v>
      </c>
      <c r="O24" s="29">
        <f t="shared" si="5"/>
        <v>386.8</v>
      </c>
      <c r="P24" s="29">
        <f t="shared" si="5"/>
        <v>1947102</v>
      </c>
      <c r="Q24" s="29">
        <f t="shared" si="5"/>
        <v>0</v>
      </c>
      <c r="R24" s="29">
        <f t="shared" si="5"/>
        <v>0</v>
      </c>
      <c r="S24" s="29">
        <f t="shared" si="5"/>
        <v>0</v>
      </c>
      <c r="T24" s="29">
        <f t="shared" si="5"/>
        <v>0</v>
      </c>
      <c r="U24" s="29">
        <f t="shared" si="5"/>
        <v>0</v>
      </c>
      <c r="V24" s="29">
        <f t="shared" si="5"/>
        <v>0</v>
      </c>
      <c r="W24" s="29">
        <f t="shared" si="5"/>
        <v>0</v>
      </c>
      <c r="X24" s="29">
        <f t="shared" si="5"/>
        <v>0</v>
      </c>
      <c r="Y24" s="29">
        <f t="shared" si="5"/>
        <v>0</v>
      </c>
      <c r="Z24" s="29">
        <f t="shared" si="5"/>
        <v>0</v>
      </c>
      <c r="AA24" s="29">
        <f t="shared" si="5"/>
        <v>0</v>
      </c>
      <c r="AB24" s="29">
        <f t="shared" si="5"/>
        <v>0</v>
      </c>
      <c r="AC24" s="29">
        <f t="shared" si="5"/>
        <v>0</v>
      </c>
      <c r="AD24" s="29">
        <f t="shared" si="5"/>
        <v>0</v>
      </c>
      <c r="AE24" s="58">
        <f t="shared" si="5"/>
        <v>19714.41</v>
      </c>
      <c r="AF24" s="58">
        <f t="shared" si="5"/>
        <v>80028.23</v>
      </c>
      <c r="AG24" s="29">
        <f t="shared" si="5"/>
        <v>0</v>
      </c>
      <c r="AH24" s="33" t="s">
        <v>882</v>
      </c>
      <c r="AI24" s="33" t="s">
        <v>882</v>
      </c>
      <c r="AJ24" s="33" t="s">
        <v>882</v>
      </c>
    </row>
    <row r="25" spans="1:36" s="18" customFormat="1" ht="61.5" x14ac:dyDescent="0.85">
      <c r="A25" s="18">
        <v>1</v>
      </c>
      <c r="B25" s="57">
        <f>SUBTOTAL(103,$A$14:A25)</f>
        <v>10</v>
      </c>
      <c r="C25" s="22" t="s">
        <v>668</v>
      </c>
      <c r="D25" s="59" t="s">
        <v>1030</v>
      </c>
      <c r="E25" s="60">
        <v>1.0267999999999999</v>
      </c>
      <c r="F25" s="29">
        <f t="shared" si="4"/>
        <v>2046844.64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66">
        <v>0</v>
      </c>
      <c r="N25" s="29">
        <v>0</v>
      </c>
      <c r="O25" s="37">
        <v>386.8</v>
      </c>
      <c r="P25" s="37">
        <v>1947102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58">
        <v>19714.41</v>
      </c>
      <c r="AF25" s="408">
        <v>80028.23</v>
      </c>
      <c r="AG25" s="29">
        <v>0</v>
      </c>
      <c r="AH25" s="33">
        <v>2020</v>
      </c>
      <c r="AI25" s="33">
        <v>2020</v>
      </c>
      <c r="AJ25" s="33">
        <v>2020</v>
      </c>
    </row>
    <row r="26" spans="1:36" s="18" customFormat="1" ht="61.5" x14ac:dyDescent="0.85">
      <c r="B26" s="405" t="s">
        <v>815</v>
      </c>
      <c r="C26" s="22"/>
      <c r="D26" s="59" t="s">
        <v>882</v>
      </c>
      <c r="E26" s="60">
        <f>AVERAGE(E27)</f>
        <v>1</v>
      </c>
      <c r="F26" s="29">
        <f>F27</f>
        <v>5153989.53</v>
      </c>
      <c r="G26" s="29">
        <f t="shared" ref="G26:AG26" si="6">G27</f>
        <v>0</v>
      </c>
      <c r="H26" s="29">
        <f t="shared" si="6"/>
        <v>0</v>
      </c>
      <c r="I26" s="29">
        <f t="shared" si="6"/>
        <v>0</v>
      </c>
      <c r="J26" s="29">
        <f t="shared" si="6"/>
        <v>0</v>
      </c>
      <c r="K26" s="29">
        <f t="shared" si="6"/>
        <v>0</v>
      </c>
      <c r="L26" s="29">
        <f t="shared" si="6"/>
        <v>0</v>
      </c>
      <c r="M26" s="66">
        <f t="shared" si="6"/>
        <v>0</v>
      </c>
      <c r="N26" s="29">
        <f t="shared" si="6"/>
        <v>0</v>
      </c>
      <c r="O26" s="29">
        <f t="shared" si="6"/>
        <v>1080.5999999999999</v>
      </c>
      <c r="P26" s="29">
        <f t="shared" si="6"/>
        <v>5102328.45</v>
      </c>
      <c r="Q26" s="29">
        <f t="shared" si="6"/>
        <v>0</v>
      </c>
      <c r="R26" s="29">
        <f t="shared" si="6"/>
        <v>0</v>
      </c>
      <c r="S26" s="29">
        <f t="shared" si="6"/>
        <v>0</v>
      </c>
      <c r="T26" s="29">
        <f t="shared" si="6"/>
        <v>0</v>
      </c>
      <c r="U26" s="29">
        <f t="shared" si="6"/>
        <v>0</v>
      </c>
      <c r="V26" s="29">
        <f t="shared" si="6"/>
        <v>0</v>
      </c>
      <c r="W26" s="29">
        <f t="shared" si="6"/>
        <v>0</v>
      </c>
      <c r="X26" s="29">
        <f t="shared" si="6"/>
        <v>0</v>
      </c>
      <c r="Y26" s="29">
        <f t="shared" si="6"/>
        <v>0</v>
      </c>
      <c r="Z26" s="29">
        <f t="shared" si="6"/>
        <v>0</v>
      </c>
      <c r="AA26" s="29">
        <f t="shared" si="6"/>
        <v>0</v>
      </c>
      <c r="AB26" s="29">
        <f t="shared" si="6"/>
        <v>0</v>
      </c>
      <c r="AC26" s="29">
        <f t="shared" si="6"/>
        <v>0</v>
      </c>
      <c r="AD26" s="29">
        <f t="shared" si="6"/>
        <v>0</v>
      </c>
      <c r="AE26" s="58">
        <f t="shared" si="6"/>
        <v>51661.08</v>
      </c>
      <c r="AF26" s="58">
        <f t="shared" si="6"/>
        <v>0</v>
      </c>
      <c r="AG26" s="29">
        <f t="shared" si="6"/>
        <v>0</v>
      </c>
      <c r="AH26" s="33" t="s">
        <v>882</v>
      </c>
      <c r="AI26" s="33" t="s">
        <v>882</v>
      </c>
      <c r="AJ26" s="33" t="s">
        <v>882</v>
      </c>
    </row>
    <row r="27" spans="1:36" s="18" customFormat="1" ht="61.5" x14ac:dyDescent="0.85">
      <c r="A27" s="18">
        <v>1</v>
      </c>
      <c r="B27" s="57">
        <f>SUBTOTAL(103,$A$14:A27)</f>
        <v>11</v>
      </c>
      <c r="C27" s="22" t="s">
        <v>1058</v>
      </c>
      <c r="D27" s="59" t="s">
        <v>1031</v>
      </c>
      <c r="E27" s="60">
        <v>1</v>
      </c>
      <c r="F27" s="29">
        <f t="shared" si="4"/>
        <v>5153989.53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66">
        <v>0</v>
      </c>
      <c r="N27" s="29">
        <v>0</v>
      </c>
      <c r="O27" s="37">
        <v>1080.5999999999999</v>
      </c>
      <c r="P27" s="37">
        <v>5102328.45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37">
        <v>51661.08</v>
      </c>
      <c r="AF27" s="58">
        <v>0</v>
      </c>
      <c r="AG27" s="29">
        <v>0</v>
      </c>
      <c r="AH27" s="33" t="s">
        <v>268</v>
      </c>
      <c r="AI27" s="33">
        <v>2020</v>
      </c>
      <c r="AJ27" s="33">
        <v>2020</v>
      </c>
    </row>
    <row r="28" spans="1:36" s="18" customFormat="1" ht="61.5" x14ac:dyDescent="0.85">
      <c r="B28" s="405" t="s">
        <v>816</v>
      </c>
      <c r="C28" s="22"/>
      <c r="D28" s="59" t="s">
        <v>882</v>
      </c>
      <c r="E28" s="60">
        <f>AVERAGE(E29)</f>
        <v>1.0308999999999999</v>
      </c>
      <c r="F28" s="29">
        <f>F29</f>
        <v>48440.03</v>
      </c>
      <c r="G28" s="29">
        <f t="shared" ref="G28:AG28" si="7">G29</f>
        <v>0</v>
      </c>
      <c r="H28" s="29">
        <f t="shared" si="7"/>
        <v>0</v>
      </c>
      <c r="I28" s="29">
        <f t="shared" si="7"/>
        <v>0</v>
      </c>
      <c r="J28" s="29">
        <f t="shared" si="7"/>
        <v>0</v>
      </c>
      <c r="K28" s="29">
        <f t="shared" si="7"/>
        <v>0</v>
      </c>
      <c r="L28" s="29">
        <f t="shared" si="7"/>
        <v>0</v>
      </c>
      <c r="M28" s="66">
        <f t="shared" si="7"/>
        <v>0</v>
      </c>
      <c r="N28" s="29">
        <f t="shared" si="7"/>
        <v>0</v>
      </c>
      <c r="O28" s="29">
        <f t="shared" si="7"/>
        <v>0</v>
      </c>
      <c r="P28" s="29">
        <f t="shared" si="7"/>
        <v>0</v>
      </c>
      <c r="Q28" s="29">
        <f t="shared" si="7"/>
        <v>0</v>
      </c>
      <c r="R28" s="29">
        <f t="shared" si="7"/>
        <v>0</v>
      </c>
      <c r="S28" s="29">
        <f t="shared" si="7"/>
        <v>0</v>
      </c>
      <c r="T28" s="29">
        <f t="shared" si="7"/>
        <v>0</v>
      </c>
      <c r="U28" s="29">
        <f t="shared" si="7"/>
        <v>0</v>
      </c>
      <c r="V28" s="29">
        <f t="shared" si="7"/>
        <v>0</v>
      </c>
      <c r="W28" s="29">
        <f t="shared" si="7"/>
        <v>0</v>
      </c>
      <c r="X28" s="29">
        <f t="shared" si="7"/>
        <v>0</v>
      </c>
      <c r="Y28" s="29">
        <f t="shared" si="7"/>
        <v>0</v>
      </c>
      <c r="Z28" s="29">
        <f t="shared" si="7"/>
        <v>0</v>
      </c>
      <c r="AA28" s="29">
        <f t="shared" si="7"/>
        <v>0</v>
      </c>
      <c r="AB28" s="29">
        <f t="shared" si="7"/>
        <v>0</v>
      </c>
      <c r="AC28" s="29">
        <f t="shared" si="7"/>
        <v>0</v>
      </c>
      <c r="AD28" s="29">
        <f t="shared" si="7"/>
        <v>0</v>
      </c>
      <c r="AE28" s="58">
        <f t="shared" si="7"/>
        <v>0</v>
      </c>
      <c r="AF28" s="58">
        <f t="shared" si="7"/>
        <v>48440.03</v>
      </c>
      <c r="AG28" s="29">
        <f t="shared" si="7"/>
        <v>0</v>
      </c>
      <c r="AH28" s="33" t="s">
        <v>882</v>
      </c>
      <c r="AI28" s="33" t="s">
        <v>882</v>
      </c>
      <c r="AJ28" s="33" t="s">
        <v>882</v>
      </c>
    </row>
    <row r="29" spans="1:36" s="18" customFormat="1" ht="61.5" x14ac:dyDescent="0.85">
      <c r="A29" s="18">
        <v>1</v>
      </c>
      <c r="B29" s="57">
        <f>SUBTOTAL(103,$A$14:A29)</f>
        <v>12</v>
      </c>
      <c r="C29" s="22" t="s">
        <v>1012</v>
      </c>
      <c r="D29" s="59" t="s">
        <v>1027</v>
      </c>
      <c r="E29" s="60">
        <v>1.0308999999999999</v>
      </c>
      <c r="F29" s="29">
        <f t="shared" si="4"/>
        <v>48440.03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66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58">
        <f>ROUND(P29*1.5%,2)</f>
        <v>0</v>
      </c>
      <c r="AF29" s="408">
        <v>48440.03</v>
      </c>
      <c r="AG29" s="29">
        <v>0</v>
      </c>
      <c r="AH29" s="33">
        <v>2020</v>
      </c>
      <c r="AI29" s="33" t="s">
        <v>268</v>
      </c>
      <c r="AJ29" s="33" t="s">
        <v>268</v>
      </c>
    </row>
    <row r="30" spans="1:36" s="18" customFormat="1" ht="61.5" x14ac:dyDescent="0.85">
      <c r="B30" s="405" t="s">
        <v>1036</v>
      </c>
      <c r="C30" s="22"/>
      <c r="D30" s="59" t="s">
        <v>882</v>
      </c>
      <c r="E30" s="60">
        <f>AVERAGE(E31:E32)</f>
        <v>1.0206</v>
      </c>
      <c r="F30" s="29">
        <f t="shared" ref="F30:AG30" si="8">SUM(F31:F32)</f>
        <v>31767</v>
      </c>
      <c r="G30" s="29">
        <f t="shared" si="8"/>
        <v>0</v>
      </c>
      <c r="H30" s="29">
        <f t="shared" si="8"/>
        <v>0</v>
      </c>
      <c r="I30" s="29">
        <f t="shared" si="8"/>
        <v>0</v>
      </c>
      <c r="J30" s="29">
        <f t="shared" si="8"/>
        <v>0</v>
      </c>
      <c r="K30" s="29">
        <f t="shared" si="8"/>
        <v>0</v>
      </c>
      <c r="L30" s="29">
        <f t="shared" si="8"/>
        <v>0</v>
      </c>
      <c r="M30" s="66">
        <f t="shared" si="8"/>
        <v>0</v>
      </c>
      <c r="N30" s="29">
        <f t="shared" si="8"/>
        <v>0</v>
      </c>
      <c r="O30" s="29">
        <f t="shared" si="8"/>
        <v>0</v>
      </c>
      <c r="P30" s="29">
        <f t="shared" si="8"/>
        <v>0</v>
      </c>
      <c r="Q30" s="29">
        <f t="shared" si="8"/>
        <v>0</v>
      </c>
      <c r="R30" s="29">
        <f t="shared" si="8"/>
        <v>0</v>
      </c>
      <c r="S30" s="29">
        <f t="shared" si="8"/>
        <v>0</v>
      </c>
      <c r="T30" s="29">
        <f t="shared" si="8"/>
        <v>0</v>
      </c>
      <c r="U30" s="29">
        <f t="shared" si="8"/>
        <v>0</v>
      </c>
      <c r="V30" s="29">
        <f t="shared" si="8"/>
        <v>0</v>
      </c>
      <c r="W30" s="29">
        <f t="shared" si="8"/>
        <v>0</v>
      </c>
      <c r="X30" s="29">
        <f t="shared" si="8"/>
        <v>0</v>
      </c>
      <c r="Y30" s="29">
        <f t="shared" si="8"/>
        <v>0</v>
      </c>
      <c r="Z30" s="29">
        <f t="shared" si="8"/>
        <v>0</v>
      </c>
      <c r="AA30" s="29">
        <f t="shared" si="8"/>
        <v>0</v>
      </c>
      <c r="AB30" s="29">
        <f t="shared" si="8"/>
        <v>0</v>
      </c>
      <c r="AC30" s="29">
        <f t="shared" si="8"/>
        <v>0</v>
      </c>
      <c r="AD30" s="29">
        <f t="shared" si="8"/>
        <v>0</v>
      </c>
      <c r="AE30" s="58">
        <f t="shared" si="8"/>
        <v>0</v>
      </c>
      <c r="AF30" s="58">
        <f t="shared" si="8"/>
        <v>31767</v>
      </c>
      <c r="AG30" s="29">
        <f t="shared" si="8"/>
        <v>0</v>
      </c>
      <c r="AH30" s="33" t="s">
        <v>882</v>
      </c>
      <c r="AI30" s="33" t="s">
        <v>882</v>
      </c>
      <c r="AJ30" s="33" t="s">
        <v>882</v>
      </c>
    </row>
    <row r="31" spans="1:36" s="18" customFormat="1" ht="61.5" x14ac:dyDescent="0.85">
      <c r="A31" s="18">
        <v>1</v>
      </c>
      <c r="B31" s="57">
        <f>SUBTOTAL(103,$A$14:A31)</f>
        <v>13</v>
      </c>
      <c r="C31" s="22" t="s">
        <v>1013</v>
      </c>
      <c r="D31" s="59" t="s">
        <v>1030</v>
      </c>
      <c r="E31" s="60">
        <v>1.0385</v>
      </c>
      <c r="F31" s="29">
        <f t="shared" si="4"/>
        <v>13099.1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66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58">
        <f>ROUND(P31*1.5%,2)</f>
        <v>0</v>
      </c>
      <c r="AF31" s="408">
        <v>13099.1</v>
      </c>
      <c r="AG31" s="29">
        <v>0</v>
      </c>
      <c r="AH31" s="33">
        <v>2020</v>
      </c>
      <c r="AI31" s="33" t="s">
        <v>268</v>
      </c>
      <c r="AJ31" s="33" t="s">
        <v>268</v>
      </c>
    </row>
    <row r="32" spans="1:36" s="18" customFormat="1" ht="61.5" x14ac:dyDescent="0.85">
      <c r="A32" s="18">
        <v>1</v>
      </c>
      <c r="B32" s="57">
        <f>SUBTOTAL(103,$A$14:A32)</f>
        <v>14</v>
      </c>
      <c r="C32" s="22" t="s">
        <v>1014</v>
      </c>
      <c r="D32" s="59" t="s">
        <v>1030</v>
      </c>
      <c r="E32" s="60">
        <v>1.0026999999999999</v>
      </c>
      <c r="F32" s="29">
        <f t="shared" si="4"/>
        <v>18667.900000000001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66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58">
        <f>ROUND(T32*1.5%,2)</f>
        <v>0</v>
      </c>
      <c r="AF32" s="408">
        <v>18667.900000000001</v>
      </c>
      <c r="AG32" s="29">
        <v>0</v>
      </c>
      <c r="AH32" s="33">
        <v>2020</v>
      </c>
      <c r="AI32" s="33" t="s">
        <v>268</v>
      </c>
      <c r="AJ32" s="33" t="s">
        <v>268</v>
      </c>
    </row>
    <row r="33" spans="1:36" s="18" customFormat="1" ht="61.5" x14ac:dyDescent="0.85">
      <c r="B33" s="405" t="s">
        <v>823</v>
      </c>
      <c r="C33" s="22"/>
      <c r="D33" s="59" t="s">
        <v>882</v>
      </c>
      <c r="E33" s="60">
        <f>AVERAGE(E34:E35)</f>
        <v>1</v>
      </c>
      <c r="F33" s="29">
        <f>SUM(F34:F35)</f>
        <v>3557815.66</v>
      </c>
      <c r="G33" s="29">
        <f t="shared" ref="G33:AG33" si="9">SUM(G34:G35)</f>
        <v>0</v>
      </c>
      <c r="H33" s="29">
        <f t="shared" si="9"/>
        <v>0</v>
      </c>
      <c r="I33" s="29">
        <f t="shared" si="9"/>
        <v>0</v>
      </c>
      <c r="J33" s="29">
        <f t="shared" si="9"/>
        <v>0</v>
      </c>
      <c r="K33" s="29">
        <f t="shared" si="9"/>
        <v>0</v>
      </c>
      <c r="L33" s="29">
        <f t="shared" si="9"/>
        <v>0</v>
      </c>
      <c r="M33" s="66">
        <f t="shared" si="9"/>
        <v>0</v>
      </c>
      <c r="N33" s="29">
        <f t="shared" si="9"/>
        <v>0</v>
      </c>
      <c r="O33" s="29">
        <f t="shared" si="9"/>
        <v>828.5</v>
      </c>
      <c r="P33" s="29">
        <f t="shared" si="9"/>
        <v>3438664.78</v>
      </c>
      <c r="Q33" s="29">
        <f t="shared" si="9"/>
        <v>0</v>
      </c>
      <c r="R33" s="29">
        <f t="shared" si="9"/>
        <v>0</v>
      </c>
      <c r="S33" s="29">
        <f t="shared" si="9"/>
        <v>0</v>
      </c>
      <c r="T33" s="29">
        <f t="shared" si="9"/>
        <v>0</v>
      </c>
      <c r="U33" s="29">
        <f t="shared" si="9"/>
        <v>0</v>
      </c>
      <c r="V33" s="29">
        <f t="shared" si="9"/>
        <v>0</v>
      </c>
      <c r="W33" s="29">
        <f t="shared" si="9"/>
        <v>0</v>
      </c>
      <c r="X33" s="29">
        <f t="shared" si="9"/>
        <v>0</v>
      </c>
      <c r="Y33" s="29">
        <f t="shared" si="9"/>
        <v>0</v>
      </c>
      <c r="Z33" s="29">
        <f t="shared" si="9"/>
        <v>0</v>
      </c>
      <c r="AA33" s="29">
        <f t="shared" si="9"/>
        <v>0</v>
      </c>
      <c r="AB33" s="29">
        <f t="shared" si="9"/>
        <v>0</v>
      </c>
      <c r="AC33" s="29">
        <f t="shared" si="9"/>
        <v>0</v>
      </c>
      <c r="AD33" s="29">
        <f t="shared" si="9"/>
        <v>0</v>
      </c>
      <c r="AE33" s="58">
        <f t="shared" si="9"/>
        <v>20632</v>
      </c>
      <c r="AF33" s="58">
        <f t="shared" si="9"/>
        <v>98518.88</v>
      </c>
      <c r="AG33" s="29">
        <f t="shared" si="9"/>
        <v>0</v>
      </c>
      <c r="AH33" s="33" t="s">
        <v>882</v>
      </c>
      <c r="AI33" s="33" t="s">
        <v>882</v>
      </c>
      <c r="AJ33" s="33" t="s">
        <v>882</v>
      </c>
    </row>
    <row r="34" spans="1:36" s="18" customFormat="1" ht="61.5" x14ac:dyDescent="0.85">
      <c r="A34" s="18">
        <v>1</v>
      </c>
      <c r="B34" s="57">
        <f>SUBTOTAL(103,$A$14:A34)</f>
        <v>15</v>
      </c>
      <c r="C34" s="22" t="s">
        <v>1034</v>
      </c>
      <c r="D34" s="59" t="s">
        <v>1028</v>
      </c>
      <c r="E34" s="60">
        <v>1</v>
      </c>
      <c r="F34" s="29">
        <f t="shared" si="4"/>
        <v>2576429.98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66">
        <v>0</v>
      </c>
      <c r="N34" s="29">
        <v>0</v>
      </c>
      <c r="O34" s="37">
        <v>604.54</v>
      </c>
      <c r="P34" s="37">
        <v>2510284.38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58">
        <f>ROUND(P34*0.6%,2)</f>
        <v>15061.71</v>
      </c>
      <c r="AF34" s="92">
        <v>51083.89</v>
      </c>
      <c r="AG34" s="29">
        <v>0</v>
      </c>
      <c r="AH34" s="33">
        <v>2020</v>
      </c>
      <c r="AI34" s="33">
        <v>2020</v>
      </c>
      <c r="AJ34" s="33">
        <v>2020</v>
      </c>
    </row>
    <row r="35" spans="1:36" s="18" customFormat="1" ht="61.5" x14ac:dyDescent="0.85">
      <c r="A35" s="18">
        <v>1</v>
      </c>
      <c r="B35" s="57">
        <f>SUBTOTAL(103,$A$14:A35)</f>
        <v>16</v>
      </c>
      <c r="C35" s="22" t="s">
        <v>1015</v>
      </c>
      <c r="D35" s="59" t="s">
        <v>1028</v>
      </c>
      <c r="E35" s="60">
        <v>1</v>
      </c>
      <c r="F35" s="29">
        <f t="shared" si="4"/>
        <v>981385.68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66">
        <v>0</v>
      </c>
      <c r="N35" s="29">
        <v>0</v>
      </c>
      <c r="O35" s="37">
        <v>223.96</v>
      </c>
      <c r="P35" s="37">
        <v>928380.4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37">
        <v>5570.29</v>
      </c>
      <c r="AF35" s="92">
        <v>47434.99</v>
      </c>
      <c r="AG35" s="29">
        <v>0</v>
      </c>
      <c r="AH35" s="33">
        <v>2020</v>
      </c>
      <c r="AI35" s="33">
        <v>2020</v>
      </c>
      <c r="AJ35" s="33">
        <v>2020</v>
      </c>
    </row>
    <row r="36" spans="1:36" s="18" customFormat="1" ht="61.5" x14ac:dyDescent="0.85">
      <c r="B36" s="405" t="s">
        <v>752</v>
      </c>
      <c r="C36" s="22"/>
      <c r="D36" s="59" t="s">
        <v>882</v>
      </c>
      <c r="E36" s="60">
        <f>AVERAGE(E37:E41)</f>
        <v>1.0075000000000001</v>
      </c>
      <c r="F36" s="29">
        <f>SUM(F37:F39)</f>
        <v>223917.22</v>
      </c>
      <c r="G36" s="29">
        <f t="shared" ref="G36:AG36" si="10">SUM(G37:G39)</f>
        <v>0</v>
      </c>
      <c r="H36" s="29">
        <f t="shared" si="10"/>
        <v>0</v>
      </c>
      <c r="I36" s="29">
        <f t="shared" si="10"/>
        <v>0</v>
      </c>
      <c r="J36" s="29">
        <f t="shared" si="10"/>
        <v>0</v>
      </c>
      <c r="K36" s="29">
        <f t="shared" si="10"/>
        <v>0</v>
      </c>
      <c r="L36" s="29">
        <f t="shared" si="10"/>
        <v>0</v>
      </c>
      <c r="M36" s="66">
        <f t="shared" si="10"/>
        <v>0</v>
      </c>
      <c r="N36" s="29">
        <f t="shared" si="10"/>
        <v>0</v>
      </c>
      <c r="O36" s="29">
        <f t="shared" si="10"/>
        <v>0</v>
      </c>
      <c r="P36" s="29">
        <f t="shared" si="10"/>
        <v>0</v>
      </c>
      <c r="Q36" s="29">
        <f t="shared" si="10"/>
        <v>0</v>
      </c>
      <c r="R36" s="29">
        <f t="shared" si="10"/>
        <v>0</v>
      </c>
      <c r="S36" s="29">
        <f t="shared" si="10"/>
        <v>0</v>
      </c>
      <c r="T36" s="29">
        <f t="shared" si="10"/>
        <v>0</v>
      </c>
      <c r="U36" s="29">
        <f t="shared" si="10"/>
        <v>0</v>
      </c>
      <c r="V36" s="29">
        <f t="shared" si="10"/>
        <v>0</v>
      </c>
      <c r="W36" s="29">
        <f t="shared" si="10"/>
        <v>0</v>
      </c>
      <c r="X36" s="29">
        <f t="shared" si="10"/>
        <v>0</v>
      </c>
      <c r="Y36" s="29">
        <f t="shared" si="10"/>
        <v>0</v>
      </c>
      <c r="Z36" s="29">
        <f t="shared" si="10"/>
        <v>0</v>
      </c>
      <c r="AA36" s="29">
        <f t="shared" si="10"/>
        <v>0</v>
      </c>
      <c r="AB36" s="29">
        <f t="shared" si="10"/>
        <v>0</v>
      </c>
      <c r="AC36" s="29">
        <f t="shared" si="10"/>
        <v>0</v>
      </c>
      <c r="AD36" s="29">
        <f t="shared" si="10"/>
        <v>0</v>
      </c>
      <c r="AE36" s="58">
        <f t="shared" si="10"/>
        <v>0</v>
      </c>
      <c r="AF36" s="58">
        <f t="shared" si="10"/>
        <v>223917.22</v>
      </c>
      <c r="AG36" s="29">
        <f t="shared" si="10"/>
        <v>0</v>
      </c>
      <c r="AH36" s="33" t="s">
        <v>882</v>
      </c>
      <c r="AI36" s="33" t="s">
        <v>882</v>
      </c>
      <c r="AJ36" s="33" t="s">
        <v>882</v>
      </c>
    </row>
    <row r="37" spans="1:36" s="18" customFormat="1" ht="61.5" x14ac:dyDescent="0.85">
      <c r="A37" s="18">
        <v>1</v>
      </c>
      <c r="B37" s="57">
        <f>SUBTOTAL(103,$A$14:A37)</f>
        <v>17</v>
      </c>
      <c r="C37" s="22" t="s">
        <v>1016</v>
      </c>
      <c r="D37" s="59" t="s">
        <v>1029</v>
      </c>
      <c r="E37" s="60">
        <v>1.0043</v>
      </c>
      <c r="F37" s="29">
        <f t="shared" si="4"/>
        <v>47271.85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66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58">
        <f>ROUND(P37*1.5%,2)</f>
        <v>0</v>
      </c>
      <c r="AF37" s="37">
        <v>47271.85</v>
      </c>
      <c r="AG37" s="29">
        <v>0</v>
      </c>
      <c r="AH37" s="33">
        <v>2020</v>
      </c>
      <c r="AI37" s="33" t="s">
        <v>268</v>
      </c>
      <c r="AJ37" s="33" t="s">
        <v>268</v>
      </c>
    </row>
    <row r="38" spans="1:36" s="18" customFormat="1" ht="61.5" x14ac:dyDescent="0.85">
      <c r="A38" s="18">
        <v>1</v>
      </c>
      <c r="B38" s="57">
        <f>SUBTOTAL(103,$A$14:A38)</f>
        <v>18</v>
      </c>
      <c r="C38" s="22" t="s">
        <v>776</v>
      </c>
      <c r="D38" s="59" t="s">
        <v>1029</v>
      </c>
      <c r="E38" s="60">
        <v>1.0185999999999999</v>
      </c>
      <c r="F38" s="29">
        <f t="shared" si="4"/>
        <v>99352.46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66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58">
        <f>ROUND(P38*1.5%,2)</f>
        <v>0</v>
      </c>
      <c r="AF38" s="37">
        <v>99352.46</v>
      </c>
      <c r="AG38" s="29">
        <v>0</v>
      </c>
      <c r="AH38" s="33">
        <v>2020</v>
      </c>
      <c r="AI38" s="33" t="s">
        <v>268</v>
      </c>
      <c r="AJ38" s="33" t="s">
        <v>268</v>
      </c>
    </row>
    <row r="39" spans="1:36" s="18" customFormat="1" ht="61.5" x14ac:dyDescent="0.85">
      <c r="A39" s="18">
        <v>1</v>
      </c>
      <c r="B39" s="57">
        <f>SUBTOTAL(103,$A$14:A39)</f>
        <v>19</v>
      </c>
      <c r="C39" s="22" t="s">
        <v>768</v>
      </c>
      <c r="D39" s="59" t="s">
        <v>1029</v>
      </c>
      <c r="E39" s="60">
        <v>1.0064</v>
      </c>
      <c r="F39" s="29">
        <f t="shared" si="4"/>
        <v>77292.91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66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58">
        <f>ROUND(P39*1.5%,2)</f>
        <v>0</v>
      </c>
      <c r="AF39" s="37">
        <v>77292.91</v>
      </c>
      <c r="AG39" s="29">
        <v>0</v>
      </c>
      <c r="AH39" s="33">
        <v>2020</v>
      </c>
      <c r="AI39" s="33" t="s">
        <v>268</v>
      </c>
      <c r="AJ39" s="33" t="s">
        <v>268</v>
      </c>
    </row>
    <row r="40" spans="1:36" s="18" customFormat="1" ht="61.5" x14ac:dyDescent="0.85">
      <c r="B40" s="405" t="s">
        <v>830</v>
      </c>
      <c r="C40" s="22"/>
      <c r="D40" s="59" t="s">
        <v>882</v>
      </c>
      <c r="E40" s="60">
        <f>AVERAGE(E41)</f>
        <v>1.0041</v>
      </c>
      <c r="F40" s="29">
        <f>F41</f>
        <v>3265341.36</v>
      </c>
      <c r="G40" s="29">
        <f t="shared" ref="G40:AG40" si="11">G41</f>
        <v>0</v>
      </c>
      <c r="H40" s="29">
        <f t="shared" si="11"/>
        <v>0</v>
      </c>
      <c r="I40" s="29">
        <f t="shared" si="11"/>
        <v>0</v>
      </c>
      <c r="J40" s="29">
        <f t="shared" si="11"/>
        <v>0</v>
      </c>
      <c r="K40" s="29">
        <f t="shared" si="11"/>
        <v>0</v>
      </c>
      <c r="L40" s="29">
        <f t="shared" si="11"/>
        <v>0</v>
      </c>
      <c r="M40" s="66">
        <f t="shared" si="11"/>
        <v>0</v>
      </c>
      <c r="N40" s="29">
        <f t="shared" si="11"/>
        <v>0</v>
      </c>
      <c r="O40" s="29">
        <f t="shared" si="11"/>
        <v>695</v>
      </c>
      <c r="P40" s="29">
        <f t="shared" si="11"/>
        <v>3166427.79</v>
      </c>
      <c r="Q40" s="29">
        <f t="shared" si="11"/>
        <v>0</v>
      </c>
      <c r="R40" s="29">
        <f t="shared" si="11"/>
        <v>0</v>
      </c>
      <c r="S40" s="29">
        <f t="shared" si="11"/>
        <v>0</v>
      </c>
      <c r="T40" s="29">
        <f t="shared" si="11"/>
        <v>0</v>
      </c>
      <c r="U40" s="29">
        <f t="shared" si="11"/>
        <v>0</v>
      </c>
      <c r="V40" s="29">
        <f t="shared" si="11"/>
        <v>0</v>
      </c>
      <c r="W40" s="29">
        <f t="shared" si="11"/>
        <v>0</v>
      </c>
      <c r="X40" s="29">
        <f t="shared" si="11"/>
        <v>0</v>
      </c>
      <c r="Y40" s="29">
        <f t="shared" si="11"/>
        <v>0</v>
      </c>
      <c r="Z40" s="29">
        <f t="shared" si="11"/>
        <v>0</v>
      </c>
      <c r="AA40" s="29">
        <f t="shared" si="11"/>
        <v>0</v>
      </c>
      <c r="AB40" s="29">
        <f t="shared" si="11"/>
        <v>0</v>
      </c>
      <c r="AC40" s="29">
        <f t="shared" si="11"/>
        <v>0</v>
      </c>
      <c r="AD40" s="29">
        <f t="shared" si="11"/>
        <v>0</v>
      </c>
      <c r="AE40" s="58">
        <f t="shared" si="11"/>
        <v>18998.57</v>
      </c>
      <c r="AF40" s="58">
        <f t="shared" si="11"/>
        <v>79915</v>
      </c>
      <c r="AG40" s="29">
        <f t="shared" si="11"/>
        <v>0</v>
      </c>
      <c r="AH40" s="33" t="s">
        <v>882</v>
      </c>
      <c r="AI40" s="33" t="s">
        <v>882</v>
      </c>
      <c r="AJ40" s="33" t="s">
        <v>882</v>
      </c>
    </row>
    <row r="41" spans="1:36" s="18" customFormat="1" ht="61.5" x14ac:dyDescent="0.85">
      <c r="A41" s="18">
        <v>1</v>
      </c>
      <c r="B41" s="57">
        <f>SUBTOTAL(103,$A$14:A41)</f>
        <v>20</v>
      </c>
      <c r="C41" s="22" t="s">
        <v>1017</v>
      </c>
      <c r="D41" s="59" t="s">
        <v>1028</v>
      </c>
      <c r="E41" s="60">
        <v>1.0041</v>
      </c>
      <c r="F41" s="29">
        <f t="shared" si="4"/>
        <v>3265341.36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66">
        <v>0</v>
      </c>
      <c r="N41" s="29">
        <v>0</v>
      </c>
      <c r="O41" s="37">
        <v>695</v>
      </c>
      <c r="P41" s="37">
        <v>3166427.79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58">
        <v>18998.57</v>
      </c>
      <c r="AF41" s="37">
        <v>79915</v>
      </c>
      <c r="AG41" s="29">
        <v>0</v>
      </c>
      <c r="AH41" s="33">
        <v>2020</v>
      </c>
      <c r="AI41" s="33">
        <v>2020</v>
      </c>
      <c r="AJ41" s="33">
        <v>2020</v>
      </c>
    </row>
    <row r="42" spans="1:36" s="18" customFormat="1" ht="61.5" x14ac:dyDescent="0.85">
      <c r="B42" s="405" t="s">
        <v>832</v>
      </c>
      <c r="C42" s="22"/>
      <c r="D42" s="59" t="s">
        <v>882</v>
      </c>
      <c r="E42" s="60">
        <f>AVERAGE(E43)</f>
        <v>1</v>
      </c>
      <c r="F42" s="29">
        <f>F43</f>
        <v>97672.62</v>
      </c>
      <c r="G42" s="29">
        <f t="shared" ref="G42:AG42" si="12">G43</f>
        <v>0</v>
      </c>
      <c r="H42" s="29">
        <f t="shared" si="12"/>
        <v>0</v>
      </c>
      <c r="I42" s="29">
        <f t="shared" si="12"/>
        <v>0</v>
      </c>
      <c r="J42" s="29">
        <f t="shared" si="12"/>
        <v>0</v>
      </c>
      <c r="K42" s="29">
        <f t="shared" si="12"/>
        <v>0</v>
      </c>
      <c r="L42" s="29">
        <f t="shared" si="12"/>
        <v>0</v>
      </c>
      <c r="M42" s="66">
        <f t="shared" si="12"/>
        <v>0</v>
      </c>
      <c r="N42" s="29">
        <f t="shared" si="12"/>
        <v>0</v>
      </c>
      <c r="O42" s="29">
        <f t="shared" si="12"/>
        <v>0</v>
      </c>
      <c r="P42" s="29">
        <f t="shared" si="12"/>
        <v>0</v>
      </c>
      <c r="Q42" s="29">
        <f t="shared" si="12"/>
        <v>0</v>
      </c>
      <c r="R42" s="29">
        <f t="shared" si="12"/>
        <v>0</v>
      </c>
      <c r="S42" s="29">
        <f t="shared" si="12"/>
        <v>0</v>
      </c>
      <c r="T42" s="29">
        <f t="shared" si="12"/>
        <v>0</v>
      </c>
      <c r="U42" s="29">
        <f t="shared" si="12"/>
        <v>0</v>
      </c>
      <c r="V42" s="29">
        <f t="shared" si="12"/>
        <v>0</v>
      </c>
      <c r="W42" s="29">
        <f t="shared" si="12"/>
        <v>0</v>
      </c>
      <c r="X42" s="29">
        <f t="shared" si="12"/>
        <v>0</v>
      </c>
      <c r="Y42" s="29">
        <f t="shared" si="12"/>
        <v>0</v>
      </c>
      <c r="Z42" s="29">
        <f t="shared" si="12"/>
        <v>0</v>
      </c>
      <c r="AA42" s="29">
        <f t="shared" si="12"/>
        <v>0</v>
      </c>
      <c r="AB42" s="29">
        <f t="shared" si="12"/>
        <v>0</v>
      </c>
      <c r="AC42" s="29">
        <f t="shared" si="12"/>
        <v>0</v>
      </c>
      <c r="AD42" s="29">
        <f t="shared" si="12"/>
        <v>0</v>
      </c>
      <c r="AE42" s="58">
        <f t="shared" si="12"/>
        <v>0</v>
      </c>
      <c r="AF42" s="58">
        <f t="shared" si="12"/>
        <v>97672.62</v>
      </c>
      <c r="AG42" s="29">
        <f t="shared" si="12"/>
        <v>0</v>
      </c>
      <c r="AH42" s="33" t="s">
        <v>882</v>
      </c>
      <c r="AI42" s="33" t="s">
        <v>882</v>
      </c>
      <c r="AJ42" s="33" t="s">
        <v>882</v>
      </c>
    </row>
    <row r="43" spans="1:36" s="18" customFormat="1" ht="61.5" x14ac:dyDescent="0.85">
      <c r="A43" s="18">
        <v>1</v>
      </c>
      <c r="B43" s="57">
        <f>SUBTOTAL(103,$A$14:A43)</f>
        <v>21</v>
      </c>
      <c r="C43" s="22" t="s">
        <v>1018</v>
      </c>
      <c r="D43" s="59" t="s">
        <v>1030</v>
      </c>
      <c r="E43" s="60">
        <v>1</v>
      </c>
      <c r="F43" s="29">
        <f t="shared" si="4"/>
        <v>97672.62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66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58">
        <f>ROUND(P43*1.5%,2)</f>
        <v>0</v>
      </c>
      <c r="AF43" s="408">
        <v>97672.62</v>
      </c>
      <c r="AG43" s="29">
        <v>0</v>
      </c>
      <c r="AH43" s="33">
        <v>2020</v>
      </c>
      <c r="AI43" s="33" t="s">
        <v>268</v>
      </c>
      <c r="AJ43" s="33" t="s">
        <v>268</v>
      </c>
    </row>
    <row r="44" spans="1:36" s="18" customFormat="1" ht="61.5" x14ac:dyDescent="0.85">
      <c r="B44" s="405" t="s">
        <v>1037</v>
      </c>
      <c r="C44" s="22"/>
      <c r="D44" s="59" t="s">
        <v>882</v>
      </c>
      <c r="E44" s="60">
        <f>AVERAGE(E45:E47)</f>
        <v>1.0093333333333334</v>
      </c>
      <c r="F44" s="29">
        <f t="shared" ref="F44:AG44" si="13">SUM(F45:F47)</f>
        <v>7637123.5900000008</v>
      </c>
      <c r="G44" s="29">
        <f t="shared" si="13"/>
        <v>0</v>
      </c>
      <c r="H44" s="29">
        <f t="shared" si="13"/>
        <v>0</v>
      </c>
      <c r="I44" s="29">
        <f t="shared" si="13"/>
        <v>0</v>
      </c>
      <c r="J44" s="29">
        <f t="shared" si="13"/>
        <v>0</v>
      </c>
      <c r="K44" s="29">
        <f t="shared" si="13"/>
        <v>0</v>
      </c>
      <c r="L44" s="29">
        <f t="shared" si="13"/>
        <v>0</v>
      </c>
      <c r="M44" s="66">
        <f t="shared" si="13"/>
        <v>0</v>
      </c>
      <c r="N44" s="29">
        <f t="shared" si="13"/>
        <v>0</v>
      </c>
      <c r="O44" s="29">
        <f t="shared" si="13"/>
        <v>1438.7</v>
      </c>
      <c r="P44" s="29">
        <f t="shared" si="13"/>
        <v>7406508.8399999999</v>
      </c>
      <c r="Q44" s="29">
        <f t="shared" si="13"/>
        <v>0</v>
      </c>
      <c r="R44" s="29">
        <f t="shared" si="13"/>
        <v>0</v>
      </c>
      <c r="S44" s="29">
        <f t="shared" si="13"/>
        <v>0</v>
      </c>
      <c r="T44" s="29">
        <f t="shared" si="13"/>
        <v>0</v>
      </c>
      <c r="U44" s="29">
        <f t="shared" si="13"/>
        <v>0</v>
      </c>
      <c r="V44" s="29">
        <f t="shared" si="13"/>
        <v>0</v>
      </c>
      <c r="W44" s="29">
        <f t="shared" si="13"/>
        <v>0</v>
      </c>
      <c r="X44" s="29">
        <f t="shared" si="13"/>
        <v>0</v>
      </c>
      <c r="Y44" s="29">
        <f t="shared" si="13"/>
        <v>0</v>
      </c>
      <c r="Z44" s="29">
        <f t="shared" si="13"/>
        <v>0</v>
      </c>
      <c r="AA44" s="29">
        <f t="shared" si="13"/>
        <v>0</v>
      </c>
      <c r="AB44" s="29">
        <f t="shared" si="13"/>
        <v>0</v>
      </c>
      <c r="AC44" s="29">
        <f t="shared" si="13"/>
        <v>0</v>
      </c>
      <c r="AD44" s="29">
        <f t="shared" si="13"/>
        <v>0</v>
      </c>
      <c r="AE44" s="58">
        <f t="shared" si="13"/>
        <v>25643.34</v>
      </c>
      <c r="AF44" s="58">
        <f t="shared" si="13"/>
        <v>204971.41</v>
      </c>
      <c r="AG44" s="29">
        <f t="shared" si="13"/>
        <v>0</v>
      </c>
      <c r="AH44" s="33" t="s">
        <v>882</v>
      </c>
      <c r="AI44" s="33" t="s">
        <v>882</v>
      </c>
      <c r="AJ44" s="33" t="s">
        <v>882</v>
      </c>
    </row>
    <row r="45" spans="1:36" s="18" customFormat="1" ht="61.5" x14ac:dyDescent="0.85">
      <c r="A45" s="18">
        <v>1</v>
      </c>
      <c r="B45" s="57">
        <f>SUBTOTAL(103,$A$14:A45)</f>
        <v>22</v>
      </c>
      <c r="C45" s="22" t="s">
        <v>1019</v>
      </c>
      <c r="D45" s="59" t="s">
        <v>1032</v>
      </c>
      <c r="E45" s="60">
        <v>1.0093000000000001</v>
      </c>
      <c r="F45" s="29">
        <f t="shared" si="4"/>
        <v>2406352.7599999998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66">
        <v>0</v>
      </c>
      <c r="N45" s="29">
        <v>0</v>
      </c>
      <c r="O45" s="37">
        <v>441.7</v>
      </c>
      <c r="P45" s="37">
        <v>2338270.38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58">
        <v>0</v>
      </c>
      <c r="AF45" s="37">
        <v>68082.38</v>
      </c>
      <c r="AG45" s="29">
        <v>0</v>
      </c>
      <c r="AH45" s="33">
        <v>2020</v>
      </c>
      <c r="AI45" s="33">
        <v>2020</v>
      </c>
      <c r="AJ45" s="33" t="s">
        <v>268</v>
      </c>
    </row>
    <row r="46" spans="1:36" s="18" customFormat="1" ht="61.5" x14ac:dyDescent="0.85">
      <c r="A46" s="18">
        <v>1</v>
      </c>
      <c r="B46" s="57">
        <f>SUBTOTAL(103,$A$14:A46)</f>
        <v>23</v>
      </c>
      <c r="C46" s="22" t="s">
        <v>1020</v>
      </c>
      <c r="D46" s="59" t="s">
        <v>1028</v>
      </c>
      <c r="E46" s="60">
        <v>1.0031000000000001</v>
      </c>
      <c r="F46" s="29">
        <f t="shared" si="4"/>
        <v>2491755.89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66">
        <v>0</v>
      </c>
      <c r="N46" s="29">
        <v>0</v>
      </c>
      <c r="O46" s="37">
        <v>502</v>
      </c>
      <c r="P46" s="37">
        <v>2407983.3199999998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11377.72</v>
      </c>
      <c r="AF46" s="408">
        <v>72394.850000000006</v>
      </c>
      <c r="AG46" s="29">
        <v>0</v>
      </c>
      <c r="AH46" s="33">
        <v>2020</v>
      </c>
      <c r="AI46" s="33">
        <v>2020</v>
      </c>
      <c r="AJ46" s="33">
        <v>2020</v>
      </c>
    </row>
    <row r="47" spans="1:36" s="18" customFormat="1" ht="61.5" x14ac:dyDescent="0.85">
      <c r="A47" s="18">
        <v>1</v>
      </c>
      <c r="B47" s="57">
        <f>SUBTOTAL(103,$A$14:A47)</f>
        <v>24</v>
      </c>
      <c r="C47" s="22" t="s">
        <v>1021</v>
      </c>
      <c r="D47" s="59" t="s">
        <v>1031</v>
      </c>
      <c r="E47" s="60">
        <v>1.0156000000000001</v>
      </c>
      <c r="F47" s="29">
        <f t="shared" si="4"/>
        <v>2739014.9400000004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66">
        <v>0</v>
      </c>
      <c r="N47" s="29">
        <v>0</v>
      </c>
      <c r="O47" s="37">
        <v>495</v>
      </c>
      <c r="P47" s="37">
        <v>2660255.14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f>7980.77+6284.85</f>
        <v>14265.62</v>
      </c>
      <c r="AF47" s="408">
        <v>64494.18</v>
      </c>
      <c r="AG47" s="29">
        <v>0</v>
      </c>
      <c r="AH47" s="33">
        <v>2020</v>
      </c>
      <c r="AI47" s="33">
        <v>2020</v>
      </c>
      <c r="AJ47" s="33">
        <v>2020</v>
      </c>
    </row>
    <row r="48" spans="1:36" s="18" customFormat="1" ht="61.5" x14ac:dyDescent="0.85">
      <c r="B48" s="405" t="s">
        <v>1038</v>
      </c>
      <c r="C48" s="22"/>
      <c r="D48" s="59" t="s">
        <v>882</v>
      </c>
      <c r="E48" s="60">
        <f>AVERAGE(E49)</f>
        <v>1</v>
      </c>
      <c r="F48" s="29">
        <f>F49</f>
        <v>2434994.4500000002</v>
      </c>
      <c r="G48" s="29">
        <f t="shared" ref="G48:AG48" si="14">G49</f>
        <v>0</v>
      </c>
      <c r="H48" s="29">
        <f t="shared" si="14"/>
        <v>0</v>
      </c>
      <c r="I48" s="29">
        <f t="shared" si="14"/>
        <v>0</v>
      </c>
      <c r="J48" s="29">
        <f t="shared" si="14"/>
        <v>0</v>
      </c>
      <c r="K48" s="29">
        <f t="shared" si="14"/>
        <v>0</v>
      </c>
      <c r="L48" s="29">
        <f t="shared" si="14"/>
        <v>0</v>
      </c>
      <c r="M48" s="66">
        <f t="shared" si="14"/>
        <v>0</v>
      </c>
      <c r="N48" s="29">
        <f t="shared" si="14"/>
        <v>0</v>
      </c>
      <c r="O48" s="29">
        <f t="shared" si="14"/>
        <v>780</v>
      </c>
      <c r="P48" s="29">
        <f t="shared" si="14"/>
        <v>2307296.7200000002</v>
      </c>
      <c r="Q48" s="29">
        <f t="shared" si="14"/>
        <v>0</v>
      </c>
      <c r="R48" s="29">
        <f t="shared" si="14"/>
        <v>0</v>
      </c>
      <c r="S48" s="29">
        <f t="shared" si="14"/>
        <v>0</v>
      </c>
      <c r="T48" s="29">
        <f t="shared" si="14"/>
        <v>0</v>
      </c>
      <c r="U48" s="29">
        <f t="shared" si="14"/>
        <v>0</v>
      </c>
      <c r="V48" s="29">
        <f t="shared" si="14"/>
        <v>0</v>
      </c>
      <c r="W48" s="29">
        <f t="shared" si="14"/>
        <v>0</v>
      </c>
      <c r="X48" s="29">
        <f t="shared" si="14"/>
        <v>0</v>
      </c>
      <c r="Y48" s="29">
        <f t="shared" si="14"/>
        <v>0</v>
      </c>
      <c r="Z48" s="29">
        <f t="shared" si="14"/>
        <v>0</v>
      </c>
      <c r="AA48" s="29">
        <f t="shared" si="14"/>
        <v>0</v>
      </c>
      <c r="AB48" s="29">
        <f t="shared" si="14"/>
        <v>0</v>
      </c>
      <c r="AC48" s="29">
        <f t="shared" si="14"/>
        <v>0</v>
      </c>
      <c r="AD48" s="29">
        <f t="shared" si="14"/>
        <v>0</v>
      </c>
      <c r="AE48" s="58">
        <f t="shared" si="14"/>
        <v>32359.84</v>
      </c>
      <c r="AF48" s="58">
        <f t="shared" si="14"/>
        <v>95337.89</v>
      </c>
      <c r="AG48" s="29">
        <f t="shared" si="14"/>
        <v>0</v>
      </c>
      <c r="AH48" s="33" t="s">
        <v>882</v>
      </c>
      <c r="AI48" s="33" t="s">
        <v>882</v>
      </c>
      <c r="AJ48" s="33" t="s">
        <v>882</v>
      </c>
    </row>
    <row r="49" spans="1:36" s="18" customFormat="1" ht="61.5" x14ac:dyDescent="0.85">
      <c r="A49" s="18">
        <v>1</v>
      </c>
      <c r="B49" s="57">
        <f>SUBTOTAL(103,$A$14:A49)</f>
        <v>25</v>
      </c>
      <c r="C49" s="22" t="s">
        <v>1026</v>
      </c>
      <c r="D49" s="59" t="s">
        <v>1027</v>
      </c>
      <c r="E49" s="60">
        <v>1</v>
      </c>
      <c r="F49" s="29">
        <f t="shared" si="4"/>
        <v>2434994.4500000002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66">
        <v>0</v>
      </c>
      <c r="N49" s="29">
        <v>0</v>
      </c>
      <c r="O49" s="29">
        <v>780</v>
      </c>
      <c r="P49" s="29">
        <v>2307296.7200000002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37">
        <v>32359.84</v>
      </c>
      <c r="AF49" s="408">
        <v>95337.89</v>
      </c>
      <c r="AG49" s="29">
        <v>0</v>
      </c>
      <c r="AH49" s="33">
        <v>2020</v>
      </c>
      <c r="AI49" s="33">
        <v>2020</v>
      </c>
      <c r="AJ49" s="33">
        <v>2020</v>
      </c>
    </row>
    <row r="50" spans="1:36" s="18" customFormat="1" ht="61.5" x14ac:dyDescent="0.85">
      <c r="B50" s="405" t="s">
        <v>843</v>
      </c>
      <c r="C50" s="22"/>
      <c r="D50" s="59" t="s">
        <v>882</v>
      </c>
      <c r="E50" s="60">
        <f>AVERAGE(E51)</f>
        <v>1.008</v>
      </c>
      <c r="F50" s="29">
        <f>F51</f>
        <v>89459.11</v>
      </c>
      <c r="G50" s="29">
        <f t="shared" ref="G50:AG50" si="15">G51</f>
        <v>0</v>
      </c>
      <c r="H50" s="29">
        <f t="shared" si="15"/>
        <v>0</v>
      </c>
      <c r="I50" s="29">
        <f t="shared" si="15"/>
        <v>0</v>
      </c>
      <c r="J50" s="29">
        <f t="shared" si="15"/>
        <v>0</v>
      </c>
      <c r="K50" s="29">
        <f t="shared" si="15"/>
        <v>0</v>
      </c>
      <c r="L50" s="29">
        <f t="shared" si="15"/>
        <v>0</v>
      </c>
      <c r="M50" s="66">
        <f t="shared" si="15"/>
        <v>0</v>
      </c>
      <c r="N50" s="29">
        <f t="shared" si="15"/>
        <v>0</v>
      </c>
      <c r="O50" s="29">
        <f t="shared" si="15"/>
        <v>0</v>
      </c>
      <c r="P50" s="29">
        <f t="shared" si="15"/>
        <v>0</v>
      </c>
      <c r="Q50" s="29">
        <f t="shared" si="15"/>
        <v>0</v>
      </c>
      <c r="R50" s="29">
        <f t="shared" si="15"/>
        <v>0</v>
      </c>
      <c r="S50" s="29">
        <f t="shared" si="15"/>
        <v>0</v>
      </c>
      <c r="T50" s="29">
        <f t="shared" si="15"/>
        <v>0</v>
      </c>
      <c r="U50" s="29">
        <f t="shared" si="15"/>
        <v>0</v>
      </c>
      <c r="V50" s="29">
        <f t="shared" si="15"/>
        <v>0</v>
      </c>
      <c r="W50" s="29">
        <f t="shared" si="15"/>
        <v>0</v>
      </c>
      <c r="X50" s="29">
        <f t="shared" si="15"/>
        <v>0</v>
      </c>
      <c r="Y50" s="29">
        <f t="shared" si="15"/>
        <v>0</v>
      </c>
      <c r="Z50" s="29">
        <f t="shared" si="15"/>
        <v>0</v>
      </c>
      <c r="AA50" s="29">
        <f t="shared" si="15"/>
        <v>0</v>
      </c>
      <c r="AB50" s="29">
        <f t="shared" si="15"/>
        <v>0</v>
      </c>
      <c r="AC50" s="29">
        <f t="shared" si="15"/>
        <v>0</v>
      </c>
      <c r="AD50" s="29">
        <f t="shared" si="15"/>
        <v>0</v>
      </c>
      <c r="AE50" s="58">
        <f t="shared" si="15"/>
        <v>0</v>
      </c>
      <c r="AF50" s="58">
        <f t="shared" si="15"/>
        <v>89459.11</v>
      </c>
      <c r="AG50" s="29">
        <f t="shared" si="15"/>
        <v>0</v>
      </c>
      <c r="AH50" s="33" t="s">
        <v>882</v>
      </c>
      <c r="AI50" s="33" t="s">
        <v>882</v>
      </c>
      <c r="AJ50" s="33" t="s">
        <v>882</v>
      </c>
    </row>
    <row r="51" spans="1:36" s="18" customFormat="1" ht="61.5" x14ac:dyDescent="0.85">
      <c r="A51" s="18">
        <v>1</v>
      </c>
      <c r="B51" s="57">
        <f>SUBTOTAL(103,$A$14:A51)</f>
        <v>26</v>
      </c>
      <c r="C51" s="22" t="s">
        <v>1022</v>
      </c>
      <c r="D51" s="59" t="s">
        <v>1028</v>
      </c>
      <c r="E51" s="60">
        <v>1.008</v>
      </c>
      <c r="F51" s="29">
        <f t="shared" si="4"/>
        <v>89459.11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66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58">
        <f>ROUND(P51*1.5%,2)</f>
        <v>0</v>
      </c>
      <c r="AF51" s="408">
        <v>89459.11</v>
      </c>
      <c r="AG51" s="29">
        <v>0</v>
      </c>
      <c r="AH51" s="33">
        <v>2020</v>
      </c>
      <c r="AI51" s="33" t="s">
        <v>268</v>
      </c>
      <c r="AJ51" s="33" t="s">
        <v>268</v>
      </c>
    </row>
    <row r="52" spans="1:36" s="18" customFormat="1" ht="61.5" x14ac:dyDescent="0.85">
      <c r="B52" s="405" t="s">
        <v>849</v>
      </c>
      <c r="C52" s="22"/>
      <c r="D52" s="59" t="s">
        <v>882</v>
      </c>
      <c r="E52" s="60">
        <f>AVERAGE(E53)</f>
        <v>1.0001</v>
      </c>
      <c r="F52" s="29">
        <f>F53</f>
        <v>3168456.39</v>
      </c>
      <c r="G52" s="29">
        <f t="shared" ref="G52:AG52" si="16">G53</f>
        <v>0</v>
      </c>
      <c r="H52" s="29">
        <f t="shared" si="16"/>
        <v>0</v>
      </c>
      <c r="I52" s="29">
        <f t="shared" si="16"/>
        <v>0</v>
      </c>
      <c r="J52" s="29">
        <f t="shared" si="16"/>
        <v>0</v>
      </c>
      <c r="K52" s="29">
        <f t="shared" si="16"/>
        <v>0</v>
      </c>
      <c r="L52" s="29">
        <f t="shared" si="16"/>
        <v>0</v>
      </c>
      <c r="M52" s="66">
        <f t="shared" si="16"/>
        <v>0</v>
      </c>
      <c r="N52" s="29">
        <f t="shared" si="16"/>
        <v>0</v>
      </c>
      <c r="O52" s="29">
        <f t="shared" si="16"/>
        <v>874</v>
      </c>
      <c r="P52" s="29">
        <f t="shared" si="16"/>
        <v>3070274</v>
      </c>
      <c r="Q52" s="29">
        <f t="shared" si="16"/>
        <v>0</v>
      </c>
      <c r="R52" s="29">
        <f t="shared" si="16"/>
        <v>0</v>
      </c>
      <c r="S52" s="29">
        <f t="shared" si="16"/>
        <v>0</v>
      </c>
      <c r="T52" s="29">
        <f t="shared" si="16"/>
        <v>0</v>
      </c>
      <c r="U52" s="29">
        <f t="shared" si="16"/>
        <v>0</v>
      </c>
      <c r="V52" s="29">
        <f t="shared" si="16"/>
        <v>0</v>
      </c>
      <c r="W52" s="29">
        <f t="shared" si="16"/>
        <v>0</v>
      </c>
      <c r="X52" s="29">
        <f t="shared" si="16"/>
        <v>0</v>
      </c>
      <c r="Y52" s="29">
        <f t="shared" si="16"/>
        <v>0</v>
      </c>
      <c r="Z52" s="29">
        <f t="shared" si="16"/>
        <v>0</v>
      </c>
      <c r="AA52" s="29">
        <f t="shared" si="16"/>
        <v>0</v>
      </c>
      <c r="AB52" s="29">
        <f t="shared" si="16"/>
        <v>0</v>
      </c>
      <c r="AC52" s="29">
        <f t="shared" si="16"/>
        <v>0</v>
      </c>
      <c r="AD52" s="29">
        <f t="shared" si="16"/>
        <v>0</v>
      </c>
      <c r="AE52" s="58">
        <f t="shared" si="16"/>
        <v>0</v>
      </c>
      <c r="AF52" s="58">
        <f t="shared" si="16"/>
        <v>98182.39</v>
      </c>
      <c r="AG52" s="29">
        <f t="shared" si="16"/>
        <v>0</v>
      </c>
      <c r="AH52" s="33" t="s">
        <v>882</v>
      </c>
      <c r="AI52" s="33" t="s">
        <v>882</v>
      </c>
      <c r="AJ52" s="33" t="s">
        <v>882</v>
      </c>
    </row>
    <row r="53" spans="1:36" s="18" customFormat="1" ht="61.5" x14ac:dyDescent="0.85">
      <c r="A53" s="18">
        <v>1</v>
      </c>
      <c r="B53" s="57">
        <f>SUBTOTAL(103,$A$14:A53)</f>
        <v>27</v>
      </c>
      <c r="C53" s="22" t="s">
        <v>1025</v>
      </c>
      <c r="D53" s="59" t="s">
        <v>1030</v>
      </c>
      <c r="E53" s="60">
        <v>1.0001</v>
      </c>
      <c r="F53" s="29">
        <f t="shared" si="4"/>
        <v>3168456.39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66">
        <v>0</v>
      </c>
      <c r="N53" s="29">
        <v>0</v>
      </c>
      <c r="O53" s="37">
        <v>874</v>
      </c>
      <c r="P53" s="37">
        <v>3070274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58">
        <v>0</v>
      </c>
      <c r="AF53" s="408">
        <v>98182.39</v>
      </c>
      <c r="AG53" s="29">
        <v>0</v>
      </c>
      <c r="AH53" s="33">
        <v>2020</v>
      </c>
      <c r="AI53" s="33">
        <v>2020</v>
      </c>
      <c r="AJ53" s="33" t="s">
        <v>268</v>
      </c>
    </row>
    <row r="54" spans="1:36" s="18" customFormat="1" ht="61.5" x14ac:dyDescent="0.85">
      <c r="B54" s="405" t="s">
        <v>851</v>
      </c>
      <c r="C54" s="22"/>
      <c r="D54" s="59" t="s">
        <v>882</v>
      </c>
      <c r="E54" s="60">
        <f>AVERAGE(E55:E56)</f>
        <v>1.0058</v>
      </c>
      <c r="F54" s="29">
        <f>F56+F55+F57</f>
        <v>4966030.97</v>
      </c>
      <c r="G54" s="29">
        <f t="shared" ref="G54:AG54" si="17">G56+G55+G57</f>
        <v>0</v>
      </c>
      <c r="H54" s="29">
        <f t="shared" si="17"/>
        <v>0</v>
      </c>
      <c r="I54" s="29">
        <f t="shared" si="17"/>
        <v>0</v>
      </c>
      <c r="J54" s="29">
        <f t="shared" si="17"/>
        <v>0</v>
      </c>
      <c r="K54" s="29">
        <f t="shared" si="17"/>
        <v>0</v>
      </c>
      <c r="L54" s="29">
        <f t="shared" si="17"/>
        <v>0</v>
      </c>
      <c r="M54" s="66">
        <f t="shared" si="17"/>
        <v>0</v>
      </c>
      <c r="N54" s="29">
        <f t="shared" si="17"/>
        <v>0</v>
      </c>
      <c r="O54" s="29">
        <f t="shared" si="17"/>
        <v>880.82999999999993</v>
      </c>
      <c r="P54" s="29">
        <f t="shared" si="17"/>
        <v>3232706.81</v>
      </c>
      <c r="Q54" s="29">
        <f t="shared" si="17"/>
        <v>0</v>
      </c>
      <c r="R54" s="29">
        <f t="shared" si="17"/>
        <v>0</v>
      </c>
      <c r="S54" s="29">
        <f t="shared" si="17"/>
        <v>438.58</v>
      </c>
      <c r="T54" s="29">
        <f t="shared" si="17"/>
        <v>1586717.02</v>
      </c>
      <c r="U54" s="29">
        <f t="shared" si="17"/>
        <v>0</v>
      </c>
      <c r="V54" s="29">
        <f t="shared" si="17"/>
        <v>0</v>
      </c>
      <c r="W54" s="29">
        <f t="shared" si="17"/>
        <v>0</v>
      </c>
      <c r="X54" s="29">
        <f t="shared" si="17"/>
        <v>0</v>
      </c>
      <c r="Y54" s="29">
        <f t="shared" si="17"/>
        <v>0</v>
      </c>
      <c r="Z54" s="29">
        <f t="shared" si="17"/>
        <v>0</v>
      </c>
      <c r="AA54" s="29">
        <f t="shared" si="17"/>
        <v>0</v>
      </c>
      <c r="AB54" s="29">
        <f t="shared" si="17"/>
        <v>0</v>
      </c>
      <c r="AC54" s="29">
        <f t="shared" si="17"/>
        <v>0</v>
      </c>
      <c r="AD54" s="29">
        <f t="shared" si="17"/>
        <v>0</v>
      </c>
      <c r="AE54" s="29">
        <f t="shared" si="17"/>
        <v>62168.57</v>
      </c>
      <c r="AF54" s="29">
        <f t="shared" si="17"/>
        <v>84438.57</v>
      </c>
      <c r="AG54" s="29">
        <f t="shared" si="17"/>
        <v>0</v>
      </c>
      <c r="AH54" s="33" t="s">
        <v>882</v>
      </c>
      <c r="AI54" s="33" t="s">
        <v>882</v>
      </c>
      <c r="AJ54" s="33" t="s">
        <v>882</v>
      </c>
    </row>
    <row r="55" spans="1:36" s="18" customFormat="1" ht="61.5" x14ac:dyDescent="0.85">
      <c r="A55" s="18">
        <v>1</v>
      </c>
      <c r="B55" s="57">
        <f>SUBTOTAL(103,$A$14:A55)</f>
        <v>28</v>
      </c>
      <c r="C55" s="22" t="s">
        <v>1068</v>
      </c>
      <c r="D55" s="59" t="s">
        <v>1027</v>
      </c>
      <c r="E55" s="60">
        <v>1</v>
      </c>
      <c r="F55" s="29">
        <f>G55+H55+I55+J55+K55+L55+N55+P55+R55+T55+V55+W55+X55+Y55+Z55+AA55+AB55+AC55+AD55+AE55+AF55+AG55</f>
        <v>1924066.04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66">
        <v>0</v>
      </c>
      <c r="N55" s="29">
        <v>0</v>
      </c>
      <c r="O55" s="37">
        <v>571.88</v>
      </c>
      <c r="P55" s="134">
        <v>1899561.69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134">
        <v>24504.35</v>
      </c>
      <c r="AF55" s="58">
        <v>0</v>
      </c>
      <c r="AG55" s="29">
        <v>0</v>
      </c>
      <c r="AH55" s="33" t="s">
        <v>268</v>
      </c>
      <c r="AI55" s="33">
        <v>2020</v>
      </c>
      <c r="AJ55" s="33">
        <v>2020</v>
      </c>
    </row>
    <row r="56" spans="1:36" s="18" customFormat="1" ht="61.5" x14ac:dyDescent="0.85">
      <c r="A56" s="18">
        <v>1</v>
      </c>
      <c r="B56" s="57">
        <f>SUBTOTAL(103,$A$14:A56)</f>
        <v>29</v>
      </c>
      <c r="C56" s="22" t="s">
        <v>1023</v>
      </c>
      <c r="D56" s="59" t="s">
        <v>1033</v>
      </c>
      <c r="E56" s="60">
        <v>1.0116000000000001</v>
      </c>
      <c r="F56" s="29">
        <f t="shared" si="4"/>
        <v>1650932.93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66">
        <v>0</v>
      </c>
      <c r="N56" s="29">
        <v>0</v>
      </c>
      <c r="O56" s="29">
        <v>0</v>
      </c>
      <c r="P56" s="29">
        <f>O56*4800</f>
        <v>0</v>
      </c>
      <c r="Q56" s="29">
        <v>0</v>
      </c>
      <c r="R56" s="29">
        <v>0</v>
      </c>
      <c r="S56" s="37">
        <v>438.58</v>
      </c>
      <c r="T56" s="37">
        <v>1586717.02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37">
        <v>20468.650000000001</v>
      </c>
      <c r="AF56" s="408">
        <v>43747.26</v>
      </c>
      <c r="AG56" s="29">
        <v>0</v>
      </c>
      <c r="AH56" s="33">
        <v>2020</v>
      </c>
      <c r="AI56" s="33">
        <v>2020</v>
      </c>
      <c r="AJ56" s="33">
        <v>2020</v>
      </c>
    </row>
    <row r="57" spans="1:36" s="18" customFormat="1" ht="61.5" x14ac:dyDescent="0.85">
      <c r="A57" s="18">
        <v>1</v>
      </c>
      <c r="B57" s="57">
        <f>SUBTOTAL(103,$A$14:A57)</f>
        <v>30</v>
      </c>
      <c r="C57" s="22" t="s">
        <v>191</v>
      </c>
      <c r="D57" s="59" t="s">
        <v>1029</v>
      </c>
      <c r="E57" s="60">
        <v>1</v>
      </c>
      <c r="F57" s="29">
        <f t="shared" si="4"/>
        <v>1391032.0000000002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66">
        <v>0</v>
      </c>
      <c r="N57" s="29">
        <v>0</v>
      </c>
      <c r="O57" s="37">
        <v>308.95</v>
      </c>
      <c r="P57" s="37">
        <v>1333145.1200000001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37">
        <v>17195.57</v>
      </c>
      <c r="AF57" s="37">
        <v>40691.31</v>
      </c>
      <c r="AG57" s="29">
        <v>0</v>
      </c>
      <c r="AH57" s="33">
        <v>2020</v>
      </c>
      <c r="AI57" s="33">
        <v>2020</v>
      </c>
      <c r="AJ57" s="33">
        <v>2020</v>
      </c>
    </row>
    <row r="58" spans="1:36" s="18" customFormat="1" ht="61.5" x14ac:dyDescent="0.85">
      <c r="B58" s="405" t="s">
        <v>850</v>
      </c>
      <c r="C58" s="22"/>
      <c r="D58" s="59" t="s">
        <v>882</v>
      </c>
      <c r="E58" s="60">
        <f>AVERAGE(E59)</f>
        <v>1</v>
      </c>
      <c r="F58" s="29">
        <f>F59</f>
        <v>1661171.06</v>
      </c>
      <c r="G58" s="29">
        <f t="shared" ref="G58:AG58" si="18">G59</f>
        <v>0</v>
      </c>
      <c r="H58" s="29">
        <f t="shared" si="18"/>
        <v>0</v>
      </c>
      <c r="I58" s="29">
        <f t="shared" si="18"/>
        <v>0</v>
      </c>
      <c r="J58" s="29">
        <f t="shared" si="18"/>
        <v>0</v>
      </c>
      <c r="K58" s="29">
        <f t="shared" si="18"/>
        <v>0</v>
      </c>
      <c r="L58" s="29">
        <f t="shared" si="18"/>
        <v>0</v>
      </c>
      <c r="M58" s="66">
        <f t="shared" si="18"/>
        <v>0</v>
      </c>
      <c r="N58" s="29">
        <f t="shared" si="18"/>
        <v>0</v>
      </c>
      <c r="O58" s="29">
        <f t="shared" si="18"/>
        <v>546.45000000000005</v>
      </c>
      <c r="P58" s="29">
        <f t="shared" si="18"/>
        <v>1569811.07</v>
      </c>
      <c r="Q58" s="29">
        <f t="shared" si="18"/>
        <v>0</v>
      </c>
      <c r="R58" s="29">
        <f t="shared" si="18"/>
        <v>0</v>
      </c>
      <c r="S58" s="29">
        <f t="shared" si="18"/>
        <v>0</v>
      </c>
      <c r="T58" s="29">
        <f t="shared" si="18"/>
        <v>0</v>
      </c>
      <c r="U58" s="29">
        <f t="shared" si="18"/>
        <v>0</v>
      </c>
      <c r="V58" s="29">
        <f t="shared" si="18"/>
        <v>0</v>
      </c>
      <c r="W58" s="29">
        <f t="shared" si="18"/>
        <v>0</v>
      </c>
      <c r="X58" s="29">
        <f t="shared" si="18"/>
        <v>0</v>
      </c>
      <c r="Y58" s="29">
        <f t="shared" si="18"/>
        <v>0</v>
      </c>
      <c r="Z58" s="29">
        <f t="shared" si="18"/>
        <v>0</v>
      </c>
      <c r="AA58" s="29">
        <f t="shared" si="18"/>
        <v>0</v>
      </c>
      <c r="AB58" s="29">
        <f t="shared" si="18"/>
        <v>0</v>
      </c>
      <c r="AC58" s="29">
        <f t="shared" si="18"/>
        <v>0</v>
      </c>
      <c r="AD58" s="29">
        <f t="shared" si="18"/>
        <v>0</v>
      </c>
      <c r="AE58" s="58">
        <f t="shared" si="18"/>
        <v>20250.560000000001</v>
      </c>
      <c r="AF58" s="58">
        <f t="shared" si="18"/>
        <v>71109.429999999993</v>
      </c>
      <c r="AG58" s="29">
        <f t="shared" si="18"/>
        <v>0</v>
      </c>
      <c r="AH58" s="33" t="s">
        <v>882</v>
      </c>
      <c r="AI58" s="33" t="s">
        <v>882</v>
      </c>
      <c r="AJ58" s="33" t="s">
        <v>882</v>
      </c>
    </row>
    <row r="59" spans="1:36" s="18" customFormat="1" ht="61.5" x14ac:dyDescent="0.85">
      <c r="A59" s="18">
        <v>1</v>
      </c>
      <c r="B59" s="57">
        <f>SUBTOTAL(103,$A$14:A59)</f>
        <v>31</v>
      </c>
      <c r="C59" s="22" t="s">
        <v>1059</v>
      </c>
      <c r="D59" s="59" t="s">
        <v>1032</v>
      </c>
      <c r="E59" s="60">
        <v>1</v>
      </c>
      <c r="F59" s="29">
        <f t="shared" si="4"/>
        <v>1661171.06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66">
        <v>0</v>
      </c>
      <c r="N59" s="29">
        <v>0</v>
      </c>
      <c r="O59" s="37">
        <v>546.45000000000005</v>
      </c>
      <c r="P59" s="134">
        <v>1569811.07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134">
        <v>20250.560000000001</v>
      </c>
      <c r="AF59" s="408">
        <v>71109.429999999993</v>
      </c>
      <c r="AG59" s="29">
        <v>0</v>
      </c>
      <c r="AH59" s="33">
        <v>2020</v>
      </c>
      <c r="AI59" s="33">
        <v>2020</v>
      </c>
      <c r="AJ59" s="33">
        <v>2020</v>
      </c>
    </row>
    <row r="60" spans="1:36" s="18" customFormat="1" ht="61.5" x14ac:dyDescent="0.85">
      <c r="B60" s="405" t="s">
        <v>826</v>
      </c>
      <c r="C60" s="22"/>
      <c r="D60" s="59" t="s">
        <v>882</v>
      </c>
      <c r="E60" s="60">
        <f>E61</f>
        <v>1.009761876417796</v>
      </c>
      <c r="F60" s="29">
        <f>F61</f>
        <v>105794.97</v>
      </c>
      <c r="G60" s="29">
        <f t="shared" ref="G60:AG60" si="19">G61</f>
        <v>0</v>
      </c>
      <c r="H60" s="29">
        <f t="shared" si="19"/>
        <v>0</v>
      </c>
      <c r="I60" s="29">
        <f t="shared" si="19"/>
        <v>0</v>
      </c>
      <c r="J60" s="29">
        <f t="shared" si="19"/>
        <v>0</v>
      </c>
      <c r="K60" s="29">
        <f t="shared" si="19"/>
        <v>0</v>
      </c>
      <c r="L60" s="29">
        <f t="shared" si="19"/>
        <v>0</v>
      </c>
      <c r="M60" s="66">
        <f t="shared" si="19"/>
        <v>0</v>
      </c>
      <c r="N60" s="29">
        <f t="shared" si="19"/>
        <v>0</v>
      </c>
      <c r="O60" s="29">
        <f t="shared" si="19"/>
        <v>0</v>
      </c>
      <c r="P60" s="29">
        <f t="shared" si="19"/>
        <v>0</v>
      </c>
      <c r="Q60" s="29">
        <f t="shared" si="19"/>
        <v>0</v>
      </c>
      <c r="R60" s="29">
        <f t="shared" si="19"/>
        <v>0</v>
      </c>
      <c r="S60" s="29">
        <f t="shared" si="19"/>
        <v>0</v>
      </c>
      <c r="T60" s="29">
        <f t="shared" si="19"/>
        <v>0</v>
      </c>
      <c r="U60" s="29">
        <f t="shared" si="19"/>
        <v>0</v>
      </c>
      <c r="V60" s="29">
        <f t="shared" si="19"/>
        <v>0</v>
      </c>
      <c r="W60" s="29">
        <f t="shared" si="19"/>
        <v>0</v>
      </c>
      <c r="X60" s="29">
        <f t="shared" si="19"/>
        <v>0</v>
      </c>
      <c r="Y60" s="29">
        <f t="shared" si="19"/>
        <v>0</v>
      </c>
      <c r="Z60" s="29">
        <f t="shared" si="19"/>
        <v>0</v>
      </c>
      <c r="AA60" s="29">
        <f t="shared" si="19"/>
        <v>0</v>
      </c>
      <c r="AB60" s="29">
        <f t="shared" si="19"/>
        <v>0</v>
      </c>
      <c r="AC60" s="29">
        <f t="shared" si="19"/>
        <v>0</v>
      </c>
      <c r="AD60" s="29">
        <f t="shared" si="19"/>
        <v>0</v>
      </c>
      <c r="AE60" s="29">
        <f t="shared" si="19"/>
        <v>0</v>
      </c>
      <c r="AF60" s="29">
        <f t="shared" si="19"/>
        <v>105794.97</v>
      </c>
      <c r="AG60" s="29">
        <f t="shared" si="19"/>
        <v>0</v>
      </c>
      <c r="AH60" s="33" t="s">
        <v>882</v>
      </c>
      <c r="AI60" s="33" t="s">
        <v>882</v>
      </c>
      <c r="AJ60" s="33" t="s">
        <v>882</v>
      </c>
    </row>
    <row r="61" spans="1:36" s="18" customFormat="1" ht="61.5" x14ac:dyDescent="0.85">
      <c r="A61" s="18">
        <v>1</v>
      </c>
      <c r="B61" s="57">
        <f>SUBTOTAL(103,$A$14:A61)</f>
        <v>32</v>
      </c>
      <c r="C61" s="22" t="s">
        <v>1392</v>
      </c>
      <c r="D61" s="59" t="s">
        <v>1032</v>
      </c>
      <c r="E61" s="60">
        <v>1.009761876417796</v>
      </c>
      <c r="F61" s="29">
        <f>G61+H61+I61+J61+K61+L61+N61+P61+R61+T61+V61+W61+X61+Y61+Z61+AA61+AB61+AC61+AD61+AE61+AF61+AG61</f>
        <v>105794.97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66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f>ROUND(P61*1.5%,2)</f>
        <v>0</v>
      </c>
      <c r="AF61" s="345">
        <v>105794.97</v>
      </c>
      <c r="AG61" s="29">
        <v>0</v>
      </c>
      <c r="AH61" s="33">
        <v>2020</v>
      </c>
      <c r="AI61" s="33" t="s">
        <v>268</v>
      </c>
      <c r="AJ61" s="33" t="s">
        <v>268</v>
      </c>
    </row>
    <row r="62" spans="1:36" s="18" customFormat="1" ht="61.5" x14ac:dyDescent="0.85">
      <c r="B62" s="405" t="s">
        <v>862</v>
      </c>
      <c r="C62" s="22"/>
      <c r="D62" s="59" t="s">
        <v>882</v>
      </c>
      <c r="E62" s="60">
        <f>E63</f>
        <v>1.0869557735329547</v>
      </c>
      <c r="F62" s="29">
        <f>F63</f>
        <v>603261.75</v>
      </c>
      <c r="G62" s="29">
        <f t="shared" ref="G62:AG62" si="20">G63</f>
        <v>0</v>
      </c>
      <c r="H62" s="29">
        <f t="shared" si="20"/>
        <v>0</v>
      </c>
      <c r="I62" s="29">
        <f t="shared" si="20"/>
        <v>0</v>
      </c>
      <c r="J62" s="29">
        <f t="shared" si="20"/>
        <v>0</v>
      </c>
      <c r="K62" s="29">
        <f t="shared" si="20"/>
        <v>597348</v>
      </c>
      <c r="L62" s="29">
        <f t="shared" si="20"/>
        <v>0</v>
      </c>
      <c r="M62" s="66">
        <f t="shared" si="20"/>
        <v>0</v>
      </c>
      <c r="N62" s="29">
        <f t="shared" si="20"/>
        <v>0</v>
      </c>
      <c r="O62" s="29">
        <f t="shared" si="20"/>
        <v>0</v>
      </c>
      <c r="P62" s="29">
        <f t="shared" si="20"/>
        <v>0</v>
      </c>
      <c r="Q62" s="29">
        <f t="shared" si="20"/>
        <v>0</v>
      </c>
      <c r="R62" s="29">
        <f t="shared" si="20"/>
        <v>0</v>
      </c>
      <c r="S62" s="29">
        <f t="shared" si="20"/>
        <v>0</v>
      </c>
      <c r="T62" s="29">
        <f t="shared" si="20"/>
        <v>0</v>
      </c>
      <c r="U62" s="29">
        <f t="shared" si="20"/>
        <v>0</v>
      </c>
      <c r="V62" s="29">
        <f t="shared" si="20"/>
        <v>0</v>
      </c>
      <c r="W62" s="29">
        <f t="shared" si="20"/>
        <v>0</v>
      </c>
      <c r="X62" s="29">
        <f t="shared" si="20"/>
        <v>0</v>
      </c>
      <c r="Y62" s="29">
        <f t="shared" si="20"/>
        <v>0</v>
      </c>
      <c r="Z62" s="29">
        <f t="shared" si="20"/>
        <v>0</v>
      </c>
      <c r="AA62" s="29">
        <f t="shared" si="20"/>
        <v>0</v>
      </c>
      <c r="AB62" s="29">
        <f t="shared" si="20"/>
        <v>0</v>
      </c>
      <c r="AC62" s="29">
        <f t="shared" si="20"/>
        <v>0</v>
      </c>
      <c r="AD62" s="29">
        <f t="shared" si="20"/>
        <v>0</v>
      </c>
      <c r="AE62" s="29">
        <f t="shared" si="20"/>
        <v>5913.75</v>
      </c>
      <c r="AF62" s="29">
        <f t="shared" si="20"/>
        <v>0</v>
      </c>
      <c r="AG62" s="29">
        <f t="shared" si="20"/>
        <v>0</v>
      </c>
      <c r="AH62" s="33" t="s">
        <v>882</v>
      </c>
      <c r="AI62" s="33" t="s">
        <v>882</v>
      </c>
      <c r="AJ62" s="33" t="s">
        <v>882</v>
      </c>
    </row>
    <row r="63" spans="1:36" s="18" customFormat="1" ht="61.5" x14ac:dyDescent="0.85">
      <c r="A63" s="18">
        <v>1</v>
      </c>
      <c r="B63" s="57">
        <f>SUBTOTAL(103,$A$14:A63)</f>
        <v>33</v>
      </c>
      <c r="C63" s="22" t="s">
        <v>1393</v>
      </c>
      <c r="D63" s="59" t="s">
        <v>1032</v>
      </c>
      <c r="E63" s="60">
        <v>1.0869557735329547</v>
      </c>
      <c r="F63" s="29">
        <f t="shared" si="4"/>
        <v>603261.75</v>
      </c>
      <c r="G63" s="29">
        <v>0</v>
      </c>
      <c r="H63" s="29">
        <v>0</v>
      </c>
      <c r="I63" s="29">
        <v>0</v>
      </c>
      <c r="J63" s="29">
        <v>0</v>
      </c>
      <c r="K63" s="37">
        <v>597348</v>
      </c>
      <c r="L63" s="29">
        <v>0</v>
      </c>
      <c r="M63" s="66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37">
        <v>5913.75</v>
      </c>
      <c r="AF63" s="29">
        <v>0</v>
      </c>
      <c r="AG63" s="29">
        <v>0</v>
      </c>
      <c r="AH63" s="33" t="s">
        <v>268</v>
      </c>
      <c r="AI63" s="33">
        <v>2020</v>
      </c>
      <c r="AJ63" s="33">
        <v>2020</v>
      </c>
    </row>
    <row r="64" spans="1:36" s="63" customFormat="1" ht="61.5" x14ac:dyDescent="0.85">
      <c r="B64" s="150" t="s">
        <v>1925</v>
      </c>
      <c r="C64" s="64"/>
      <c r="D64" s="59" t="s">
        <v>882</v>
      </c>
      <c r="E64" s="60">
        <f>AVERAGE(E65:E82)</f>
        <v>1.0170814814814815</v>
      </c>
      <c r="F64" s="29">
        <f>F65+F69+F71+F73+F77+F79+F81+F83</f>
        <v>30400622.149999999</v>
      </c>
      <c r="G64" s="29">
        <f t="shared" ref="G64:AG64" si="21">G65+G69+G71+G73+G77+G79+G81+G83</f>
        <v>0</v>
      </c>
      <c r="H64" s="29">
        <f t="shared" si="21"/>
        <v>0</v>
      </c>
      <c r="I64" s="29">
        <f t="shared" si="21"/>
        <v>0</v>
      </c>
      <c r="J64" s="29">
        <f t="shared" si="21"/>
        <v>0</v>
      </c>
      <c r="K64" s="29">
        <f t="shared" si="21"/>
        <v>0</v>
      </c>
      <c r="L64" s="29">
        <f t="shared" si="21"/>
        <v>0</v>
      </c>
      <c r="M64" s="66">
        <f t="shared" si="21"/>
        <v>0</v>
      </c>
      <c r="N64" s="29">
        <f t="shared" si="21"/>
        <v>0</v>
      </c>
      <c r="O64" s="29">
        <f t="shared" si="21"/>
        <v>5348.29</v>
      </c>
      <c r="P64" s="29">
        <f t="shared" si="21"/>
        <v>27194404.400000002</v>
      </c>
      <c r="Q64" s="29">
        <f t="shared" si="21"/>
        <v>0</v>
      </c>
      <c r="R64" s="29">
        <f t="shared" si="21"/>
        <v>0</v>
      </c>
      <c r="S64" s="29">
        <f t="shared" si="21"/>
        <v>521.92999999999995</v>
      </c>
      <c r="T64" s="29">
        <f t="shared" si="21"/>
        <v>2556716.71</v>
      </c>
      <c r="U64" s="29">
        <f t="shared" si="21"/>
        <v>0</v>
      </c>
      <c r="V64" s="29">
        <f t="shared" si="21"/>
        <v>0</v>
      </c>
      <c r="W64" s="29">
        <f t="shared" si="21"/>
        <v>0</v>
      </c>
      <c r="X64" s="29">
        <f t="shared" si="21"/>
        <v>0</v>
      </c>
      <c r="Y64" s="29">
        <f t="shared" si="21"/>
        <v>0</v>
      </c>
      <c r="Z64" s="29">
        <f t="shared" si="21"/>
        <v>0</v>
      </c>
      <c r="AA64" s="29">
        <f t="shared" si="21"/>
        <v>0</v>
      </c>
      <c r="AB64" s="29">
        <f t="shared" si="21"/>
        <v>0</v>
      </c>
      <c r="AC64" s="29">
        <f t="shared" si="21"/>
        <v>0</v>
      </c>
      <c r="AD64" s="29">
        <f t="shared" si="21"/>
        <v>0</v>
      </c>
      <c r="AE64" s="29">
        <f t="shared" si="21"/>
        <v>437632.02999999997</v>
      </c>
      <c r="AF64" s="29">
        <f t="shared" si="21"/>
        <v>211869.01</v>
      </c>
      <c r="AG64" s="29">
        <f t="shared" si="21"/>
        <v>0</v>
      </c>
      <c r="AH64" s="33" t="s">
        <v>882</v>
      </c>
      <c r="AI64" s="33" t="s">
        <v>882</v>
      </c>
      <c r="AJ64" s="33" t="s">
        <v>882</v>
      </c>
    </row>
    <row r="65" spans="1:36" s="18" customFormat="1" ht="61.5" x14ac:dyDescent="0.85">
      <c r="B65" s="405" t="s">
        <v>1035</v>
      </c>
      <c r="C65" s="22"/>
      <c r="D65" s="59" t="s">
        <v>882</v>
      </c>
      <c r="E65" s="60">
        <f>AVERAGE(E66:E68)</f>
        <v>1.0022</v>
      </c>
      <c r="F65" s="29">
        <f t="shared" ref="F65:AG65" si="22">SUM(F66:F68)</f>
        <v>5103149.49</v>
      </c>
      <c r="G65" s="29">
        <f t="shared" si="22"/>
        <v>0</v>
      </c>
      <c r="H65" s="29">
        <f t="shared" si="22"/>
        <v>0</v>
      </c>
      <c r="I65" s="29">
        <f t="shared" si="22"/>
        <v>0</v>
      </c>
      <c r="J65" s="29">
        <f t="shared" si="22"/>
        <v>0</v>
      </c>
      <c r="K65" s="29">
        <f t="shared" si="22"/>
        <v>0</v>
      </c>
      <c r="L65" s="29">
        <f t="shared" si="22"/>
        <v>0</v>
      </c>
      <c r="M65" s="66">
        <f t="shared" si="22"/>
        <v>0</v>
      </c>
      <c r="N65" s="29">
        <f t="shared" si="22"/>
        <v>0</v>
      </c>
      <c r="O65" s="29">
        <f t="shared" si="22"/>
        <v>631.93000000000006</v>
      </c>
      <c r="P65" s="29">
        <f t="shared" si="22"/>
        <v>2471016.7799999998</v>
      </c>
      <c r="Q65" s="29">
        <f t="shared" si="22"/>
        <v>0</v>
      </c>
      <c r="R65" s="29">
        <f t="shared" si="22"/>
        <v>0</v>
      </c>
      <c r="S65" s="29">
        <f t="shared" si="22"/>
        <v>521.92999999999995</v>
      </c>
      <c r="T65" s="29">
        <f t="shared" si="22"/>
        <v>2556716.71</v>
      </c>
      <c r="U65" s="29">
        <f t="shared" si="22"/>
        <v>0</v>
      </c>
      <c r="V65" s="29">
        <f t="shared" si="22"/>
        <v>0</v>
      </c>
      <c r="W65" s="29">
        <f t="shared" si="22"/>
        <v>0</v>
      </c>
      <c r="X65" s="29">
        <f t="shared" si="22"/>
        <v>0</v>
      </c>
      <c r="Y65" s="29">
        <f t="shared" si="22"/>
        <v>0</v>
      </c>
      <c r="Z65" s="29">
        <f t="shared" si="22"/>
        <v>0</v>
      </c>
      <c r="AA65" s="29">
        <f t="shared" si="22"/>
        <v>0</v>
      </c>
      <c r="AB65" s="29">
        <f t="shared" si="22"/>
        <v>0</v>
      </c>
      <c r="AC65" s="29">
        <f t="shared" si="22"/>
        <v>0</v>
      </c>
      <c r="AD65" s="29">
        <f t="shared" si="22"/>
        <v>0</v>
      </c>
      <c r="AE65" s="29">
        <f t="shared" si="22"/>
        <v>75416</v>
      </c>
      <c r="AF65" s="29">
        <f t="shared" si="22"/>
        <v>0</v>
      </c>
      <c r="AG65" s="29">
        <f t="shared" si="22"/>
        <v>0</v>
      </c>
      <c r="AH65" s="33" t="s">
        <v>882</v>
      </c>
      <c r="AI65" s="33" t="s">
        <v>882</v>
      </c>
      <c r="AJ65" s="33" t="s">
        <v>882</v>
      </c>
    </row>
    <row r="66" spans="1:36" s="18" customFormat="1" ht="61.5" x14ac:dyDescent="0.85">
      <c r="A66" s="18">
        <v>1</v>
      </c>
      <c r="B66" s="57">
        <f>SUBTOTAL(103,$A$65:A66)</f>
        <v>1</v>
      </c>
      <c r="C66" s="22" t="s">
        <v>1011</v>
      </c>
      <c r="D66" s="59" t="s">
        <v>1029</v>
      </c>
      <c r="E66" s="60">
        <v>1.0003</v>
      </c>
      <c r="F66" s="29">
        <f>G66+H66+I66+J66+K66+L66+N66+P66+R66+T66+V66+W66+X66+Y66+Z66+AA66+AB66+AC66+AD66+AE66+AF66+AG66</f>
        <v>1063050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66">
        <v>0</v>
      </c>
      <c r="N66" s="29">
        <v>0</v>
      </c>
      <c r="O66" s="29">
        <v>257</v>
      </c>
      <c r="P66" s="29">
        <v>1047339.9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58">
        <f>ROUND(P66*1.5%,2)</f>
        <v>15710.1</v>
      </c>
      <c r="AF66" s="58">
        <v>0</v>
      </c>
      <c r="AG66" s="58">
        <v>0</v>
      </c>
      <c r="AH66" s="33" t="s">
        <v>268</v>
      </c>
      <c r="AI66" s="33">
        <v>2021</v>
      </c>
      <c r="AJ66" s="33">
        <v>2021</v>
      </c>
    </row>
    <row r="67" spans="1:36" s="18" customFormat="1" ht="61.5" x14ac:dyDescent="0.85">
      <c r="A67" s="18">
        <v>1</v>
      </c>
      <c r="B67" s="57">
        <f>SUBTOTAL(103,$A$65:A67)</f>
        <v>2</v>
      </c>
      <c r="C67" s="22" t="s">
        <v>1074</v>
      </c>
      <c r="D67" s="59" t="s">
        <v>1030</v>
      </c>
      <c r="E67" s="60">
        <v>1.0026999999999999</v>
      </c>
      <c r="F67" s="29">
        <f>G67+H67+I67+J67+K67+L67+N67+P67+R67+T67+V67+W67+X67+Y67+Z67+AA67+AB67+AC67+AD67+AE67+AF67+AG67</f>
        <v>2595067.46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66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521.92999999999995</v>
      </c>
      <c r="T67" s="29">
        <v>2556716.71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58">
        <f>ROUND(T67*1.5%,2)</f>
        <v>38350.75</v>
      </c>
      <c r="AF67" s="58">
        <v>0</v>
      </c>
      <c r="AG67" s="58">
        <v>0</v>
      </c>
      <c r="AH67" s="33" t="s">
        <v>268</v>
      </c>
      <c r="AI67" s="33">
        <v>2021</v>
      </c>
      <c r="AJ67" s="33">
        <v>2021</v>
      </c>
    </row>
    <row r="68" spans="1:36" s="18" customFormat="1" ht="61.5" x14ac:dyDescent="0.85">
      <c r="A68" s="18">
        <v>1</v>
      </c>
      <c r="B68" s="57">
        <f>SUBTOTAL(103,$A$65:A68)</f>
        <v>3</v>
      </c>
      <c r="C68" s="22" t="s">
        <v>1390</v>
      </c>
      <c r="D68" s="59" t="s">
        <v>1028</v>
      </c>
      <c r="E68" s="60">
        <v>1.0036</v>
      </c>
      <c r="F68" s="29">
        <f>G68+H68+I68+J68+K68+L68+N68+P68+R68+T68+V68+W68+X68+Y68+Z68+AA68+AB68+AC68+AD68+AE68+AF68+AG68</f>
        <v>1445032.0299999998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66">
        <v>0</v>
      </c>
      <c r="N68" s="29">
        <v>0</v>
      </c>
      <c r="O68" s="29">
        <v>374.93</v>
      </c>
      <c r="P68" s="29">
        <v>1423676.88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58">
        <f>ROUND(P68*1.5%,2)</f>
        <v>21355.15</v>
      </c>
      <c r="AF68" s="58">
        <v>0</v>
      </c>
      <c r="AG68" s="58">
        <v>0</v>
      </c>
      <c r="AH68" s="33" t="s">
        <v>268</v>
      </c>
      <c r="AI68" s="33">
        <v>2021</v>
      </c>
      <c r="AJ68" s="33">
        <v>2021</v>
      </c>
    </row>
    <row r="69" spans="1:36" s="18" customFormat="1" ht="61.5" x14ac:dyDescent="0.85">
      <c r="B69" s="405" t="s">
        <v>816</v>
      </c>
      <c r="C69" s="22"/>
      <c r="D69" s="59" t="s">
        <v>882</v>
      </c>
      <c r="E69" s="60">
        <f>AVERAGE(E70)</f>
        <v>1.0308999999999999</v>
      </c>
      <c r="F69" s="29">
        <f>F70</f>
        <v>1358175.69</v>
      </c>
      <c r="G69" s="29">
        <f t="shared" ref="G69:AG69" si="23">G70</f>
        <v>0</v>
      </c>
      <c r="H69" s="29">
        <f t="shared" si="23"/>
        <v>0</v>
      </c>
      <c r="I69" s="29">
        <f t="shared" si="23"/>
        <v>0</v>
      </c>
      <c r="J69" s="29">
        <f t="shared" si="23"/>
        <v>0</v>
      </c>
      <c r="K69" s="29">
        <f t="shared" si="23"/>
        <v>0</v>
      </c>
      <c r="L69" s="29">
        <f t="shared" si="23"/>
        <v>0</v>
      </c>
      <c r="M69" s="66">
        <f t="shared" si="23"/>
        <v>0</v>
      </c>
      <c r="N69" s="29">
        <f t="shared" si="23"/>
        <v>0</v>
      </c>
      <c r="O69" s="29">
        <f t="shared" si="23"/>
        <v>304.95</v>
      </c>
      <c r="P69" s="29">
        <f t="shared" si="23"/>
        <v>1344562</v>
      </c>
      <c r="Q69" s="29">
        <f t="shared" si="23"/>
        <v>0</v>
      </c>
      <c r="R69" s="29">
        <f t="shared" si="23"/>
        <v>0</v>
      </c>
      <c r="S69" s="29">
        <f t="shared" si="23"/>
        <v>0</v>
      </c>
      <c r="T69" s="29">
        <f t="shared" si="23"/>
        <v>0</v>
      </c>
      <c r="U69" s="29">
        <f t="shared" si="23"/>
        <v>0</v>
      </c>
      <c r="V69" s="29">
        <f t="shared" si="23"/>
        <v>0</v>
      </c>
      <c r="W69" s="29">
        <f t="shared" si="23"/>
        <v>0</v>
      </c>
      <c r="X69" s="29">
        <f t="shared" si="23"/>
        <v>0</v>
      </c>
      <c r="Y69" s="29">
        <f t="shared" si="23"/>
        <v>0</v>
      </c>
      <c r="Z69" s="29">
        <f t="shared" si="23"/>
        <v>0</v>
      </c>
      <c r="AA69" s="29">
        <f t="shared" si="23"/>
        <v>0</v>
      </c>
      <c r="AB69" s="29">
        <f t="shared" si="23"/>
        <v>0</v>
      </c>
      <c r="AC69" s="29">
        <f t="shared" si="23"/>
        <v>0</v>
      </c>
      <c r="AD69" s="29">
        <f t="shared" si="23"/>
        <v>0</v>
      </c>
      <c r="AE69" s="58">
        <f t="shared" si="23"/>
        <v>13613.69</v>
      </c>
      <c r="AF69" s="58">
        <f t="shared" si="23"/>
        <v>0</v>
      </c>
      <c r="AG69" s="29">
        <f t="shared" si="23"/>
        <v>0</v>
      </c>
      <c r="AH69" s="33" t="s">
        <v>882</v>
      </c>
      <c r="AI69" s="33" t="s">
        <v>882</v>
      </c>
      <c r="AJ69" s="33" t="s">
        <v>882</v>
      </c>
    </row>
    <row r="70" spans="1:36" s="18" customFormat="1" ht="61.5" x14ac:dyDescent="0.85">
      <c r="A70" s="18">
        <v>1</v>
      </c>
      <c r="B70" s="57">
        <f>SUBTOTAL(103,$A$65:A70)</f>
        <v>4</v>
      </c>
      <c r="C70" s="22" t="s">
        <v>1012</v>
      </c>
      <c r="D70" s="59" t="s">
        <v>1027</v>
      </c>
      <c r="E70" s="60">
        <v>1.0308999999999999</v>
      </c>
      <c r="F70" s="29">
        <f>G70+H70+I70+J70+K70+L70+N70+P70+R70+T70+V70+W70+X70+Y70+Z70+AA70+AB70+AC70+AD70+AE70+AF70+AG70</f>
        <v>1358175.69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66">
        <v>0</v>
      </c>
      <c r="N70" s="29">
        <v>0</v>
      </c>
      <c r="O70" s="37">
        <v>304.95</v>
      </c>
      <c r="P70" s="37">
        <v>1344562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37">
        <v>13613.69</v>
      </c>
      <c r="AF70" s="58">
        <v>0</v>
      </c>
      <c r="AG70" s="29">
        <v>0</v>
      </c>
      <c r="AH70" s="33" t="s">
        <v>268</v>
      </c>
      <c r="AI70" s="33">
        <v>2021</v>
      </c>
      <c r="AJ70" s="33">
        <v>2021</v>
      </c>
    </row>
    <row r="71" spans="1:36" s="18" customFormat="1" ht="61.5" x14ac:dyDescent="0.85">
      <c r="B71" s="405" t="s">
        <v>1036</v>
      </c>
      <c r="C71" s="22"/>
      <c r="D71" s="59" t="s">
        <v>882</v>
      </c>
      <c r="E71" s="60">
        <f>AVERAGE(E72:E72)</f>
        <v>1.0385</v>
      </c>
      <c r="F71" s="29">
        <f t="shared" ref="F71:AG71" si="24">SUM(F72:F72)</f>
        <v>2525661.19</v>
      </c>
      <c r="G71" s="29">
        <f t="shared" si="24"/>
        <v>0</v>
      </c>
      <c r="H71" s="29">
        <f t="shared" si="24"/>
        <v>0</v>
      </c>
      <c r="I71" s="29">
        <f t="shared" si="24"/>
        <v>0</v>
      </c>
      <c r="J71" s="29">
        <f t="shared" si="24"/>
        <v>0</v>
      </c>
      <c r="K71" s="29">
        <f t="shared" si="24"/>
        <v>0</v>
      </c>
      <c r="L71" s="29">
        <f t="shared" si="24"/>
        <v>0</v>
      </c>
      <c r="M71" s="66">
        <f t="shared" si="24"/>
        <v>0</v>
      </c>
      <c r="N71" s="29">
        <f t="shared" si="24"/>
        <v>0</v>
      </c>
      <c r="O71" s="29">
        <f t="shared" si="24"/>
        <v>344.84</v>
      </c>
      <c r="P71" s="29">
        <f t="shared" si="24"/>
        <v>2421172.62</v>
      </c>
      <c r="Q71" s="29">
        <f t="shared" si="24"/>
        <v>0</v>
      </c>
      <c r="R71" s="29">
        <f t="shared" si="24"/>
        <v>0</v>
      </c>
      <c r="S71" s="29">
        <f t="shared" si="24"/>
        <v>0</v>
      </c>
      <c r="T71" s="29">
        <f t="shared" si="24"/>
        <v>0</v>
      </c>
      <c r="U71" s="29">
        <f t="shared" si="24"/>
        <v>0</v>
      </c>
      <c r="V71" s="29">
        <f t="shared" si="24"/>
        <v>0</v>
      </c>
      <c r="W71" s="29">
        <f t="shared" si="24"/>
        <v>0</v>
      </c>
      <c r="X71" s="29">
        <f t="shared" si="24"/>
        <v>0</v>
      </c>
      <c r="Y71" s="29">
        <f t="shared" si="24"/>
        <v>0</v>
      </c>
      <c r="Z71" s="29">
        <f t="shared" si="24"/>
        <v>0</v>
      </c>
      <c r="AA71" s="29">
        <f t="shared" si="24"/>
        <v>0</v>
      </c>
      <c r="AB71" s="29">
        <f t="shared" si="24"/>
        <v>0</v>
      </c>
      <c r="AC71" s="29">
        <f t="shared" si="24"/>
        <v>0</v>
      </c>
      <c r="AD71" s="29">
        <f t="shared" si="24"/>
        <v>0</v>
      </c>
      <c r="AE71" s="58">
        <f t="shared" si="24"/>
        <v>36317.589999999997</v>
      </c>
      <c r="AF71" s="58">
        <f t="shared" si="24"/>
        <v>68170.98</v>
      </c>
      <c r="AG71" s="29">
        <f t="shared" si="24"/>
        <v>0</v>
      </c>
      <c r="AH71" s="33" t="s">
        <v>882</v>
      </c>
      <c r="AI71" s="33" t="s">
        <v>882</v>
      </c>
      <c r="AJ71" s="33" t="s">
        <v>882</v>
      </c>
    </row>
    <row r="72" spans="1:36" s="18" customFormat="1" ht="61.5" x14ac:dyDescent="0.85">
      <c r="A72" s="18">
        <v>1</v>
      </c>
      <c r="B72" s="57">
        <f>SUBTOTAL(103,$A$65:A72)</f>
        <v>5</v>
      </c>
      <c r="C72" s="22" t="s">
        <v>1926</v>
      </c>
      <c r="D72" s="59" t="s">
        <v>1030</v>
      </c>
      <c r="E72" s="60">
        <v>1.0385</v>
      </c>
      <c r="F72" s="29">
        <f>G72+H72+I72+J72+K72+L72+N72+P72+R72+T72+V72+W72+X72+Y72+Z72+AA72+AB72+AC72+AD72+AE72+AF72+AG72</f>
        <v>2525661.19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66">
        <v>0</v>
      </c>
      <c r="N72" s="29">
        <v>0</v>
      </c>
      <c r="O72" s="29">
        <v>344.84</v>
      </c>
      <c r="P72" s="29">
        <v>2421172.62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58">
        <f>ROUND(P72*1.5%,2)</f>
        <v>36317.589999999997</v>
      </c>
      <c r="AF72" s="409">
        <v>68170.98</v>
      </c>
      <c r="AG72" s="29">
        <v>0</v>
      </c>
      <c r="AH72" s="33">
        <v>2021</v>
      </c>
      <c r="AI72" s="33">
        <v>2021</v>
      </c>
      <c r="AJ72" s="33">
        <v>2021</v>
      </c>
    </row>
    <row r="73" spans="1:36" s="18" customFormat="1" ht="61.5" x14ac:dyDescent="0.85">
      <c r="B73" s="405" t="s">
        <v>752</v>
      </c>
      <c r="C73" s="22"/>
      <c r="D73" s="59" t="s">
        <v>882</v>
      </c>
      <c r="E73" s="60">
        <f>AVERAGE(E74:E76)</f>
        <v>1.0097666666666667</v>
      </c>
      <c r="F73" s="29">
        <f>SUM(F74:F76)</f>
        <v>6104073.4000000004</v>
      </c>
      <c r="G73" s="29">
        <f t="shared" ref="G73:AG73" si="25">SUM(G74:G76)</f>
        <v>0</v>
      </c>
      <c r="H73" s="29">
        <f t="shared" si="25"/>
        <v>0</v>
      </c>
      <c r="I73" s="29">
        <f t="shared" si="25"/>
        <v>0</v>
      </c>
      <c r="J73" s="29">
        <f t="shared" si="25"/>
        <v>0</v>
      </c>
      <c r="K73" s="29">
        <f t="shared" si="25"/>
        <v>0</v>
      </c>
      <c r="L73" s="29">
        <f t="shared" si="25"/>
        <v>0</v>
      </c>
      <c r="M73" s="66">
        <f t="shared" si="25"/>
        <v>0</v>
      </c>
      <c r="N73" s="29">
        <f t="shared" si="25"/>
        <v>0</v>
      </c>
      <c r="O73" s="29">
        <f t="shared" si="25"/>
        <v>1299.6399999999999</v>
      </c>
      <c r="P73" s="29">
        <f t="shared" si="25"/>
        <v>6015914.7200000007</v>
      </c>
      <c r="Q73" s="29">
        <f t="shared" si="25"/>
        <v>0</v>
      </c>
      <c r="R73" s="29">
        <f t="shared" si="25"/>
        <v>0</v>
      </c>
      <c r="S73" s="29">
        <f t="shared" si="25"/>
        <v>0</v>
      </c>
      <c r="T73" s="29">
        <f t="shared" si="25"/>
        <v>0</v>
      </c>
      <c r="U73" s="29">
        <f t="shared" si="25"/>
        <v>0</v>
      </c>
      <c r="V73" s="29">
        <f t="shared" si="25"/>
        <v>0</v>
      </c>
      <c r="W73" s="29">
        <f t="shared" si="25"/>
        <v>0</v>
      </c>
      <c r="X73" s="29">
        <f t="shared" si="25"/>
        <v>0</v>
      </c>
      <c r="Y73" s="29">
        <f t="shared" si="25"/>
        <v>0</v>
      </c>
      <c r="Z73" s="29">
        <f t="shared" si="25"/>
        <v>0</v>
      </c>
      <c r="AA73" s="29">
        <f t="shared" si="25"/>
        <v>0</v>
      </c>
      <c r="AB73" s="29">
        <f t="shared" si="25"/>
        <v>0</v>
      </c>
      <c r="AC73" s="29">
        <f t="shared" si="25"/>
        <v>0</v>
      </c>
      <c r="AD73" s="29">
        <f t="shared" si="25"/>
        <v>0</v>
      </c>
      <c r="AE73" s="58">
        <f t="shared" si="25"/>
        <v>88158.68</v>
      </c>
      <c r="AF73" s="58">
        <f t="shared" si="25"/>
        <v>0</v>
      </c>
      <c r="AG73" s="29">
        <f t="shared" si="25"/>
        <v>0</v>
      </c>
      <c r="AH73" s="33" t="s">
        <v>882</v>
      </c>
      <c r="AI73" s="33" t="s">
        <v>882</v>
      </c>
      <c r="AJ73" s="33" t="s">
        <v>882</v>
      </c>
    </row>
    <row r="74" spans="1:36" s="18" customFormat="1" ht="61.5" x14ac:dyDescent="0.85">
      <c r="A74" s="18">
        <v>1</v>
      </c>
      <c r="B74" s="57">
        <f>SUBTOTAL(103,$A$65:A74)</f>
        <v>6</v>
      </c>
      <c r="C74" s="22" t="s">
        <v>1016</v>
      </c>
      <c r="D74" s="59" t="s">
        <v>1029</v>
      </c>
      <c r="E74" s="60">
        <v>1.0043</v>
      </c>
      <c r="F74" s="29">
        <f>G74+H74+I74+J74+K74+L74+N74+P74+R74+T74+V74+W74+X74+Y74+Z74+AA74+AB74+AC74+AD74+AE74+AF74+AG74</f>
        <v>1003273.4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66">
        <v>0</v>
      </c>
      <c r="N74" s="29">
        <v>0</v>
      </c>
      <c r="O74" s="37">
        <v>290.64</v>
      </c>
      <c r="P74" s="37">
        <v>990496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37">
        <v>12777.4</v>
      </c>
      <c r="AF74" s="58">
        <v>0</v>
      </c>
      <c r="AG74" s="29">
        <v>0</v>
      </c>
      <c r="AH74" s="33" t="s">
        <v>268</v>
      </c>
      <c r="AI74" s="33">
        <v>2021</v>
      </c>
      <c r="AJ74" s="33">
        <v>2021</v>
      </c>
    </row>
    <row r="75" spans="1:36" s="18" customFormat="1" ht="61.5" x14ac:dyDescent="0.85">
      <c r="A75" s="18">
        <v>1</v>
      </c>
      <c r="B75" s="57">
        <f>SUBTOTAL(103,$A$65:A75)</f>
        <v>7</v>
      </c>
      <c r="C75" s="22" t="s">
        <v>776</v>
      </c>
      <c r="D75" s="59" t="s">
        <v>1029</v>
      </c>
      <c r="E75" s="60">
        <v>1.0185999999999999</v>
      </c>
      <c r="F75" s="29">
        <f>G75+H75+I75+J75+K75+L75+N75+P75+R75+T75+V75+W75+X75+Y75+Z75+AA75+AB75+AC75+AD75+AE75+AF75+AG75</f>
        <v>2664800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66">
        <v>0</v>
      </c>
      <c r="N75" s="29">
        <v>0</v>
      </c>
      <c r="O75" s="29">
        <v>576</v>
      </c>
      <c r="P75" s="29">
        <v>2625418.7200000002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58">
        <f>ROUND(P75*1.5%,2)</f>
        <v>39381.279999999999</v>
      </c>
      <c r="AF75" s="58">
        <v>0</v>
      </c>
      <c r="AG75" s="29">
        <v>0</v>
      </c>
      <c r="AH75" s="33" t="s">
        <v>268</v>
      </c>
      <c r="AI75" s="33">
        <v>2021</v>
      </c>
      <c r="AJ75" s="33">
        <v>2021</v>
      </c>
    </row>
    <row r="76" spans="1:36" s="18" customFormat="1" ht="61.5" x14ac:dyDescent="0.85">
      <c r="A76" s="18">
        <v>1</v>
      </c>
      <c r="B76" s="57">
        <f>SUBTOTAL(103,$A$65:A76)</f>
        <v>8</v>
      </c>
      <c r="C76" s="22" t="s">
        <v>768</v>
      </c>
      <c r="D76" s="59" t="s">
        <v>1029</v>
      </c>
      <c r="E76" s="60">
        <v>1.0064</v>
      </c>
      <c r="F76" s="29">
        <f>G76+H76+I76+J76+K76+L76+N76+P76+R76+T76+V76+W76+X76+Y76+Z76+AA76+AB76+AC76+AD76+AE76+AF76+AG76</f>
        <v>2436000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66">
        <v>0</v>
      </c>
      <c r="N76" s="29">
        <v>0</v>
      </c>
      <c r="O76" s="29">
        <v>433</v>
      </c>
      <c r="P76" s="29">
        <v>2400000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58">
        <f>ROUND(P76*1.5%,2)</f>
        <v>36000</v>
      </c>
      <c r="AF76" s="58">
        <v>0</v>
      </c>
      <c r="AG76" s="29">
        <v>0</v>
      </c>
      <c r="AH76" s="33" t="s">
        <v>268</v>
      </c>
      <c r="AI76" s="33">
        <v>2021</v>
      </c>
      <c r="AJ76" s="33">
        <v>2021</v>
      </c>
    </row>
    <row r="77" spans="1:36" s="18" customFormat="1" ht="61.5" x14ac:dyDescent="0.85">
      <c r="B77" s="405" t="s">
        <v>832</v>
      </c>
      <c r="C77" s="22"/>
      <c r="D77" s="59" t="s">
        <v>882</v>
      </c>
      <c r="E77" s="60">
        <f>AVERAGE(E78)</f>
        <v>1</v>
      </c>
      <c r="F77" s="29">
        <f>F78</f>
        <v>5538174.9500000002</v>
      </c>
      <c r="G77" s="29">
        <f t="shared" ref="G77:AG79" si="26">G78</f>
        <v>0</v>
      </c>
      <c r="H77" s="29">
        <f t="shared" si="26"/>
        <v>0</v>
      </c>
      <c r="I77" s="29">
        <f t="shared" si="26"/>
        <v>0</v>
      </c>
      <c r="J77" s="29">
        <f t="shared" si="26"/>
        <v>0</v>
      </c>
      <c r="K77" s="29">
        <f t="shared" si="26"/>
        <v>0</v>
      </c>
      <c r="L77" s="29">
        <f t="shared" si="26"/>
        <v>0</v>
      </c>
      <c r="M77" s="66">
        <f t="shared" si="26"/>
        <v>0</v>
      </c>
      <c r="N77" s="29">
        <f t="shared" si="26"/>
        <v>0</v>
      </c>
      <c r="O77" s="29">
        <f t="shared" si="26"/>
        <v>1034.83</v>
      </c>
      <c r="P77" s="29">
        <f t="shared" si="26"/>
        <v>5456330</v>
      </c>
      <c r="Q77" s="29">
        <f t="shared" si="26"/>
        <v>0</v>
      </c>
      <c r="R77" s="29">
        <f t="shared" si="26"/>
        <v>0</v>
      </c>
      <c r="S77" s="29">
        <f t="shared" si="26"/>
        <v>0</v>
      </c>
      <c r="T77" s="29">
        <f t="shared" si="26"/>
        <v>0</v>
      </c>
      <c r="U77" s="29">
        <f t="shared" si="26"/>
        <v>0</v>
      </c>
      <c r="V77" s="29">
        <f t="shared" si="26"/>
        <v>0</v>
      </c>
      <c r="W77" s="29">
        <f t="shared" si="26"/>
        <v>0</v>
      </c>
      <c r="X77" s="29">
        <f t="shared" si="26"/>
        <v>0</v>
      </c>
      <c r="Y77" s="29">
        <f t="shared" si="26"/>
        <v>0</v>
      </c>
      <c r="Z77" s="29">
        <f t="shared" si="26"/>
        <v>0</v>
      </c>
      <c r="AA77" s="29">
        <f t="shared" si="26"/>
        <v>0</v>
      </c>
      <c r="AB77" s="29">
        <f t="shared" si="26"/>
        <v>0</v>
      </c>
      <c r="AC77" s="29">
        <f t="shared" si="26"/>
        <v>0</v>
      </c>
      <c r="AD77" s="29">
        <f t="shared" si="26"/>
        <v>0</v>
      </c>
      <c r="AE77" s="58">
        <f t="shared" si="26"/>
        <v>81844.95</v>
      </c>
      <c r="AF77" s="58">
        <f t="shared" si="26"/>
        <v>0</v>
      </c>
      <c r="AG77" s="29">
        <f t="shared" si="26"/>
        <v>0</v>
      </c>
      <c r="AH77" s="33" t="s">
        <v>882</v>
      </c>
      <c r="AI77" s="33" t="s">
        <v>882</v>
      </c>
      <c r="AJ77" s="33" t="s">
        <v>882</v>
      </c>
    </row>
    <row r="78" spans="1:36" s="18" customFormat="1" ht="61.5" x14ac:dyDescent="0.85">
      <c r="A78" s="18">
        <v>1</v>
      </c>
      <c r="B78" s="57">
        <f>SUBTOTAL(103,$A$65:A78)</f>
        <v>9</v>
      </c>
      <c r="C78" s="22" t="s">
        <v>1018</v>
      </c>
      <c r="D78" s="59" t="s">
        <v>1030</v>
      </c>
      <c r="E78" s="60">
        <v>1</v>
      </c>
      <c r="F78" s="29">
        <f>G78+H78+I78+J78+K78+L78+N78+P78+R78+T78+V78+W78+X78+Y78+Z78+AA78+AB78+AC78+AD78+AE78+AF78+AG78</f>
        <v>5538174.9500000002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66">
        <v>0</v>
      </c>
      <c r="N78" s="29">
        <v>0</v>
      </c>
      <c r="O78" s="29">
        <v>1034.83</v>
      </c>
      <c r="P78" s="29">
        <v>5456330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58">
        <f>ROUND(P78*1.5%,2)</f>
        <v>81844.95</v>
      </c>
      <c r="AF78" s="58">
        <v>0</v>
      </c>
      <c r="AG78" s="29">
        <v>0</v>
      </c>
      <c r="AH78" s="33" t="s">
        <v>268</v>
      </c>
      <c r="AI78" s="33">
        <v>2021</v>
      </c>
      <c r="AJ78" s="33">
        <v>2021</v>
      </c>
    </row>
    <row r="79" spans="1:36" s="18" customFormat="1" ht="61.5" x14ac:dyDescent="0.85">
      <c r="B79" s="405" t="s">
        <v>1689</v>
      </c>
      <c r="C79" s="22"/>
      <c r="D79" s="59" t="s">
        <v>882</v>
      </c>
      <c r="E79" s="60">
        <f>AVERAGE(E80)</f>
        <v>1.0524</v>
      </c>
      <c r="F79" s="29">
        <f>F80</f>
        <v>3666162.4299999997</v>
      </c>
      <c r="G79" s="29">
        <f t="shared" si="26"/>
        <v>0</v>
      </c>
      <c r="H79" s="29">
        <f t="shared" si="26"/>
        <v>0</v>
      </c>
      <c r="I79" s="29">
        <f t="shared" si="26"/>
        <v>0</v>
      </c>
      <c r="J79" s="29">
        <f t="shared" si="26"/>
        <v>0</v>
      </c>
      <c r="K79" s="29">
        <f t="shared" si="26"/>
        <v>0</v>
      </c>
      <c r="L79" s="29">
        <f t="shared" si="26"/>
        <v>0</v>
      </c>
      <c r="M79" s="66">
        <f t="shared" si="26"/>
        <v>0</v>
      </c>
      <c r="N79" s="29">
        <f t="shared" si="26"/>
        <v>0</v>
      </c>
      <c r="O79" s="29">
        <f t="shared" si="26"/>
        <v>664.6</v>
      </c>
      <c r="P79" s="29">
        <f t="shared" si="26"/>
        <v>3470408.28</v>
      </c>
      <c r="Q79" s="29">
        <f t="shared" si="26"/>
        <v>0</v>
      </c>
      <c r="R79" s="29">
        <f t="shared" si="26"/>
        <v>0</v>
      </c>
      <c r="S79" s="29">
        <f t="shared" si="26"/>
        <v>0</v>
      </c>
      <c r="T79" s="29">
        <f t="shared" si="26"/>
        <v>0</v>
      </c>
      <c r="U79" s="29">
        <f t="shared" si="26"/>
        <v>0</v>
      </c>
      <c r="V79" s="29">
        <f t="shared" si="26"/>
        <v>0</v>
      </c>
      <c r="W79" s="29">
        <f t="shared" si="26"/>
        <v>0</v>
      </c>
      <c r="X79" s="29">
        <f t="shared" si="26"/>
        <v>0</v>
      </c>
      <c r="Y79" s="29">
        <f t="shared" si="26"/>
        <v>0</v>
      </c>
      <c r="Z79" s="29">
        <f t="shared" si="26"/>
        <v>0</v>
      </c>
      <c r="AA79" s="29">
        <f t="shared" si="26"/>
        <v>0</v>
      </c>
      <c r="AB79" s="29">
        <f t="shared" si="26"/>
        <v>0</v>
      </c>
      <c r="AC79" s="29">
        <f t="shared" si="26"/>
        <v>0</v>
      </c>
      <c r="AD79" s="29">
        <f t="shared" si="26"/>
        <v>0</v>
      </c>
      <c r="AE79" s="58">
        <f t="shared" si="26"/>
        <v>52056.12</v>
      </c>
      <c r="AF79" s="58">
        <f t="shared" si="26"/>
        <v>143698.03</v>
      </c>
      <c r="AG79" s="29">
        <f t="shared" si="26"/>
        <v>0</v>
      </c>
      <c r="AH79" s="33" t="s">
        <v>882</v>
      </c>
      <c r="AI79" s="33" t="s">
        <v>882</v>
      </c>
      <c r="AJ79" s="33" t="s">
        <v>882</v>
      </c>
    </row>
    <row r="80" spans="1:36" s="18" customFormat="1" ht="61.5" x14ac:dyDescent="0.85">
      <c r="A80" s="18">
        <v>1</v>
      </c>
      <c r="B80" s="57">
        <f>SUBTOTAL(103,$A$65:A80)</f>
        <v>10</v>
      </c>
      <c r="C80" s="22" t="s">
        <v>1688</v>
      </c>
      <c r="D80" s="59" t="s">
        <v>1030</v>
      </c>
      <c r="E80" s="60">
        <v>1.0524</v>
      </c>
      <c r="F80" s="29">
        <f>G80+H80+I80+J80+K80+L80+N80+P80+R80+T80+V80+W80+X80+Y80+Z80+AA80+AB80+AC80+AD80+AE80+AF80+AG80</f>
        <v>3666162.4299999997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66">
        <v>0</v>
      </c>
      <c r="N80" s="29">
        <v>0</v>
      </c>
      <c r="O80" s="29">
        <v>664.6</v>
      </c>
      <c r="P80" s="29">
        <v>3470408.28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29">
        <v>0</v>
      </c>
      <c r="AE80" s="58">
        <f>ROUND(P80*1.5%,2)</f>
        <v>52056.12</v>
      </c>
      <c r="AF80" s="409">
        <v>143698.03</v>
      </c>
      <c r="AG80" s="29">
        <v>0</v>
      </c>
      <c r="AH80" s="33">
        <v>2021</v>
      </c>
      <c r="AI80" s="33">
        <v>2021</v>
      </c>
      <c r="AJ80" s="33">
        <v>2021</v>
      </c>
    </row>
    <row r="81" spans="1:40" s="18" customFormat="1" ht="61.5" x14ac:dyDescent="0.85">
      <c r="B81" s="405" t="s">
        <v>843</v>
      </c>
      <c r="C81" s="22"/>
      <c r="D81" s="59" t="s">
        <v>882</v>
      </c>
      <c r="E81" s="60">
        <f>AVERAGE(E82)</f>
        <v>1.008</v>
      </c>
      <c r="F81" s="29">
        <f>F82</f>
        <v>2476600</v>
      </c>
      <c r="G81" s="29">
        <f t="shared" ref="G81:AG81" si="27">G82</f>
        <v>0</v>
      </c>
      <c r="H81" s="29">
        <f t="shared" si="27"/>
        <v>0</v>
      </c>
      <c r="I81" s="29">
        <f t="shared" si="27"/>
        <v>0</v>
      </c>
      <c r="J81" s="29">
        <f t="shared" si="27"/>
        <v>0</v>
      </c>
      <c r="K81" s="29">
        <f t="shared" si="27"/>
        <v>0</v>
      </c>
      <c r="L81" s="29">
        <f t="shared" si="27"/>
        <v>0</v>
      </c>
      <c r="M81" s="66">
        <f t="shared" si="27"/>
        <v>0</v>
      </c>
      <c r="N81" s="29">
        <f t="shared" si="27"/>
        <v>0</v>
      </c>
      <c r="O81" s="29">
        <f t="shared" si="27"/>
        <v>352.5</v>
      </c>
      <c r="P81" s="29">
        <f t="shared" si="27"/>
        <v>2440000</v>
      </c>
      <c r="Q81" s="29">
        <f t="shared" si="27"/>
        <v>0</v>
      </c>
      <c r="R81" s="29">
        <f t="shared" si="27"/>
        <v>0</v>
      </c>
      <c r="S81" s="29">
        <f t="shared" si="27"/>
        <v>0</v>
      </c>
      <c r="T81" s="29">
        <f t="shared" si="27"/>
        <v>0</v>
      </c>
      <c r="U81" s="29">
        <f t="shared" si="27"/>
        <v>0</v>
      </c>
      <c r="V81" s="29">
        <f t="shared" si="27"/>
        <v>0</v>
      </c>
      <c r="W81" s="29">
        <f t="shared" si="27"/>
        <v>0</v>
      </c>
      <c r="X81" s="29">
        <f t="shared" si="27"/>
        <v>0</v>
      </c>
      <c r="Y81" s="29">
        <f t="shared" si="27"/>
        <v>0</v>
      </c>
      <c r="Z81" s="29">
        <f t="shared" si="27"/>
        <v>0</v>
      </c>
      <c r="AA81" s="29">
        <f t="shared" si="27"/>
        <v>0</v>
      </c>
      <c r="AB81" s="29">
        <f t="shared" si="27"/>
        <v>0</v>
      </c>
      <c r="AC81" s="29">
        <f t="shared" si="27"/>
        <v>0</v>
      </c>
      <c r="AD81" s="29">
        <f t="shared" si="27"/>
        <v>0</v>
      </c>
      <c r="AE81" s="58">
        <f t="shared" si="27"/>
        <v>36600</v>
      </c>
      <c r="AF81" s="58">
        <f t="shared" si="27"/>
        <v>0</v>
      </c>
      <c r="AG81" s="29">
        <f t="shared" si="27"/>
        <v>0</v>
      </c>
      <c r="AH81" s="33" t="s">
        <v>882</v>
      </c>
      <c r="AI81" s="33" t="s">
        <v>882</v>
      </c>
      <c r="AJ81" s="33" t="s">
        <v>882</v>
      </c>
    </row>
    <row r="82" spans="1:40" s="18" customFormat="1" ht="61.5" x14ac:dyDescent="0.85">
      <c r="A82" s="18">
        <v>1</v>
      </c>
      <c r="B82" s="57">
        <f>SUBTOTAL(103,$A$65:A82)</f>
        <v>11</v>
      </c>
      <c r="C82" s="22" t="s">
        <v>1022</v>
      </c>
      <c r="D82" s="59" t="s">
        <v>1028</v>
      </c>
      <c r="E82" s="60">
        <v>1.008</v>
      </c>
      <c r="F82" s="29">
        <f>G82+H82+I82+J82+K82+L82+N82+P82+R82+T82+V82+W82+X82+Y82+Z82+AA82+AB82+AC82+AD82+AE82+AF82+AG82</f>
        <v>2476600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66">
        <v>0</v>
      </c>
      <c r="N82" s="29">
        <v>0</v>
      </c>
      <c r="O82" s="29">
        <v>352.5</v>
      </c>
      <c r="P82" s="29">
        <v>2440000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58">
        <f>ROUND(P82*1.5%,2)</f>
        <v>36600</v>
      </c>
      <c r="AF82" s="58">
        <v>0</v>
      </c>
      <c r="AG82" s="29">
        <v>0</v>
      </c>
      <c r="AH82" s="33" t="s">
        <v>268</v>
      </c>
      <c r="AI82" s="33">
        <v>2021</v>
      </c>
      <c r="AJ82" s="33">
        <v>2021</v>
      </c>
    </row>
    <row r="83" spans="1:40" s="18" customFormat="1" ht="61.5" x14ac:dyDescent="0.85">
      <c r="B83" s="405" t="s">
        <v>826</v>
      </c>
      <c r="C83" s="22"/>
      <c r="D83" s="59" t="s">
        <v>882</v>
      </c>
      <c r="E83" s="60">
        <f>E84</f>
        <v>1.009761876417796</v>
      </c>
      <c r="F83" s="29">
        <f>F84</f>
        <v>3628625</v>
      </c>
      <c r="G83" s="29">
        <f t="shared" ref="G83:AG83" si="28">G84</f>
        <v>0</v>
      </c>
      <c r="H83" s="29">
        <f t="shared" si="28"/>
        <v>0</v>
      </c>
      <c r="I83" s="29">
        <f t="shared" si="28"/>
        <v>0</v>
      </c>
      <c r="J83" s="29">
        <f t="shared" si="28"/>
        <v>0</v>
      </c>
      <c r="K83" s="29">
        <f t="shared" si="28"/>
        <v>0</v>
      </c>
      <c r="L83" s="29">
        <f t="shared" si="28"/>
        <v>0</v>
      </c>
      <c r="M83" s="66">
        <f t="shared" si="28"/>
        <v>0</v>
      </c>
      <c r="N83" s="29">
        <f t="shared" si="28"/>
        <v>0</v>
      </c>
      <c r="O83" s="29">
        <f t="shared" si="28"/>
        <v>715</v>
      </c>
      <c r="P83" s="29">
        <f t="shared" si="28"/>
        <v>3575000</v>
      </c>
      <c r="Q83" s="29">
        <f t="shared" si="28"/>
        <v>0</v>
      </c>
      <c r="R83" s="29">
        <f t="shared" si="28"/>
        <v>0</v>
      </c>
      <c r="S83" s="29">
        <f t="shared" si="28"/>
        <v>0</v>
      </c>
      <c r="T83" s="29">
        <f t="shared" si="28"/>
        <v>0</v>
      </c>
      <c r="U83" s="29">
        <f t="shared" si="28"/>
        <v>0</v>
      </c>
      <c r="V83" s="29">
        <f t="shared" si="28"/>
        <v>0</v>
      </c>
      <c r="W83" s="29">
        <f t="shared" si="28"/>
        <v>0</v>
      </c>
      <c r="X83" s="29">
        <f t="shared" si="28"/>
        <v>0</v>
      </c>
      <c r="Y83" s="29">
        <f t="shared" si="28"/>
        <v>0</v>
      </c>
      <c r="Z83" s="29">
        <f t="shared" si="28"/>
        <v>0</v>
      </c>
      <c r="AA83" s="29">
        <f t="shared" si="28"/>
        <v>0</v>
      </c>
      <c r="AB83" s="29">
        <f t="shared" si="28"/>
        <v>0</v>
      </c>
      <c r="AC83" s="29">
        <f t="shared" si="28"/>
        <v>0</v>
      </c>
      <c r="AD83" s="29">
        <f t="shared" si="28"/>
        <v>0</v>
      </c>
      <c r="AE83" s="29">
        <f t="shared" si="28"/>
        <v>53625</v>
      </c>
      <c r="AF83" s="29">
        <f t="shared" si="28"/>
        <v>0</v>
      </c>
      <c r="AG83" s="29">
        <f t="shared" si="28"/>
        <v>0</v>
      </c>
      <c r="AH83" s="33" t="s">
        <v>882</v>
      </c>
      <c r="AI83" s="33" t="s">
        <v>882</v>
      </c>
      <c r="AJ83" s="33" t="s">
        <v>882</v>
      </c>
    </row>
    <row r="84" spans="1:40" s="18" customFormat="1" ht="61.5" x14ac:dyDescent="0.85">
      <c r="A84" s="18">
        <v>1</v>
      </c>
      <c r="B84" s="57">
        <f>SUBTOTAL(103,$A$65:A84)</f>
        <v>12</v>
      </c>
      <c r="C84" s="22" t="s">
        <v>1392</v>
      </c>
      <c r="D84" s="59" t="s">
        <v>1032</v>
      </c>
      <c r="E84" s="60">
        <v>1.009761876417796</v>
      </c>
      <c r="F84" s="29">
        <f>G84+H84+I84+J84+K84+L84+N84+P84+R84+T84+V84+W84+X84+Y84+Z84+AA84+AB84+AC84+AD84+AE84+AF84+AG84</f>
        <v>3628625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66">
        <v>0</v>
      </c>
      <c r="N84" s="29">
        <v>0</v>
      </c>
      <c r="O84" s="29">
        <v>715</v>
      </c>
      <c r="P84" s="29">
        <v>3575000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f>ROUND(P84*1.5%,2)</f>
        <v>53625</v>
      </c>
      <c r="AF84" s="58">
        <v>0</v>
      </c>
      <c r="AG84" s="29">
        <v>0</v>
      </c>
      <c r="AH84" s="33" t="s">
        <v>268</v>
      </c>
      <c r="AI84" s="33">
        <v>2021</v>
      </c>
      <c r="AJ84" s="33">
        <v>2021</v>
      </c>
    </row>
    <row r="85" spans="1:40" ht="61.5" x14ac:dyDescent="0.25">
      <c r="B85" s="300" t="s">
        <v>1394</v>
      </c>
      <c r="C85" s="300"/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  <c r="AJ85" s="300"/>
    </row>
    <row r="86" spans="1:40" ht="61.5" x14ac:dyDescent="0.85">
      <c r="B86" s="410" t="s">
        <v>1039</v>
      </c>
      <c r="C86" s="411"/>
      <c r="D86" s="412" t="s">
        <v>882</v>
      </c>
      <c r="E86" s="60">
        <v>0.89549999999999996</v>
      </c>
      <c r="F86" s="29">
        <f t="shared" ref="F86:AG86" si="29">F87+F96+F100+F117+F125+F130+F159+F175+F182+F185+F188+F190+F196+F198+F201+F204+F208+F210+F212+F214+F219+F221+F223+F225+F227+F229+F231+F234+F236+F240+F238</f>
        <v>53003596.220000006</v>
      </c>
      <c r="G86" s="29">
        <f t="shared" si="29"/>
        <v>0</v>
      </c>
      <c r="H86" s="29">
        <f t="shared" si="29"/>
        <v>0</v>
      </c>
      <c r="I86" s="29">
        <f t="shared" si="29"/>
        <v>204413.62</v>
      </c>
      <c r="J86" s="29">
        <f t="shared" si="29"/>
        <v>0</v>
      </c>
      <c r="K86" s="29">
        <f t="shared" si="29"/>
        <v>262873</v>
      </c>
      <c r="L86" s="29">
        <f t="shared" si="29"/>
        <v>0</v>
      </c>
      <c r="M86" s="29">
        <f t="shared" si="29"/>
        <v>0</v>
      </c>
      <c r="N86" s="29">
        <f t="shared" si="29"/>
        <v>0</v>
      </c>
      <c r="O86" s="29">
        <f t="shared" si="29"/>
        <v>88636.91</v>
      </c>
      <c r="P86" s="29">
        <f t="shared" si="29"/>
        <v>49582625.790000007</v>
      </c>
      <c r="Q86" s="29">
        <f t="shared" si="29"/>
        <v>0</v>
      </c>
      <c r="R86" s="29">
        <f t="shared" si="29"/>
        <v>0</v>
      </c>
      <c r="S86" s="29">
        <f t="shared" si="29"/>
        <v>7478.24</v>
      </c>
      <c r="T86" s="29">
        <f t="shared" si="29"/>
        <v>1670780.8299999998</v>
      </c>
      <c r="U86" s="29">
        <f t="shared" si="29"/>
        <v>143.80000000000001</v>
      </c>
      <c r="V86" s="29">
        <f t="shared" si="29"/>
        <v>109992</v>
      </c>
      <c r="W86" s="29">
        <f t="shared" si="29"/>
        <v>0</v>
      </c>
      <c r="X86" s="29">
        <f t="shared" si="29"/>
        <v>426031.78</v>
      </c>
      <c r="Y86" s="29">
        <f t="shared" si="29"/>
        <v>0</v>
      </c>
      <c r="Z86" s="29">
        <f t="shared" si="29"/>
        <v>0</v>
      </c>
      <c r="AA86" s="29">
        <f t="shared" si="29"/>
        <v>0</v>
      </c>
      <c r="AB86" s="29">
        <f t="shared" si="29"/>
        <v>0</v>
      </c>
      <c r="AC86" s="29">
        <f t="shared" si="29"/>
        <v>0</v>
      </c>
      <c r="AD86" s="29">
        <f t="shared" si="29"/>
        <v>0</v>
      </c>
      <c r="AE86" s="29">
        <f t="shared" si="29"/>
        <v>746879.2000000003</v>
      </c>
      <c r="AF86" s="29">
        <f t="shared" si="29"/>
        <v>0</v>
      </c>
      <c r="AG86" s="29">
        <f t="shared" si="29"/>
        <v>0</v>
      </c>
      <c r="AH86" s="166" t="s">
        <v>882</v>
      </c>
      <c r="AI86" s="166" t="s">
        <v>882</v>
      </c>
      <c r="AJ86" s="166" t="s">
        <v>882</v>
      </c>
    </row>
    <row r="87" spans="1:40" ht="62.25" x14ac:dyDescent="0.9">
      <c r="B87" s="413" t="s">
        <v>807</v>
      </c>
      <c r="C87" s="414"/>
      <c r="D87" s="415" t="s">
        <v>882</v>
      </c>
      <c r="E87" s="60">
        <f>AVERAGE(E88:E93)</f>
        <v>0.82381693240432963</v>
      </c>
      <c r="F87" s="29">
        <f>SUM(F88:F93)</f>
        <v>3985118.04</v>
      </c>
      <c r="G87" s="29">
        <f t="shared" ref="G87:AG87" si="30">SUM(G88:G93)</f>
        <v>0</v>
      </c>
      <c r="H87" s="29">
        <f t="shared" si="30"/>
        <v>0</v>
      </c>
      <c r="I87" s="29">
        <f t="shared" si="30"/>
        <v>0</v>
      </c>
      <c r="J87" s="29">
        <f t="shared" si="30"/>
        <v>0</v>
      </c>
      <c r="K87" s="29">
        <f t="shared" si="30"/>
        <v>0</v>
      </c>
      <c r="L87" s="29">
        <f t="shared" si="30"/>
        <v>0</v>
      </c>
      <c r="M87" s="64">
        <f t="shared" si="30"/>
        <v>0</v>
      </c>
      <c r="N87" s="29">
        <f t="shared" si="30"/>
        <v>0</v>
      </c>
      <c r="O87" s="29">
        <f t="shared" si="30"/>
        <v>4824.3</v>
      </c>
      <c r="P87" s="29">
        <f t="shared" si="30"/>
        <v>3570403.5</v>
      </c>
      <c r="Q87" s="29">
        <f t="shared" si="30"/>
        <v>0</v>
      </c>
      <c r="R87" s="29">
        <f t="shared" si="30"/>
        <v>0</v>
      </c>
      <c r="S87" s="29">
        <f t="shared" si="30"/>
        <v>0</v>
      </c>
      <c r="T87" s="29">
        <f t="shared" si="30"/>
        <v>0</v>
      </c>
      <c r="U87" s="29">
        <f t="shared" si="30"/>
        <v>0</v>
      </c>
      <c r="V87" s="29">
        <f t="shared" si="30"/>
        <v>0</v>
      </c>
      <c r="W87" s="29">
        <f t="shared" si="30"/>
        <v>0</v>
      </c>
      <c r="X87" s="29">
        <f t="shared" si="30"/>
        <v>356033.78</v>
      </c>
      <c r="Y87" s="29">
        <f t="shared" si="30"/>
        <v>0</v>
      </c>
      <c r="Z87" s="29">
        <f t="shared" si="30"/>
        <v>0</v>
      </c>
      <c r="AA87" s="29">
        <f t="shared" si="30"/>
        <v>0</v>
      </c>
      <c r="AB87" s="29">
        <f t="shared" si="30"/>
        <v>0</v>
      </c>
      <c r="AC87" s="29">
        <f t="shared" si="30"/>
        <v>0</v>
      </c>
      <c r="AD87" s="29">
        <f t="shared" si="30"/>
        <v>0</v>
      </c>
      <c r="AE87" s="29">
        <f t="shared" si="30"/>
        <v>58680.760000000009</v>
      </c>
      <c r="AF87" s="29">
        <f t="shared" si="30"/>
        <v>0</v>
      </c>
      <c r="AG87" s="29">
        <f t="shared" si="30"/>
        <v>0</v>
      </c>
      <c r="AH87" s="166" t="s">
        <v>882</v>
      </c>
      <c r="AI87" s="166" t="s">
        <v>882</v>
      </c>
      <c r="AJ87" s="166" t="s">
        <v>882</v>
      </c>
    </row>
    <row r="88" spans="1:40" ht="62.25" x14ac:dyDescent="0.9">
      <c r="A88" s="4">
        <v>1</v>
      </c>
      <c r="B88" s="57">
        <f>SUBTOTAL(103,$A$88:A88)</f>
        <v>1</v>
      </c>
      <c r="C88" s="165" t="s">
        <v>611</v>
      </c>
      <c r="D88" s="62" t="s">
        <v>1866</v>
      </c>
      <c r="E88" s="60">
        <v>0.68103653271030484</v>
      </c>
      <c r="F88" s="29">
        <f t="shared" ref="F88:F183" si="31">G88+H88+I88+J88+K88+L88+N88+P88+R88+T88+V88+W88+X88+Y88+Z88+AA88+AB88+AC88+AD88+AE88+AF88+AG88</f>
        <v>546562.15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64">
        <v>0</v>
      </c>
      <c r="N88" s="29">
        <v>0</v>
      </c>
      <c r="O88" s="29">
        <v>851.8</v>
      </c>
      <c r="P88" s="29">
        <v>538524.67000000004</v>
      </c>
      <c r="Q88" s="29">
        <v>0</v>
      </c>
      <c r="R88" s="29">
        <v>0</v>
      </c>
      <c r="S88" s="29">
        <v>0</v>
      </c>
      <c r="T88" s="167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8037.48</v>
      </c>
      <c r="AF88" s="29">
        <v>0</v>
      </c>
      <c r="AG88" s="29">
        <v>0</v>
      </c>
      <c r="AH88" s="166" t="s">
        <v>268</v>
      </c>
      <c r="AI88" s="166">
        <v>2020</v>
      </c>
      <c r="AJ88" s="166">
        <v>2020</v>
      </c>
      <c r="AK88" s="55"/>
      <c r="AL88" s="55"/>
      <c r="AM88" s="55"/>
      <c r="AN88" s="55"/>
    </row>
    <row r="89" spans="1:40" ht="62.25" x14ac:dyDescent="0.9">
      <c r="A89" s="4">
        <v>1</v>
      </c>
      <c r="B89" s="57">
        <f>SUBTOTAL(103,$A$88:A89)</f>
        <v>2</v>
      </c>
      <c r="C89" s="165" t="s">
        <v>1398</v>
      </c>
      <c r="D89" s="62" t="s">
        <v>1866</v>
      </c>
      <c r="E89" s="60">
        <v>0.76770000000000005</v>
      </c>
      <c r="F89" s="29">
        <f t="shared" si="31"/>
        <v>491248.27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64">
        <v>0</v>
      </c>
      <c r="N89" s="29">
        <v>0</v>
      </c>
      <c r="O89" s="29">
        <v>901.5</v>
      </c>
      <c r="P89" s="29">
        <v>484024.21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7224.06</v>
      </c>
      <c r="AF89" s="29">
        <v>0</v>
      </c>
      <c r="AG89" s="29">
        <v>0</v>
      </c>
      <c r="AH89" s="166" t="s">
        <v>268</v>
      </c>
      <c r="AI89" s="166">
        <v>2020</v>
      </c>
      <c r="AJ89" s="166">
        <v>2020</v>
      </c>
      <c r="AK89" s="55"/>
      <c r="AL89" s="55"/>
      <c r="AM89" s="55"/>
      <c r="AN89" s="55"/>
    </row>
    <row r="90" spans="1:40" ht="62.25" x14ac:dyDescent="0.9">
      <c r="A90" s="4">
        <v>1</v>
      </c>
      <c r="B90" s="57">
        <f>SUBTOTAL(103,$A$88:A90)</f>
        <v>3</v>
      </c>
      <c r="C90" s="165" t="s">
        <v>1399</v>
      </c>
      <c r="D90" s="62" t="s">
        <v>1866</v>
      </c>
      <c r="E90" s="60">
        <v>0.87790000000000001</v>
      </c>
      <c r="F90" s="29">
        <f t="shared" si="31"/>
        <v>1439722.57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64">
        <v>0</v>
      </c>
      <c r="N90" s="29">
        <v>0</v>
      </c>
      <c r="O90" s="29">
        <v>811</v>
      </c>
      <c r="P90" s="29">
        <v>1418550.7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21171.87</v>
      </c>
      <c r="AF90" s="29">
        <v>0</v>
      </c>
      <c r="AG90" s="29">
        <v>0</v>
      </c>
      <c r="AH90" s="166" t="s">
        <v>268</v>
      </c>
      <c r="AI90" s="166">
        <v>2020</v>
      </c>
      <c r="AJ90" s="166">
        <v>2020</v>
      </c>
      <c r="AK90" s="55"/>
      <c r="AL90" s="55"/>
      <c r="AM90" s="55"/>
      <c r="AN90" s="55"/>
    </row>
    <row r="91" spans="1:40" ht="62.25" x14ac:dyDescent="0.9">
      <c r="A91" s="4">
        <v>1</v>
      </c>
      <c r="B91" s="57">
        <f>SUBTOTAL(103,$A$88:A91)</f>
        <v>4</v>
      </c>
      <c r="C91" s="165" t="s">
        <v>1400</v>
      </c>
      <c r="D91" s="77" t="s">
        <v>1866</v>
      </c>
      <c r="E91" s="60">
        <v>0.74686506171567224</v>
      </c>
      <c r="F91" s="29">
        <f t="shared" si="31"/>
        <v>361347.58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64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167">
        <v>0</v>
      </c>
      <c r="U91" s="29">
        <v>0</v>
      </c>
      <c r="V91" s="29">
        <v>0</v>
      </c>
      <c r="W91" s="29">
        <v>0</v>
      </c>
      <c r="X91" s="37">
        <v>356033.78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5313.8</v>
      </c>
      <c r="AF91" s="29">
        <v>0</v>
      </c>
      <c r="AG91" s="29">
        <v>0</v>
      </c>
      <c r="AH91" s="166" t="s">
        <v>268</v>
      </c>
      <c r="AI91" s="33">
        <v>2021</v>
      </c>
      <c r="AJ91" s="33">
        <v>2021</v>
      </c>
      <c r="AK91" s="55"/>
      <c r="AL91" s="55"/>
      <c r="AM91" s="55"/>
      <c r="AN91" s="55"/>
    </row>
    <row r="92" spans="1:40" ht="62.25" x14ac:dyDescent="0.9">
      <c r="A92" s="4">
        <v>1</v>
      </c>
      <c r="B92" s="57">
        <f>SUBTOTAL(103,$A$88:A92)</f>
        <v>5</v>
      </c>
      <c r="C92" s="165" t="s">
        <v>1401</v>
      </c>
      <c r="D92" s="62" t="s">
        <v>1867</v>
      </c>
      <c r="E92" s="60">
        <v>0.94499999999999995</v>
      </c>
      <c r="F92" s="29">
        <f t="shared" si="31"/>
        <v>179920.82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64">
        <v>0</v>
      </c>
      <c r="N92" s="29">
        <v>0</v>
      </c>
      <c r="O92" s="29">
        <v>1160</v>
      </c>
      <c r="P92" s="29">
        <v>177261.89</v>
      </c>
      <c r="Q92" s="29">
        <v>0</v>
      </c>
      <c r="R92" s="29">
        <v>0</v>
      </c>
      <c r="S92" s="29">
        <v>0</v>
      </c>
      <c r="T92" s="167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f>ROUND(P92*1.5%,2)</f>
        <v>2658.93</v>
      </c>
      <c r="AF92" s="29">
        <v>0</v>
      </c>
      <c r="AG92" s="29">
        <v>0</v>
      </c>
      <c r="AH92" s="166" t="s">
        <v>268</v>
      </c>
      <c r="AI92" s="166">
        <v>2020</v>
      </c>
      <c r="AJ92" s="166">
        <v>2020</v>
      </c>
      <c r="AK92" s="55"/>
      <c r="AL92" s="55"/>
      <c r="AM92" s="55"/>
      <c r="AN92" s="55"/>
    </row>
    <row r="93" spans="1:40" ht="62.25" x14ac:dyDescent="0.9">
      <c r="A93" s="4">
        <v>1</v>
      </c>
      <c r="B93" s="57">
        <f>SUBTOTAL(103,$A$88:A93)</f>
        <v>6</v>
      </c>
      <c r="C93" s="165" t="s">
        <v>1402</v>
      </c>
      <c r="D93" s="62" t="s">
        <v>1867</v>
      </c>
      <c r="E93" s="60">
        <v>0.9244</v>
      </c>
      <c r="F93" s="29">
        <f t="shared" si="31"/>
        <v>966316.65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64">
        <v>0</v>
      </c>
      <c r="N93" s="29">
        <v>0</v>
      </c>
      <c r="O93" s="29">
        <v>1100</v>
      </c>
      <c r="P93" s="29">
        <f>80110.03+871932</f>
        <v>952042.03</v>
      </c>
      <c r="Q93" s="29">
        <v>0</v>
      </c>
      <c r="R93" s="29">
        <v>0</v>
      </c>
      <c r="S93" s="29">
        <v>0</v>
      </c>
      <c r="T93" s="167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f>1195.64+ROUND(871932*1.5%,2)</f>
        <v>14274.619999999999</v>
      </c>
      <c r="AF93" s="29">
        <v>0</v>
      </c>
      <c r="AG93" s="29">
        <v>0</v>
      </c>
      <c r="AH93" s="166" t="s">
        <v>268</v>
      </c>
      <c r="AI93" s="33">
        <v>2021</v>
      </c>
      <c r="AJ93" s="33">
        <v>2021</v>
      </c>
      <c r="AK93" s="55"/>
      <c r="AL93" s="55"/>
      <c r="AM93" s="55"/>
      <c r="AN93" s="55"/>
    </row>
    <row r="94" spans="1:40" ht="62.25" x14ac:dyDescent="0.9">
      <c r="B94" s="413" t="s">
        <v>808</v>
      </c>
      <c r="C94" s="414"/>
      <c r="D94" s="415" t="s">
        <v>882</v>
      </c>
      <c r="E94" s="60">
        <f t="shared" ref="E94:N94" si="32">E95</f>
        <v>0.88649999999999995</v>
      </c>
      <c r="F94" s="29">
        <f t="shared" si="32"/>
        <v>418959.01</v>
      </c>
      <c r="G94" s="29">
        <f t="shared" si="32"/>
        <v>0</v>
      </c>
      <c r="H94" s="29">
        <f t="shared" si="32"/>
        <v>0</v>
      </c>
      <c r="I94" s="29">
        <f t="shared" si="32"/>
        <v>0</v>
      </c>
      <c r="J94" s="29">
        <f t="shared" si="32"/>
        <v>0</v>
      </c>
      <c r="K94" s="29">
        <f t="shared" si="32"/>
        <v>0</v>
      </c>
      <c r="L94" s="29">
        <f t="shared" si="32"/>
        <v>0</v>
      </c>
      <c r="M94" s="64">
        <f t="shared" si="32"/>
        <v>0</v>
      </c>
      <c r="N94" s="29">
        <f t="shared" si="32"/>
        <v>0</v>
      </c>
      <c r="O94" s="29">
        <f>O95</f>
        <v>819.7</v>
      </c>
      <c r="P94" s="29">
        <f t="shared" ref="P94:AG94" si="33">P95</f>
        <v>412767.5</v>
      </c>
      <c r="Q94" s="29">
        <f t="shared" si="33"/>
        <v>0</v>
      </c>
      <c r="R94" s="29">
        <f t="shared" si="33"/>
        <v>0</v>
      </c>
      <c r="S94" s="29">
        <f t="shared" si="33"/>
        <v>0</v>
      </c>
      <c r="T94" s="29">
        <f t="shared" si="33"/>
        <v>0</v>
      </c>
      <c r="U94" s="29">
        <f t="shared" si="33"/>
        <v>0</v>
      </c>
      <c r="V94" s="29">
        <f t="shared" si="33"/>
        <v>0</v>
      </c>
      <c r="W94" s="29">
        <f t="shared" si="33"/>
        <v>0</v>
      </c>
      <c r="X94" s="29">
        <f t="shared" si="33"/>
        <v>0</v>
      </c>
      <c r="Y94" s="29">
        <f t="shared" si="33"/>
        <v>0</v>
      </c>
      <c r="Z94" s="29">
        <f t="shared" si="33"/>
        <v>0</v>
      </c>
      <c r="AA94" s="29">
        <f t="shared" si="33"/>
        <v>0</v>
      </c>
      <c r="AB94" s="29">
        <f t="shared" si="33"/>
        <v>0</v>
      </c>
      <c r="AC94" s="29">
        <f t="shared" si="33"/>
        <v>0</v>
      </c>
      <c r="AD94" s="29">
        <f t="shared" si="33"/>
        <v>0</v>
      </c>
      <c r="AE94" s="29">
        <f t="shared" si="33"/>
        <v>6191.51</v>
      </c>
      <c r="AF94" s="29">
        <f t="shared" si="33"/>
        <v>0</v>
      </c>
      <c r="AG94" s="29">
        <f t="shared" si="33"/>
        <v>0</v>
      </c>
      <c r="AH94" s="166" t="s">
        <v>882</v>
      </c>
      <c r="AI94" s="166" t="s">
        <v>882</v>
      </c>
      <c r="AJ94" s="166" t="s">
        <v>882</v>
      </c>
    </row>
    <row r="95" spans="1:40" ht="62.25" x14ac:dyDescent="0.9">
      <c r="A95" s="4">
        <v>1</v>
      </c>
      <c r="B95" s="57">
        <f>SUBTOTAL(103,$A$88:A95)</f>
        <v>7</v>
      </c>
      <c r="C95" s="165" t="s">
        <v>1912</v>
      </c>
      <c r="D95" s="62">
        <v>2016</v>
      </c>
      <c r="E95" s="60">
        <v>0.88649999999999995</v>
      </c>
      <c r="F95" s="29">
        <f>G95+H95+I95+J95+K95+L95+N95+P95+R95+T95+V95+W95+X95+Y95+Z95+AA95+AB95+AC95+AD95+AE95+AF95+AG95</f>
        <v>418959.01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64">
        <v>0</v>
      </c>
      <c r="N95" s="29">
        <v>0</v>
      </c>
      <c r="O95" s="29">
        <v>819.7</v>
      </c>
      <c r="P95" s="29">
        <v>412767.5</v>
      </c>
      <c r="Q95" s="29">
        <v>0</v>
      </c>
      <c r="R95" s="29">
        <v>0</v>
      </c>
      <c r="S95" s="29">
        <v>0</v>
      </c>
      <c r="T95" s="167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f>ROUND(P95*1.5%,2)</f>
        <v>6191.51</v>
      </c>
      <c r="AF95" s="29">
        <v>0</v>
      </c>
      <c r="AG95" s="29">
        <v>0</v>
      </c>
      <c r="AH95" s="166" t="s">
        <v>268</v>
      </c>
      <c r="AI95" s="166">
        <v>2021</v>
      </c>
      <c r="AJ95" s="166">
        <v>2021</v>
      </c>
      <c r="AK95" s="55"/>
      <c r="AL95" s="55"/>
      <c r="AM95" s="55"/>
      <c r="AN95" s="55"/>
    </row>
    <row r="96" spans="1:40" ht="62.25" x14ac:dyDescent="0.9">
      <c r="B96" s="413" t="s">
        <v>811</v>
      </c>
      <c r="C96" s="414"/>
      <c r="D96" s="415" t="s">
        <v>882</v>
      </c>
      <c r="E96" s="60">
        <f>AVERAGE(E97:E99)</f>
        <v>0.94748668819388027</v>
      </c>
      <c r="F96" s="29">
        <f>F97+F98+F99</f>
        <v>34858.28</v>
      </c>
      <c r="G96" s="29">
        <f t="shared" ref="G96:AG96" si="34">G97+G98+G99</f>
        <v>0</v>
      </c>
      <c r="H96" s="29">
        <f t="shared" si="34"/>
        <v>0</v>
      </c>
      <c r="I96" s="29">
        <f t="shared" si="34"/>
        <v>0</v>
      </c>
      <c r="J96" s="29">
        <f t="shared" si="34"/>
        <v>0</v>
      </c>
      <c r="K96" s="29">
        <f t="shared" si="34"/>
        <v>0</v>
      </c>
      <c r="L96" s="29">
        <f t="shared" si="34"/>
        <v>0</v>
      </c>
      <c r="M96" s="29">
        <f t="shared" si="34"/>
        <v>0</v>
      </c>
      <c r="N96" s="29">
        <f t="shared" si="34"/>
        <v>0</v>
      </c>
      <c r="O96" s="29">
        <f t="shared" si="34"/>
        <v>2012</v>
      </c>
      <c r="P96" s="29">
        <f t="shared" si="34"/>
        <v>34437.65</v>
      </c>
      <c r="Q96" s="29">
        <f t="shared" si="34"/>
        <v>0</v>
      </c>
      <c r="R96" s="29">
        <f t="shared" si="34"/>
        <v>0</v>
      </c>
      <c r="S96" s="29">
        <f t="shared" si="34"/>
        <v>0</v>
      </c>
      <c r="T96" s="29">
        <f t="shared" si="34"/>
        <v>0</v>
      </c>
      <c r="U96" s="29">
        <f t="shared" si="34"/>
        <v>0</v>
      </c>
      <c r="V96" s="29">
        <f t="shared" si="34"/>
        <v>0</v>
      </c>
      <c r="W96" s="29">
        <f t="shared" si="34"/>
        <v>0</v>
      </c>
      <c r="X96" s="29">
        <f t="shared" si="34"/>
        <v>0</v>
      </c>
      <c r="Y96" s="29">
        <f t="shared" si="34"/>
        <v>0</v>
      </c>
      <c r="Z96" s="29">
        <f t="shared" si="34"/>
        <v>0</v>
      </c>
      <c r="AA96" s="29">
        <f t="shared" si="34"/>
        <v>0</v>
      </c>
      <c r="AB96" s="29">
        <f t="shared" si="34"/>
        <v>0</v>
      </c>
      <c r="AC96" s="29">
        <f t="shared" si="34"/>
        <v>0</v>
      </c>
      <c r="AD96" s="29">
        <f t="shared" si="34"/>
        <v>0</v>
      </c>
      <c r="AE96" s="29">
        <f t="shared" si="34"/>
        <v>420.63</v>
      </c>
      <c r="AF96" s="29">
        <f t="shared" si="34"/>
        <v>0</v>
      </c>
      <c r="AG96" s="29">
        <f t="shared" si="34"/>
        <v>0</v>
      </c>
      <c r="AH96" s="166" t="s">
        <v>882</v>
      </c>
      <c r="AI96" s="166" t="s">
        <v>882</v>
      </c>
      <c r="AJ96" s="166" t="s">
        <v>882</v>
      </c>
      <c r="AK96" s="55"/>
      <c r="AL96" s="55"/>
      <c r="AM96" s="55"/>
      <c r="AN96" s="55"/>
    </row>
    <row r="97" spans="1:40" ht="62.25" x14ac:dyDescent="0.9">
      <c r="A97" s="4">
        <v>1</v>
      </c>
      <c r="B97" s="57">
        <f>SUBTOTAL(103,$A$88:A97)</f>
        <v>8</v>
      </c>
      <c r="C97" s="165" t="s">
        <v>1403</v>
      </c>
      <c r="D97" s="62" t="s">
        <v>1867</v>
      </c>
      <c r="E97" s="60">
        <v>0.95197013899993665</v>
      </c>
      <c r="F97" s="29">
        <f t="shared" si="31"/>
        <v>11221.62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64">
        <v>0</v>
      </c>
      <c r="N97" s="29">
        <v>0</v>
      </c>
      <c r="O97" s="29">
        <v>924</v>
      </c>
      <c r="P97" s="29">
        <v>11055.78</v>
      </c>
      <c r="Q97" s="29">
        <v>0</v>
      </c>
      <c r="R97" s="29">
        <v>0</v>
      </c>
      <c r="S97" s="29">
        <v>0</v>
      </c>
      <c r="T97" s="167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f>ROUND(P97*1.5%,2)</f>
        <v>165.84</v>
      </c>
      <c r="AF97" s="29">
        <v>0</v>
      </c>
      <c r="AG97" s="29">
        <v>0</v>
      </c>
      <c r="AH97" s="166" t="s">
        <v>268</v>
      </c>
      <c r="AI97" s="166">
        <v>2020</v>
      </c>
      <c r="AJ97" s="166">
        <v>2020</v>
      </c>
      <c r="AK97" s="55"/>
      <c r="AL97" s="55"/>
      <c r="AM97" s="55"/>
      <c r="AN97" s="55"/>
    </row>
    <row r="98" spans="1:40" ht="62.25" x14ac:dyDescent="0.9">
      <c r="A98" s="4">
        <v>1</v>
      </c>
      <c r="B98" s="57">
        <f>SUBTOTAL(103,$A$88:A98)</f>
        <v>9</v>
      </c>
      <c r="C98" s="165" t="s">
        <v>1404</v>
      </c>
      <c r="D98" s="62" t="s">
        <v>1867</v>
      </c>
      <c r="E98" s="60">
        <v>0.89759999999999995</v>
      </c>
      <c r="F98" s="29">
        <f t="shared" si="31"/>
        <v>19576.66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64">
        <v>0</v>
      </c>
      <c r="N98" s="29">
        <v>0</v>
      </c>
      <c r="O98" s="29">
        <v>746</v>
      </c>
      <c r="P98" s="29">
        <v>19381.87</v>
      </c>
      <c r="Q98" s="29">
        <v>0</v>
      </c>
      <c r="R98" s="29">
        <v>0</v>
      </c>
      <c r="S98" s="29">
        <v>0</v>
      </c>
      <c r="T98" s="167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0</v>
      </c>
      <c r="AA98" s="29">
        <v>0</v>
      </c>
      <c r="AB98" s="29">
        <v>0</v>
      </c>
      <c r="AC98" s="29">
        <v>0</v>
      </c>
      <c r="AD98" s="29">
        <v>0</v>
      </c>
      <c r="AE98" s="29">
        <v>194.79</v>
      </c>
      <c r="AF98" s="29">
        <v>0</v>
      </c>
      <c r="AG98" s="29">
        <v>0</v>
      </c>
      <c r="AH98" s="166" t="s">
        <v>268</v>
      </c>
      <c r="AI98" s="166">
        <v>2020</v>
      </c>
      <c r="AJ98" s="166">
        <v>2020</v>
      </c>
      <c r="AK98" s="55"/>
      <c r="AL98" s="55"/>
      <c r="AM98" s="55"/>
      <c r="AN98" s="55"/>
    </row>
    <row r="99" spans="1:40" ht="62.25" x14ac:dyDescent="0.9">
      <c r="A99" s="4">
        <v>1</v>
      </c>
      <c r="B99" s="57">
        <f>SUBTOTAL(103,$A$88:A99)</f>
        <v>10</v>
      </c>
      <c r="C99" s="165" t="s">
        <v>1868</v>
      </c>
      <c r="D99" s="62" t="s">
        <v>1866</v>
      </c>
      <c r="E99" s="60">
        <v>0.9928899255817043</v>
      </c>
      <c r="F99" s="29">
        <f>P99+AE99</f>
        <v>4060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64">
        <v>0</v>
      </c>
      <c r="N99" s="29">
        <v>0</v>
      </c>
      <c r="O99" s="29">
        <v>342</v>
      </c>
      <c r="P99" s="29">
        <v>4000</v>
      </c>
      <c r="Q99" s="29">
        <v>0</v>
      </c>
      <c r="R99" s="29">
        <v>0</v>
      </c>
      <c r="S99" s="29">
        <v>0</v>
      </c>
      <c r="T99" s="167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f>ROUND(P99*1.5%,2)</f>
        <v>60</v>
      </c>
      <c r="AF99" s="29">
        <v>0</v>
      </c>
      <c r="AG99" s="29">
        <v>0</v>
      </c>
      <c r="AH99" s="166" t="s">
        <v>268</v>
      </c>
      <c r="AI99" s="166">
        <v>2021</v>
      </c>
      <c r="AJ99" s="166">
        <v>2021</v>
      </c>
      <c r="AK99" s="55"/>
      <c r="AL99" s="55"/>
      <c r="AM99" s="55"/>
      <c r="AN99" s="55"/>
    </row>
    <row r="100" spans="1:40" ht="62.25" x14ac:dyDescent="0.9">
      <c r="B100" s="413" t="s">
        <v>1035</v>
      </c>
      <c r="C100" s="414"/>
      <c r="D100" s="415" t="s">
        <v>882</v>
      </c>
      <c r="E100" s="60">
        <f>AVERAGE(E101:E116)</f>
        <v>0.95278854188545492</v>
      </c>
      <c r="F100" s="29">
        <f>SUM(F101:F116)</f>
        <v>1921865.3299999994</v>
      </c>
      <c r="G100" s="29">
        <f t="shared" ref="G100:AG100" si="35">SUM(G101:G116)</f>
        <v>0</v>
      </c>
      <c r="H100" s="29">
        <f t="shared" si="35"/>
        <v>0</v>
      </c>
      <c r="I100" s="29">
        <f t="shared" si="35"/>
        <v>0</v>
      </c>
      <c r="J100" s="29">
        <f t="shared" si="35"/>
        <v>0</v>
      </c>
      <c r="K100" s="29">
        <f t="shared" si="35"/>
        <v>0</v>
      </c>
      <c r="L100" s="29">
        <f t="shared" si="35"/>
        <v>0</v>
      </c>
      <c r="M100" s="29">
        <f t="shared" si="35"/>
        <v>0</v>
      </c>
      <c r="N100" s="29">
        <f t="shared" si="35"/>
        <v>0</v>
      </c>
      <c r="O100" s="29">
        <f t="shared" si="35"/>
        <v>10624.560000000001</v>
      </c>
      <c r="P100" s="29">
        <f t="shared" si="35"/>
        <v>1357309.74</v>
      </c>
      <c r="Q100" s="29">
        <f t="shared" si="35"/>
        <v>0</v>
      </c>
      <c r="R100" s="29">
        <f t="shared" si="35"/>
        <v>0</v>
      </c>
      <c r="S100" s="29">
        <f t="shared" si="35"/>
        <v>853.2</v>
      </c>
      <c r="T100" s="29">
        <f t="shared" si="35"/>
        <v>427011.58</v>
      </c>
      <c r="U100" s="29">
        <f t="shared" si="35"/>
        <v>143.80000000000001</v>
      </c>
      <c r="V100" s="29">
        <f t="shared" si="35"/>
        <v>109992</v>
      </c>
      <c r="W100" s="29">
        <f t="shared" si="35"/>
        <v>0</v>
      </c>
      <c r="X100" s="29">
        <f t="shared" si="35"/>
        <v>0</v>
      </c>
      <c r="Y100" s="29">
        <f t="shared" si="35"/>
        <v>0</v>
      </c>
      <c r="Z100" s="29">
        <f t="shared" si="35"/>
        <v>0</v>
      </c>
      <c r="AA100" s="29">
        <f t="shared" si="35"/>
        <v>0</v>
      </c>
      <c r="AB100" s="29">
        <f t="shared" si="35"/>
        <v>0</v>
      </c>
      <c r="AC100" s="29">
        <f t="shared" si="35"/>
        <v>0</v>
      </c>
      <c r="AD100" s="29">
        <f t="shared" si="35"/>
        <v>0</v>
      </c>
      <c r="AE100" s="29">
        <f t="shared" si="35"/>
        <v>27552.01</v>
      </c>
      <c r="AF100" s="29">
        <f t="shared" si="35"/>
        <v>0</v>
      </c>
      <c r="AG100" s="29">
        <f t="shared" si="35"/>
        <v>0</v>
      </c>
      <c r="AH100" s="166" t="s">
        <v>882</v>
      </c>
      <c r="AI100" s="166" t="s">
        <v>882</v>
      </c>
      <c r="AJ100" s="166" t="s">
        <v>882</v>
      </c>
      <c r="AK100" s="55"/>
      <c r="AL100" s="55"/>
      <c r="AM100" s="55"/>
      <c r="AN100" s="55"/>
    </row>
    <row r="101" spans="1:40" ht="62.25" x14ac:dyDescent="0.9">
      <c r="A101" s="4">
        <v>1</v>
      </c>
      <c r="B101" s="57">
        <f>SUBTOTAL(103,$A$88:A101)</f>
        <v>11</v>
      </c>
      <c r="C101" s="165" t="s">
        <v>1405</v>
      </c>
      <c r="D101" s="62" t="s">
        <v>1867</v>
      </c>
      <c r="E101" s="60">
        <v>0.97330000000000005</v>
      </c>
      <c r="F101" s="29">
        <f t="shared" si="31"/>
        <v>9167.9599999999991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64">
        <v>0</v>
      </c>
      <c r="N101" s="29">
        <v>0</v>
      </c>
      <c r="O101" s="29">
        <v>1120</v>
      </c>
      <c r="P101" s="29">
        <v>9032.4699999999993</v>
      </c>
      <c r="Q101" s="29">
        <v>0</v>
      </c>
      <c r="R101" s="29">
        <v>0</v>
      </c>
      <c r="S101" s="29">
        <v>0</v>
      </c>
      <c r="T101" s="167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v>135.49</v>
      </c>
      <c r="AF101" s="29">
        <v>0</v>
      </c>
      <c r="AG101" s="29">
        <v>0</v>
      </c>
      <c r="AH101" s="166" t="s">
        <v>268</v>
      </c>
      <c r="AI101" s="166">
        <v>2020</v>
      </c>
      <c r="AJ101" s="166">
        <v>2020</v>
      </c>
      <c r="AK101" s="55"/>
      <c r="AL101" s="55"/>
      <c r="AM101" s="55"/>
      <c r="AN101" s="55"/>
    </row>
    <row r="102" spans="1:40" ht="62.25" x14ac:dyDescent="0.9">
      <c r="A102" s="4">
        <v>1</v>
      </c>
      <c r="B102" s="57">
        <f>SUBTOTAL(103,$A$88:A102)</f>
        <v>12</v>
      </c>
      <c r="C102" s="165" t="s">
        <v>1406</v>
      </c>
      <c r="D102" s="62" t="s">
        <v>1866</v>
      </c>
      <c r="E102" s="60">
        <v>0.86990000000000001</v>
      </c>
      <c r="F102" s="29">
        <f t="shared" si="31"/>
        <v>208365.3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64">
        <v>0</v>
      </c>
      <c r="N102" s="29">
        <v>0</v>
      </c>
      <c r="O102" s="29">
        <v>728.12</v>
      </c>
      <c r="P102" s="29">
        <v>205529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9">
        <v>0</v>
      </c>
      <c r="AD102" s="29">
        <v>0</v>
      </c>
      <c r="AE102" s="37">
        <v>2836.3</v>
      </c>
      <c r="AF102" s="29">
        <v>0</v>
      </c>
      <c r="AG102" s="29">
        <v>0</v>
      </c>
      <c r="AH102" s="166" t="s">
        <v>268</v>
      </c>
      <c r="AI102" s="166">
        <v>2020</v>
      </c>
      <c r="AJ102" s="166">
        <v>2020</v>
      </c>
      <c r="AK102" s="55"/>
      <c r="AL102" s="55"/>
      <c r="AM102" s="55"/>
      <c r="AN102" s="55"/>
    </row>
    <row r="103" spans="1:40" ht="62.25" x14ac:dyDescent="0.9">
      <c r="A103" s="4">
        <v>1</v>
      </c>
      <c r="B103" s="57">
        <f>SUBTOTAL(103,$A$88:A103)</f>
        <v>13</v>
      </c>
      <c r="C103" s="165" t="s">
        <v>1407</v>
      </c>
      <c r="D103" s="62" t="s">
        <v>1867</v>
      </c>
      <c r="E103" s="60">
        <v>0.95440000000000003</v>
      </c>
      <c r="F103" s="29">
        <f t="shared" si="31"/>
        <v>170151.06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64">
        <v>0</v>
      </c>
      <c r="N103" s="29">
        <v>0</v>
      </c>
      <c r="O103" s="29">
        <v>755</v>
      </c>
      <c r="P103" s="29">
        <v>167636.51</v>
      </c>
      <c r="Q103" s="29">
        <v>0</v>
      </c>
      <c r="R103" s="29">
        <v>0</v>
      </c>
      <c r="S103" s="29">
        <v>0</v>
      </c>
      <c r="T103" s="167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2514.5500000000002</v>
      </c>
      <c r="AF103" s="29">
        <v>0</v>
      </c>
      <c r="AG103" s="29">
        <v>0</v>
      </c>
      <c r="AH103" s="166" t="s">
        <v>268</v>
      </c>
      <c r="AI103" s="166">
        <v>2020</v>
      </c>
      <c r="AJ103" s="166">
        <v>2020</v>
      </c>
      <c r="AK103" s="55"/>
      <c r="AL103" s="55"/>
      <c r="AM103" s="55"/>
      <c r="AN103" s="55"/>
    </row>
    <row r="104" spans="1:40" ht="62.25" x14ac:dyDescent="0.9">
      <c r="A104" s="4">
        <v>1</v>
      </c>
      <c r="B104" s="57">
        <f>SUBTOTAL(103,$A$88:A104)</f>
        <v>14</v>
      </c>
      <c r="C104" s="165" t="s">
        <v>1408</v>
      </c>
      <c r="D104" s="62" t="s">
        <v>1867</v>
      </c>
      <c r="E104" s="60">
        <v>1.0023</v>
      </c>
      <c r="F104" s="29">
        <f t="shared" si="31"/>
        <v>39070.28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64">
        <v>0</v>
      </c>
      <c r="N104" s="29">
        <v>0</v>
      </c>
      <c r="O104" s="29">
        <v>497</v>
      </c>
      <c r="P104" s="29">
        <v>38538.449999999997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29">
        <v>0</v>
      </c>
      <c r="AE104" s="37">
        <v>531.83000000000004</v>
      </c>
      <c r="AF104" s="29">
        <v>0</v>
      </c>
      <c r="AG104" s="29">
        <v>0</v>
      </c>
      <c r="AH104" s="166" t="s">
        <v>268</v>
      </c>
      <c r="AI104" s="166">
        <v>2020</v>
      </c>
      <c r="AJ104" s="166">
        <v>2020</v>
      </c>
      <c r="AK104" s="55"/>
      <c r="AL104" s="55"/>
      <c r="AM104" s="55"/>
      <c r="AN104" s="55"/>
    </row>
    <row r="105" spans="1:40" ht="62.25" x14ac:dyDescent="0.9">
      <c r="A105" s="4">
        <v>1</v>
      </c>
      <c r="B105" s="57">
        <f>SUBTOTAL(103,$A$88:A105)</f>
        <v>15</v>
      </c>
      <c r="C105" s="165" t="s">
        <v>1409</v>
      </c>
      <c r="D105" s="62" t="s">
        <v>1866</v>
      </c>
      <c r="E105" s="60">
        <v>0.96599999999999997</v>
      </c>
      <c r="F105" s="29">
        <f t="shared" si="31"/>
        <v>35421.97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64">
        <v>0</v>
      </c>
      <c r="N105" s="29">
        <v>0</v>
      </c>
      <c r="O105" s="29">
        <v>636</v>
      </c>
      <c r="P105" s="29">
        <v>34939.800000000003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37">
        <v>482.17</v>
      </c>
      <c r="AF105" s="29">
        <v>0</v>
      </c>
      <c r="AG105" s="29">
        <v>0</v>
      </c>
      <c r="AH105" s="166" t="s">
        <v>268</v>
      </c>
      <c r="AI105" s="166">
        <v>2020</v>
      </c>
      <c r="AJ105" s="166">
        <v>2020</v>
      </c>
      <c r="AK105" s="55"/>
      <c r="AL105" s="55"/>
      <c r="AM105" s="55"/>
      <c r="AN105" s="55"/>
    </row>
    <row r="106" spans="1:40" ht="62.25" x14ac:dyDescent="0.9">
      <c r="A106" s="4">
        <v>1</v>
      </c>
      <c r="B106" s="57">
        <f>SUBTOTAL(103,$A$88:A106)</f>
        <v>16</v>
      </c>
      <c r="C106" s="165" t="s">
        <v>1410</v>
      </c>
      <c r="D106" s="62" t="s">
        <v>1867</v>
      </c>
      <c r="E106" s="60">
        <v>0.90890000000000004</v>
      </c>
      <c r="F106" s="29">
        <f t="shared" si="31"/>
        <v>381944.5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64">
        <v>0</v>
      </c>
      <c r="N106" s="29">
        <v>0</v>
      </c>
      <c r="O106" s="29">
        <v>645</v>
      </c>
      <c r="P106" s="29">
        <v>376300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9">
        <v>0</v>
      </c>
      <c r="AD106" s="29">
        <v>0</v>
      </c>
      <c r="AE106" s="29">
        <f>ROUND(P106*1.5%,2)</f>
        <v>5644.5</v>
      </c>
      <c r="AF106" s="29">
        <v>0</v>
      </c>
      <c r="AG106" s="29">
        <v>0</v>
      </c>
      <c r="AH106" s="166" t="s">
        <v>268</v>
      </c>
      <c r="AI106" s="33">
        <v>2021</v>
      </c>
      <c r="AJ106" s="33">
        <v>2021</v>
      </c>
      <c r="AK106" s="55"/>
      <c r="AL106" s="55"/>
      <c r="AM106" s="55"/>
      <c r="AN106" s="55"/>
    </row>
    <row r="107" spans="1:40" ht="62.25" x14ac:dyDescent="0.9">
      <c r="A107" s="4">
        <v>1</v>
      </c>
      <c r="B107" s="57">
        <f>SUBTOTAL(103,$A$88:A107)</f>
        <v>17</v>
      </c>
      <c r="C107" s="165" t="s">
        <v>1411</v>
      </c>
      <c r="D107" s="62" t="s">
        <v>1866</v>
      </c>
      <c r="E107" s="60">
        <v>0.97260000000000002</v>
      </c>
      <c r="F107" s="29">
        <f t="shared" si="31"/>
        <v>7571.98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64">
        <v>0</v>
      </c>
      <c r="N107" s="29">
        <v>0</v>
      </c>
      <c r="O107" s="29">
        <v>691.81</v>
      </c>
      <c r="P107" s="29">
        <v>7460.08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111.9</v>
      </c>
      <c r="AF107" s="29">
        <v>0</v>
      </c>
      <c r="AG107" s="29">
        <v>0</v>
      </c>
      <c r="AH107" s="166" t="s">
        <v>268</v>
      </c>
      <c r="AI107" s="166">
        <v>2020</v>
      </c>
      <c r="AJ107" s="166">
        <v>2020</v>
      </c>
      <c r="AK107" s="55"/>
      <c r="AL107" s="55"/>
      <c r="AM107" s="55"/>
      <c r="AN107" s="55"/>
    </row>
    <row r="108" spans="1:40" ht="62.25" x14ac:dyDescent="0.9">
      <c r="A108" s="4">
        <v>1</v>
      </c>
      <c r="B108" s="57">
        <f>SUBTOTAL(103,$A$88:A108)</f>
        <v>18</v>
      </c>
      <c r="C108" s="165" t="s">
        <v>1412</v>
      </c>
      <c r="D108" s="77" t="s">
        <v>1867</v>
      </c>
      <c r="E108" s="60">
        <v>0.9919</v>
      </c>
      <c r="F108" s="29">
        <f t="shared" si="31"/>
        <v>433416.75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64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853.2</v>
      </c>
      <c r="T108" s="167">
        <v>427011.58</v>
      </c>
      <c r="U108" s="29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6405.17</v>
      </c>
      <c r="AF108" s="29">
        <v>0</v>
      </c>
      <c r="AG108" s="29">
        <v>0</v>
      </c>
      <c r="AH108" s="166" t="s">
        <v>268</v>
      </c>
      <c r="AI108" s="166">
        <v>2020</v>
      </c>
      <c r="AJ108" s="166">
        <v>2020</v>
      </c>
      <c r="AK108" s="55"/>
      <c r="AL108" s="55"/>
      <c r="AM108" s="55"/>
      <c r="AN108" s="55"/>
    </row>
    <row r="109" spans="1:40" ht="62.25" x14ac:dyDescent="0.9">
      <c r="A109" s="4">
        <v>1</v>
      </c>
      <c r="B109" s="57">
        <f>SUBTOTAL(103,$A$88:A109)</f>
        <v>19</v>
      </c>
      <c r="C109" s="165" t="s">
        <v>1108</v>
      </c>
      <c r="D109" s="62" t="s">
        <v>1516</v>
      </c>
      <c r="E109" s="60">
        <v>0.96870000000000001</v>
      </c>
      <c r="F109" s="29">
        <f t="shared" si="31"/>
        <v>167825.19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64">
        <v>0</v>
      </c>
      <c r="N109" s="29">
        <v>0</v>
      </c>
      <c r="O109" s="29">
        <v>404</v>
      </c>
      <c r="P109" s="29">
        <v>165540.73000000001</v>
      </c>
      <c r="Q109" s="29">
        <v>0</v>
      </c>
      <c r="R109" s="29">
        <v>0</v>
      </c>
      <c r="S109" s="29">
        <v>0</v>
      </c>
      <c r="T109" s="167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2284.46</v>
      </c>
      <c r="AF109" s="29">
        <v>0</v>
      </c>
      <c r="AG109" s="29">
        <v>0</v>
      </c>
      <c r="AH109" s="166" t="s">
        <v>268</v>
      </c>
      <c r="AI109" s="166">
        <v>2020</v>
      </c>
      <c r="AJ109" s="166">
        <v>2020</v>
      </c>
      <c r="AK109" s="55"/>
      <c r="AL109" s="55"/>
      <c r="AM109" s="55"/>
      <c r="AN109" s="55"/>
    </row>
    <row r="110" spans="1:40" ht="62.25" x14ac:dyDescent="0.9">
      <c r="A110" s="4">
        <v>1</v>
      </c>
      <c r="B110" s="57">
        <f>SUBTOTAL(103,$A$88:A110)</f>
        <v>20</v>
      </c>
      <c r="C110" s="165" t="s">
        <v>1413</v>
      </c>
      <c r="D110" s="62" t="s">
        <v>1869</v>
      </c>
      <c r="E110" s="60">
        <v>1.0038</v>
      </c>
      <c r="F110" s="29">
        <f t="shared" si="31"/>
        <v>11003.900000000001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64">
        <v>0</v>
      </c>
      <c r="N110" s="29">
        <v>0</v>
      </c>
      <c r="O110" s="29">
        <v>1156</v>
      </c>
      <c r="P110" s="29">
        <v>10854.11</v>
      </c>
      <c r="Q110" s="29">
        <v>0</v>
      </c>
      <c r="R110" s="29">
        <v>0</v>
      </c>
      <c r="S110" s="29">
        <v>0</v>
      </c>
      <c r="T110" s="167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37">
        <v>149.79</v>
      </c>
      <c r="AF110" s="29">
        <v>0</v>
      </c>
      <c r="AG110" s="29">
        <v>0</v>
      </c>
      <c r="AH110" s="166" t="s">
        <v>268</v>
      </c>
      <c r="AI110" s="166">
        <v>2020</v>
      </c>
      <c r="AJ110" s="166">
        <v>2020</v>
      </c>
      <c r="AK110" s="55"/>
      <c r="AL110" s="55"/>
      <c r="AM110" s="55"/>
      <c r="AN110" s="55"/>
    </row>
    <row r="111" spans="1:40" ht="62.25" x14ac:dyDescent="0.9">
      <c r="A111" s="4">
        <v>1</v>
      </c>
      <c r="B111" s="57">
        <f>SUBTOTAL(103,$A$88:A111)</f>
        <v>21</v>
      </c>
      <c r="C111" s="165" t="s">
        <v>1480</v>
      </c>
      <c r="D111" s="77" t="s">
        <v>1516</v>
      </c>
      <c r="E111" s="60">
        <v>0.97260000000000002</v>
      </c>
      <c r="F111" s="29">
        <f t="shared" si="31"/>
        <v>111509.89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64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167">
        <v>0</v>
      </c>
      <c r="U111" s="29">
        <v>143.80000000000001</v>
      </c>
      <c r="V111" s="29">
        <v>109992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1517.89</v>
      </c>
      <c r="AF111" s="29">
        <v>0</v>
      </c>
      <c r="AG111" s="29">
        <v>0</v>
      </c>
      <c r="AH111" s="166" t="s">
        <v>268</v>
      </c>
      <c r="AI111" s="166">
        <v>2020</v>
      </c>
      <c r="AJ111" s="166">
        <v>2020</v>
      </c>
      <c r="AK111" s="55"/>
      <c r="AL111" s="55"/>
      <c r="AM111" s="55"/>
      <c r="AN111" s="55"/>
    </row>
    <row r="112" spans="1:40" ht="62.25" x14ac:dyDescent="0.9">
      <c r="A112" s="4">
        <v>1</v>
      </c>
      <c r="B112" s="57">
        <f>SUBTOTAL(103,$A$88:A112)</f>
        <v>22</v>
      </c>
      <c r="C112" s="165" t="s">
        <v>1481</v>
      </c>
      <c r="D112" s="62" t="s">
        <v>1866</v>
      </c>
      <c r="E112" s="60">
        <v>0.9859</v>
      </c>
      <c r="F112" s="29">
        <f t="shared" si="31"/>
        <v>155632.46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64">
        <v>0</v>
      </c>
      <c r="N112" s="29">
        <v>0</v>
      </c>
      <c r="O112" s="29">
        <v>622.63</v>
      </c>
      <c r="P112" s="29">
        <v>153513.97</v>
      </c>
      <c r="Q112" s="29">
        <v>0</v>
      </c>
      <c r="R112" s="29">
        <v>0</v>
      </c>
      <c r="S112" s="29">
        <v>0</v>
      </c>
      <c r="T112" s="167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37">
        <v>2118.4899999999998</v>
      </c>
      <c r="AF112" s="29">
        <v>0</v>
      </c>
      <c r="AG112" s="29">
        <v>0</v>
      </c>
      <c r="AH112" s="166" t="s">
        <v>268</v>
      </c>
      <c r="AI112" s="166">
        <v>2020</v>
      </c>
      <c r="AJ112" s="166">
        <v>2020</v>
      </c>
      <c r="AK112" s="55"/>
      <c r="AL112" s="55"/>
      <c r="AM112" s="55"/>
      <c r="AN112" s="55"/>
    </row>
    <row r="113" spans="1:40" ht="62.25" x14ac:dyDescent="0.9">
      <c r="A113" s="4">
        <v>1</v>
      </c>
      <c r="B113" s="57">
        <f>SUBTOTAL(103,$A$88:A113)</f>
        <v>23</v>
      </c>
      <c r="C113" s="165" t="s">
        <v>1482</v>
      </c>
      <c r="D113" s="62" t="s">
        <v>1867</v>
      </c>
      <c r="E113" s="60">
        <v>1.0001</v>
      </c>
      <c r="F113" s="29">
        <f t="shared" si="31"/>
        <v>7503.39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64">
        <v>0</v>
      </c>
      <c r="N113" s="29">
        <v>0</v>
      </c>
      <c r="O113" s="29">
        <v>550</v>
      </c>
      <c r="P113" s="29">
        <v>7392.5</v>
      </c>
      <c r="Q113" s="29">
        <v>0</v>
      </c>
      <c r="R113" s="29">
        <v>0</v>
      </c>
      <c r="S113" s="29">
        <v>0</v>
      </c>
      <c r="T113" s="167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f>ROUND(P113*1.5%,2)</f>
        <v>110.89</v>
      </c>
      <c r="AF113" s="29">
        <v>0</v>
      </c>
      <c r="AG113" s="29">
        <v>0</v>
      </c>
      <c r="AH113" s="166" t="s">
        <v>268</v>
      </c>
      <c r="AI113" s="166">
        <v>2020</v>
      </c>
      <c r="AJ113" s="166">
        <v>2020</v>
      </c>
      <c r="AK113" s="55"/>
      <c r="AL113" s="55"/>
      <c r="AM113" s="55"/>
      <c r="AN113" s="55"/>
    </row>
    <row r="114" spans="1:40" ht="62.25" x14ac:dyDescent="0.9">
      <c r="A114" s="4">
        <v>1</v>
      </c>
      <c r="B114" s="57">
        <f>SUBTOTAL(103,$A$88:A114)</f>
        <v>24</v>
      </c>
      <c r="C114" s="165" t="s">
        <v>1483</v>
      </c>
      <c r="D114" s="62" t="s">
        <v>1869</v>
      </c>
      <c r="E114" s="60">
        <v>0.95650000000000002</v>
      </c>
      <c r="F114" s="29">
        <f t="shared" si="31"/>
        <v>48190.02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64">
        <v>0</v>
      </c>
      <c r="N114" s="29">
        <v>0</v>
      </c>
      <c r="O114" s="29">
        <v>807</v>
      </c>
      <c r="P114" s="29">
        <v>47477.85</v>
      </c>
      <c r="Q114" s="29">
        <v>0</v>
      </c>
      <c r="R114" s="29">
        <v>0</v>
      </c>
      <c r="S114" s="29">
        <v>0</v>
      </c>
      <c r="T114" s="167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f>ROUND(P114*1.5%,2)</f>
        <v>712.17</v>
      </c>
      <c r="AF114" s="29">
        <v>0</v>
      </c>
      <c r="AG114" s="29">
        <v>0</v>
      </c>
      <c r="AH114" s="166" t="s">
        <v>268</v>
      </c>
      <c r="AI114" s="166">
        <v>2020</v>
      </c>
      <c r="AJ114" s="166">
        <v>2020</v>
      </c>
      <c r="AK114" s="55"/>
      <c r="AL114" s="55"/>
      <c r="AM114" s="55"/>
      <c r="AN114" s="55"/>
    </row>
    <row r="115" spans="1:40" ht="62.25" x14ac:dyDescent="0.9">
      <c r="A115" s="4">
        <v>1</v>
      </c>
      <c r="B115" s="57">
        <f>SUBTOTAL(103,$A$88:A115)</f>
        <v>25</v>
      </c>
      <c r="C115" s="165" t="s">
        <v>1588</v>
      </c>
      <c r="D115" s="62" t="s">
        <v>1867</v>
      </c>
      <c r="E115" s="60">
        <v>0.76249999999999996</v>
      </c>
      <c r="F115" s="29">
        <f t="shared" si="31"/>
        <v>91476.549999999988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64">
        <v>0</v>
      </c>
      <c r="N115" s="29">
        <v>0</v>
      </c>
      <c r="O115" s="29">
        <v>1059</v>
      </c>
      <c r="P115" s="29">
        <v>90124.68</v>
      </c>
      <c r="Q115" s="29">
        <v>0</v>
      </c>
      <c r="R115" s="29">
        <v>0</v>
      </c>
      <c r="S115" s="29">
        <v>0</v>
      </c>
      <c r="T115" s="167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0</v>
      </c>
      <c r="AE115" s="29">
        <v>1351.87</v>
      </c>
      <c r="AF115" s="29">
        <v>0</v>
      </c>
      <c r="AG115" s="29">
        <v>0</v>
      </c>
      <c r="AH115" s="166" t="s">
        <v>268</v>
      </c>
      <c r="AI115" s="166">
        <v>2020</v>
      </c>
      <c r="AJ115" s="166">
        <v>2020</v>
      </c>
      <c r="AK115" s="55"/>
      <c r="AL115" s="55"/>
      <c r="AM115" s="55"/>
      <c r="AN115" s="55"/>
    </row>
    <row r="116" spans="1:40" ht="62.25" x14ac:dyDescent="0.9">
      <c r="A116" s="4">
        <v>1</v>
      </c>
      <c r="B116" s="57">
        <f>SUBTOTAL(103,$A$88:A116)</f>
        <v>26</v>
      </c>
      <c r="C116" s="165" t="s">
        <v>1870</v>
      </c>
      <c r="D116" s="62" t="s">
        <v>1869</v>
      </c>
      <c r="E116" s="60">
        <v>0.95521667016728007</v>
      </c>
      <c r="F116" s="29">
        <f>P116+AE116</f>
        <v>43614.13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64">
        <v>0</v>
      </c>
      <c r="N116" s="29">
        <v>0</v>
      </c>
      <c r="O116" s="29">
        <v>953</v>
      </c>
      <c r="P116" s="29">
        <v>42969.59</v>
      </c>
      <c r="Q116" s="29">
        <v>0</v>
      </c>
      <c r="R116" s="29">
        <v>0</v>
      </c>
      <c r="S116" s="29">
        <v>0</v>
      </c>
      <c r="T116" s="167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f>ROUND(P116*1.5%,2)</f>
        <v>644.54</v>
      </c>
      <c r="AF116" s="29">
        <v>0</v>
      </c>
      <c r="AG116" s="29">
        <v>0</v>
      </c>
      <c r="AH116" s="166" t="s">
        <v>268</v>
      </c>
      <c r="AI116" s="166">
        <v>2020</v>
      </c>
      <c r="AJ116" s="166">
        <v>2020</v>
      </c>
      <c r="AK116" s="55"/>
      <c r="AL116" s="55"/>
      <c r="AM116" s="55"/>
      <c r="AN116" s="55"/>
    </row>
    <row r="117" spans="1:40" ht="62.25" x14ac:dyDescent="0.9">
      <c r="B117" s="413" t="s">
        <v>815</v>
      </c>
      <c r="C117" s="414"/>
      <c r="D117" s="415" t="s">
        <v>882</v>
      </c>
      <c r="E117" s="60">
        <f>AVERAGE(E118:E124)</f>
        <v>0.79046997917439299</v>
      </c>
      <c r="F117" s="29">
        <f>SUM(F118:F124)</f>
        <v>2700572.82</v>
      </c>
      <c r="G117" s="29">
        <f t="shared" ref="G117:AG117" si="36">SUM(G118:G124)</f>
        <v>0</v>
      </c>
      <c r="H117" s="29">
        <f t="shared" si="36"/>
        <v>0</v>
      </c>
      <c r="I117" s="29">
        <f t="shared" si="36"/>
        <v>0</v>
      </c>
      <c r="J117" s="29">
        <f t="shared" si="36"/>
        <v>0</v>
      </c>
      <c r="K117" s="29">
        <f t="shared" si="36"/>
        <v>0</v>
      </c>
      <c r="L117" s="29">
        <f t="shared" si="36"/>
        <v>0</v>
      </c>
      <c r="M117" s="29">
        <f t="shared" si="36"/>
        <v>0</v>
      </c>
      <c r="N117" s="29">
        <f t="shared" si="36"/>
        <v>0</v>
      </c>
      <c r="O117" s="29">
        <f t="shared" si="36"/>
        <v>6319.26</v>
      </c>
      <c r="P117" s="29">
        <f t="shared" si="36"/>
        <v>2664525.2200000002</v>
      </c>
      <c r="Q117" s="29">
        <f t="shared" si="36"/>
        <v>0</v>
      </c>
      <c r="R117" s="29">
        <f t="shared" si="36"/>
        <v>0</v>
      </c>
      <c r="S117" s="29">
        <f t="shared" si="36"/>
        <v>0</v>
      </c>
      <c r="T117" s="29">
        <f t="shared" si="36"/>
        <v>0</v>
      </c>
      <c r="U117" s="29">
        <f t="shared" si="36"/>
        <v>0</v>
      </c>
      <c r="V117" s="29">
        <f t="shared" si="36"/>
        <v>0</v>
      </c>
      <c r="W117" s="29">
        <f t="shared" si="36"/>
        <v>0</v>
      </c>
      <c r="X117" s="29">
        <f t="shared" si="36"/>
        <v>0</v>
      </c>
      <c r="Y117" s="29">
        <f t="shared" si="36"/>
        <v>0</v>
      </c>
      <c r="Z117" s="29">
        <f t="shared" si="36"/>
        <v>0</v>
      </c>
      <c r="AA117" s="29">
        <f t="shared" si="36"/>
        <v>0</v>
      </c>
      <c r="AB117" s="29">
        <f t="shared" si="36"/>
        <v>0</v>
      </c>
      <c r="AC117" s="29">
        <f t="shared" si="36"/>
        <v>0</v>
      </c>
      <c r="AD117" s="29">
        <f t="shared" si="36"/>
        <v>0</v>
      </c>
      <c r="AE117" s="29">
        <f t="shared" si="36"/>
        <v>36047.599999999999</v>
      </c>
      <c r="AF117" s="29">
        <f t="shared" si="36"/>
        <v>0</v>
      </c>
      <c r="AG117" s="29">
        <f t="shared" si="36"/>
        <v>0</v>
      </c>
      <c r="AH117" s="166" t="s">
        <v>882</v>
      </c>
      <c r="AI117" s="166" t="s">
        <v>882</v>
      </c>
      <c r="AJ117" s="166" t="s">
        <v>882</v>
      </c>
      <c r="AK117" s="55"/>
      <c r="AL117" s="55"/>
      <c r="AM117" s="55"/>
      <c r="AN117" s="55"/>
    </row>
    <row r="118" spans="1:40" ht="62.25" x14ac:dyDescent="0.9">
      <c r="A118" s="4">
        <v>1</v>
      </c>
      <c r="B118" s="57">
        <f>SUBTOTAL(103,$A$88:A118)</f>
        <v>27</v>
      </c>
      <c r="C118" s="165" t="s">
        <v>1414</v>
      </c>
      <c r="D118" s="62" t="s">
        <v>1867</v>
      </c>
      <c r="E118" s="60">
        <v>0.79441212856856191</v>
      </c>
      <c r="F118" s="29">
        <f t="shared" si="31"/>
        <v>502837.5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64">
        <v>0</v>
      </c>
      <c r="N118" s="29">
        <v>0</v>
      </c>
      <c r="O118" s="29">
        <v>1148</v>
      </c>
      <c r="P118" s="29">
        <v>497834.27</v>
      </c>
      <c r="Q118" s="29">
        <v>0</v>
      </c>
      <c r="R118" s="29">
        <v>0</v>
      </c>
      <c r="S118" s="29">
        <v>0</v>
      </c>
      <c r="T118" s="167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9">
        <v>0</v>
      </c>
      <c r="AD118" s="29">
        <v>0</v>
      </c>
      <c r="AE118" s="37">
        <v>5003.2299999999996</v>
      </c>
      <c r="AF118" s="29">
        <v>0</v>
      </c>
      <c r="AG118" s="29">
        <v>0</v>
      </c>
      <c r="AH118" s="166" t="s">
        <v>268</v>
      </c>
      <c r="AI118" s="166">
        <v>2020</v>
      </c>
      <c r="AJ118" s="166">
        <v>2020</v>
      </c>
      <c r="AK118" s="55"/>
      <c r="AL118" s="55"/>
      <c r="AM118" s="55"/>
      <c r="AN118" s="55"/>
    </row>
    <row r="119" spans="1:40" ht="62.25" x14ac:dyDescent="0.9">
      <c r="A119" s="4">
        <v>1</v>
      </c>
      <c r="B119" s="57">
        <f>SUBTOTAL(103,$A$88:A119)</f>
        <v>28</v>
      </c>
      <c r="C119" s="165" t="s">
        <v>1415</v>
      </c>
      <c r="D119" s="62" t="s">
        <v>1867</v>
      </c>
      <c r="E119" s="60">
        <v>0.77911652932310516</v>
      </c>
      <c r="F119" s="29">
        <f t="shared" si="31"/>
        <v>1853524.39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64">
        <v>0</v>
      </c>
      <c r="N119" s="29">
        <v>0</v>
      </c>
      <c r="O119" s="29">
        <v>812.5</v>
      </c>
      <c r="P119" s="29">
        <v>1826132.4</v>
      </c>
      <c r="Q119" s="29">
        <v>0</v>
      </c>
      <c r="R119" s="29">
        <v>0</v>
      </c>
      <c r="S119" s="29">
        <v>0</v>
      </c>
      <c r="T119" s="167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f t="shared" ref="AE119:AE124" si="37">ROUND(P119*1.5%,2)</f>
        <v>27391.99</v>
      </c>
      <c r="AF119" s="29">
        <v>0</v>
      </c>
      <c r="AG119" s="29">
        <v>0</v>
      </c>
      <c r="AH119" s="166" t="s">
        <v>268</v>
      </c>
      <c r="AI119" s="33">
        <v>2021</v>
      </c>
      <c r="AJ119" s="33">
        <v>2021</v>
      </c>
      <c r="AK119" s="55"/>
      <c r="AL119" s="55"/>
      <c r="AM119" s="55"/>
      <c r="AN119" s="55"/>
    </row>
    <row r="120" spans="1:40" ht="62.25" x14ac:dyDescent="0.9">
      <c r="A120" s="4">
        <v>1</v>
      </c>
      <c r="B120" s="57">
        <f>SUBTOTAL(103,$A$88:A120)</f>
        <v>29</v>
      </c>
      <c r="C120" s="165" t="s">
        <v>1416</v>
      </c>
      <c r="D120" s="62" t="s">
        <v>1516</v>
      </c>
      <c r="E120" s="60">
        <v>0.64500000000000002</v>
      </c>
      <c r="F120" s="29">
        <f t="shared" si="31"/>
        <v>57982.38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64">
        <v>0</v>
      </c>
      <c r="N120" s="29">
        <v>0</v>
      </c>
      <c r="O120" s="29">
        <v>1240.56</v>
      </c>
      <c r="P120" s="167">
        <v>57405.46</v>
      </c>
      <c r="Q120" s="29">
        <v>0</v>
      </c>
      <c r="R120" s="29">
        <v>0</v>
      </c>
      <c r="S120" s="29">
        <v>0</v>
      </c>
      <c r="T120" s="167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576.91999999999996</v>
      </c>
      <c r="AF120" s="29">
        <v>0</v>
      </c>
      <c r="AG120" s="29">
        <v>0</v>
      </c>
      <c r="AH120" s="166" t="s">
        <v>268</v>
      </c>
      <c r="AI120" s="166">
        <v>2020</v>
      </c>
      <c r="AJ120" s="166">
        <v>2020</v>
      </c>
      <c r="AK120" s="55"/>
      <c r="AL120" s="55"/>
      <c r="AM120" s="55"/>
      <c r="AN120" s="55"/>
    </row>
    <row r="121" spans="1:40" ht="62.25" x14ac:dyDescent="0.9">
      <c r="A121" s="4">
        <v>1</v>
      </c>
      <c r="B121" s="57">
        <f>SUBTOTAL(103,$A$88:A121)</f>
        <v>30</v>
      </c>
      <c r="C121" s="165" t="s">
        <v>1417</v>
      </c>
      <c r="D121" s="62" t="s">
        <v>1867</v>
      </c>
      <c r="E121" s="60">
        <v>0.88700000000000001</v>
      </c>
      <c r="F121" s="29">
        <f t="shared" si="31"/>
        <v>175548.91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64">
        <v>0</v>
      </c>
      <c r="N121" s="29">
        <v>0</v>
      </c>
      <c r="O121" s="29">
        <v>838</v>
      </c>
      <c r="P121" s="29">
        <v>173802.2</v>
      </c>
      <c r="Q121" s="29">
        <v>0</v>
      </c>
      <c r="R121" s="29">
        <v>0</v>
      </c>
      <c r="S121" s="29">
        <v>0</v>
      </c>
      <c r="T121" s="167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v>1746.71</v>
      </c>
      <c r="AF121" s="29">
        <v>0</v>
      </c>
      <c r="AG121" s="29">
        <v>0</v>
      </c>
      <c r="AH121" s="166" t="s">
        <v>268</v>
      </c>
      <c r="AI121" s="166">
        <v>2020</v>
      </c>
      <c r="AJ121" s="166">
        <v>2020</v>
      </c>
      <c r="AK121" s="55"/>
      <c r="AL121" s="55"/>
      <c r="AM121" s="55"/>
      <c r="AN121" s="55"/>
    </row>
    <row r="122" spans="1:40" ht="62.25" x14ac:dyDescent="0.9">
      <c r="A122" s="4">
        <v>1</v>
      </c>
      <c r="B122" s="57">
        <f>SUBTOTAL(103,$A$88:A122)</f>
        <v>31</v>
      </c>
      <c r="C122" s="165" t="s">
        <v>1418</v>
      </c>
      <c r="D122" s="62" t="s">
        <v>1867</v>
      </c>
      <c r="E122" s="60">
        <v>0.78459999999999996</v>
      </c>
      <c r="F122" s="29">
        <f t="shared" si="31"/>
        <v>63565.37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64">
        <v>0</v>
      </c>
      <c r="N122" s="29">
        <v>0</v>
      </c>
      <c r="O122" s="29">
        <v>823.2</v>
      </c>
      <c r="P122" s="29">
        <v>62932.89</v>
      </c>
      <c r="Q122" s="29">
        <v>0</v>
      </c>
      <c r="R122" s="29">
        <v>0</v>
      </c>
      <c r="S122" s="29">
        <v>0</v>
      </c>
      <c r="T122" s="167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9">
        <v>0</v>
      </c>
      <c r="AD122" s="29">
        <v>0</v>
      </c>
      <c r="AE122" s="29">
        <v>632.48</v>
      </c>
      <c r="AF122" s="29">
        <v>0</v>
      </c>
      <c r="AG122" s="29">
        <v>0</v>
      </c>
      <c r="AH122" s="166" t="s">
        <v>268</v>
      </c>
      <c r="AI122" s="166">
        <v>2020</v>
      </c>
      <c r="AJ122" s="166">
        <v>2020</v>
      </c>
      <c r="AK122" s="55"/>
      <c r="AL122" s="55"/>
      <c r="AM122" s="55"/>
      <c r="AN122" s="55"/>
    </row>
    <row r="123" spans="1:40" ht="62.25" x14ac:dyDescent="0.9">
      <c r="A123" s="4">
        <v>1</v>
      </c>
      <c r="B123" s="57">
        <f>SUBTOTAL(103,$A$88:A123)</f>
        <v>32</v>
      </c>
      <c r="C123" s="165" t="s">
        <v>1419</v>
      </c>
      <c r="D123" s="62" t="s">
        <v>1867</v>
      </c>
      <c r="E123" s="60">
        <v>0.70240000000000002</v>
      </c>
      <c r="F123" s="29">
        <f t="shared" si="31"/>
        <v>2454.27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64">
        <v>0</v>
      </c>
      <c r="N123" s="29">
        <v>0</v>
      </c>
      <c r="O123" s="29">
        <v>472</v>
      </c>
      <c r="P123" s="29">
        <v>2418</v>
      </c>
      <c r="Q123" s="29">
        <v>0</v>
      </c>
      <c r="R123" s="29">
        <v>0</v>
      </c>
      <c r="S123" s="29">
        <v>0</v>
      </c>
      <c r="T123" s="167">
        <v>0</v>
      </c>
      <c r="U123" s="29">
        <v>0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f t="shared" si="37"/>
        <v>36.270000000000003</v>
      </c>
      <c r="AF123" s="29">
        <v>0</v>
      </c>
      <c r="AG123" s="29">
        <v>0</v>
      </c>
      <c r="AH123" s="166" t="s">
        <v>268</v>
      </c>
      <c r="AI123" s="166">
        <v>2020</v>
      </c>
      <c r="AJ123" s="166">
        <v>2020</v>
      </c>
      <c r="AK123" s="55"/>
      <c r="AL123" s="55"/>
      <c r="AM123" s="55"/>
      <c r="AN123" s="55"/>
    </row>
    <row r="124" spans="1:40" ht="62.25" x14ac:dyDescent="0.9">
      <c r="A124" s="4">
        <v>1</v>
      </c>
      <c r="B124" s="57">
        <f>SUBTOTAL(103,$A$88:A124)</f>
        <v>33</v>
      </c>
      <c r="C124" s="165" t="s">
        <v>1871</v>
      </c>
      <c r="D124" s="62" t="s">
        <v>1516</v>
      </c>
      <c r="E124" s="60">
        <v>0.94076119632908406</v>
      </c>
      <c r="F124" s="29">
        <f>P124+AE124</f>
        <v>44660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64">
        <v>0</v>
      </c>
      <c r="N124" s="29">
        <v>0</v>
      </c>
      <c r="O124" s="29">
        <v>985</v>
      </c>
      <c r="P124" s="29">
        <v>44000</v>
      </c>
      <c r="Q124" s="29">
        <v>0</v>
      </c>
      <c r="R124" s="29">
        <v>0</v>
      </c>
      <c r="S124" s="29">
        <v>0</v>
      </c>
      <c r="T124" s="167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f t="shared" si="37"/>
        <v>660</v>
      </c>
      <c r="AF124" s="29">
        <v>0</v>
      </c>
      <c r="AG124" s="29">
        <v>0</v>
      </c>
      <c r="AH124" s="166" t="s">
        <v>268</v>
      </c>
      <c r="AI124" s="166">
        <v>2021</v>
      </c>
      <c r="AJ124" s="166">
        <v>2021</v>
      </c>
      <c r="AK124" s="55"/>
      <c r="AL124" s="55"/>
      <c r="AM124" s="55"/>
      <c r="AN124" s="55"/>
    </row>
    <row r="125" spans="1:40" ht="62.25" x14ac:dyDescent="0.9">
      <c r="B125" s="413" t="s">
        <v>814</v>
      </c>
      <c r="C125" s="414"/>
      <c r="D125" s="415" t="s">
        <v>882</v>
      </c>
      <c r="E125" s="60">
        <f>AVERAGE(E126:E129)</f>
        <v>0.6400023136337607</v>
      </c>
      <c r="F125" s="29">
        <f>SUM(F126:F129)</f>
        <v>3358217.53</v>
      </c>
      <c r="G125" s="29">
        <f t="shared" ref="G125:AG125" si="38">SUM(G126:G129)</f>
        <v>0</v>
      </c>
      <c r="H125" s="29">
        <f t="shared" si="38"/>
        <v>0</v>
      </c>
      <c r="I125" s="29">
        <f t="shared" si="38"/>
        <v>0</v>
      </c>
      <c r="J125" s="29">
        <f t="shared" si="38"/>
        <v>0</v>
      </c>
      <c r="K125" s="29">
        <f t="shared" si="38"/>
        <v>0</v>
      </c>
      <c r="L125" s="29">
        <f t="shared" si="38"/>
        <v>0</v>
      </c>
      <c r="M125" s="64">
        <f t="shared" si="38"/>
        <v>0</v>
      </c>
      <c r="N125" s="29">
        <f t="shared" si="38"/>
        <v>0</v>
      </c>
      <c r="O125" s="29">
        <f t="shared" si="38"/>
        <v>1939.8</v>
      </c>
      <c r="P125" s="29">
        <f t="shared" si="38"/>
        <v>3309120.87</v>
      </c>
      <c r="Q125" s="29">
        <f t="shared" si="38"/>
        <v>0</v>
      </c>
      <c r="R125" s="29">
        <f t="shared" si="38"/>
        <v>0</v>
      </c>
      <c r="S125" s="29">
        <f t="shared" si="38"/>
        <v>0</v>
      </c>
      <c r="T125" s="29">
        <f t="shared" si="38"/>
        <v>0</v>
      </c>
      <c r="U125" s="29">
        <f t="shared" si="38"/>
        <v>0</v>
      </c>
      <c r="V125" s="29">
        <f t="shared" si="38"/>
        <v>0</v>
      </c>
      <c r="W125" s="29">
        <f t="shared" si="38"/>
        <v>0</v>
      </c>
      <c r="X125" s="29">
        <f t="shared" si="38"/>
        <v>0</v>
      </c>
      <c r="Y125" s="29">
        <f t="shared" si="38"/>
        <v>0</v>
      </c>
      <c r="Z125" s="29">
        <f t="shared" si="38"/>
        <v>0</v>
      </c>
      <c r="AA125" s="29">
        <f t="shared" si="38"/>
        <v>0</v>
      </c>
      <c r="AB125" s="29">
        <f t="shared" si="38"/>
        <v>0</v>
      </c>
      <c r="AC125" s="29">
        <f t="shared" si="38"/>
        <v>0</v>
      </c>
      <c r="AD125" s="29">
        <f t="shared" si="38"/>
        <v>0</v>
      </c>
      <c r="AE125" s="29">
        <f t="shared" si="38"/>
        <v>49096.66</v>
      </c>
      <c r="AF125" s="29">
        <f t="shared" si="38"/>
        <v>0</v>
      </c>
      <c r="AG125" s="29">
        <f t="shared" si="38"/>
        <v>0</v>
      </c>
      <c r="AH125" s="166" t="s">
        <v>882</v>
      </c>
      <c r="AI125" s="166" t="s">
        <v>882</v>
      </c>
      <c r="AJ125" s="166" t="s">
        <v>882</v>
      </c>
      <c r="AK125" s="55"/>
      <c r="AL125" s="55"/>
      <c r="AM125" s="55"/>
      <c r="AN125" s="55"/>
    </row>
    <row r="126" spans="1:40" ht="62.25" x14ac:dyDescent="0.9">
      <c r="A126" s="4">
        <v>1</v>
      </c>
      <c r="B126" s="57">
        <f>SUBTOTAL(103,$A$88:A126)</f>
        <v>34</v>
      </c>
      <c r="C126" s="165" t="s">
        <v>1420</v>
      </c>
      <c r="D126" s="62" t="s">
        <v>1867</v>
      </c>
      <c r="E126" s="60">
        <v>0.4062203289705193</v>
      </c>
      <c r="F126" s="29">
        <f t="shared" si="31"/>
        <v>48915.49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64">
        <v>0</v>
      </c>
      <c r="N126" s="29">
        <v>0</v>
      </c>
      <c r="O126" s="84">
        <v>412</v>
      </c>
      <c r="P126" s="29">
        <v>48428.78</v>
      </c>
      <c r="Q126" s="29">
        <v>0</v>
      </c>
      <c r="R126" s="29">
        <v>0</v>
      </c>
      <c r="S126" s="29">
        <v>0</v>
      </c>
      <c r="T126" s="167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486.71</v>
      </c>
      <c r="AF126" s="29">
        <v>0</v>
      </c>
      <c r="AG126" s="29">
        <v>0</v>
      </c>
      <c r="AH126" s="166" t="s">
        <v>268</v>
      </c>
      <c r="AI126" s="166">
        <v>2020</v>
      </c>
      <c r="AJ126" s="166">
        <v>2020</v>
      </c>
      <c r="AK126" s="55"/>
      <c r="AL126" s="55"/>
      <c r="AM126" s="55"/>
      <c r="AN126" s="55"/>
    </row>
    <row r="127" spans="1:40" ht="62.25" x14ac:dyDescent="0.9">
      <c r="A127" s="4">
        <v>1</v>
      </c>
      <c r="B127" s="57">
        <f>SUBTOTAL(103,$A$88:A127)</f>
        <v>35</v>
      </c>
      <c r="C127" s="165" t="s">
        <v>1421</v>
      </c>
      <c r="D127" s="62" t="s">
        <v>1867</v>
      </c>
      <c r="E127" s="60">
        <v>0.69908892556452351</v>
      </c>
      <c r="F127" s="29">
        <f t="shared" si="31"/>
        <v>14682.87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64">
        <v>0</v>
      </c>
      <c r="N127" s="29">
        <v>0</v>
      </c>
      <c r="O127" s="29">
        <v>508</v>
      </c>
      <c r="P127" s="29">
        <v>14536.78</v>
      </c>
      <c r="Q127" s="29">
        <v>0</v>
      </c>
      <c r="R127" s="29">
        <v>0</v>
      </c>
      <c r="S127" s="29">
        <v>0</v>
      </c>
      <c r="T127" s="167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146.09</v>
      </c>
      <c r="AF127" s="29">
        <v>0</v>
      </c>
      <c r="AG127" s="29">
        <v>0</v>
      </c>
      <c r="AH127" s="166" t="s">
        <v>268</v>
      </c>
      <c r="AI127" s="166">
        <v>2020</v>
      </c>
      <c r="AJ127" s="166">
        <v>2020</v>
      </c>
      <c r="AK127" s="55"/>
      <c r="AL127" s="55"/>
      <c r="AM127" s="55"/>
      <c r="AN127" s="55"/>
    </row>
    <row r="128" spans="1:40" ht="62.25" x14ac:dyDescent="0.9">
      <c r="A128" s="4">
        <v>1</v>
      </c>
      <c r="B128" s="57">
        <f>SUBTOTAL(103,$A$88:A128)</f>
        <v>36</v>
      </c>
      <c r="C128" s="165" t="s">
        <v>1422</v>
      </c>
      <c r="D128" s="62" t="s">
        <v>1867</v>
      </c>
      <c r="E128" s="60">
        <v>0.53310000000000002</v>
      </c>
      <c r="F128" s="29">
        <f t="shared" si="31"/>
        <v>3248000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64">
        <v>0</v>
      </c>
      <c r="N128" s="29">
        <v>0</v>
      </c>
      <c r="O128" s="37">
        <v>685.8</v>
      </c>
      <c r="P128" s="37">
        <v>3200000</v>
      </c>
      <c r="Q128" s="29">
        <v>0</v>
      </c>
      <c r="R128" s="29">
        <v>0</v>
      </c>
      <c r="S128" s="29">
        <v>0</v>
      </c>
      <c r="T128" s="167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f>ROUND(P128*1.5%,2)</f>
        <v>48000</v>
      </c>
      <c r="AF128" s="29">
        <v>0</v>
      </c>
      <c r="AG128" s="29">
        <v>0</v>
      </c>
      <c r="AH128" s="166" t="s">
        <v>268</v>
      </c>
      <c r="AI128" s="33">
        <v>2021</v>
      </c>
      <c r="AJ128" s="33">
        <v>2021</v>
      </c>
      <c r="AK128" s="55"/>
      <c r="AL128" s="55"/>
      <c r="AM128" s="55"/>
      <c r="AN128" s="55"/>
    </row>
    <row r="129" spans="1:40" ht="62.25" x14ac:dyDescent="0.9">
      <c r="A129" s="4">
        <v>1</v>
      </c>
      <c r="B129" s="57">
        <f>SUBTOTAL(103,$A$88:A129)</f>
        <v>37</v>
      </c>
      <c r="C129" s="165" t="s">
        <v>1423</v>
      </c>
      <c r="D129" s="62" t="s">
        <v>1866</v>
      </c>
      <c r="E129" s="60">
        <v>0.92159999999999997</v>
      </c>
      <c r="F129" s="29">
        <f t="shared" si="31"/>
        <v>46619.17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64">
        <v>0</v>
      </c>
      <c r="N129" s="29">
        <v>0</v>
      </c>
      <c r="O129" s="29">
        <v>334</v>
      </c>
      <c r="P129" s="29">
        <v>46155.31</v>
      </c>
      <c r="Q129" s="29">
        <v>0</v>
      </c>
      <c r="R129" s="29">
        <v>0</v>
      </c>
      <c r="S129" s="29">
        <v>0</v>
      </c>
      <c r="T129" s="167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463.86</v>
      </c>
      <c r="AF129" s="29">
        <v>0</v>
      </c>
      <c r="AG129" s="29">
        <v>0</v>
      </c>
      <c r="AH129" s="166" t="s">
        <v>268</v>
      </c>
      <c r="AI129" s="166">
        <v>2020</v>
      </c>
      <c r="AJ129" s="166">
        <v>2020</v>
      </c>
      <c r="AK129" s="55"/>
      <c r="AL129" s="55"/>
      <c r="AM129" s="55"/>
      <c r="AN129" s="55"/>
    </row>
    <row r="130" spans="1:40" ht="62.25" x14ac:dyDescent="0.9">
      <c r="B130" s="413" t="s">
        <v>752</v>
      </c>
      <c r="C130" s="414"/>
      <c r="D130" s="415" t="s">
        <v>882</v>
      </c>
      <c r="E130" s="60">
        <f>AVERAGE(E131:E158)</f>
        <v>0.85874728387796762</v>
      </c>
      <c r="F130" s="29">
        <f t="shared" ref="F130:AG130" si="39">SUM(F131:F158)</f>
        <v>12670128.300000001</v>
      </c>
      <c r="G130" s="29">
        <f t="shared" si="39"/>
        <v>0</v>
      </c>
      <c r="H130" s="29">
        <f t="shared" si="39"/>
        <v>0</v>
      </c>
      <c r="I130" s="29">
        <f t="shared" si="39"/>
        <v>0</v>
      </c>
      <c r="J130" s="29">
        <f t="shared" si="39"/>
        <v>0</v>
      </c>
      <c r="K130" s="29">
        <f t="shared" si="39"/>
        <v>262873</v>
      </c>
      <c r="L130" s="29">
        <f t="shared" si="39"/>
        <v>0</v>
      </c>
      <c r="M130" s="29">
        <f t="shared" si="39"/>
        <v>0</v>
      </c>
      <c r="N130" s="29">
        <f t="shared" si="39"/>
        <v>0</v>
      </c>
      <c r="O130" s="29">
        <f t="shared" si="39"/>
        <v>17299.940000000002</v>
      </c>
      <c r="P130" s="29">
        <f t="shared" si="39"/>
        <v>11581844.460000003</v>
      </c>
      <c r="Q130" s="29">
        <f t="shared" si="39"/>
        <v>0</v>
      </c>
      <c r="R130" s="29">
        <f t="shared" si="39"/>
        <v>0</v>
      </c>
      <c r="S130" s="29">
        <f t="shared" si="39"/>
        <v>5134.45</v>
      </c>
      <c r="T130" s="29">
        <f t="shared" si="39"/>
        <v>645132.4800000001</v>
      </c>
      <c r="U130" s="29">
        <f t="shared" si="39"/>
        <v>0</v>
      </c>
      <c r="V130" s="29">
        <f t="shared" si="39"/>
        <v>0</v>
      </c>
      <c r="W130" s="29">
        <f t="shared" si="39"/>
        <v>0</v>
      </c>
      <c r="X130" s="29">
        <f t="shared" si="39"/>
        <v>0</v>
      </c>
      <c r="Y130" s="29">
        <f t="shared" si="39"/>
        <v>0</v>
      </c>
      <c r="Z130" s="29">
        <f t="shared" si="39"/>
        <v>0</v>
      </c>
      <c r="AA130" s="29">
        <f t="shared" si="39"/>
        <v>0</v>
      </c>
      <c r="AB130" s="29">
        <f t="shared" si="39"/>
        <v>0</v>
      </c>
      <c r="AC130" s="29">
        <f t="shared" si="39"/>
        <v>0</v>
      </c>
      <c r="AD130" s="29">
        <f t="shared" si="39"/>
        <v>0</v>
      </c>
      <c r="AE130" s="29">
        <f t="shared" si="39"/>
        <v>180278.35999999996</v>
      </c>
      <c r="AF130" s="29">
        <f t="shared" si="39"/>
        <v>0</v>
      </c>
      <c r="AG130" s="29">
        <f t="shared" si="39"/>
        <v>0</v>
      </c>
      <c r="AH130" s="166" t="s">
        <v>882</v>
      </c>
      <c r="AI130" s="166" t="s">
        <v>882</v>
      </c>
      <c r="AJ130" s="166" t="s">
        <v>882</v>
      </c>
      <c r="AK130" s="55"/>
      <c r="AL130" s="55"/>
      <c r="AM130" s="55"/>
      <c r="AN130" s="55"/>
    </row>
    <row r="131" spans="1:40" ht="62.25" x14ac:dyDescent="0.9">
      <c r="A131" s="4">
        <v>1</v>
      </c>
      <c r="B131" s="57">
        <f>SUBTOTAL(103,$A$88:A131)</f>
        <v>38</v>
      </c>
      <c r="C131" s="165" t="s">
        <v>1424</v>
      </c>
      <c r="D131" s="62" t="s">
        <v>1866</v>
      </c>
      <c r="E131" s="60">
        <v>0.87120114478643584</v>
      </c>
      <c r="F131" s="29">
        <f t="shared" si="31"/>
        <v>13000.44</v>
      </c>
      <c r="G131" s="29">
        <v>0</v>
      </c>
      <c r="H131" s="29">
        <v>0</v>
      </c>
      <c r="I131" s="29">
        <v>0</v>
      </c>
      <c r="J131" s="29">
        <v>0</v>
      </c>
      <c r="K131" s="29">
        <v>12873</v>
      </c>
      <c r="L131" s="29">
        <v>0</v>
      </c>
      <c r="M131" s="64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167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127.44</v>
      </c>
      <c r="AF131" s="29">
        <v>0</v>
      </c>
      <c r="AG131" s="29">
        <v>0</v>
      </c>
      <c r="AH131" s="166" t="s">
        <v>268</v>
      </c>
      <c r="AI131" s="166">
        <v>2020</v>
      </c>
      <c r="AJ131" s="166">
        <v>2020</v>
      </c>
      <c r="AK131" s="55"/>
      <c r="AL131" s="55"/>
      <c r="AM131" s="55"/>
      <c r="AN131" s="55"/>
    </row>
    <row r="132" spans="1:40" ht="62.25" x14ac:dyDescent="0.9">
      <c r="A132" s="4">
        <v>1</v>
      </c>
      <c r="B132" s="57">
        <f>SUBTOTAL(103,$A$88:A132)</f>
        <v>39</v>
      </c>
      <c r="C132" s="165" t="s">
        <v>1425</v>
      </c>
      <c r="D132" s="62" t="s">
        <v>1866</v>
      </c>
      <c r="E132" s="60">
        <v>0.88725132075072177</v>
      </c>
      <c r="F132" s="29">
        <f t="shared" si="31"/>
        <v>2190830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64">
        <v>0</v>
      </c>
      <c r="N132" s="29">
        <v>0</v>
      </c>
      <c r="O132" s="29">
        <v>1600</v>
      </c>
      <c r="P132" s="29">
        <v>2158453.2000000002</v>
      </c>
      <c r="Q132" s="29">
        <v>0</v>
      </c>
      <c r="R132" s="29">
        <v>0</v>
      </c>
      <c r="S132" s="29">
        <v>0</v>
      </c>
      <c r="T132" s="167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f>ROUND(P132*1.5%,2)</f>
        <v>32376.799999999999</v>
      </c>
      <c r="AF132" s="29">
        <v>0</v>
      </c>
      <c r="AG132" s="29">
        <v>0</v>
      </c>
      <c r="AH132" s="166" t="s">
        <v>268</v>
      </c>
      <c r="AI132" s="33">
        <v>2021</v>
      </c>
      <c r="AJ132" s="33">
        <v>2021</v>
      </c>
      <c r="AK132" s="55"/>
      <c r="AL132" s="55"/>
      <c r="AM132" s="55"/>
      <c r="AN132" s="55"/>
    </row>
    <row r="133" spans="1:40" ht="62.25" x14ac:dyDescent="0.9">
      <c r="A133" s="4">
        <v>1</v>
      </c>
      <c r="B133" s="57">
        <f>SUBTOTAL(103,$A$88:A133)</f>
        <v>40</v>
      </c>
      <c r="C133" s="165" t="s">
        <v>1426</v>
      </c>
      <c r="D133" s="62" t="s">
        <v>1516</v>
      </c>
      <c r="E133" s="60">
        <v>0.86073469797958557</v>
      </c>
      <c r="F133" s="29">
        <f t="shared" si="31"/>
        <v>4131339.42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64">
        <v>0</v>
      </c>
      <c r="N133" s="29">
        <v>0</v>
      </c>
      <c r="O133" s="29">
        <v>824.88</v>
      </c>
      <c r="P133" s="29">
        <v>4070285.14</v>
      </c>
      <c r="Q133" s="29">
        <v>0</v>
      </c>
      <c r="R133" s="29">
        <v>0</v>
      </c>
      <c r="S133" s="29">
        <v>0</v>
      </c>
      <c r="T133" s="167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f>ROUND(P133*1.5%,2)</f>
        <v>61054.28</v>
      </c>
      <c r="AF133" s="29">
        <v>0</v>
      </c>
      <c r="AG133" s="29">
        <v>0</v>
      </c>
      <c r="AH133" s="166" t="s">
        <v>268</v>
      </c>
      <c r="AI133" s="33">
        <v>2021</v>
      </c>
      <c r="AJ133" s="33">
        <v>2021</v>
      </c>
      <c r="AK133" s="55"/>
      <c r="AL133" s="55"/>
      <c r="AM133" s="55"/>
      <c r="AN133" s="55"/>
    </row>
    <row r="134" spans="1:40" ht="62.25" x14ac:dyDescent="0.9">
      <c r="A134" s="4">
        <v>1</v>
      </c>
      <c r="B134" s="57">
        <f>SUBTOTAL(103,$A$88:A134)</f>
        <v>41</v>
      </c>
      <c r="C134" s="165" t="s">
        <v>1427</v>
      </c>
      <c r="D134" s="62" t="s">
        <v>1867</v>
      </c>
      <c r="E134" s="60">
        <v>0.94940000000000002</v>
      </c>
      <c r="F134" s="29">
        <f t="shared" si="31"/>
        <v>450455.92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64">
        <v>0</v>
      </c>
      <c r="N134" s="29">
        <v>0</v>
      </c>
      <c r="O134" s="29">
        <v>477.6</v>
      </c>
      <c r="P134" s="29">
        <v>443798.94</v>
      </c>
      <c r="Q134" s="29">
        <v>0</v>
      </c>
      <c r="R134" s="29">
        <v>0</v>
      </c>
      <c r="S134" s="29">
        <v>0</v>
      </c>
      <c r="T134" s="167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f>ROUND(P134*1.5%,2)</f>
        <v>6656.98</v>
      </c>
      <c r="AF134" s="29">
        <v>0</v>
      </c>
      <c r="AG134" s="29">
        <v>0</v>
      </c>
      <c r="AH134" s="166" t="s">
        <v>268</v>
      </c>
      <c r="AI134" s="33">
        <v>2021</v>
      </c>
      <c r="AJ134" s="33">
        <v>2021</v>
      </c>
      <c r="AK134" s="55"/>
      <c r="AL134" s="55"/>
      <c r="AM134" s="55"/>
      <c r="AN134" s="55"/>
    </row>
    <row r="135" spans="1:40" ht="62.25" x14ac:dyDescent="0.9">
      <c r="A135" s="4">
        <v>1</v>
      </c>
      <c r="B135" s="57">
        <f>SUBTOTAL(103,$A$88:A135)</f>
        <v>42</v>
      </c>
      <c r="C135" s="165" t="s">
        <v>1428</v>
      </c>
      <c r="D135" s="62" t="s">
        <v>1866</v>
      </c>
      <c r="E135" s="60">
        <v>0.50380000000000003</v>
      </c>
      <c r="F135" s="29">
        <f t="shared" si="31"/>
        <v>428766.45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64">
        <v>0</v>
      </c>
      <c r="N135" s="29">
        <v>0</v>
      </c>
      <c r="O135" s="29">
        <v>431.8</v>
      </c>
      <c r="P135" s="29">
        <v>422430</v>
      </c>
      <c r="Q135" s="29">
        <v>0</v>
      </c>
      <c r="R135" s="29">
        <v>0</v>
      </c>
      <c r="S135" s="29">
        <v>0</v>
      </c>
      <c r="T135" s="167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f>ROUND(P135*1.5%,2)</f>
        <v>6336.45</v>
      </c>
      <c r="AF135" s="29">
        <v>0</v>
      </c>
      <c r="AG135" s="29">
        <v>0</v>
      </c>
      <c r="AH135" s="166" t="s">
        <v>268</v>
      </c>
      <c r="AI135" s="33">
        <v>2021</v>
      </c>
      <c r="AJ135" s="33">
        <v>2021</v>
      </c>
      <c r="AK135" s="55"/>
      <c r="AL135" s="55"/>
      <c r="AM135" s="55"/>
      <c r="AN135" s="55"/>
    </row>
    <row r="136" spans="1:40" ht="62.25" x14ac:dyDescent="0.9">
      <c r="A136" s="4">
        <v>1</v>
      </c>
      <c r="B136" s="57">
        <f>SUBTOTAL(103,$A$88:A136)</f>
        <v>43</v>
      </c>
      <c r="C136" s="165" t="s">
        <v>1429</v>
      </c>
      <c r="D136" s="62" t="s">
        <v>1866</v>
      </c>
      <c r="E136" s="60">
        <v>0.93600000000000005</v>
      </c>
      <c r="F136" s="29">
        <f t="shared" si="31"/>
        <v>1170243.6200000001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64">
        <v>0</v>
      </c>
      <c r="N136" s="29">
        <v>0</v>
      </c>
      <c r="O136" s="29">
        <v>1110</v>
      </c>
      <c r="P136" s="29">
        <v>1158771.78</v>
      </c>
      <c r="Q136" s="29">
        <v>0</v>
      </c>
      <c r="R136" s="29">
        <v>0</v>
      </c>
      <c r="S136" s="29">
        <v>0</v>
      </c>
      <c r="T136" s="167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9">
        <v>0</v>
      </c>
      <c r="AD136" s="29">
        <v>0</v>
      </c>
      <c r="AE136" s="29">
        <v>11471.84</v>
      </c>
      <c r="AF136" s="29">
        <v>0</v>
      </c>
      <c r="AG136" s="29">
        <v>0</v>
      </c>
      <c r="AH136" s="166" t="s">
        <v>268</v>
      </c>
      <c r="AI136" s="166">
        <v>2020</v>
      </c>
      <c r="AJ136" s="166">
        <v>2020</v>
      </c>
      <c r="AK136" s="55"/>
      <c r="AL136" s="55"/>
      <c r="AM136" s="55"/>
      <c r="AN136" s="55"/>
    </row>
    <row r="137" spans="1:40" ht="62.25" x14ac:dyDescent="0.9">
      <c r="A137" s="4">
        <v>1</v>
      </c>
      <c r="B137" s="57">
        <f>SUBTOTAL(103,$A$88:A137)</f>
        <v>44</v>
      </c>
      <c r="C137" s="165" t="s">
        <v>1430</v>
      </c>
      <c r="D137" s="62" t="s">
        <v>1866</v>
      </c>
      <c r="E137" s="60">
        <v>0.91669999999999996</v>
      </c>
      <c r="F137" s="29">
        <f t="shared" si="31"/>
        <v>82236.160000000003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64">
        <v>0</v>
      </c>
      <c r="N137" s="29">
        <v>0</v>
      </c>
      <c r="O137" s="29">
        <v>1586.2</v>
      </c>
      <c r="P137" s="29">
        <v>81430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9">
        <v>0</v>
      </c>
      <c r="AD137" s="29">
        <v>0</v>
      </c>
      <c r="AE137" s="29">
        <v>806.16</v>
      </c>
      <c r="AF137" s="29">
        <v>0</v>
      </c>
      <c r="AG137" s="29">
        <v>0</v>
      </c>
      <c r="AH137" s="166" t="s">
        <v>268</v>
      </c>
      <c r="AI137" s="166">
        <v>2020</v>
      </c>
      <c r="AJ137" s="166">
        <v>2020</v>
      </c>
      <c r="AK137" s="55"/>
      <c r="AL137" s="55"/>
      <c r="AM137" s="55"/>
      <c r="AN137" s="55"/>
    </row>
    <row r="138" spans="1:40" ht="62.25" x14ac:dyDescent="0.9">
      <c r="A138" s="4">
        <v>1</v>
      </c>
      <c r="B138" s="57">
        <f>SUBTOTAL(103,$A$88:A138)</f>
        <v>45</v>
      </c>
      <c r="C138" s="165" t="s">
        <v>1431</v>
      </c>
      <c r="D138" s="77" t="s">
        <v>1866</v>
      </c>
      <c r="E138" s="60">
        <v>0.86950000000000005</v>
      </c>
      <c r="F138" s="29">
        <f t="shared" si="31"/>
        <v>253750</v>
      </c>
      <c r="G138" s="29">
        <v>0</v>
      </c>
      <c r="H138" s="29">
        <v>0</v>
      </c>
      <c r="I138" s="29">
        <v>0</v>
      </c>
      <c r="J138" s="29">
        <v>0</v>
      </c>
      <c r="K138" s="29">
        <v>250000</v>
      </c>
      <c r="L138" s="29">
        <v>0</v>
      </c>
      <c r="M138" s="64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0</v>
      </c>
      <c r="AB138" s="29">
        <v>0</v>
      </c>
      <c r="AC138" s="29">
        <v>0</v>
      </c>
      <c r="AD138" s="29">
        <v>0</v>
      </c>
      <c r="AE138" s="29">
        <f>ROUND(K138*1.5%,2)</f>
        <v>3750</v>
      </c>
      <c r="AF138" s="29">
        <v>0</v>
      </c>
      <c r="AG138" s="29">
        <v>0</v>
      </c>
      <c r="AH138" s="166" t="s">
        <v>268</v>
      </c>
      <c r="AI138" s="33">
        <v>2021</v>
      </c>
      <c r="AJ138" s="33">
        <v>2021</v>
      </c>
      <c r="AK138" s="55"/>
      <c r="AL138" s="55"/>
      <c r="AM138" s="55"/>
      <c r="AN138" s="55"/>
    </row>
    <row r="139" spans="1:40" ht="62.25" x14ac:dyDescent="0.9">
      <c r="A139" s="4">
        <v>1</v>
      </c>
      <c r="B139" s="57">
        <f>SUBTOTAL(103,$A$88:A139)</f>
        <v>46</v>
      </c>
      <c r="C139" s="165" t="s">
        <v>1432</v>
      </c>
      <c r="D139" s="62" t="s">
        <v>1866</v>
      </c>
      <c r="E139" s="60">
        <v>0.94930000000000003</v>
      </c>
      <c r="F139" s="29">
        <f t="shared" si="31"/>
        <v>23581.1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64">
        <v>0</v>
      </c>
      <c r="N139" s="29">
        <v>0</v>
      </c>
      <c r="O139" s="29">
        <v>649.79999999999995</v>
      </c>
      <c r="P139" s="29">
        <v>23349.94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231.16</v>
      </c>
      <c r="AF139" s="29">
        <v>0</v>
      </c>
      <c r="AG139" s="29">
        <v>0</v>
      </c>
      <c r="AH139" s="166" t="s">
        <v>268</v>
      </c>
      <c r="AI139" s="166">
        <v>2020</v>
      </c>
      <c r="AJ139" s="166">
        <v>2020</v>
      </c>
      <c r="AK139" s="55"/>
      <c r="AL139" s="55"/>
      <c r="AM139" s="55"/>
      <c r="AN139" s="55"/>
    </row>
    <row r="140" spans="1:40" ht="62.25" x14ac:dyDescent="0.9">
      <c r="A140" s="4">
        <v>1</v>
      </c>
      <c r="B140" s="57">
        <f>SUBTOTAL(103,$A$88:A140)</f>
        <v>47</v>
      </c>
      <c r="C140" s="165" t="s">
        <v>1433</v>
      </c>
      <c r="D140" s="62" t="s">
        <v>1867</v>
      </c>
      <c r="E140" s="60">
        <v>0.79333438101544396</v>
      </c>
      <c r="F140" s="29">
        <f t="shared" si="31"/>
        <v>650544.2699999999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64">
        <v>0</v>
      </c>
      <c r="N140" s="29">
        <v>0</v>
      </c>
      <c r="O140" s="29">
        <v>1265</v>
      </c>
      <c r="P140" s="29">
        <v>640930.31999999995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f>ROUND(P140*1.5%,2)</f>
        <v>9613.9500000000007</v>
      </c>
      <c r="AF140" s="29">
        <v>0</v>
      </c>
      <c r="AG140" s="29">
        <v>0</v>
      </c>
      <c r="AH140" s="166" t="s">
        <v>268</v>
      </c>
      <c r="AI140" s="166">
        <v>2020</v>
      </c>
      <c r="AJ140" s="166">
        <v>2020</v>
      </c>
      <c r="AK140" s="55"/>
      <c r="AL140" s="55"/>
      <c r="AM140" s="55"/>
      <c r="AN140" s="55"/>
    </row>
    <row r="141" spans="1:40" ht="62.25" x14ac:dyDescent="0.9">
      <c r="A141" s="4">
        <v>1</v>
      </c>
      <c r="B141" s="57">
        <f>SUBTOTAL(103,$A$88:A141)</f>
        <v>48</v>
      </c>
      <c r="C141" s="165" t="s">
        <v>1434</v>
      </c>
      <c r="D141" s="62" t="s">
        <v>1866</v>
      </c>
      <c r="E141" s="60">
        <v>0.91920000000000002</v>
      </c>
      <c r="F141" s="29">
        <f t="shared" si="31"/>
        <v>186610.06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64">
        <v>0</v>
      </c>
      <c r="N141" s="29">
        <v>0</v>
      </c>
      <c r="O141" s="29">
        <v>1166</v>
      </c>
      <c r="P141" s="29">
        <v>183852.28</v>
      </c>
      <c r="Q141" s="29">
        <v>0</v>
      </c>
      <c r="R141" s="29">
        <v>0</v>
      </c>
      <c r="S141" s="29">
        <v>0</v>
      </c>
      <c r="T141" s="167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f>ROUND(P141*1.5%,2)</f>
        <v>2757.78</v>
      </c>
      <c r="AF141" s="29">
        <v>0</v>
      </c>
      <c r="AG141" s="29">
        <v>0</v>
      </c>
      <c r="AH141" s="166" t="s">
        <v>268</v>
      </c>
      <c r="AI141" s="33">
        <v>2021</v>
      </c>
      <c r="AJ141" s="33">
        <v>2021</v>
      </c>
      <c r="AK141" s="55"/>
      <c r="AL141" s="55"/>
      <c r="AM141" s="55"/>
      <c r="AN141" s="55"/>
    </row>
    <row r="142" spans="1:40" ht="62.25" x14ac:dyDescent="0.9">
      <c r="A142" s="4">
        <v>1</v>
      </c>
      <c r="B142" s="57">
        <f>SUBTOTAL(103,$A$88:A142)</f>
        <v>49</v>
      </c>
      <c r="C142" s="165" t="s">
        <v>1435</v>
      </c>
      <c r="D142" s="77" t="s">
        <v>1867</v>
      </c>
      <c r="E142" s="60">
        <v>0.80210000000000004</v>
      </c>
      <c r="F142" s="29">
        <f t="shared" si="31"/>
        <v>69345.69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64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276.85000000000002</v>
      </c>
      <c r="T142" s="29">
        <v>68320.88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f>ROUND(T142*1.5%,2)</f>
        <v>1024.81</v>
      </c>
      <c r="AF142" s="29">
        <v>0</v>
      </c>
      <c r="AG142" s="29">
        <v>0</v>
      </c>
      <c r="AH142" s="166" t="s">
        <v>268</v>
      </c>
      <c r="AI142" s="33">
        <v>2021</v>
      </c>
      <c r="AJ142" s="33">
        <v>2021</v>
      </c>
      <c r="AK142" s="55"/>
      <c r="AL142" s="55"/>
      <c r="AM142" s="55"/>
      <c r="AN142" s="55"/>
    </row>
    <row r="143" spans="1:40" ht="62.25" x14ac:dyDescent="0.9">
      <c r="A143" s="4">
        <v>1</v>
      </c>
      <c r="B143" s="57">
        <f>SUBTOTAL(103,$A$88:A143)</f>
        <v>50</v>
      </c>
      <c r="C143" s="165" t="s">
        <v>1436</v>
      </c>
      <c r="D143" s="62" t="s">
        <v>1867</v>
      </c>
      <c r="E143" s="60">
        <v>0.98829999999999996</v>
      </c>
      <c r="F143" s="29">
        <f t="shared" si="31"/>
        <v>49508.61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64">
        <v>0</v>
      </c>
      <c r="N143" s="29">
        <v>0</v>
      </c>
      <c r="O143" s="29">
        <v>284.39999999999998</v>
      </c>
      <c r="P143" s="29">
        <v>48776.959999999999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f>ROUND(P143*1.5%,2)</f>
        <v>731.65</v>
      </c>
      <c r="AF143" s="29">
        <v>0</v>
      </c>
      <c r="AG143" s="29">
        <v>0</v>
      </c>
      <c r="AH143" s="166" t="s">
        <v>268</v>
      </c>
      <c r="AI143" s="33">
        <v>2021</v>
      </c>
      <c r="AJ143" s="33">
        <v>2021</v>
      </c>
      <c r="AK143" s="55"/>
      <c r="AL143" s="55"/>
      <c r="AM143" s="55"/>
      <c r="AN143" s="55"/>
    </row>
    <row r="144" spans="1:40" ht="62.25" x14ac:dyDescent="0.9">
      <c r="A144" s="4">
        <v>1</v>
      </c>
      <c r="B144" s="57">
        <f>SUBTOTAL(103,$A$88:A144)</f>
        <v>51</v>
      </c>
      <c r="C144" s="165" t="s">
        <v>1437</v>
      </c>
      <c r="D144" s="62" t="s">
        <v>1867</v>
      </c>
      <c r="E144" s="60">
        <v>0.86109999999999998</v>
      </c>
      <c r="F144" s="29">
        <f t="shared" si="31"/>
        <v>194179.65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64">
        <v>0</v>
      </c>
      <c r="N144" s="29">
        <v>0</v>
      </c>
      <c r="O144" s="29">
        <v>1539</v>
      </c>
      <c r="P144" s="29">
        <v>191310</v>
      </c>
      <c r="Q144" s="29">
        <v>0</v>
      </c>
      <c r="R144" s="29">
        <v>0</v>
      </c>
      <c r="S144" s="29">
        <v>0</v>
      </c>
      <c r="T144" s="167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f>ROUND(P144*1.5%,2)</f>
        <v>2869.65</v>
      </c>
      <c r="AF144" s="29">
        <v>0</v>
      </c>
      <c r="AG144" s="29">
        <v>0</v>
      </c>
      <c r="AH144" s="166" t="s">
        <v>268</v>
      </c>
      <c r="AI144" s="33">
        <v>2021</v>
      </c>
      <c r="AJ144" s="33">
        <v>2021</v>
      </c>
      <c r="AK144" s="55"/>
      <c r="AL144" s="55"/>
      <c r="AM144" s="55"/>
      <c r="AN144" s="55"/>
    </row>
    <row r="145" spans="1:40" ht="62.25" x14ac:dyDescent="0.9">
      <c r="A145" s="4">
        <v>1</v>
      </c>
      <c r="B145" s="57">
        <f>SUBTOTAL(103,$A$88:A145)</f>
        <v>52</v>
      </c>
      <c r="C145" s="165" t="s">
        <v>1438</v>
      </c>
      <c r="D145" s="62" t="s">
        <v>1867</v>
      </c>
      <c r="E145" s="60">
        <v>0.85870000000000002</v>
      </c>
      <c r="F145" s="29">
        <f t="shared" si="31"/>
        <v>874380.28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64">
        <v>0</v>
      </c>
      <c r="N145" s="29">
        <v>0</v>
      </c>
      <c r="O145" s="29">
        <v>748</v>
      </c>
      <c r="P145" s="29">
        <v>861458.4</v>
      </c>
      <c r="Q145" s="29">
        <v>0</v>
      </c>
      <c r="R145" s="29">
        <v>0</v>
      </c>
      <c r="S145" s="29">
        <v>0</v>
      </c>
      <c r="T145" s="167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f>ROUND(P145*1.5%,2)</f>
        <v>12921.88</v>
      </c>
      <c r="AF145" s="29">
        <v>0</v>
      </c>
      <c r="AG145" s="29">
        <v>0</v>
      </c>
      <c r="AH145" s="166" t="s">
        <v>268</v>
      </c>
      <c r="AI145" s="33">
        <v>2021</v>
      </c>
      <c r="AJ145" s="33">
        <v>2021</v>
      </c>
      <c r="AK145" s="55"/>
      <c r="AL145" s="55"/>
      <c r="AM145" s="55"/>
      <c r="AN145" s="55"/>
    </row>
    <row r="146" spans="1:40" ht="62.25" x14ac:dyDescent="0.9">
      <c r="A146" s="4">
        <v>1</v>
      </c>
      <c r="B146" s="57">
        <f>SUBTOTAL(103,$A$88:A146)</f>
        <v>53</v>
      </c>
      <c r="C146" s="165" t="s">
        <v>1439</v>
      </c>
      <c r="D146" s="77">
        <v>2015</v>
      </c>
      <c r="E146" s="60">
        <v>0.9476</v>
      </c>
      <c r="F146" s="29">
        <f t="shared" si="31"/>
        <v>37308.06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64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174</v>
      </c>
      <c r="T146" s="167">
        <v>37308.06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166" t="s">
        <v>268</v>
      </c>
      <c r="AI146" s="33">
        <v>2020</v>
      </c>
      <c r="AJ146" s="33" t="s">
        <v>268</v>
      </c>
      <c r="AK146" s="55"/>
      <c r="AL146" s="55"/>
      <c r="AM146" s="55"/>
      <c r="AN146" s="55"/>
    </row>
    <row r="147" spans="1:40" ht="62.25" x14ac:dyDescent="0.9">
      <c r="A147" s="4">
        <v>1</v>
      </c>
      <c r="B147" s="57">
        <f>SUBTOTAL(103,$A$88:A147)</f>
        <v>54</v>
      </c>
      <c r="C147" s="165" t="s">
        <v>1440</v>
      </c>
      <c r="D147" s="62" t="s">
        <v>1867</v>
      </c>
      <c r="E147" s="60">
        <v>0.94679999999999997</v>
      </c>
      <c r="F147" s="29">
        <f t="shared" si="31"/>
        <v>41021.47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64">
        <v>0</v>
      </c>
      <c r="N147" s="29">
        <v>0</v>
      </c>
      <c r="O147" s="29">
        <v>289.66000000000003</v>
      </c>
      <c r="P147" s="29">
        <v>40415.24</v>
      </c>
      <c r="Q147" s="29">
        <v>0</v>
      </c>
      <c r="R147" s="29">
        <v>0</v>
      </c>
      <c r="S147" s="29">
        <v>0</v>
      </c>
      <c r="T147" s="167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f>ROUND(P147*1.5%,2)</f>
        <v>606.23</v>
      </c>
      <c r="AF147" s="29">
        <v>0</v>
      </c>
      <c r="AG147" s="29">
        <v>0</v>
      </c>
      <c r="AH147" s="166" t="s">
        <v>268</v>
      </c>
      <c r="AI147" s="33">
        <v>2021</v>
      </c>
      <c r="AJ147" s="33">
        <v>2021</v>
      </c>
      <c r="AK147" s="55"/>
      <c r="AL147" s="55"/>
      <c r="AM147" s="55"/>
      <c r="AN147" s="55"/>
    </row>
    <row r="148" spans="1:40" ht="62.25" x14ac:dyDescent="0.9">
      <c r="A148" s="4">
        <v>1</v>
      </c>
      <c r="B148" s="57">
        <f>SUBTOTAL(103,$A$88:A148)</f>
        <v>55</v>
      </c>
      <c r="C148" s="165" t="s">
        <v>1441</v>
      </c>
      <c r="D148" s="77" t="s">
        <v>1516</v>
      </c>
      <c r="E148" s="60">
        <v>0.92569999999999997</v>
      </c>
      <c r="F148" s="29">
        <f t="shared" si="31"/>
        <v>504846.64999999997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64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3007.6</v>
      </c>
      <c r="T148" s="167">
        <v>497385.86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f>ROUND(T148*1.5%,2)</f>
        <v>7460.79</v>
      </c>
      <c r="AF148" s="29">
        <v>0</v>
      </c>
      <c r="AG148" s="29">
        <v>0</v>
      </c>
      <c r="AH148" s="166" t="s">
        <v>268</v>
      </c>
      <c r="AI148" s="33">
        <v>2021</v>
      </c>
      <c r="AJ148" s="33">
        <v>2021</v>
      </c>
      <c r="AK148" s="55"/>
      <c r="AL148" s="55"/>
      <c r="AM148" s="55"/>
      <c r="AN148" s="55"/>
    </row>
    <row r="149" spans="1:40" ht="62.25" x14ac:dyDescent="0.9">
      <c r="A149" s="4">
        <v>1</v>
      </c>
      <c r="B149" s="57">
        <f>SUBTOTAL(103,$A$88:A149)</f>
        <v>56</v>
      </c>
      <c r="C149" s="165" t="s">
        <v>1484</v>
      </c>
      <c r="D149" s="77" t="s">
        <v>1516</v>
      </c>
      <c r="E149" s="60">
        <v>0.80649999999999999</v>
      </c>
      <c r="F149" s="29">
        <f t="shared" si="31"/>
        <v>42749.45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64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1676</v>
      </c>
      <c r="T149" s="167">
        <v>42117.68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f>ROUND(T149*1.5%,2)</f>
        <v>631.77</v>
      </c>
      <c r="AF149" s="29">
        <v>0</v>
      </c>
      <c r="AG149" s="29">
        <v>0</v>
      </c>
      <c r="AH149" s="166" t="s">
        <v>268</v>
      </c>
      <c r="AI149" s="33">
        <v>2020</v>
      </c>
      <c r="AJ149" s="33">
        <v>2020</v>
      </c>
      <c r="AK149" s="55"/>
      <c r="AL149" s="55"/>
      <c r="AM149" s="55"/>
      <c r="AN149" s="55"/>
    </row>
    <row r="150" spans="1:40" ht="62.25" x14ac:dyDescent="0.9">
      <c r="A150" s="4">
        <v>1</v>
      </c>
      <c r="B150" s="57">
        <f>SUBTOTAL(103,$A$88:A150)</f>
        <v>57</v>
      </c>
      <c r="C150" s="165" t="s">
        <v>1485</v>
      </c>
      <c r="D150" s="62" t="s">
        <v>1867</v>
      </c>
      <c r="E150" s="60">
        <v>0.79520000000000002</v>
      </c>
      <c r="F150" s="29">
        <f t="shared" si="31"/>
        <v>65602.210000000006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64">
        <v>0</v>
      </c>
      <c r="N150" s="29">
        <v>0</v>
      </c>
      <c r="O150" s="29">
        <v>352</v>
      </c>
      <c r="P150" s="29">
        <v>64632.72</v>
      </c>
      <c r="Q150" s="29">
        <v>0</v>
      </c>
      <c r="R150" s="29">
        <v>0</v>
      </c>
      <c r="S150" s="29">
        <v>0</v>
      </c>
      <c r="T150" s="167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f t="shared" ref="AE150:AE158" si="40">ROUND(P150*1.5%,2)</f>
        <v>969.49</v>
      </c>
      <c r="AF150" s="29">
        <v>0</v>
      </c>
      <c r="AG150" s="29">
        <v>0</v>
      </c>
      <c r="AH150" s="166" t="s">
        <v>268</v>
      </c>
      <c r="AI150" s="166">
        <v>2020</v>
      </c>
      <c r="AJ150" s="166">
        <v>2020</v>
      </c>
      <c r="AK150" s="55"/>
      <c r="AL150" s="55"/>
      <c r="AM150" s="55"/>
      <c r="AN150" s="55"/>
    </row>
    <row r="151" spans="1:40" ht="62.25" x14ac:dyDescent="0.9">
      <c r="A151" s="4">
        <v>1</v>
      </c>
      <c r="B151" s="57">
        <f>SUBTOTAL(103,$A$88:A151)</f>
        <v>58</v>
      </c>
      <c r="C151" s="165" t="s">
        <v>1486</v>
      </c>
      <c r="D151" s="62" t="s">
        <v>1516</v>
      </c>
      <c r="E151" s="60">
        <v>0.76160000000000005</v>
      </c>
      <c r="F151" s="29">
        <f>G151+H151+I151+J151+K151+L151+N151+P151+R151+T151+V151+W151+X151+Y151+Z151+AA151+AB151+AC151+AD151+AE151+AF151+AG151</f>
        <v>7245.74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64">
        <v>0</v>
      </c>
      <c r="N151" s="29">
        <v>0</v>
      </c>
      <c r="O151" s="29">
        <v>910</v>
      </c>
      <c r="P151" s="29">
        <v>7138.66</v>
      </c>
      <c r="Q151" s="29">
        <v>0</v>
      </c>
      <c r="R151" s="29">
        <v>0</v>
      </c>
      <c r="S151" s="29">
        <v>0</v>
      </c>
      <c r="T151" s="167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f t="shared" si="40"/>
        <v>107.08</v>
      </c>
      <c r="AF151" s="29">
        <v>0</v>
      </c>
      <c r="AG151" s="29">
        <v>0</v>
      </c>
      <c r="AH151" s="166" t="s">
        <v>268</v>
      </c>
      <c r="AI151" s="33">
        <v>2021</v>
      </c>
      <c r="AJ151" s="33">
        <v>2021</v>
      </c>
      <c r="AK151" s="55"/>
      <c r="AL151" s="55"/>
      <c r="AM151" s="55"/>
      <c r="AN151" s="55"/>
    </row>
    <row r="152" spans="1:40" ht="62.25" x14ac:dyDescent="0.9">
      <c r="A152" s="4">
        <v>1</v>
      </c>
      <c r="B152" s="57">
        <f>SUBTOTAL(103,$A$88:A152)</f>
        <v>59</v>
      </c>
      <c r="C152" s="165" t="s">
        <v>1659</v>
      </c>
      <c r="D152" s="62" t="s">
        <v>1866</v>
      </c>
      <c r="E152" s="60">
        <v>0.95309999999999995</v>
      </c>
      <c r="F152" s="29">
        <f t="shared" si="31"/>
        <v>16859.560000000001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64">
        <v>0</v>
      </c>
      <c r="N152" s="29">
        <v>0</v>
      </c>
      <c r="O152" s="29">
        <v>900</v>
      </c>
      <c r="P152" s="29">
        <v>16610.400000000001</v>
      </c>
      <c r="Q152" s="29">
        <v>0</v>
      </c>
      <c r="R152" s="29">
        <v>0</v>
      </c>
      <c r="S152" s="29">
        <v>0</v>
      </c>
      <c r="T152" s="167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f t="shared" si="40"/>
        <v>249.16</v>
      </c>
      <c r="AF152" s="29">
        <v>0</v>
      </c>
      <c r="AG152" s="29">
        <v>0</v>
      </c>
      <c r="AH152" s="166" t="s">
        <v>268</v>
      </c>
      <c r="AI152" s="33">
        <v>2021</v>
      </c>
      <c r="AJ152" s="33">
        <v>2021</v>
      </c>
      <c r="AK152" s="55"/>
      <c r="AL152" s="55"/>
      <c r="AM152" s="55"/>
      <c r="AN152" s="55"/>
    </row>
    <row r="153" spans="1:40" ht="62.25" x14ac:dyDescent="0.9">
      <c r="A153" s="4">
        <v>1</v>
      </c>
      <c r="B153" s="57">
        <f>SUBTOTAL(103,$A$88:A153)</f>
        <v>60</v>
      </c>
      <c r="C153" s="165" t="s">
        <v>1872</v>
      </c>
      <c r="D153" s="62" t="s">
        <v>1866</v>
      </c>
      <c r="E153" s="60">
        <v>0.88386686541757653</v>
      </c>
      <c r="F153" s="29">
        <f t="shared" ref="F153:F158" si="41">P153+AE153</f>
        <v>27161.4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64">
        <v>0</v>
      </c>
      <c r="N153" s="29">
        <v>0</v>
      </c>
      <c r="O153" s="29">
        <v>345.6</v>
      </c>
      <c r="P153" s="29">
        <v>26760</v>
      </c>
      <c r="Q153" s="29">
        <v>0</v>
      </c>
      <c r="R153" s="29">
        <v>0</v>
      </c>
      <c r="S153" s="29">
        <v>0</v>
      </c>
      <c r="T153" s="167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f t="shared" si="40"/>
        <v>401.4</v>
      </c>
      <c r="AF153" s="29">
        <v>0</v>
      </c>
      <c r="AG153" s="29">
        <v>0</v>
      </c>
      <c r="AH153" s="166" t="s">
        <v>268</v>
      </c>
      <c r="AI153" s="166">
        <v>2021</v>
      </c>
      <c r="AJ153" s="166">
        <v>2021</v>
      </c>
      <c r="AK153" s="55"/>
      <c r="AL153" s="55"/>
      <c r="AM153" s="55"/>
      <c r="AN153" s="55"/>
    </row>
    <row r="154" spans="1:40" ht="62.25" x14ac:dyDescent="0.9">
      <c r="A154" s="4">
        <v>1</v>
      </c>
      <c r="B154" s="57">
        <f>SUBTOTAL(103,$A$88:A154)</f>
        <v>61</v>
      </c>
      <c r="C154" s="165" t="s">
        <v>1873</v>
      </c>
      <c r="D154" s="62" t="s">
        <v>1866</v>
      </c>
      <c r="E154" s="60">
        <v>0.90569999999999995</v>
      </c>
      <c r="F154" s="29">
        <f t="shared" si="41"/>
        <v>988504.92999999993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64">
        <v>0</v>
      </c>
      <c r="N154" s="29">
        <v>0</v>
      </c>
      <c r="O154" s="29">
        <v>570</v>
      </c>
      <c r="P154" s="29">
        <v>973896.48</v>
      </c>
      <c r="Q154" s="29">
        <v>0</v>
      </c>
      <c r="R154" s="29">
        <v>0</v>
      </c>
      <c r="S154" s="29">
        <v>0</v>
      </c>
      <c r="T154" s="167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f t="shared" si="40"/>
        <v>14608.45</v>
      </c>
      <c r="AF154" s="29">
        <v>0</v>
      </c>
      <c r="AG154" s="29">
        <v>0</v>
      </c>
      <c r="AH154" s="166" t="s">
        <v>268</v>
      </c>
      <c r="AI154" s="166">
        <v>2021</v>
      </c>
      <c r="AJ154" s="166">
        <v>2021</v>
      </c>
      <c r="AK154" s="55"/>
      <c r="AL154" s="55"/>
      <c r="AM154" s="55"/>
      <c r="AN154" s="55"/>
    </row>
    <row r="155" spans="1:40" ht="62.25" x14ac:dyDescent="0.9">
      <c r="A155" s="4">
        <v>1</v>
      </c>
      <c r="B155" s="57">
        <f>SUBTOTAL(103,$A$88:A155)</f>
        <v>62</v>
      </c>
      <c r="C155" s="165" t="s">
        <v>1874</v>
      </c>
      <c r="D155" s="62" t="s">
        <v>1867</v>
      </c>
      <c r="E155" s="60">
        <v>0.76750579810492481</v>
      </c>
      <c r="F155" s="29">
        <f t="shared" si="41"/>
        <v>92522.930000000008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64">
        <v>0</v>
      </c>
      <c r="N155" s="29">
        <v>0</v>
      </c>
      <c r="O155" s="29">
        <v>425</v>
      </c>
      <c r="P155" s="29">
        <v>91155.6</v>
      </c>
      <c r="Q155" s="29">
        <v>0</v>
      </c>
      <c r="R155" s="29">
        <v>0</v>
      </c>
      <c r="S155" s="29">
        <v>0</v>
      </c>
      <c r="T155" s="167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f>ROUND(P155*1.5%,2)</f>
        <v>1367.33</v>
      </c>
      <c r="AF155" s="29">
        <v>0</v>
      </c>
      <c r="AG155" s="29">
        <v>0</v>
      </c>
      <c r="AH155" s="166" t="s">
        <v>268</v>
      </c>
      <c r="AI155" s="166">
        <v>2021</v>
      </c>
      <c r="AJ155" s="166">
        <v>2021</v>
      </c>
      <c r="AK155" s="55"/>
      <c r="AL155" s="55"/>
      <c r="AM155" s="55"/>
      <c r="AN155" s="55"/>
    </row>
    <row r="156" spans="1:40" ht="62.25" x14ac:dyDescent="0.9">
      <c r="A156" s="4">
        <v>1</v>
      </c>
      <c r="B156" s="57">
        <f>SUBTOTAL(103,$A$88:A156)</f>
        <v>63</v>
      </c>
      <c r="C156" s="165" t="s">
        <v>1875</v>
      </c>
      <c r="D156" s="62" t="s">
        <v>1867</v>
      </c>
      <c r="E156" s="60">
        <v>0.81472974052840219</v>
      </c>
      <c r="F156" s="29">
        <f t="shared" si="41"/>
        <v>22182.22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64">
        <v>0</v>
      </c>
      <c r="N156" s="29">
        <v>0</v>
      </c>
      <c r="O156" s="29">
        <v>531</v>
      </c>
      <c r="P156" s="29">
        <v>21854.400000000001</v>
      </c>
      <c r="Q156" s="29">
        <v>0</v>
      </c>
      <c r="R156" s="29">
        <v>0</v>
      </c>
      <c r="S156" s="29">
        <v>0</v>
      </c>
      <c r="T156" s="167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f>ROUND(P156*1.5%,2)</f>
        <v>327.82</v>
      </c>
      <c r="AF156" s="29">
        <v>0</v>
      </c>
      <c r="AG156" s="29">
        <v>0</v>
      </c>
      <c r="AH156" s="166" t="s">
        <v>268</v>
      </c>
      <c r="AI156" s="166">
        <v>2021</v>
      </c>
      <c r="AJ156" s="166">
        <v>2021</v>
      </c>
      <c r="AK156" s="55"/>
      <c r="AL156" s="55"/>
      <c r="AM156" s="55"/>
      <c r="AN156" s="55"/>
    </row>
    <row r="157" spans="1:40" ht="62.25" x14ac:dyDescent="0.9">
      <c r="A157" s="4">
        <v>1</v>
      </c>
      <c r="B157" s="57">
        <f>SUBTOTAL(103,$A$88:A157)</f>
        <v>64</v>
      </c>
      <c r="C157" s="165" t="s">
        <v>2434</v>
      </c>
      <c r="D157" s="62" t="s">
        <v>1867</v>
      </c>
      <c r="E157" s="60">
        <v>0.78400000000000003</v>
      </c>
      <c r="F157" s="29">
        <f t="shared" si="41"/>
        <v>14008.220000000001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64">
        <v>0</v>
      </c>
      <c r="N157" s="29">
        <v>0</v>
      </c>
      <c r="O157" s="29">
        <v>316</v>
      </c>
      <c r="P157" s="29">
        <v>13801.2</v>
      </c>
      <c r="Q157" s="29">
        <v>0</v>
      </c>
      <c r="R157" s="29">
        <v>0</v>
      </c>
      <c r="S157" s="29">
        <v>0</v>
      </c>
      <c r="T157" s="167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f t="shared" si="40"/>
        <v>207.02</v>
      </c>
      <c r="AF157" s="29">
        <v>0</v>
      </c>
      <c r="AG157" s="29">
        <v>0</v>
      </c>
      <c r="AH157" s="166" t="s">
        <v>268</v>
      </c>
      <c r="AI157" s="166">
        <v>2021</v>
      </c>
      <c r="AJ157" s="166">
        <v>2021</v>
      </c>
      <c r="AK157" s="55"/>
      <c r="AL157" s="55"/>
      <c r="AM157" s="55"/>
      <c r="AN157" s="55"/>
    </row>
    <row r="158" spans="1:40" ht="62.25" x14ac:dyDescent="0.9">
      <c r="A158" s="4">
        <v>1</v>
      </c>
      <c r="B158" s="57">
        <f>SUBTOTAL(103,$A$88:A158)</f>
        <v>65</v>
      </c>
      <c r="C158" s="165" t="s">
        <v>2435</v>
      </c>
      <c r="D158" s="62" t="s">
        <v>1867</v>
      </c>
      <c r="E158" s="60">
        <v>0.78600000000000003</v>
      </c>
      <c r="F158" s="29">
        <f t="shared" si="41"/>
        <v>41343.79</v>
      </c>
      <c r="G158" s="29">
        <v>0</v>
      </c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64">
        <v>0</v>
      </c>
      <c r="N158" s="29">
        <v>0</v>
      </c>
      <c r="O158" s="29">
        <v>978</v>
      </c>
      <c r="P158" s="29">
        <v>40732.800000000003</v>
      </c>
      <c r="Q158" s="29">
        <v>0</v>
      </c>
      <c r="R158" s="29">
        <v>0</v>
      </c>
      <c r="S158" s="29">
        <v>0</v>
      </c>
      <c r="T158" s="167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f t="shared" si="40"/>
        <v>610.99</v>
      </c>
      <c r="AF158" s="29">
        <v>0</v>
      </c>
      <c r="AG158" s="29">
        <v>0</v>
      </c>
      <c r="AH158" s="166" t="s">
        <v>268</v>
      </c>
      <c r="AI158" s="166">
        <v>2021</v>
      </c>
      <c r="AJ158" s="166">
        <v>2021</v>
      </c>
      <c r="AK158" s="55"/>
      <c r="AL158" s="55"/>
      <c r="AM158" s="55"/>
      <c r="AN158" s="55"/>
    </row>
    <row r="159" spans="1:40" ht="62.25" x14ac:dyDescent="0.9">
      <c r="B159" s="413" t="s">
        <v>1395</v>
      </c>
      <c r="C159" s="414"/>
      <c r="D159" s="415" t="s">
        <v>882</v>
      </c>
      <c r="E159" s="60">
        <f>AVERAGE(E160:E174)</f>
        <v>0.90385558590968551</v>
      </c>
      <c r="F159" s="29">
        <f>SUM(F160:F174)</f>
        <v>5257534.7999999989</v>
      </c>
      <c r="G159" s="29">
        <f t="shared" ref="G159:AG159" si="42">SUM(G160:G174)</f>
        <v>0</v>
      </c>
      <c r="H159" s="29">
        <f t="shared" si="42"/>
        <v>0</v>
      </c>
      <c r="I159" s="29">
        <f t="shared" si="42"/>
        <v>0</v>
      </c>
      <c r="J159" s="29">
        <f t="shared" si="42"/>
        <v>0</v>
      </c>
      <c r="K159" s="29">
        <f t="shared" si="42"/>
        <v>0</v>
      </c>
      <c r="L159" s="29">
        <f t="shared" si="42"/>
        <v>0</v>
      </c>
      <c r="M159" s="29">
        <f t="shared" si="42"/>
        <v>0</v>
      </c>
      <c r="N159" s="29">
        <f t="shared" si="42"/>
        <v>0</v>
      </c>
      <c r="O159" s="29">
        <f t="shared" si="42"/>
        <v>14263</v>
      </c>
      <c r="P159" s="29">
        <f t="shared" si="42"/>
        <v>5110910.43</v>
      </c>
      <c r="Q159" s="29">
        <f t="shared" si="42"/>
        <v>0</v>
      </c>
      <c r="R159" s="29">
        <f t="shared" si="42"/>
        <v>0</v>
      </c>
      <c r="S159" s="29">
        <f t="shared" si="42"/>
        <v>0</v>
      </c>
      <c r="T159" s="29">
        <f t="shared" si="42"/>
        <v>0</v>
      </c>
      <c r="U159" s="29">
        <f t="shared" si="42"/>
        <v>0</v>
      </c>
      <c r="V159" s="29">
        <f t="shared" si="42"/>
        <v>0</v>
      </c>
      <c r="W159" s="29">
        <f t="shared" si="42"/>
        <v>0</v>
      </c>
      <c r="X159" s="29">
        <f t="shared" si="42"/>
        <v>69998</v>
      </c>
      <c r="Y159" s="29">
        <f t="shared" si="42"/>
        <v>0</v>
      </c>
      <c r="Z159" s="29">
        <f t="shared" si="42"/>
        <v>0</v>
      </c>
      <c r="AA159" s="29">
        <f t="shared" si="42"/>
        <v>0</v>
      </c>
      <c r="AB159" s="29">
        <f t="shared" si="42"/>
        <v>0</v>
      </c>
      <c r="AC159" s="29">
        <f t="shared" si="42"/>
        <v>0</v>
      </c>
      <c r="AD159" s="29">
        <f t="shared" si="42"/>
        <v>0</v>
      </c>
      <c r="AE159" s="29">
        <f t="shared" si="42"/>
        <v>76626.37000000001</v>
      </c>
      <c r="AF159" s="29">
        <f t="shared" si="42"/>
        <v>0</v>
      </c>
      <c r="AG159" s="29">
        <f t="shared" si="42"/>
        <v>0</v>
      </c>
      <c r="AH159" s="166" t="s">
        <v>882</v>
      </c>
      <c r="AI159" s="166" t="s">
        <v>882</v>
      </c>
      <c r="AJ159" s="166" t="s">
        <v>882</v>
      </c>
      <c r="AK159" s="55"/>
      <c r="AL159" s="55"/>
      <c r="AM159" s="55"/>
      <c r="AN159" s="55"/>
    </row>
    <row r="160" spans="1:40" ht="62.25" x14ac:dyDescent="0.9">
      <c r="A160" s="4">
        <v>1</v>
      </c>
      <c r="B160" s="57">
        <f>SUBTOTAL(103,$A$88:A160)</f>
        <v>66</v>
      </c>
      <c r="C160" s="165" t="s">
        <v>1442</v>
      </c>
      <c r="D160" s="62" t="s">
        <v>1867</v>
      </c>
      <c r="E160" s="60">
        <v>0.95770131483230581</v>
      </c>
      <c r="F160" s="29">
        <f t="shared" si="31"/>
        <v>1768733.14</v>
      </c>
      <c r="G160" s="29">
        <v>0</v>
      </c>
      <c r="H160" s="29">
        <v>0</v>
      </c>
      <c r="I160" s="29">
        <v>0</v>
      </c>
      <c r="J160" s="29">
        <v>0</v>
      </c>
      <c r="K160" s="29">
        <v>0</v>
      </c>
      <c r="L160" s="29">
        <v>0</v>
      </c>
      <c r="M160" s="64">
        <v>0</v>
      </c>
      <c r="N160" s="29">
        <v>0</v>
      </c>
      <c r="O160" s="29">
        <v>2039</v>
      </c>
      <c r="P160" s="29">
        <v>1742723</v>
      </c>
      <c r="Q160" s="29">
        <v>0</v>
      </c>
      <c r="R160" s="29">
        <v>0</v>
      </c>
      <c r="S160" s="29">
        <v>0</v>
      </c>
      <c r="T160" s="167">
        <v>0</v>
      </c>
      <c r="U160" s="29">
        <v>0</v>
      </c>
      <c r="V160" s="29">
        <v>0</v>
      </c>
      <c r="W160" s="29">
        <v>0</v>
      </c>
      <c r="X160" s="29">
        <v>0</v>
      </c>
      <c r="Y160" s="29">
        <v>0</v>
      </c>
      <c r="Z160" s="29">
        <v>0</v>
      </c>
      <c r="AA160" s="29">
        <v>0</v>
      </c>
      <c r="AB160" s="29">
        <v>0</v>
      </c>
      <c r="AC160" s="29">
        <v>0</v>
      </c>
      <c r="AD160" s="29">
        <v>0</v>
      </c>
      <c r="AE160" s="29">
        <v>26010.14</v>
      </c>
      <c r="AF160" s="29">
        <v>0</v>
      </c>
      <c r="AG160" s="29">
        <v>0</v>
      </c>
      <c r="AH160" s="166" t="s">
        <v>268</v>
      </c>
      <c r="AI160" s="166">
        <v>2020</v>
      </c>
      <c r="AJ160" s="166">
        <v>2020</v>
      </c>
      <c r="AK160" s="55"/>
      <c r="AL160" s="55"/>
      <c r="AM160" s="55"/>
      <c r="AN160" s="55"/>
    </row>
    <row r="161" spans="1:40" ht="62.25" x14ac:dyDescent="0.9">
      <c r="A161" s="4">
        <v>1</v>
      </c>
      <c r="B161" s="57">
        <f>SUBTOTAL(103,$A$88:A161)</f>
        <v>67</v>
      </c>
      <c r="C161" s="165" t="s">
        <v>1443</v>
      </c>
      <c r="D161" s="62" t="s">
        <v>1866</v>
      </c>
      <c r="E161" s="60">
        <v>0.91669999999999996</v>
      </c>
      <c r="F161" s="29">
        <f t="shared" si="31"/>
        <v>224063.98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64">
        <v>0</v>
      </c>
      <c r="N161" s="29">
        <v>0</v>
      </c>
      <c r="O161" s="29">
        <v>1135</v>
      </c>
      <c r="P161" s="29">
        <v>220769</v>
      </c>
      <c r="Q161" s="29">
        <v>0</v>
      </c>
      <c r="R161" s="29">
        <v>0</v>
      </c>
      <c r="S161" s="29">
        <v>0</v>
      </c>
      <c r="T161" s="167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29">
        <v>0</v>
      </c>
      <c r="AD161" s="29">
        <v>0</v>
      </c>
      <c r="AE161" s="29">
        <v>3294.98</v>
      </c>
      <c r="AF161" s="29">
        <v>0</v>
      </c>
      <c r="AG161" s="29">
        <v>0</v>
      </c>
      <c r="AH161" s="166" t="s">
        <v>268</v>
      </c>
      <c r="AI161" s="166">
        <v>2020</v>
      </c>
      <c r="AJ161" s="166">
        <v>2020</v>
      </c>
      <c r="AK161" s="55"/>
      <c r="AL161" s="55"/>
      <c r="AM161" s="55"/>
      <c r="AN161" s="55"/>
    </row>
    <row r="162" spans="1:40" ht="62.25" x14ac:dyDescent="0.9">
      <c r="A162" s="4">
        <v>1</v>
      </c>
      <c r="B162" s="57">
        <f>SUBTOTAL(103,$A$88:A162)</f>
        <v>68</v>
      </c>
      <c r="C162" s="165" t="s">
        <v>1444</v>
      </c>
      <c r="D162" s="62" t="s">
        <v>1867</v>
      </c>
      <c r="E162" s="60">
        <v>0.98309999999999997</v>
      </c>
      <c r="F162" s="29">
        <f t="shared" si="31"/>
        <v>31696.09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64">
        <v>0</v>
      </c>
      <c r="N162" s="29">
        <v>0</v>
      </c>
      <c r="O162" s="29">
        <v>1845</v>
      </c>
      <c r="P162" s="29">
        <v>31229.98</v>
      </c>
      <c r="Q162" s="29">
        <v>0</v>
      </c>
      <c r="R162" s="29">
        <v>0</v>
      </c>
      <c r="S162" s="29">
        <v>0</v>
      </c>
      <c r="T162" s="167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466.11</v>
      </c>
      <c r="AF162" s="29">
        <v>0</v>
      </c>
      <c r="AG162" s="29">
        <v>0</v>
      </c>
      <c r="AH162" s="166" t="s">
        <v>268</v>
      </c>
      <c r="AI162" s="166">
        <v>2020</v>
      </c>
      <c r="AJ162" s="166">
        <v>2020</v>
      </c>
      <c r="AK162" s="55"/>
      <c r="AL162" s="55"/>
      <c r="AM162" s="55"/>
      <c r="AN162" s="55"/>
    </row>
    <row r="163" spans="1:40" ht="62.25" x14ac:dyDescent="0.9">
      <c r="A163" s="4">
        <v>1</v>
      </c>
      <c r="B163" s="57">
        <f>SUBTOTAL(103,$A$88:A163)</f>
        <v>69</v>
      </c>
      <c r="C163" s="165" t="s">
        <v>1445</v>
      </c>
      <c r="D163" s="62" t="s">
        <v>1867</v>
      </c>
      <c r="E163" s="60">
        <v>0.9163</v>
      </c>
      <c r="F163" s="29">
        <f t="shared" si="31"/>
        <v>97154.82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64">
        <v>0</v>
      </c>
      <c r="N163" s="29">
        <v>0</v>
      </c>
      <c r="O163" s="29">
        <v>736</v>
      </c>
      <c r="P163" s="29">
        <v>95726.11</v>
      </c>
      <c r="Q163" s="29">
        <v>0</v>
      </c>
      <c r="R163" s="29">
        <v>0</v>
      </c>
      <c r="S163" s="29">
        <v>0</v>
      </c>
      <c r="T163" s="167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1428.71</v>
      </c>
      <c r="AF163" s="29">
        <v>0</v>
      </c>
      <c r="AG163" s="29">
        <v>0</v>
      </c>
      <c r="AH163" s="166" t="s">
        <v>268</v>
      </c>
      <c r="AI163" s="166">
        <v>2020</v>
      </c>
      <c r="AJ163" s="166">
        <v>2020</v>
      </c>
      <c r="AK163" s="55"/>
      <c r="AL163" s="55"/>
      <c r="AM163" s="55"/>
      <c r="AN163" s="55"/>
    </row>
    <row r="164" spans="1:40" ht="62.25" x14ac:dyDescent="0.9">
      <c r="A164" s="4">
        <v>1</v>
      </c>
      <c r="B164" s="57">
        <f>SUBTOTAL(103,$A$88:A164)</f>
        <v>70</v>
      </c>
      <c r="C164" s="165" t="s">
        <v>1446</v>
      </c>
      <c r="D164" s="62" t="s">
        <v>1866</v>
      </c>
      <c r="E164" s="60">
        <v>0.88370000000000004</v>
      </c>
      <c r="F164" s="29">
        <f t="shared" si="31"/>
        <v>115006.25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64">
        <v>0</v>
      </c>
      <c r="N164" s="29">
        <v>0</v>
      </c>
      <c r="O164" s="29">
        <v>518</v>
      </c>
      <c r="P164" s="29">
        <v>113315.02</v>
      </c>
      <c r="Q164" s="29">
        <v>0</v>
      </c>
      <c r="R164" s="29">
        <v>0</v>
      </c>
      <c r="S164" s="29">
        <v>0</v>
      </c>
      <c r="T164" s="167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1691.23</v>
      </c>
      <c r="AF164" s="29">
        <v>0</v>
      </c>
      <c r="AG164" s="29">
        <v>0</v>
      </c>
      <c r="AH164" s="166" t="s">
        <v>268</v>
      </c>
      <c r="AI164" s="166">
        <v>2020</v>
      </c>
      <c r="AJ164" s="166">
        <v>2020</v>
      </c>
      <c r="AK164" s="55"/>
      <c r="AL164" s="55"/>
      <c r="AM164" s="55"/>
      <c r="AN164" s="55"/>
    </row>
    <row r="165" spans="1:40" ht="62.25" x14ac:dyDescent="0.9">
      <c r="A165" s="4">
        <v>1</v>
      </c>
      <c r="B165" s="57">
        <f>SUBTOTAL(103,$A$88:A165)</f>
        <v>71</v>
      </c>
      <c r="C165" s="165" t="s">
        <v>1447</v>
      </c>
      <c r="D165" s="62" t="s">
        <v>1867</v>
      </c>
      <c r="E165" s="60">
        <v>1.000675491846317</v>
      </c>
      <c r="F165" s="29">
        <f t="shared" si="31"/>
        <v>1485022.6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64">
        <v>0</v>
      </c>
      <c r="N165" s="29">
        <v>0</v>
      </c>
      <c r="O165" s="29">
        <v>1238</v>
      </c>
      <c r="P165" s="29">
        <v>1463184.57</v>
      </c>
      <c r="Q165" s="29">
        <v>0</v>
      </c>
      <c r="R165" s="29">
        <v>0</v>
      </c>
      <c r="S165" s="29">
        <v>0</v>
      </c>
      <c r="T165" s="167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21838.03</v>
      </c>
      <c r="AF165" s="29">
        <v>0</v>
      </c>
      <c r="AG165" s="29">
        <v>0</v>
      </c>
      <c r="AH165" s="166" t="s">
        <v>268</v>
      </c>
      <c r="AI165" s="166">
        <v>2020</v>
      </c>
      <c r="AJ165" s="166">
        <v>2020</v>
      </c>
      <c r="AK165" s="55"/>
      <c r="AL165" s="55"/>
      <c r="AM165" s="55"/>
      <c r="AN165" s="55"/>
    </row>
    <row r="166" spans="1:40" ht="62.25" x14ac:dyDescent="0.9">
      <c r="A166" s="4">
        <v>1</v>
      </c>
      <c r="B166" s="57">
        <f>SUBTOTAL(103,$A$88:A166)</f>
        <v>72</v>
      </c>
      <c r="C166" s="165" t="s">
        <v>1448</v>
      </c>
      <c r="D166" s="62" t="s">
        <v>1867</v>
      </c>
      <c r="E166" s="60">
        <v>0.80026822300653366</v>
      </c>
      <c r="F166" s="29">
        <f t="shared" si="31"/>
        <v>179270.28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64">
        <v>0</v>
      </c>
      <c r="N166" s="29">
        <v>0</v>
      </c>
      <c r="O166" s="29">
        <v>668</v>
      </c>
      <c r="P166" s="29">
        <v>176634.02</v>
      </c>
      <c r="Q166" s="29">
        <v>0</v>
      </c>
      <c r="R166" s="29">
        <v>0</v>
      </c>
      <c r="S166" s="29">
        <v>0</v>
      </c>
      <c r="T166" s="167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2636.26</v>
      </c>
      <c r="AF166" s="29">
        <v>0</v>
      </c>
      <c r="AG166" s="29">
        <v>0</v>
      </c>
      <c r="AH166" s="166" t="s">
        <v>268</v>
      </c>
      <c r="AI166" s="166">
        <v>2020</v>
      </c>
      <c r="AJ166" s="166">
        <v>2020</v>
      </c>
      <c r="AK166" s="55"/>
      <c r="AL166" s="55"/>
      <c r="AM166" s="55"/>
      <c r="AN166" s="55"/>
    </row>
    <row r="167" spans="1:40" ht="62.25" x14ac:dyDescent="0.9">
      <c r="A167" s="4">
        <v>1</v>
      </c>
      <c r="B167" s="57">
        <f>SUBTOTAL(103,$A$88:A167)</f>
        <v>73</v>
      </c>
      <c r="C167" s="165" t="s">
        <v>1449</v>
      </c>
      <c r="D167" s="62" t="s">
        <v>1866</v>
      </c>
      <c r="E167" s="60">
        <v>0.92587279445283599</v>
      </c>
      <c r="F167" s="29">
        <f t="shared" si="31"/>
        <v>21660.55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64">
        <v>0</v>
      </c>
      <c r="N167" s="29">
        <v>0</v>
      </c>
      <c r="O167" s="29">
        <v>559</v>
      </c>
      <c r="P167" s="29">
        <v>21342.02</v>
      </c>
      <c r="Q167" s="29">
        <v>0</v>
      </c>
      <c r="R167" s="29">
        <v>0</v>
      </c>
      <c r="S167" s="29">
        <v>0</v>
      </c>
      <c r="T167" s="167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318.52999999999997</v>
      </c>
      <c r="AF167" s="29">
        <v>0</v>
      </c>
      <c r="AG167" s="29">
        <v>0</v>
      </c>
      <c r="AH167" s="166" t="s">
        <v>268</v>
      </c>
      <c r="AI167" s="166">
        <v>2020</v>
      </c>
      <c r="AJ167" s="166">
        <v>2020</v>
      </c>
      <c r="AK167" s="55"/>
      <c r="AL167" s="55"/>
      <c r="AM167" s="55"/>
      <c r="AN167" s="55"/>
    </row>
    <row r="168" spans="1:40" ht="62.25" x14ac:dyDescent="0.9">
      <c r="A168" s="4">
        <v>1</v>
      </c>
      <c r="B168" s="57">
        <f>SUBTOTAL(103,$A$88:A168)</f>
        <v>74</v>
      </c>
      <c r="C168" s="165" t="s">
        <v>1450</v>
      </c>
      <c r="D168" s="62" t="s">
        <v>1867</v>
      </c>
      <c r="E168" s="60">
        <v>0.87360000000000004</v>
      </c>
      <c r="F168" s="29">
        <f t="shared" si="31"/>
        <v>825558.04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64">
        <v>0</v>
      </c>
      <c r="N168" s="29">
        <v>0</v>
      </c>
      <c r="O168" s="29">
        <v>1549</v>
      </c>
      <c r="P168" s="29">
        <v>813417.78</v>
      </c>
      <c r="Q168" s="29">
        <v>0</v>
      </c>
      <c r="R168" s="29">
        <v>0</v>
      </c>
      <c r="S168" s="29">
        <v>0</v>
      </c>
      <c r="T168" s="167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12140.26</v>
      </c>
      <c r="AF168" s="29">
        <v>0</v>
      </c>
      <c r="AG168" s="29">
        <v>0</v>
      </c>
      <c r="AH168" s="166" t="s">
        <v>268</v>
      </c>
      <c r="AI168" s="166">
        <v>2020</v>
      </c>
      <c r="AJ168" s="166">
        <v>2020</v>
      </c>
      <c r="AK168" s="55"/>
      <c r="AL168" s="55"/>
      <c r="AM168" s="55"/>
      <c r="AN168" s="55"/>
    </row>
    <row r="169" spans="1:40" ht="62.25" x14ac:dyDescent="0.9">
      <c r="A169" s="4">
        <v>1</v>
      </c>
      <c r="B169" s="57">
        <f>SUBTOTAL(103,$A$88:A169)</f>
        <v>75</v>
      </c>
      <c r="C169" s="165" t="s">
        <v>1451</v>
      </c>
      <c r="D169" s="62" t="s">
        <v>1866</v>
      </c>
      <c r="E169" s="60">
        <v>0.78059999999999996</v>
      </c>
      <c r="F169" s="29">
        <f t="shared" si="31"/>
        <v>58127.710000000006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64">
        <v>0</v>
      </c>
      <c r="N169" s="29">
        <v>0</v>
      </c>
      <c r="O169" s="29">
        <v>450</v>
      </c>
      <c r="P169" s="29">
        <v>57272.91</v>
      </c>
      <c r="Q169" s="29">
        <v>0</v>
      </c>
      <c r="R169" s="29">
        <v>0</v>
      </c>
      <c r="S169" s="29">
        <v>0</v>
      </c>
      <c r="T169" s="167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854.8</v>
      </c>
      <c r="AF169" s="29">
        <v>0</v>
      </c>
      <c r="AG169" s="29">
        <v>0</v>
      </c>
      <c r="AH169" s="166" t="s">
        <v>268</v>
      </c>
      <c r="AI169" s="166">
        <v>2020</v>
      </c>
      <c r="AJ169" s="166">
        <v>2020</v>
      </c>
      <c r="AK169" s="55"/>
      <c r="AL169" s="55"/>
      <c r="AM169" s="55"/>
      <c r="AN169" s="55"/>
    </row>
    <row r="170" spans="1:40" ht="62.25" x14ac:dyDescent="0.9">
      <c r="A170" s="4">
        <v>1</v>
      </c>
      <c r="B170" s="57">
        <f>SUBTOTAL(103,$A$88:A170)</f>
        <v>76</v>
      </c>
      <c r="C170" s="165" t="s">
        <v>1150</v>
      </c>
      <c r="D170" s="62" t="s">
        <v>1867</v>
      </c>
      <c r="E170" s="60">
        <v>0.88049999999999995</v>
      </c>
      <c r="F170" s="29">
        <f t="shared" si="31"/>
        <v>174209.85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64">
        <v>0</v>
      </c>
      <c r="N170" s="29">
        <v>0</v>
      </c>
      <c r="O170" s="29">
        <v>498</v>
      </c>
      <c r="P170" s="29">
        <v>171648</v>
      </c>
      <c r="Q170" s="29">
        <v>0</v>
      </c>
      <c r="R170" s="29">
        <v>0</v>
      </c>
      <c r="S170" s="29">
        <v>0</v>
      </c>
      <c r="T170" s="167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2561.85</v>
      </c>
      <c r="AF170" s="29">
        <v>0</v>
      </c>
      <c r="AG170" s="29">
        <v>0</v>
      </c>
      <c r="AH170" s="166" t="s">
        <v>268</v>
      </c>
      <c r="AI170" s="166">
        <v>2020</v>
      </c>
      <c r="AJ170" s="166">
        <v>2020</v>
      </c>
      <c r="AK170" s="55"/>
      <c r="AL170" s="55"/>
      <c r="AM170" s="55"/>
      <c r="AN170" s="55"/>
    </row>
    <row r="171" spans="1:40" ht="62.25" x14ac:dyDescent="0.9">
      <c r="A171" s="4">
        <v>1</v>
      </c>
      <c r="B171" s="57">
        <f>SUBTOTAL(103,$A$88:A171)</f>
        <v>77</v>
      </c>
      <c r="C171" s="165" t="s">
        <v>1452</v>
      </c>
      <c r="D171" s="62">
        <v>2017</v>
      </c>
      <c r="E171" s="60">
        <v>0.97189999999999999</v>
      </c>
      <c r="F171" s="29">
        <f t="shared" si="31"/>
        <v>101365.01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64">
        <v>0</v>
      </c>
      <c r="N171" s="29">
        <v>0</v>
      </c>
      <c r="O171" s="29">
        <v>1067</v>
      </c>
      <c r="P171" s="29">
        <v>99867</v>
      </c>
      <c r="Q171" s="29">
        <v>0</v>
      </c>
      <c r="R171" s="29">
        <v>0</v>
      </c>
      <c r="S171" s="29">
        <v>0</v>
      </c>
      <c r="T171" s="167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f>ROUND(P171*1.5%,2)</f>
        <v>1498.01</v>
      </c>
      <c r="AF171" s="29">
        <v>0</v>
      </c>
      <c r="AG171" s="29">
        <v>0</v>
      </c>
      <c r="AH171" s="166" t="s">
        <v>268</v>
      </c>
      <c r="AI171" s="166">
        <v>2021</v>
      </c>
      <c r="AJ171" s="166">
        <v>2021</v>
      </c>
      <c r="AK171" s="55"/>
      <c r="AL171" s="55"/>
      <c r="AM171" s="55"/>
      <c r="AN171" s="55"/>
    </row>
    <row r="172" spans="1:40" ht="62.25" x14ac:dyDescent="0.9">
      <c r="A172" s="4">
        <v>1</v>
      </c>
      <c r="B172" s="57">
        <f>SUBTOTAL(103,$A$88:A172)</f>
        <v>78</v>
      </c>
      <c r="C172" s="165" t="s">
        <v>1489</v>
      </c>
      <c r="D172" s="77" t="s">
        <v>1516</v>
      </c>
      <c r="E172" s="60">
        <v>0.93899999999999995</v>
      </c>
      <c r="F172" s="29">
        <f t="shared" si="31"/>
        <v>70328.740000000005</v>
      </c>
      <c r="G172" s="29">
        <v>0</v>
      </c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64">
        <v>0</v>
      </c>
      <c r="N172" s="29">
        <v>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167">
        <v>0</v>
      </c>
      <c r="U172" s="29">
        <v>0</v>
      </c>
      <c r="V172" s="29">
        <v>0</v>
      </c>
      <c r="W172" s="29">
        <v>0</v>
      </c>
      <c r="X172" s="29">
        <v>69998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330.74</v>
      </c>
      <c r="AF172" s="29">
        <v>0</v>
      </c>
      <c r="AG172" s="29">
        <v>0</v>
      </c>
      <c r="AH172" s="166" t="s">
        <v>268</v>
      </c>
      <c r="AI172" s="166">
        <v>2020</v>
      </c>
      <c r="AJ172" s="166">
        <v>2020</v>
      </c>
      <c r="AK172" s="55"/>
      <c r="AL172" s="55"/>
      <c r="AM172" s="55"/>
      <c r="AN172" s="55"/>
    </row>
    <row r="173" spans="1:40" ht="62.25" x14ac:dyDescent="0.9">
      <c r="A173" s="4">
        <v>1</v>
      </c>
      <c r="B173" s="57">
        <f>SUBTOTAL(103,$A$88:A173)</f>
        <v>79</v>
      </c>
      <c r="C173" s="165" t="s">
        <v>1876</v>
      </c>
      <c r="D173" s="62" t="s">
        <v>1866</v>
      </c>
      <c r="E173" s="60">
        <v>0.97650000000000003</v>
      </c>
      <c r="F173" s="29">
        <f>P173+AE173</f>
        <v>46834.77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64">
        <v>0</v>
      </c>
      <c r="N173" s="29">
        <v>0</v>
      </c>
      <c r="O173" s="29">
        <v>1461</v>
      </c>
      <c r="P173" s="29">
        <v>46142.63</v>
      </c>
      <c r="Q173" s="29">
        <v>0</v>
      </c>
      <c r="R173" s="29">
        <v>0</v>
      </c>
      <c r="S173" s="29">
        <v>0</v>
      </c>
      <c r="T173" s="167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f>ROUND(P173*1.5%,2)</f>
        <v>692.14</v>
      </c>
      <c r="AF173" s="29">
        <v>0</v>
      </c>
      <c r="AG173" s="29">
        <v>0</v>
      </c>
      <c r="AH173" s="166" t="s">
        <v>268</v>
      </c>
      <c r="AI173" s="166">
        <v>2020</v>
      </c>
      <c r="AJ173" s="166">
        <v>2020</v>
      </c>
      <c r="AK173" s="55"/>
      <c r="AL173" s="55"/>
      <c r="AM173" s="55"/>
      <c r="AN173" s="55"/>
    </row>
    <row r="174" spans="1:40" ht="62.25" x14ac:dyDescent="0.9">
      <c r="A174" s="4">
        <v>1</v>
      </c>
      <c r="B174" s="57">
        <f>SUBTOTAL(103,$A$88:A174)</f>
        <v>80</v>
      </c>
      <c r="C174" s="165" t="s">
        <v>1877</v>
      </c>
      <c r="D174" s="62" t="s">
        <v>1866</v>
      </c>
      <c r="E174" s="60">
        <v>0.75141596450729198</v>
      </c>
      <c r="F174" s="29">
        <f>P174+AE174</f>
        <v>58502.97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64">
        <v>0</v>
      </c>
      <c r="N174" s="29">
        <v>0</v>
      </c>
      <c r="O174" s="29">
        <v>500</v>
      </c>
      <c r="P174" s="29">
        <v>57638.39</v>
      </c>
      <c r="Q174" s="29">
        <v>0</v>
      </c>
      <c r="R174" s="29">
        <v>0</v>
      </c>
      <c r="S174" s="29">
        <v>0</v>
      </c>
      <c r="T174" s="167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f>ROUND(P174*1.5%,2)</f>
        <v>864.58</v>
      </c>
      <c r="AF174" s="29">
        <v>0</v>
      </c>
      <c r="AG174" s="29">
        <v>0</v>
      </c>
      <c r="AH174" s="166" t="s">
        <v>268</v>
      </c>
      <c r="AI174" s="166">
        <v>2020</v>
      </c>
      <c r="AJ174" s="166">
        <v>2020</v>
      </c>
      <c r="AK174" s="55"/>
      <c r="AL174" s="55"/>
      <c r="AM174" s="55"/>
      <c r="AN174" s="55"/>
    </row>
    <row r="175" spans="1:40" ht="62.25" x14ac:dyDescent="0.9">
      <c r="B175" s="413" t="s">
        <v>1396</v>
      </c>
      <c r="C175" s="414"/>
      <c r="D175" s="415" t="s">
        <v>882</v>
      </c>
      <c r="E175" s="60">
        <f>AVERAGE(E176:E181)</f>
        <v>0.89380629497361996</v>
      </c>
      <c r="F175" s="29">
        <f>SUM(F176:F181)</f>
        <v>1550578.68</v>
      </c>
      <c r="G175" s="29">
        <f t="shared" ref="G175:AG175" si="43">SUM(G176:G181)</f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64">
        <f t="shared" si="43"/>
        <v>0</v>
      </c>
      <c r="N175" s="29">
        <f t="shared" si="43"/>
        <v>0</v>
      </c>
      <c r="O175" s="29">
        <f t="shared" si="43"/>
        <v>6063.4000000000005</v>
      </c>
      <c r="P175" s="29">
        <f t="shared" si="43"/>
        <v>1527663.73</v>
      </c>
      <c r="Q175" s="29">
        <f t="shared" si="43"/>
        <v>0</v>
      </c>
      <c r="R175" s="29">
        <f t="shared" si="43"/>
        <v>0</v>
      </c>
      <c r="S175" s="29">
        <f t="shared" si="43"/>
        <v>0</v>
      </c>
      <c r="T175" s="29">
        <f t="shared" si="43"/>
        <v>0</v>
      </c>
      <c r="U175" s="29">
        <f t="shared" si="43"/>
        <v>0</v>
      </c>
      <c r="V175" s="29">
        <f t="shared" si="43"/>
        <v>0</v>
      </c>
      <c r="W175" s="29">
        <f t="shared" si="43"/>
        <v>0</v>
      </c>
      <c r="X175" s="29">
        <f t="shared" si="43"/>
        <v>0</v>
      </c>
      <c r="Y175" s="29">
        <f t="shared" si="43"/>
        <v>0</v>
      </c>
      <c r="Z175" s="29">
        <f t="shared" si="43"/>
        <v>0</v>
      </c>
      <c r="AA175" s="29">
        <f t="shared" si="43"/>
        <v>0</v>
      </c>
      <c r="AB175" s="29">
        <f t="shared" si="43"/>
        <v>0</v>
      </c>
      <c r="AC175" s="29">
        <f t="shared" si="43"/>
        <v>0</v>
      </c>
      <c r="AD175" s="29">
        <f t="shared" si="43"/>
        <v>0</v>
      </c>
      <c r="AE175" s="29">
        <f t="shared" si="43"/>
        <v>22914.949999999997</v>
      </c>
      <c r="AF175" s="29">
        <f t="shared" si="43"/>
        <v>0</v>
      </c>
      <c r="AG175" s="29">
        <f t="shared" si="43"/>
        <v>0</v>
      </c>
      <c r="AH175" s="166" t="s">
        <v>882</v>
      </c>
      <c r="AI175" s="166" t="s">
        <v>882</v>
      </c>
      <c r="AJ175" s="166" t="s">
        <v>882</v>
      </c>
      <c r="AK175" s="55"/>
      <c r="AL175" s="55"/>
      <c r="AM175" s="55"/>
      <c r="AN175" s="55"/>
    </row>
    <row r="176" spans="1:40" ht="62.25" x14ac:dyDescent="0.9">
      <c r="A176" s="4">
        <v>1</v>
      </c>
      <c r="B176" s="57">
        <f>SUBTOTAL(103,$A$88:A176)</f>
        <v>81</v>
      </c>
      <c r="C176" s="165" t="s">
        <v>1453</v>
      </c>
      <c r="D176" s="62" t="s">
        <v>1867</v>
      </c>
      <c r="E176" s="60">
        <v>0.9054350997618551</v>
      </c>
      <c r="F176" s="29">
        <f t="shared" si="31"/>
        <v>382556.25999999995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64">
        <v>0</v>
      </c>
      <c r="N176" s="29">
        <v>0</v>
      </c>
      <c r="O176" s="29">
        <v>1160.0999999999999</v>
      </c>
      <c r="P176" s="29">
        <v>376902.72</v>
      </c>
      <c r="Q176" s="29">
        <v>0</v>
      </c>
      <c r="R176" s="29">
        <v>0</v>
      </c>
      <c r="S176" s="29">
        <v>0</v>
      </c>
      <c r="T176" s="167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f t="shared" ref="AE176:AE181" si="44">ROUND(P176*1.5%,2)</f>
        <v>5653.54</v>
      </c>
      <c r="AF176" s="29">
        <v>0</v>
      </c>
      <c r="AG176" s="29">
        <v>0</v>
      </c>
      <c r="AH176" s="166" t="s">
        <v>268</v>
      </c>
      <c r="AI176" s="166">
        <v>2020</v>
      </c>
      <c r="AJ176" s="166">
        <v>2020</v>
      </c>
      <c r="AK176" s="55"/>
      <c r="AL176" s="55"/>
      <c r="AM176" s="55"/>
      <c r="AN176" s="55"/>
    </row>
    <row r="177" spans="1:40" ht="62.25" x14ac:dyDescent="0.9">
      <c r="A177" s="4">
        <v>1</v>
      </c>
      <c r="B177" s="57">
        <f>SUBTOTAL(103,$A$88:A177)</f>
        <v>82</v>
      </c>
      <c r="C177" s="165" t="s">
        <v>1454</v>
      </c>
      <c r="D177" s="62" t="s">
        <v>1867</v>
      </c>
      <c r="E177" s="60">
        <v>0.87345236547698324</v>
      </c>
      <c r="F177" s="29">
        <f t="shared" si="31"/>
        <v>381284.05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64">
        <v>0</v>
      </c>
      <c r="N177" s="29">
        <v>0</v>
      </c>
      <c r="O177" s="29">
        <v>1192.7</v>
      </c>
      <c r="P177" s="29">
        <v>375649.31</v>
      </c>
      <c r="Q177" s="29">
        <v>0</v>
      </c>
      <c r="R177" s="29">
        <v>0</v>
      </c>
      <c r="S177" s="29">
        <v>0</v>
      </c>
      <c r="T177" s="167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f t="shared" si="44"/>
        <v>5634.74</v>
      </c>
      <c r="AF177" s="29">
        <v>0</v>
      </c>
      <c r="AG177" s="29">
        <v>0</v>
      </c>
      <c r="AH177" s="166" t="s">
        <v>268</v>
      </c>
      <c r="AI177" s="166">
        <v>2020</v>
      </c>
      <c r="AJ177" s="166">
        <v>2020</v>
      </c>
      <c r="AK177" s="55"/>
      <c r="AL177" s="55"/>
      <c r="AM177" s="55"/>
      <c r="AN177" s="55"/>
    </row>
    <row r="178" spans="1:40" ht="62.25" x14ac:dyDescent="0.9">
      <c r="A178" s="4">
        <v>1</v>
      </c>
      <c r="B178" s="57">
        <f>SUBTOTAL(103,$A$88:A178)</f>
        <v>83</v>
      </c>
      <c r="C178" s="165" t="s">
        <v>380</v>
      </c>
      <c r="D178" s="62" t="s">
        <v>1867</v>
      </c>
      <c r="E178" s="60">
        <v>0.86236529068576662</v>
      </c>
      <c r="F178" s="29">
        <f t="shared" si="31"/>
        <v>292385.17000000004</v>
      </c>
      <c r="G178" s="29">
        <v>0</v>
      </c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64">
        <v>0</v>
      </c>
      <c r="N178" s="29">
        <v>0</v>
      </c>
      <c r="O178" s="29">
        <v>1207</v>
      </c>
      <c r="P178" s="29">
        <v>288064.21000000002</v>
      </c>
      <c r="Q178" s="29">
        <v>0</v>
      </c>
      <c r="R178" s="29">
        <v>0</v>
      </c>
      <c r="S178" s="29">
        <v>0</v>
      </c>
      <c r="T178" s="167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f t="shared" si="44"/>
        <v>4320.96</v>
      </c>
      <c r="AF178" s="29">
        <v>0</v>
      </c>
      <c r="AG178" s="29">
        <v>0</v>
      </c>
      <c r="AH178" s="166" t="s">
        <v>268</v>
      </c>
      <c r="AI178" s="166">
        <v>2020</v>
      </c>
      <c r="AJ178" s="166">
        <v>2020</v>
      </c>
      <c r="AK178" s="55"/>
      <c r="AL178" s="55"/>
      <c r="AM178" s="55"/>
      <c r="AN178" s="55"/>
    </row>
    <row r="179" spans="1:40" ht="62.25" x14ac:dyDescent="0.9">
      <c r="A179" s="4">
        <v>1</v>
      </c>
      <c r="B179" s="57">
        <f>SUBTOTAL(103,$A$88:A179)</f>
        <v>84</v>
      </c>
      <c r="C179" s="165" t="s">
        <v>1455</v>
      </c>
      <c r="D179" s="62" t="s">
        <v>1867</v>
      </c>
      <c r="E179" s="60">
        <v>0.85951459937778774</v>
      </c>
      <c r="F179" s="29">
        <f t="shared" si="31"/>
        <v>292385.17000000004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64">
        <v>0</v>
      </c>
      <c r="N179" s="29">
        <v>0</v>
      </c>
      <c r="O179" s="29">
        <v>1206</v>
      </c>
      <c r="P179" s="29">
        <v>288064.21000000002</v>
      </c>
      <c r="Q179" s="29">
        <v>0</v>
      </c>
      <c r="R179" s="29">
        <v>0</v>
      </c>
      <c r="S179" s="29">
        <v>0</v>
      </c>
      <c r="T179" s="167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29">
        <v>0</v>
      </c>
      <c r="AD179" s="29">
        <v>0</v>
      </c>
      <c r="AE179" s="29">
        <f t="shared" si="44"/>
        <v>4320.96</v>
      </c>
      <c r="AF179" s="29">
        <v>0</v>
      </c>
      <c r="AG179" s="29">
        <v>0</v>
      </c>
      <c r="AH179" s="166" t="s">
        <v>268</v>
      </c>
      <c r="AI179" s="166">
        <v>2020</v>
      </c>
      <c r="AJ179" s="166">
        <v>2020</v>
      </c>
      <c r="AK179" s="55"/>
      <c r="AL179" s="55"/>
      <c r="AM179" s="55"/>
      <c r="AN179" s="55"/>
    </row>
    <row r="180" spans="1:40" ht="62.25" x14ac:dyDescent="0.9">
      <c r="A180" s="4">
        <v>1</v>
      </c>
      <c r="B180" s="57">
        <f>SUBTOTAL(103,$A$88:A180)</f>
        <v>85</v>
      </c>
      <c r="C180" s="165" t="s">
        <v>1456</v>
      </c>
      <c r="D180" s="62" t="s">
        <v>1867</v>
      </c>
      <c r="E180" s="60">
        <v>0.89797041453932691</v>
      </c>
      <c r="F180" s="29">
        <f>G180+H180+I180+J180+K180+L180+N180+P180+R180+T180+V180+W180+X180+Y180+Z180+AA180+AB180+AC180+AD180+AE180+AF180+AG180</f>
        <v>193920.28</v>
      </c>
      <c r="G180" s="29">
        <v>0</v>
      </c>
      <c r="H180" s="29">
        <v>0</v>
      </c>
      <c r="I180" s="29">
        <v>0</v>
      </c>
      <c r="J180" s="29">
        <v>0</v>
      </c>
      <c r="K180" s="29">
        <v>0</v>
      </c>
      <c r="L180" s="29">
        <v>0</v>
      </c>
      <c r="M180" s="64">
        <v>0</v>
      </c>
      <c r="N180" s="29">
        <v>0</v>
      </c>
      <c r="O180" s="29">
        <v>516.6</v>
      </c>
      <c r="P180" s="29">
        <v>191054.46</v>
      </c>
      <c r="Q180" s="29">
        <v>0</v>
      </c>
      <c r="R180" s="29">
        <v>0</v>
      </c>
      <c r="S180" s="29">
        <v>0</v>
      </c>
      <c r="T180" s="167">
        <v>0</v>
      </c>
      <c r="U180" s="29">
        <v>0</v>
      </c>
      <c r="V180" s="29">
        <v>0</v>
      </c>
      <c r="W180" s="29">
        <v>0</v>
      </c>
      <c r="X180" s="29">
        <v>0</v>
      </c>
      <c r="Y180" s="29">
        <v>0</v>
      </c>
      <c r="Z180" s="29">
        <v>0</v>
      </c>
      <c r="AA180" s="29">
        <v>0</v>
      </c>
      <c r="AB180" s="29">
        <v>0</v>
      </c>
      <c r="AC180" s="29">
        <v>0</v>
      </c>
      <c r="AD180" s="29">
        <v>0</v>
      </c>
      <c r="AE180" s="29">
        <f t="shared" si="44"/>
        <v>2865.82</v>
      </c>
      <c r="AF180" s="29">
        <v>0</v>
      </c>
      <c r="AG180" s="29">
        <v>0</v>
      </c>
      <c r="AH180" s="166" t="s">
        <v>268</v>
      </c>
      <c r="AI180" s="166">
        <v>2020</v>
      </c>
      <c r="AJ180" s="166">
        <v>2020</v>
      </c>
      <c r="AK180" s="55"/>
      <c r="AL180" s="55"/>
      <c r="AM180" s="55"/>
      <c r="AN180" s="55"/>
    </row>
    <row r="181" spans="1:40" ht="62.25" x14ac:dyDescent="0.9">
      <c r="A181" s="4">
        <v>1</v>
      </c>
      <c r="B181" s="57">
        <f>SUBTOTAL(103,$A$88:A181)</f>
        <v>86</v>
      </c>
      <c r="C181" s="165" t="s">
        <v>2270</v>
      </c>
      <c r="D181" s="62">
        <v>2014</v>
      </c>
      <c r="E181" s="60">
        <v>0.96409999999999996</v>
      </c>
      <c r="F181" s="29">
        <f t="shared" si="31"/>
        <v>8047.75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64">
        <v>0</v>
      </c>
      <c r="N181" s="29">
        <v>0</v>
      </c>
      <c r="O181" s="29">
        <v>781</v>
      </c>
      <c r="P181" s="29">
        <v>7928.82</v>
      </c>
      <c r="Q181" s="29">
        <v>0</v>
      </c>
      <c r="R181" s="29">
        <v>0</v>
      </c>
      <c r="S181" s="29">
        <v>0</v>
      </c>
      <c r="T181" s="167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f t="shared" si="44"/>
        <v>118.93</v>
      </c>
      <c r="AF181" s="29">
        <v>0</v>
      </c>
      <c r="AG181" s="29">
        <v>0</v>
      </c>
      <c r="AH181" s="166" t="s">
        <v>268</v>
      </c>
      <c r="AI181" s="166">
        <v>2021</v>
      </c>
      <c r="AJ181" s="166">
        <v>2021</v>
      </c>
      <c r="AK181" s="55"/>
      <c r="AL181" s="55"/>
      <c r="AM181" s="55"/>
      <c r="AN181" s="55"/>
    </row>
    <row r="182" spans="1:40" ht="62.25" x14ac:dyDescent="0.9">
      <c r="B182" s="413" t="s">
        <v>876</v>
      </c>
      <c r="C182" s="414"/>
      <c r="D182" s="415" t="s">
        <v>882</v>
      </c>
      <c r="E182" s="60">
        <f>AVERAGE(E183:E184)</f>
        <v>0.86194999999999999</v>
      </c>
      <c r="F182" s="29">
        <f>SUM(F183:F184)</f>
        <v>3231773.15</v>
      </c>
      <c r="G182" s="29">
        <f t="shared" ref="G182:AG182" si="45">SUM(G183:G184)</f>
        <v>0</v>
      </c>
      <c r="H182" s="29">
        <f t="shared" si="45"/>
        <v>0</v>
      </c>
      <c r="I182" s="29">
        <f t="shared" si="45"/>
        <v>0</v>
      </c>
      <c r="J182" s="29">
        <f t="shared" si="45"/>
        <v>0</v>
      </c>
      <c r="K182" s="29">
        <f t="shared" si="45"/>
        <v>0</v>
      </c>
      <c r="L182" s="29">
        <f t="shared" si="45"/>
        <v>0</v>
      </c>
      <c r="M182" s="64">
        <f t="shared" si="45"/>
        <v>0</v>
      </c>
      <c r="N182" s="29">
        <f t="shared" si="45"/>
        <v>0</v>
      </c>
      <c r="O182" s="29">
        <f t="shared" si="45"/>
        <v>1625</v>
      </c>
      <c r="P182" s="29">
        <f t="shared" si="45"/>
        <v>3199617</v>
      </c>
      <c r="Q182" s="29">
        <f t="shared" si="45"/>
        <v>0</v>
      </c>
      <c r="R182" s="29">
        <f t="shared" si="45"/>
        <v>0</v>
      </c>
      <c r="S182" s="29">
        <f t="shared" si="45"/>
        <v>0</v>
      </c>
      <c r="T182" s="29">
        <f t="shared" si="45"/>
        <v>0</v>
      </c>
      <c r="U182" s="29">
        <f t="shared" si="45"/>
        <v>0</v>
      </c>
      <c r="V182" s="29">
        <f t="shared" si="45"/>
        <v>0</v>
      </c>
      <c r="W182" s="29">
        <f t="shared" si="45"/>
        <v>0</v>
      </c>
      <c r="X182" s="29">
        <f t="shared" si="45"/>
        <v>0</v>
      </c>
      <c r="Y182" s="29">
        <f t="shared" si="45"/>
        <v>0</v>
      </c>
      <c r="Z182" s="29">
        <f t="shared" si="45"/>
        <v>0</v>
      </c>
      <c r="AA182" s="29">
        <f t="shared" si="45"/>
        <v>0</v>
      </c>
      <c r="AB182" s="29">
        <f t="shared" si="45"/>
        <v>0</v>
      </c>
      <c r="AC182" s="29">
        <f t="shared" si="45"/>
        <v>0</v>
      </c>
      <c r="AD182" s="29">
        <f t="shared" si="45"/>
        <v>0</v>
      </c>
      <c r="AE182" s="29">
        <f t="shared" si="45"/>
        <v>32156.15</v>
      </c>
      <c r="AF182" s="29">
        <f t="shared" si="45"/>
        <v>0</v>
      </c>
      <c r="AG182" s="29">
        <f t="shared" si="45"/>
        <v>0</v>
      </c>
      <c r="AH182" s="166" t="s">
        <v>882</v>
      </c>
      <c r="AI182" s="166" t="s">
        <v>882</v>
      </c>
      <c r="AJ182" s="166" t="s">
        <v>882</v>
      </c>
      <c r="AK182" s="55"/>
      <c r="AL182" s="55"/>
      <c r="AM182" s="55"/>
      <c r="AN182" s="55"/>
    </row>
    <row r="183" spans="1:40" ht="62.25" x14ac:dyDescent="0.9">
      <c r="A183" s="4">
        <v>1</v>
      </c>
      <c r="B183" s="57">
        <f>SUBTOTAL(103,$A$88:A183)</f>
        <v>87</v>
      </c>
      <c r="C183" s="165" t="s">
        <v>1457</v>
      </c>
      <c r="D183" s="62" t="s">
        <v>1866</v>
      </c>
      <c r="E183" s="60">
        <v>0.82040000000000002</v>
      </c>
      <c r="F183" s="29">
        <f t="shared" si="31"/>
        <v>1617633.46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64">
        <v>0</v>
      </c>
      <c r="N183" s="29">
        <v>0</v>
      </c>
      <c r="O183" s="29">
        <v>812.5</v>
      </c>
      <c r="P183" s="29">
        <v>1601538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16095.46</v>
      </c>
      <c r="AF183" s="29">
        <v>0</v>
      </c>
      <c r="AG183" s="29">
        <v>0</v>
      </c>
      <c r="AH183" s="166" t="s">
        <v>268</v>
      </c>
      <c r="AI183" s="166">
        <v>2020</v>
      </c>
      <c r="AJ183" s="166">
        <v>2020</v>
      </c>
      <c r="AK183" s="55"/>
      <c r="AL183" s="55"/>
      <c r="AM183" s="55"/>
      <c r="AN183" s="55"/>
    </row>
    <row r="184" spans="1:40" ht="62.25" x14ac:dyDescent="0.9">
      <c r="A184" s="4">
        <v>1</v>
      </c>
      <c r="B184" s="57">
        <f>SUBTOTAL(103,$A$88:A184)</f>
        <v>88</v>
      </c>
      <c r="C184" s="165" t="s">
        <v>1458</v>
      </c>
      <c r="D184" s="62" t="s">
        <v>1867</v>
      </c>
      <c r="E184" s="60">
        <v>0.90349999999999997</v>
      </c>
      <c r="F184" s="29">
        <f>G184+H184+I184+J184+K184+L184+N184+P184+R184+T184+V184+W184+X184+Y184+Z184+AA184+AB184+AC184+AD184+AE184+AF184+AG184</f>
        <v>1614139.69</v>
      </c>
      <c r="G184" s="29">
        <v>0</v>
      </c>
      <c r="H184" s="29">
        <v>0</v>
      </c>
      <c r="I184" s="29">
        <v>0</v>
      </c>
      <c r="J184" s="29">
        <v>0</v>
      </c>
      <c r="K184" s="29">
        <v>0</v>
      </c>
      <c r="L184" s="29">
        <v>0</v>
      </c>
      <c r="M184" s="64">
        <v>0</v>
      </c>
      <c r="N184" s="29">
        <v>0</v>
      </c>
      <c r="O184" s="29">
        <v>812.5</v>
      </c>
      <c r="P184" s="29">
        <v>1598079</v>
      </c>
      <c r="Q184" s="29">
        <v>0</v>
      </c>
      <c r="R184" s="29">
        <v>0</v>
      </c>
      <c r="S184" s="29">
        <v>0</v>
      </c>
      <c r="T184" s="29">
        <v>0</v>
      </c>
      <c r="U184" s="29">
        <v>0</v>
      </c>
      <c r="V184" s="29">
        <v>0</v>
      </c>
      <c r="W184" s="29">
        <v>0</v>
      </c>
      <c r="X184" s="29">
        <v>0</v>
      </c>
      <c r="Y184" s="29">
        <v>0</v>
      </c>
      <c r="Z184" s="29">
        <v>0</v>
      </c>
      <c r="AA184" s="29">
        <v>0</v>
      </c>
      <c r="AB184" s="29">
        <v>0</v>
      </c>
      <c r="AC184" s="29">
        <v>0</v>
      </c>
      <c r="AD184" s="29">
        <v>0</v>
      </c>
      <c r="AE184" s="29">
        <v>16060.69</v>
      </c>
      <c r="AF184" s="29">
        <v>0</v>
      </c>
      <c r="AG184" s="29">
        <v>0</v>
      </c>
      <c r="AH184" s="166" t="s">
        <v>268</v>
      </c>
      <c r="AI184" s="166">
        <v>2020</v>
      </c>
      <c r="AJ184" s="166">
        <v>2020</v>
      </c>
      <c r="AK184" s="55"/>
      <c r="AL184" s="55"/>
      <c r="AM184" s="55"/>
      <c r="AN184" s="55"/>
    </row>
    <row r="185" spans="1:40" ht="62.25" x14ac:dyDescent="0.9">
      <c r="B185" s="416" t="s">
        <v>1397</v>
      </c>
      <c r="C185" s="165"/>
      <c r="D185" s="415" t="s">
        <v>882</v>
      </c>
      <c r="E185" s="60">
        <f>AVERAGE(E186:E187)</f>
        <v>0.91439999999999999</v>
      </c>
      <c r="F185" s="29">
        <f>F186+F187</f>
        <v>35323.410000000003</v>
      </c>
      <c r="G185" s="29">
        <f t="shared" ref="G185:AG185" si="46">G186+G187</f>
        <v>0</v>
      </c>
      <c r="H185" s="29">
        <f t="shared" si="46"/>
        <v>0</v>
      </c>
      <c r="I185" s="29">
        <f t="shared" si="46"/>
        <v>0</v>
      </c>
      <c r="J185" s="29">
        <f t="shared" si="46"/>
        <v>0</v>
      </c>
      <c r="K185" s="29">
        <f t="shared" si="46"/>
        <v>0</v>
      </c>
      <c r="L185" s="29">
        <f t="shared" si="46"/>
        <v>0</v>
      </c>
      <c r="M185" s="29">
        <f t="shared" si="46"/>
        <v>0</v>
      </c>
      <c r="N185" s="29">
        <f t="shared" si="46"/>
        <v>0</v>
      </c>
      <c r="O185" s="29">
        <f t="shared" si="46"/>
        <v>776.1</v>
      </c>
      <c r="P185" s="29">
        <f t="shared" si="46"/>
        <v>34856.94</v>
      </c>
      <c r="Q185" s="29">
        <f t="shared" si="46"/>
        <v>0</v>
      </c>
      <c r="R185" s="29">
        <f t="shared" si="46"/>
        <v>0</v>
      </c>
      <c r="S185" s="29">
        <f t="shared" si="46"/>
        <v>0</v>
      </c>
      <c r="T185" s="29">
        <f t="shared" si="46"/>
        <v>0</v>
      </c>
      <c r="U185" s="29">
        <f t="shared" si="46"/>
        <v>0</v>
      </c>
      <c r="V185" s="29">
        <f t="shared" si="46"/>
        <v>0</v>
      </c>
      <c r="W185" s="29">
        <f t="shared" si="46"/>
        <v>0</v>
      </c>
      <c r="X185" s="29">
        <f t="shared" si="46"/>
        <v>0</v>
      </c>
      <c r="Y185" s="29">
        <f t="shared" si="46"/>
        <v>0</v>
      </c>
      <c r="Z185" s="29">
        <f t="shared" si="46"/>
        <v>0</v>
      </c>
      <c r="AA185" s="29">
        <f t="shared" si="46"/>
        <v>0</v>
      </c>
      <c r="AB185" s="29">
        <f t="shared" si="46"/>
        <v>0</v>
      </c>
      <c r="AC185" s="29">
        <f t="shared" si="46"/>
        <v>0</v>
      </c>
      <c r="AD185" s="29">
        <f t="shared" si="46"/>
        <v>0</v>
      </c>
      <c r="AE185" s="29">
        <f t="shared" si="46"/>
        <v>466.46999999999997</v>
      </c>
      <c r="AF185" s="29">
        <f t="shared" si="46"/>
        <v>0</v>
      </c>
      <c r="AG185" s="29">
        <f t="shared" si="46"/>
        <v>0</v>
      </c>
      <c r="AH185" s="166" t="s">
        <v>882</v>
      </c>
      <c r="AI185" s="166" t="s">
        <v>882</v>
      </c>
      <c r="AJ185" s="166" t="s">
        <v>882</v>
      </c>
      <c r="AK185" s="55"/>
      <c r="AL185" s="55"/>
      <c r="AM185" s="55"/>
      <c r="AN185" s="55"/>
    </row>
    <row r="186" spans="1:40" ht="62.25" x14ac:dyDescent="0.9">
      <c r="A186" s="4">
        <v>1</v>
      </c>
      <c r="B186" s="57">
        <f>SUBTOTAL(103,$A$88:A186)</f>
        <v>89</v>
      </c>
      <c r="C186" s="165" t="s">
        <v>1459</v>
      </c>
      <c r="D186" s="62" t="s">
        <v>1516</v>
      </c>
      <c r="E186" s="60">
        <v>0.93579999999999997</v>
      </c>
      <c r="F186" s="29">
        <f>G186+H186+I186+J186+K186+L186+N186+P186+R186+T186+V186+W186+X186+Y186+Z186+AA186+AB186+AC186+AD186+AE186+AF186+AG186</f>
        <v>11164.380000000001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64">
        <v>0</v>
      </c>
      <c r="N186" s="29">
        <v>0</v>
      </c>
      <c r="O186" s="29">
        <v>471.6</v>
      </c>
      <c r="P186" s="29">
        <v>11054.94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109.44</v>
      </c>
      <c r="AF186" s="29">
        <v>0</v>
      </c>
      <c r="AG186" s="29">
        <v>0</v>
      </c>
      <c r="AH186" s="166" t="s">
        <v>268</v>
      </c>
      <c r="AI186" s="166">
        <v>2020</v>
      </c>
      <c r="AJ186" s="166">
        <v>2020</v>
      </c>
      <c r="AK186" s="55"/>
      <c r="AL186" s="55"/>
      <c r="AM186" s="55"/>
      <c r="AN186" s="55"/>
    </row>
    <row r="187" spans="1:40" ht="62.25" x14ac:dyDescent="0.9">
      <c r="A187" s="4">
        <v>1</v>
      </c>
      <c r="B187" s="57">
        <f>SUBTOTAL(103,$A$88:A187)</f>
        <v>90</v>
      </c>
      <c r="C187" s="165" t="s">
        <v>1878</v>
      </c>
      <c r="D187" s="62" t="s">
        <v>1867</v>
      </c>
      <c r="E187" s="60">
        <v>0.89300000000000002</v>
      </c>
      <c r="F187" s="29">
        <f>P187+AE187</f>
        <v>24159.03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64">
        <v>0</v>
      </c>
      <c r="N187" s="29">
        <v>0</v>
      </c>
      <c r="O187" s="29">
        <v>304.5</v>
      </c>
      <c r="P187" s="29">
        <v>23802</v>
      </c>
      <c r="Q187" s="29">
        <v>0</v>
      </c>
      <c r="R187" s="29">
        <v>0</v>
      </c>
      <c r="S187" s="29">
        <v>0</v>
      </c>
      <c r="T187" s="167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9">
        <v>0</v>
      </c>
      <c r="AC187" s="29">
        <v>0</v>
      </c>
      <c r="AD187" s="29">
        <v>0</v>
      </c>
      <c r="AE187" s="29">
        <f>ROUND(P187*1.5%,2)</f>
        <v>357.03</v>
      </c>
      <c r="AF187" s="29">
        <v>0</v>
      </c>
      <c r="AG187" s="29">
        <v>0</v>
      </c>
      <c r="AH187" s="166" t="s">
        <v>268</v>
      </c>
      <c r="AI187" s="166">
        <v>2021</v>
      </c>
      <c r="AJ187" s="166">
        <v>2021</v>
      </c>
      <c r="AK187" s="55"/>
      <c r="AL187" s="55"/>
      <c r="AM187" s="55"/>
      <c r="AN187" s="55"/>
    </row>
    <row r="188" spans="1:40" ht="62.25" x14ac:dyDescent="0.9">
      <c r="B188" s="416" t="s">
        <v>852</v>
      </c>
      <c r="C188" s="165"/>
      <c r="D188" s="415" t="s">
        <v>882</v>
      </c>
      <c r="E188" s="60">
        <f>E189</f>
        <v>0.9657</v>
      </c>
      <c r="F188" s="29">
        <f>F189</f>
        <v>778244.79</v>
      </c>
      <c r="G188" s="29">
        <f t="shared" ref="G188:AG188" si="47">G189</f>
        <v>0</v>
      </c>
      <c r="H188" s="29">
        <f t="shared" si="47"/>
        <v>0</v>
      </c>
      <c r="I188" s="29">
        <f t="shared" si="47"/>
        <v>0</v>
      </c>
      <c r="J188" s="29">
        <f t="shared" si="47"/>
        <v>0</v>
      </c>
      <c r="K188" s="29">
        <f t="shared" si="47"/>
        <v>0</v>
      </c>
      <c r="L188" s="29">
        <f t="shared" si="47"/>
        <v>0</v>
      </c>
      <c r="M188" s="64">
        <f t="shared" si="47"/>
        <v>0</v>
      </c>
      <c r="N188" s="29">
        <f t="shared" si="47"/>
        <v>0</v>
      </c>
      <c r="O188" s="29">
        <f t="shared" si="47"/>
        <v>972.5</v>
      </c>
      <c r="P188" s="29">
        <f t="shared" si="47"/>
        <v>766743.64</v>
      </c>
      <c r="Q188" s="29">
        <f t="shared" si="47"/>
        <v>0</v>
      </c>
      <c r="R188" s="29">
        <f t="shared" si="47"/>
        <v>0</v>
      </c>
      <c r="S188" s="29">
        <f t="shared" si="47"/>
        <v>0</v>
      </c>
      <c r="T188" s="29">
        <f t="shared" si="47"/>
        <v>0</v>
      </c>
      <c r="U188" s="29">
        <f t="shared" si="47"/>
        <v>0</v>
      </c>
      <c r="V188" s="29">
        <f t="shared" si="47"/>
        <v>0</v>
      </c>
      <c r="W188" s="29">
        <f t="shared" si="47"/>
        <v>0</v>
      </c>
      <c r="X188" s="29">
        <f t="shared" si="47"/>
        <v>0</v>
      </c>
      <c r="Y188" s="29">
        <f t="shared" si="47"/>
        <v>0</v>
      </c>
      <c r="Z188" s="29">
        <f t="shared" si="47"/>
        <v>0</v>
      </c>
      <c r="AA188" s="29">
        <f t="shared" si="47"/>
        <v>0</v>
      </c>
      <c r="AB188" s="29">
        <f t="shared" si="47"/>
        <v>0</v>
      </c>
      <c r="AC188" s="29">
        <f t="shared" si="47"/>
        <v>0</v>
      </c>
      <c r="AD188" s="29">
        <f t="shared" si="47"/>
        <v>0</v>
      </c>
      <c r="AE188" s="29">
        <f t="shared" si="47"/>
        <v>11501.15</v>
      </c>
      <c r="AF188" s="29">
        <f t="shared" si="47"/>
        <v>0</v>
      </c>
      <c r="AG188" s="29">
        <f t="shared" si="47"/>
        <v>0</v>
      </c>
      <c r="AH188" s="166" t="s">
        <v>882</v>
      </c>
      <c r="AI188" s="166" t="s">
        <v>882</v>
      </c>
      <c r="AJ188" s="166" t="s">
        <v>882</v>
      </c>
      <c r="AK188" s="55"/>
      <c r="AL188" s="55"/>
      <c r="AM188" s="55"/>
      <c r="AN188" s="55"/>
    </row>
    <row r="189" spans="1:40" ht="62.25" x14ac:dyDescent="0.9">
      <c r="A189" s="4">
        <v>1</v>
      </c>
      <c r="B189" s="57">
        <f>SUBTOTAL(103,$A$88:A189)</f>
        <v>91</v>
      </c>
      <c r="C189" s="165" t="s">
        <v>1460</v>
      </c>
      <c r="D189" s="62" t="s">
        <v>1516</v>
      </c>
      <c r="E189" s="60">
        <v>0.9657</v>
      </c>
      <c r="F189" s="29">
        <f>G189+H189+I189+J189+K189+L189+N189+P189+R189+T189+V189+W189+X189+Y189+Z189+AA189+AB189+AC189+AD189+AE189+AF189+AG189</f>
        <v>778244.79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64">
        <v>0</v>
      </c>
      <c r="N189" s="29">
        <v>0</v>
      </c>
      <c r="O189" s="29">
        <v>972.5</v>
      </c>
      <c r="P189" s="29">
        <v>766743.64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9">
        <v>0</v>
      </c>
      <c r="AD189" s="29">
        <v>0</v>
      </c>
      <c r="AE189" s="29">
        <f>ROUND(P189*1.5%,2)</f>
        <v>11501.15</v>
      </c>
      <c r="AF189" s="29">
        <v>0</v>
      </c>
      <c r="AG189" s="29">
        <v>0</v>
      </c>
      <c r="AH189" s="166" t="s">
        <v>268</v>
      </c>
      <c r="AI189" s="166">
        <v>2020</v>
      </c>
      <c r="AJ189" s="166">
        <v>2020</v>
      </c>
      <c r="AK189" s="55"/>
      <c r="AL189" s="55"/>
      <c r="AM189" s="55"/>
      <c r="AN189" s="55"/>
    </row>
    <row r="190" spans="1:40" ht="62.25" x14ac:dyDescent="0.9">
      <c r="B190" s="416" t="s">
        <v>838</v>
      </c>
      <c r="C190" s="165"/>
      <c r="D190" s="415" t="s">
        <v>882</v>
      </c>
      <c r="E190" s="60">
        <f>AVERAGE(E191:E195)</f>
        <v>0.82111999999999996</v>
      </c>
      <c r="F190" s="29">
        <f>SUM(F191:F195)</f>
        <v>2076577.0500000003</v>
      </c>
      <c r="G190" s="29">
        <f t="shared" ref="G190:AG190" si="48">SUM(G191:G195)</f>
        <v>0</v>
      </c>
      <c r="H190" s="29">
        <f t="shared" si="48"/>
        <v>0</v>
      </c>
      <c r="I190" s="29">
        <f t="shared" si="48"/>
        <v>0</v>
      </c>
      <c r="J190" s="29">
        <f t="shared" si="48"/>
        <v>0</v>
      </c>
      <c r="K190" s="29">
        <f t="shared" si="48"/>
        <v>0</v>
      </c>
      <c r="L190" s="29">
        <f t="shared" si="48"/>
        <v>0</v>
      </c>
      <c r="M190" s="64">
        <f t="shared" si="48"/>
        <v>0</v>
      </c>
      <c r="N190" s="29">
        <f t="shared" si="48"/>
        <v>0</v>
      </c>
      <c r="O190" s="29">
        <f t="shared" si="48"/>
        <v>3056.1</v>
      </c>
      <c r="P190" s="29">
        <f t="shared" si="48"/>
        <v>1815879.31</v>
      </c>
      <c r="Q190" s="29">
        <f t="shared" si="48"/>
        <v>0</v>
      </c>
      <c r="R190" s="29">
        <f t="shared" si="48"/>
        <v>0</v>
      </c>
      <c r="S190" s="29">
        <f t="shared" si="48"/>
        <v>157.6</v>
      </c>
      <c r="T190" s="29">
        <f t="shared" si="48"/>
        <v>230009.4</v>
      </c>
      <c r="U190" s="29">
        <f t="shared" si="48"/>
        <v>0</v>
      </c>
      <c r="V190" s="29">
        <f t="shared" si="48"/>
        <v>0</v>
      </c>
      <c r="W190" s="29">
        <f t="shared" si="48"/>
        <v>0</v>
      </c>
      <c r="X190" s="29">
        <f t="shared" si="48"/>
        <v>0</v>
      </c>
      <c r="Y190" s="29">
        <f t="shared" si="48"/>
        <v>0</v>
      </c>
      <c r="Z190" s="29">
        <f t="shared" si="48"/>
        <v>0</v>
      </c>
      <c r="AA190" s="29">
        <f t="shared" si="48"/>
        <v>0</v>
      </c>
      <c r="AB190" s="29">
        <f t="shared" si="48"/>
        <v>0</v>
      </c>
      <c r="AC190" s="29">
        <f t="shared" si="48"/>
        <v>0</v>
      </c>
      <c r="AD190" s="29">
        <f t="shared" si="48"/>
        <v>0</v>
      </c>
      <c r="AE190" s="29">
        <f t="shared" si="48"/>
        <v>30688.340000000004</v>
      </c>
      <c r="AF190" s="29">
        <f t="shared" si="48"/>
        <v>0</v>
      </c>
      <c r="AG190" s="29">
        <f t="shared" si="48"/>
        <v>0</v>
      </c>
      <c r="AH190" s="166" t="s">
        <v>882</v>
      </c>
      <c r="AI190" s="166" t="s">
        <v>882</v>
      </c>
      <c r="AJ190" s="166" t="s">
        <v>882</v>
      </c>
      <c r="AK190" s="55"/>
      <c r="AL190" s="55"/>
      <c r="AM190" s="55"/>
      <c r="AN190" s="55"/>
    </row>
    <row r="191" spans="1:40" ht="62.25" x14ac:dyDescent="0.9">
      <c r="A191" s="4">
        <v>1</v>
      </c>
      <c r="B191" s="57">
        <f>SUBTOTAL(103,$A$88:A191)</f>
        <v>92</v>
      </c>
      <c r="C191" s="165" t="s">
        <v>1461</v>
      </c>
      <c r="D191" s="62" t="s">
        <v>1516</v>
      </c>
      <c r="E191" s="60">
        <v>0.83589999999999998</v>
      </c>
      <c r="F191" s="29">
        <f>G191+H191+I191+J191+K191+L191+N191+P191+R191+T191+V191+W191+X191+Y191+Z191+AA191+AB191+AC191+AD191+AE191+AF191+AG191</f>
        <v>672709.20000000007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64">
        <v>0</v>
      </c>
      <c r="N191" s="29">
        <v>0</v>
      </c>
      <c r="O191" s="29">
        <v>958</v>
      </c>
      <c r="P191" s="29">
        <v>662767.68000000005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29">
        <v>0</v>
      </c>
      <c r="AD191" s="29">
        <v>0</v>
      </c>
      <c r="AE191" s="29">
        <f>ROUND(P191*1.5%,2)</f>
        <v>9941.52</v>
      </c>
      <c r="AF191" s="29">
        <v>0</v>
      </c>
      <c r="AG191" s="29">
        <v>0</v>
      </c>
      <c r="AH191" s="166" t="s">
        <v>268</v>
      </c>
      <c r="AI191" s="166">
        <v>2020</v>
      </c>
      <c r="AJ191" s="166">
        <v>2020</v>
      </c>
      <c r="AK191" s="55"/>
      <c r="AL191" s="55"/>
      <c r="AM191" s="55"/>
      <c r="AN191" s="55"/>
    </row>
    <row r="192" spans="1:40" ht="62.25" x14ac:dyDescent="0.9">
      <c r="A192" s="4">
        <v>1</v>
      </c>
      <c r="B192" s="57">
        <f>SUBTOTAL(103,$A$88:A192)</f>
        <v>93</v>
      </c>
      <c r="C192" s="165" t="s">
        <v>1462</v>
      </c>
      <c r="D192" s="62" t="s">
        <v>1516</v>
      </c>
      <c r="E192" s="60">
        <v>0.86939999999999995</v>
      </c>
      <c r="F192" s="29">
        <f>G192+H192+I192+J192+K192+L192+N192+P192+R192+T192+V192+W192+X192+Y192+Z192+AA192+AB192+AC192+AD192+AE192+AF192+AG192</f>
        <v>5758.94</v>
      </c>
      <c r="G192" s="29">
        <v>0</v>
      </c>
      <c r="H192" s="29">
        <v>0</v>
      </c>
      <c r="I192" s="29">
        <v>0</v>
      </c>
      <c r="J192" s="29">
        <v>0</v>
      </c>
      <c r="K192" s="29">
        <v>0</v>
      </c>
      <c r="L192" s="29">
        <v>0</v>
      </c>
      <c r="M192" s="64">
        <v>0</v>
      </c>
      <c r="N192" s="29">
        <v>0</v>
      </c>
      <c r="O192" s="29">
        <v>611</v>
      </c>
      <c r="P192" s="29">
        <v>5673.83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9">
        <v>0</v>
      </c>
      <c r="AD192" s="29">
        <v>0</v>
      </c>
      <c r="AE192" s="29">
        <f>ROUND(P192*1.5%,2)</f>
        <v>85.11</v>
      </c>
      <c r="AF192" s="29">
        <v>0</v>
      </c>
      <c r="AG192" s="29">
        <v>0</v>
      </c>
      <c r="AH192" s="166" t="s">
        <v>268</v>
      </c>
      <c r="AI192" s="166">
        <v>2020</v>
      </c>
      <c r="AJ192" s="166">
        <v>2020</v>
      </c>
      <c r="AK192" s="55"/>
      <c r="AL192" s="55"/>
      <c r="AM192" s="55"/>
      <c r="AN192" s="55"/>
    </row>
    <row r="193" spans="1:40" ht="62.25" x14ac:dyDescent="0.9">
      <c r="A193" s="4">
        <v>1</v>
      </c>
      <c r="B193" s="57">
        <f>SUBTOTAL(103,$A$88:A193)</f>
        <v>94</v>
      </c>
      <c r="C193" s="165" t="s">
        <v>1463</v>
      </c>
      <c r="D193" s="77" t="s">
        <v>1867</v>
      </c>
      <c r="E193" s="60">
        <v>0.62490000000000001</v>
      </c>
      <c r="F193" s="29">
        <f>G193+H193+I193+J193+K193+L193+N193+P193+R193+T193+V193+W193+X193+Y193+Z193+AA193+AB193+AC193+AD193+AE193+AF193+AG193</f>
        <v>233459.54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64">
        <v>0</v>
      </c>
      <c r="N193" s="29">
        <v>0</v>
      </c>
      <c r="O193" s="29">
        <v>0</v>
      </c>
      <c r="P193" s="29">
        <v>0</v>
      </c>
      <c r="Q193" s="29">
        <v>0</v>
      </c>
      <c r="R193" s="29">
        <v>0</v>
      </c>
      <c r="S193" s="29">
        <v>157.6</v>
      </c>
      <c r="T193" s="29">
        <v>230009.4</v>
      </c>
      <c r="U193" s="29">
        <v>0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9">
        <v>0</v>
      </c>
      <c r="AC193" s="29">
        <v>0</v>
      </c>
      <c r="AD193" s="29">
        <v>0</v>
      </c>
      <c r="AE193" s="29">
        <f>ROUND(T193*1.5%,2)</f>
        <v>3450.14</v>
      </c>
      <c r="AF193" s="29">
        <v>0</v>
      </c>
      <c r="AG193" s="29">
        <v>0</v>
      </c>
      <c r="AH193" s="166" t="s">
        <v>268</v>
      </c>
      <c r="AI193" s="166">
        <v>2020</v>
      </c>
      <c r="AJ193" s="166">
        <v>2020</v>
      </c>
      <c r="AK193" s="55"/>
      <c r="AL193" s="55"/>
      <c r="AM193" s="55"/>
      <c r="AN193" s="55"/>
    </row>
    <row r="194" spans="1:40" ht="62.25" x14ac:dyDescent="0.9">
      <c r="A194" s="4">
        <v>1</v>
      </c>
      <c r="B194" s="57">
        <f>SUBTOTAL(103,$A$88:A194)</f>
        <v>95</v>
      </c>
      <c r="C194" s="165" t="s">
        <v>1490</v>
      </c>
      <c r="D194" s="62" t="s">
        <v>1867</v>
      </c>
      <c r="E194" s="60">
        <v>0.875</v>
      </c>
      <c r="F194" s="29">
        <f>G194+H194+I194+J194+K194+L194+N194+P194+R194+T194+V194+W194+X194+Y194+Z194+AA194+AB194+AC194+AD194+AE194+AF194+AG194</f>
        <v>57671.29</v>
      </c>
      <c r="G194" s="29">
        <v>0</v>
      </c>
      <c r="H194" s="29">
        <v>0</v>
      </c>
      <c r="I194" s="29">
        <v>0</v>
      </c>
      <c r="J194" s="29">
        <v>0</v>
      </c>
      <c r="K194" s="29">
        <v>0</v>
      </c>
      <c r="L194" s="29">
        <v>0</v>
      </c>
      <c r="M194" s="64">
        <v>0</v>
      </c>
      <c r="N194" s="29">
        <v>0</v>
      </c>
      <c r="O194" s="29">
        <v>508</v>
      </c>
      <c r="P194" s="29">
        <v>56819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29">
        <v>0</v>
      </c>
      <c r="AD194" s="29">
        <v>0</v>
      </c>
      <c r="AE194" s="29">
        <f>ROUND(P194*1.5%,2)</f>
        <v>852.29</v>
      </c>
      <c r="AF194" s="29">
        <v>0</v>
      </c>
      <c r="AG194" s="29">
        <v>0</v>
      </c>
      <c r="AH194" s="166" t="s">
        <v>268</v>
      </c>
      <c r="AI194" s="33">
        <v>2021</v>
      </c>
      <c r="AJ194" s="33">
        <v>2021</v>
      </c>
      <c r="AK194" s="55"/>
      <c r="AL194" s="55"/>
      <c r="AM194" s="55"/>
      <c r="AN194" s="55"/>
    </row>
    <row r="195" spans="1:40" ht="62.25" x14ac:dyDescent="0.9">
      <c r="A195" s="4">
        <v>1</v>
      </c>
      <c r="B195" s="57">
        <f>SUBTOTAL(103,$A$88:A195)</f>
        <v>96</v>
      </c>
      <c r="C195" s="165" t="s">
        <v>2267</v>
      </c>
      <c r="D195" s="62">
        <v>2015</v>
      </c>
      <c r="E195" s="60">
        <v>0.90039999999999998</v>
      </c>
      <c r="F195" s="29">
        <f>G195+H195+I195+J195+K195+L195+N195+P195+R195+T195+V195+W195+X195+Y195+Z195+AA195+AB195+AC195+AD195+AE195+AF195+AG195</f>
        <v>1106978.08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64">
        <v>0</v>
      </c>
      <c r="N195" s="29">
        <v>0</v>
      </c>
      <c r="O195" s="29">
        <v>979.1</v>
      </c>
      <c r="P195" s="29">
        <v>1090618.8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9">
        <v>0</v>
      </c>
      <c r="AD195" s="29">
        <v>0</v>
      </c>
      <c r="AE195" s="29">
        <f>ROUND(P195*1.5%,2)</f>
        <v>16359.28</v>
      </c>
      <c r="AF195" s="29">
        <v>0</v>
      </c>
      <c r="AG195" s="29">
        <v>0</v>
      </c>
      <c r="AH195" s="166" t="s">
        <v>268</v>
      </c>
      <c r="AI195" s="33">
        <v>2021</v>
      </c>
      <c r="AJ195" s="33">
        <v>2021</v>
      </c>
      <c r="AK195" s="55"/>
      <c r="AL195" s="55"/>
      <c r="AM195" s="55"/>
      <c r="AN195" s="55"/>
    </row>
    <row r="196" spans="1:40" ht="62.25" x14ac:dyDescent="0.9">
      <c r="B196" s="416" t="s">
        <v>862</v>
      </c>
      <c r="C196" s="165"/>
      <c r="D196" s="415" t="s">
        <v>882</v>
      </c>
      <c r="E196" s="60">
        <f>E197</f>
        <v>0.93430000000000002</v>
      </c>
      <c r="F196" s="29">
        <f>F197</f>
        <v>425208.96</v>
      </c>
      <c r="G196" s="29">
        <f t="shared" ref="G196:AG196" si="49">G197</f>
        <v>0</v>
      </c>
      <c r="H196" s="29">
        <f t="shared" si="49"/>
        <v>0</v>
      </c>
      <c r="I196" s="29">
        <f t="shared" si="49"/>
        <v>0</v>
      </c>
      <c r="J196" s="29">
        <f t="shared" si="49"/>
        <v>0</v>
      </c>
      <c r="K196" s="29">
        <f t="shared" si="49"/>
        <v>0</v>
      </c>
      <c r="L196" s="29">
        <f t="shared" si="49"/>
        <v>0</v>
      </c>
      <c r="M196" s="64">
        <f t="shared" si="49"/>
        <v>0</v>
      </c>
      <c r="N196" s="29">
        <f t="shared" si="49"/>
        <v>0</v>
      </c>
      <c r="O196" s="29">
        <f t="shared" si="49"/>
        <v>1223</v>
      </c>
      <c r="P196" s="29">
        <f t="shared" si="49"/>
        <v>425208.96</v>
      </c>
      <c r="Q196" s="29">
        <f t="shared" si="49"/>
        <v>0</v>
      </c>
      <c r="R196" s="29">
        <f t="shared" si="49"/>
        <v>0</v>
      </c>
      <c r="S196" s="29">
        <f t="shared" si="49"/>
        <v>0</v>
      </c>
      <c r="T196" s="29">
        <f t="shared" si="49"/>
        <v>0</v>
      </c>
      <c r="U196" s="29">
        <f t="shared" si="49"/>
        <v>0</v>
      </c>
      <c r="V196" s="29">
        <f t="shared" si="49"/>
        <v>0</v>
      </c>
      <c r="W196" s="29">
        <f t="shared" si="49"/>
        <v>0</v>
      </c>
      <c r="X196" s="29">
        <f t="shared" si="49"/>
        <v>0</v>
      </c>
      <c r="Y196" s="29">
        <f t="shared" si="49"/>
        <v>0</v>
      </c>
      <c r="Z196" s="29">
        <f t="shared" si="49"/>
        <v>0</v>
      </c>
      <c r="AA196" s="29">
        <f t="shared" si="49"/>
        <v>0</v>
      </c>
      <c r="AB196" s="29">
        <f t="shared" si="49"/>
        <v>0</v>
      </c>
      <c r="AC196" s="29">
        <f t="shared" si="49"/>
        <v>0</v>
      </c>
      <c r="AD196" s="29">
        <f t="shared" si="49"/>
        <v>0</v>
      </c>
      <c r="AE196" s="29">
        <f t="shared" si="49"/>
        <v>0</v>
      </c>
      <c r="AF196" s="29">
        <f t="shared" si="49"/>
        <v>0</v>
      </c>
      <c r="AG196" s="29">
        <f t="shared" si="49"/>
        <v>0</v>
      </c>
      <c r="AH196" s="166" t="s">
        <v>882</v>
      </c>
      <c r="AI196" s="166" t="s">
        <v>882</v>
      </c>
      <c r="AJ196" s="166" t="s">
        <v>882</v>
      </c>
      <c r="AK196" s="55"/>
      <c r="AL196" s="55"/>
      <c r="AM196" s="55"/>
      <c r="AN196" s="55"/>
    </row>
    <row r="197" spans="1:40" ht="62.25" x14ac:dyDescent="0.9">
      <c r="A197" s="4">
        <v>1</v>
      </c>
      <c r="B197" s="57">
        <f>SUBTOTAL(103,$A$88:A197)</f>
        <v>97</v>
      </c>
      <c r="C197" s="165" t="s">
        <v>1464</v>
      </c>
      <c r="D197" s="62" t="s">
        <v>1866</v>
      </c>
      <c r="E197" s="60">
        <v>0.93430000000000002</v>
      </c>
      <c r="F197" s="29">
        <f>G197+H197+I197+J197+K197+L197+N197+P197+R197+T197+V197+W197+X197+Y197+Z197+AA197+AB197+AC197+AD197+AE197+AF197+AG197</f>
        <v>425208.96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64">
        <v>0</v>
      </c>
      <c r="N197" s="29">
        <v>0</v>
      </c>
      <c r="O197" s="29">
        <v>1223</v>
      </c>
      <c r="P197" s="29">
        <v>425208.96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9">
        <v>0</v>
      </c>
      <c r="AD197" s="29">
        <v>0</v>
      </c>
      <c r="AE197" s="29">
        <v>0</v>
      </c>
      <c r="AF197" s="29">
        <v>0</v>
      </c>
      <c r="AG197" s="29">
        <v>0</v>
      </c>
      <c r="AH197" s="166" t="s">
        <v>268</v>
      </c>
      <c r="AI197" s="166">
        <v>2020</v>
      </c>
      <c r="AJ197" s="166" t="s">
        <v>268</v>
      </c>
      <c r="AK197" s="55"/>
      <c r="AL197" s="55"/>
      <c r="AM197" s="55"/>
      <c r="AN197" s="55"/>
    </row>
    <row r="198" spans="1:40" ht="62.25" x14ac:dyDescent="0.9">
      <c r="B198" s="416" t="s">
        <v>823</v>
      </c>
      <c r="C198" s="165"/>
      <c r="D198" s="415" t="s">
        <v>882</v>
      </c>
      <c r="E198" s="60">
        <f>AVERAGE(E199:E200)</f>
        <v>0.96888059793717207</v>
      </c>
      <c r="F198" s="29">
        <f>F199+F200</f>
        <v>243092.59999999998</v>
      </c>
      <c r="G198" s="29">
        <f t="shared" ref="G198:AG198" si="50">G199+G200</f>
        <v>0</v>
      </c>
      <c r="H198" s="29">
        <f t="shared" si="50"/>
        <v>0</v>
      </c>
      <c r="I198" s="29">
        <f t="shared" si="50"/>
        <v>0</v>
      </c>
      <c r="J198" s="29">
        <f t="shared" si="50"/>
        <v>0</v>
      </c>
      <c r="K198" s="29">
        <f t="shared" si="50"/>
        <v>0</v>
      </c>
      <c r="L198" s="29">
        <f t="shared" si="50"/>
        <v>0</v>
      </c>
      <c r="M198" s="29">
        <f t="shared" si="50"/>
        <v>0</v>
      </c>
      <c r="N198" s="29">
        <f t="shared" si="50"/>
        <v>0</v>
      </c>
      <c r="O198" s="29">
        <f t="shared" si="50"/>
        <v>1404.8</v>
      </c>
      <c r="P198" s="29">
        <f t="shared" si="50"/>
        <v>239500.09999999998</v>
      </c>
      <c r="Q198" s="29">
        <f t="shared" si="50"/>
        <v>0</v>
      </c>
      <c r="R198" s="29">
        <f t="shared" si="50"/>
        <v>0</v>
      </c>
      <c r="S198" s="29">
        <f t="shared" si="50"/>
        <v>0</v>
      </c>
      <c r="T198" s="29">
        <f t="shared" si="50"/>
        <v>0</v>
      </c>
      <c r="U198" s="29">
        <f t="shared" si="50"/>
        <v>0</v>
      </c>
      <c r="V198" s="29">
        <f t="shared" si="50"/>
        <v>0</v>
      </c>
      <c r="W198" s="29">
        <f t="shared" si="50"/>
        <v>0</v>
      </c>
      <c r="X198" s="29">
        <f t="shared" si="50"/>
        <v>0</v>
      </c>
      <c r="Y198" s="29">
        <f t="shared" si="50"/>
        <v>0</v>
      </c>
      <c r="Z198" s="29">
        <f t="shared" si="50"/>
        <v>0</v>
      </c>
      <c r="AA198" s="29">
        <f t="shared" si="50"/>
        <v>0</v>
      </c>
      <c r="AB198" s="29">
        <f t="shared" si="50"/>
        <v>0</v>
      </c>
      <c r="AC198" s="29">
        <f t="shared" si="50"/>
        <v>0</v>
      </c>
      <c r="AD198" s="29">
        <f t="shared" si="50"/>
        <v>0</v>
      </c>
      <c r="AE198" s="29">
        <f t="shared" si="50"/>
        <v>3592.5</v>
      </c>
      <c r="AF198" s="29">
        <f t="shared" si="50"/>
        <v>0</v>
      </c>
      <c r="AG198" s="29">
        <f t="shared" si="50"/>
        <v>0</v>
      </c>
      <c r="AH198" s="166" t="s">
        <v>882</v>
      </c>
      <c r="AI198" s="166" t="s">
        <v>882</v>
      </c>
      <c r="AJ198" s="166" t="s">
        <v>882</v>
      </c>
      <c r="AK198" s="55"/>
      <c r="AL198" s="55"/>
      <c r="AM198" s="55"/>
      <c r="AN198" s="55"/>
    </row>
    <row r="199" spans="1:40" ht="62.25" x14ac:dyDescent="0.9">
      <c r="A199" s="4">
        <v>1</v>
      </c>
      <c r="B199" s="57">
        <f>SUBTOTAL(103,$A$88:A199)</f>
        <v>98</v>
      </c>
      <c r="C199" s="165" t="s">
        <v>1465</v>
      </c>
      <c r="D199" s="62" t="s">
        <v>1866</v>
      </c>
      <c r="E199" s="60">
        <v>0.96641898912086177</v>
      </c>
      <c r="F199" s="29">
        <f>G199+H199+I199+J199+K199+L199+N199+P199+R199+T199+V199+W199+X199+Y199+Z199+AA199+AB199+AC199+AD199+AE199+AF199+AG199</f>
        <v>218819.08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64">
        <v>0</v>
      </c>
      <c r="N199" s="29">
        <v>0</v>
      </c>
      <c r="O199" s="29">
        <v>729.8</v>
      </c>
      <c r="P199" s="29">
        <v>215585.3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9">
        <v>0</v>
      </c>
      <c r="AD199" s="29">
        <v>0</v>
      </c>
      <c r="AE199" s="29">
        <f>ROUND(P199*1.5%,2)</f>
        <v>3233.78</v>
      </c>
      <c r="AF199" s="29">
        <v>0</v>
      </c>
      <c r="AG199" s="29">
        <v>0</v>
      </c>
      <c r="AH199" s="166" t="s">
        <v>268</v>
      </c>
      <c r="AI199" s="166">
        <v>2020</v>
      </c>
      <c r="AJ199" s="166">
        <v>2020</v>
      </c>
      <c r="AK199" s="55"/>
      <c r="AL199" s="55"/>
      <c r="AM199" s="55"/>
      <c r="AN199" s="55"/>
    </row>
    <row r="200" spans="1:40" ht="62.25" x14ac:dyDescent="0.9">
      <c r="A200" s="4">
        <v>1</v>
      </c>
      <c r="B200" s="57">
        <f>SUBTOTAL(103,$A$88:A200)</f>
        <v>99</v>
      </c>
      <c r="C200" s="165" t="s">
        <v>1879</v>
      </c>
      <c r="D200" s="62" t="s">
        <v>1867</v>
      </c>
      <c r="E200" s="60">
        <v>0.97134220675348237</v>
      </c>
      <c r="F200" s="29">
        <f>P200+AE200</f>
        <v>24273.52</v>
      </c>
      <c r="G200" s="29">
        <v>0</v>
      </c>
      <c r="H200" s="29">
        <v>0</v>
      </c>
      <c r="I200" s="29">
        <v>0</v>
      </c>
      <c r="J200" s="29">
        <v>0</v>
      </c>
      <c r="K200" s="29">
        <v>0</v>
      </c>
      <c r="L200" s="29">
        <v>0</v>
      </c>
      <c r="M200" s="64">
        <v>0</v>
      </c>
      <c r="N200" s="29">
        <v>0</v>
      </c>
      <c r="O200" s="29">
        <v>675</v>
      </c>
      <c r="P200" s="29">
        <v>23914.799999999999</v>
      </c>
      <c r="Q200" s="29">
        <v>0</v>
      </c>
      <c r="R200" s="29">
        <v>0</v>
      </c>
      <c r="S200" s="29">
        <v>0</v>
      </c>
      <c r="T200" s="167">
        <v>0</v>
      </c>
      <c r="U200" s="29">
        <v>0</v>
      </c>
      <c r="V200" s="29">
        <v>0</v>
      </c>
      <c r="W200" s="29">
        <v>0</v>
      </c>
      <c r="X200" s="29">
        <v>0</v>
      </c>
      <c r="Y200" s="29">
        <v>0</v>
      </c>
      <c r="Z200" s="29">
        <v>0</v>
      </c>
      <c r="AA200" s="29">
        <v>0</v>
      </c>
      <c r="AB200" s="29">
        <v>0</v>
      </c>
      <c r="AC200" s="29">
        <v>0</v>
      </c>
      <c r="AD200" s="29">
        <v>0</v>
      </c>
      <c r="AE200" s="29">
        <f>ROUND(P200*1.5%,2)</f>
        <v>358.72</v>
      </c>
      <c r="AF200" s="29">
        <v>0</v>
      </c>
      <c r="AG200" s="29">
        <v>0</v>
      </c>
      <c r="AH200" s="166" t="s">
        <v>268</v>
      </c>
      <c r="AI200" s="166">
        <v>2021</v>
      </c>
      <c r="AJ200" s="166">
        <v>2021</v>
      </c>
      <c r="AK200" s="55"/>
      <c r="AL200" s="55"/>
      <c r="AM200" s="55"/>
      <c r="AN200" s="55"/>
    </row>
    <row r="201" spans="1:40" ht="62.25" x14ac:dyDescent="0.9">
      <c r="B201" s="416" t="s">
        <v>835</v>
      </c>
      <c r="C201" s="165"/>
      <c r="D201" s="415" t="s">
        <v>882</v>
      </c>
      <c r="E201" s="60">
        <f>AVERAGE(E202:E203)</f>
        <v>0.79569999999999996</v>
      </c>
      <c r="F201" s="29">
        <f>F202+F203</f>
        <v>1988549.43</v>
      </c>
      <c r="G201" s="29">
        <f t="shared" ref="G201:AF201" si="51">G202+G203</f>
        <v>0</v>
      </c>
      <c r="H201" s="29">
        <f t="shared" si="51"/>
        <v>0</v>
      </c>
      <c r="I201" s="29">
        <f t="shared" si="51"/>
        <v>0</v>
      </c>
      <c r="J201" s="29">
        <f t="shared" si="51"/>
        <v>0</v>
      </c>
      <c r="K201" s="29">
        <f t="shared" si="51"/>
        <v>0</v>
      </c>
      <c r="L201" s="29">
        <f t="shared" si="51"/>
        <v>0</v>
      </c>
      <c r="M201" s="64">
        <f t="shared" si="51"/>
        <v>0</v>
      </c>
      <c r="N201" s="29">
        <f t="shared" si="51"/>
        <v>0</v>
      </c>
      <c r="O201" s="29">
        <f t="shared" si="51"/>
        <v>4741.7</v>
      </c>
      <c r="P201" s="29">
        <f t="shared" si="51"/>
        <v>1959162</v>
      </c>
      <c r="Q201" s="29">
        <f t="shared" si="51"/>
        <v>0</v>
      </c>
      <c r="R201" s="29">
        <f t="shared" si="51"/>
        <v>0</v>
      </c>
      <c r="S201" s="29">
        <f t="shared" si="51"/>
        <v>0</v>
      </c>
      <c r="T201" s="29">
        <f t="shared" si="51"/>
        <v>0</v>
      </c>
      <c r="U201" s="29">
        <f t="shared" si="51"/>
        <v>0</v>
      </c>
      <c r="V201" s="29">
        <f t="shared" si="51"/>
        <v>0</v>
      </c>
      <c r="W201" s="29">
        <f t="shared" si="51"/>
        <v>0</v>
      </c>
      <c r="X201" s="29">
        <f t="shared" si="51"/>
        <v>0</v>
      </c>
      <c r="Y201" s="29">
        <f t="shared" si="51"/>
        <v>0</v>
      </c>
      <c r="Z201" s="29">
        <f t="shared" si="51"/>
        <v>0</v>
      </c>
      <c r="AA201" s="29">
        <f t="shared" si="51"/>
        <v>0</v>
      </c>
      <c r="AB201" s="29">
        <f t="shared" si="51"/>
        <v>0</v>
      </c>
      <c r="AC201" s="29">
        <f t="shared" si="51"/>
        <v>0</v>
      </c>
      <c r="AD201" s="29">
        <f t="shared" si="51"/>
        <v>0</v>
      </c>
      <c r="AE201" s="29">
        <f t="shared" si="51"/>
        <v>29387.43</v>
      </c>
      <c r="AF201" s="29">
        <f t="shared" si="51"/>
        <v>0</v>
      </c>
      <c r="AG201" s="29">
        <f>AG202+AG203</f>
        <v>0</v>
      </c>
      <c r="AH201" s="166" t="s">
        <v>882</v>
      </c>
      <c r="AI201" s="166" t="s">
        <v>882</v>
      </c>
      <c r="AJ201" s="166" t="s">
        <v>882</v>
      </c>
      <c r="AK201" s="55"/>
      <c r="AL201" s="55"/>
      <c r="AM201" s="55"/>
      <c r="AN201" s="55"/>
    </row>
    <row r="202" spans="1:40" ht="62.25" x14ac:dyDescent="0.9">
      <c r="A202" s="4">
        <v>1</v>
      </c>
      <c r="B202" s="57">
        <f>SUBTOTAL(103,$A$88:A202)</f>
        <v>100</v>
      </c>
      <c r="C202" s="165" t="s">
        <v>1466</v>
      </c>
      <c r="D202" s="62" t="s">
        <v>1516</v>
      </c>
      <c r="E202" s="60">
        <v>0.87239999999999995</v>
      </c>
      <c r="F202" s="29">
        <f>G202+H202+I202+J202+K202+L202+N202+P202+R202+T202+V202+W202+X202+Y202+Z202+AA202+AB202+AC202+AD202+AE202+AF202+AG202</f>
        <v>83534.5</v>
      </c>
      <c r="G202" s="29">
        <v>0</v>
      </c>
      <c r="H202" s="29">
        <v>0</v>
      </c>
      <c r="I202" s="29">
        <v>0</v>
      </c>
      <c r="J202" s="29">
        <v>0</v>
      </c>
      <c r="K202" s="29">
        <v>0</v>
      </c>
      <c r="L202" s="29">
        <v>0</v>
      </c>
      <c r="M202" s="64">
        <v>0</v>
      </c>
      <c r="N202" s="29">
        <v>0</v>
      </c>
      <c r="O202" s="29">
        <v>2780.7</v>
      </c>
      <c r="P202" s="29">
        <v>82300</v>
      </c>
      <c r="Q202" s="29">
        <v>0</v>
      </c>
      <c r="R202" s="29">
        <v>0</v>
      </c>
      <c r="S202" s="29">
        <v>0</v>
      </c>
      <c r="T202" s="29">
        <v>0</v>
      </c>
      <c r="U202" s="29">
        <v>0</v>
      </c>
      <c r="V202" s="29">
        <v>0</v>
      </c>
      <c r="W202" s="29">
        <v>0</v>
      </c>
      <c r="X202" s="29">
        <v>0</v>
      </c>
      <c r="Y202" s="29">
        <v>0</v>
      </c>
      <c r="Z202" s="29">
        <v>0</v>
      </c>
      <c r="AA202" s="29">
        <v>0</v>
      </c>
      <c r="AB202" s="29">
        <v>0</v>
      </c>
      <c r="AC202" s="29">
        <v>0</v>
      </c>
      <c r="AD202" s="29">
        <v>0</v>
      </c>
      <c r="AE202" s="29">
        <f>ROUND(P202*1.5%,2)</f>
        <v>1234.5</v>
      </c>
      <c r="AF202" s="29">
        <v>0</v>
      </c>
      <c r="AG202" s="29">
        <v>0</v>
      </c>
      <c r="AH202" s="166" t="s">
        <v>268</v>
      </c>
      <c r="AI202" s="33">
        <v>2021</v>
      </c>
      <c r="AJ202" s="33">
        <v>2021</v>
      </c>
      <c r="AK202" s="55"/>
      <c r="AL202" s="55"/>
      <c r="AM202" s="55"/>
      <c r="AN202" s="55"/>
    </row>
    <row r="203" spans="1:40" ht="62.25" x14ac:dyDescent="0.9">
      <c r="A203" s="4">
        <v>1</v>
      </c>
      <c r="B203" s="57">
        <f>SUBTOTAL(103,$A$88:A203)</f>
        <v>101</v>
      </c>
      <c r="C203" s="165" t="s">
        <v>1467</v>
      </c>
      <c r="D203" s="62" t="s">
        <v>1867</v>
      </c>
      <c r="E203" s="60">
        <v>0.71899999999999997</v>
      </c>
      <c r="F203" s="29">
        <f>G203+H203+I203+J203+K203+L203+N203+P203+R203+T203+V203+W203+X203+Y203+Z203+AA203+AB203+AC203+AD203+AE203+AF203+AG203</f>
        <v>1905014.93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64">
        <v>0</v>
      </c>
      <c r="N203" s="29">
        <v>0</v>
      </c>
      <c r="O203" s="29">
        <v>1961</v>
      </c>
      <c r="P203" s="29">
        <v>1876862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29">
        <v>0</v>
      </c>
      <c r="AE203" s="29">
        <f>ROUND(P203*1.5%,2)</f>
        <v>28152.93</v>
      </c>
      <c r="AF203" s="29">
        <v>0</v>
      </c>
      <c r="AG203" s="29">
        <v>0</v>
      </c>
      <c r="AH203" s="166" t="s">
        <v>268</v>
      </c>
      <c r="AI203" s="33">
        <v>2021</v>
      </c>
      <c r="AJ203" s="33">
        <v>2021</v>
      </c>
      <c r="AK203" s="55"/>
      <c r="AL203" s="55"/>
      <c r="AM203" s="55"/>
      <c r="AN203" s="55"/>
    </row>
    <row r="204" spans="1:40" ht="62.25" x14ac:dyDescent="0.9">
      <c r="B204" s="416" t="s">
        <v>875</v>
      </c>
      <c r="C204" s="165"/>
      <c r="D204" s="415" t="s">
        <v>882</v>
      </c>
      <c r="E204" s="60">
        <f>AVERAGE(E205:E207)</f>
        <v>0.90376666666666672</v>
      </c>
      <c r="F204" s="29">
        <f>F205+F206+F207</f>
        <v>660109.07000000007</v>
      </c>
      <c r="G204" s="29">
        <f t="shared" ref="G204:AG204" si="52">G205+G206+G207</f>
        <v>0</v>
      </c>
      <c r="H204" s="29">
        <f t="shared" si="52"/>
        <v>0</v>
      </c>
      <c r="I204" s="29">
        <f t="shared" si="52"/>
        <v>0</v>
      </c>
      <c r="J204" s="29">
        <f t="shared" si="52"/>
        <v>0</v>
      </c>
      <c r="K204" s="29">
        <f t="shared" si="52"/>
        <v>0</v>
      </c>
      <c r="L204" s="29">
        <f t="shared" si="52"/>
        <v>0</v>
      </c>
      <c r="M204" s="29">
        <f t="shared" si="52"/>
        <v>0</v>
      </c>
      <c r="N204" s="29">
        <f t="shared" si="52"/>
        <v>0</v>
      </c>
      <c r="O204" s="29">
        <f t="shared" si="52"/>
        <v>2046.8</v>
      </c>
      <c r="P204" s="29">
        <f t="shared" si="52"/>
        <v>650353.76</v>
      </c>
      <c r="Q204" s="29">
        <f t="shared" si="52"/>
        <v>0</v>
      </c>
      <c r="R204" s="29">
        <f t="shared" si="52"/>
        <v>0</v>
      </c>
      <c r="S204" s="29">
        <f t="shared" si="52"/>
        <v>0</v>
      </c>
      <c r="T204" s="29">
        <f t="shared" si="52"/>
        <v>0</v>
      </c>
      <c r="U204" s="29">
        <f t="shared" si="52"/>
        <v>0</v>
      </c>
      <c r="V204" s="29">
        <f t="shared" si="52"/>
        <v>0</v>
      </c>
      <c r="W204" s="29">
        <f t="shared" si="52"/>
        <v>0</v>
      </c>
      <c r="X204" s="29">
        <f t="shared" si="52"/>
        <v>0</v>
      </c>
      <c r="Y204" s="29">
        <f t="shared" si="52"/>
        <v>0</v>
      </c>
      <c r="Z204" s="29">
        <f t="shared" si="52"/>
        <v>0</v>
      </c>
      <c r="AA204" s="29">
        <f t="shared" si="52"/>
        <v>0</v>
      </c>
      <c r="AB204" s="29">
        <f t="shared" si="52"/>
        <v>0</v>
      </c>
      <c r="AC204" s="29">
        <f t="shared" si="52"/>
        <v>0</v>
      </c>
      <c r="AD204" s="29">
        <f t="shared" si="52"/>
        <v>0</v>
      </c>
      <c r="AE204" s="29">
        <f t="shared" si="52"/>
        <v>9755.31</v>
      </c>
      <c r="AF204" s="29">
        <f t="shared" si="52"/>
        <v>0</v>
      </c>
      <c r="AG204" s="29">
        <f t="shared" si="52"/>
        <v>0</v>
      </c>
      <c r="AH204" s="166" t="s">
        <v>882</v>
      </c>
      <c r="AI204" s="166" t="s">
        <v>882</v>
      </c>
      <c r="AJ204" s="166" t="s">
        <v>882</v>
      </c>
      <c r="AK204" s="55"/>
      <c r="AL204" s="55"/>
      <c r="AM204" s="55"/>
      <c r="AN204" s="55"/>
    </row>
    <row r="205" spans="1:40" ht="62.25" x14ac:dyDescent="0.9">
      <c r="A205" s="4">
        <v>1</v>
      </c>
      <c r="B205" s="57">
        <f>SUBTOTAL(103,$A$88:A205)</f>
        <v>102</v>
      </c>
      <c r="C205" s="165" t="s">
        <v>1468</v>
      </c>
      <c r="D205" s="62" t="s">
        <v>1867</v>
      </c>
      <c r="E205" s="60">
        <v>0.75539999999999996</v>
      </c>
      <c r="F205" s="29">
        <f>G205+H205+I205+J205+K205+L205+N205+P205+R205+T205+V205+W205+X205+Y205+Z205+AA205+AB205+AC205+AD205+AE205+AF205+AG205</f>
        <v>590350.84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64">
        <v>0</v>
      </c>
      <c r="N205" s="29">
        <v>0</v>
      </c>
      <c r="O205" s="29">
        <v>749</v>
      </c>
      <c r="P205" s="29">
        <f>543238.44+38388</f>
        <v>581626.43999999994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9">
        <v>0</v>
      </c>
      <c r="AD205" s="29">
        <v>0</v>
      </c>
      <c r="AE205" s="29">
        <f>ROUND(P205*1.5%,2)</f>
        <v>8724.4</v>
      </c>
      <c r="AF205" s="29">
        <v>0</v>
      </c>
      <c r="AG205" s="29">
        <v>0</v>
      </c>
      <c r="AH205" s="166" t="s">
        <v>268</v>
      </c>
      <c r="AI205" s="166" t="s">
        <v>2450</v>
      </c>
      <c r="AJ205" s="166" t="s">
        <v>2450</v>
      </c>
      <c r="AK205" s="55"/>
      <c r="AL205" s="55"/>
      <c r="AM205" s="55"/>
      <c r="AN205" s="55"/>
    </row>
    <row r="206" spans="1:40" ht="62.25" x14ac:dyDescent="0.9">
      <c r="A206" s="4">
        <v>1</v>
      </c>
      <c r="B206" s="57">
        <f>SUBTOTAL(103,$A$88:A206)</f>
        <v>103</v>
      </c>
      <c r="C206" s="165" t="s">
        <v>1469</v>
      </c>
      <c r="D206" s="62" t="s">
        <v>1516</v>
      </c>
      <c r="E206" s="60">
        <v>0.95920000000000005</v>
      </c>
      <c r="F206" s="29">
        <f>G206+H206+I206+J206+K206+L206+N206+P206+R206+T206+V206+W206+X206+Y206+Z206+AA206+AB206+AC206+AD206+AE206+AF206+AG206</f>
        <v>30755.429999999997</v>
      </c>
      <c r="G206" s="29">
        <v>0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64">
        <v>0</v>
      </c>
      <c r="N206" s="29">
        <v>0</v>
      </c>
      <c r="O206" s="29">
        <v>703.8</v>
      </c>
      <c r="P206" s="29">
        <v>30300.92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9">
        <v>0</v>
      </c>
      <c r="AD206" s="29">
        <v>0</v>
      </c>
      <c r="AE206" s="29">
        <f>ROUND(P206*1.5%,2)</f>
        <v>454.51</v>
      </c>
      <c r="AF206" s="29">
        <v>0</v>
      </c>
      <c r="AG206" s="29">
        <v>0</v>
      </c>
      <c r="AH206" s="166" t="s">
        <v>268</v>
      </c>
      <c r="AI206" s="166">
        <v>2020</v>
      </c>
      <c r="AJ206" s="166">
        <v>2020</v>
      </c>
      <c r="AK206" s="55"/>
      <c r="AL206" s="55"/>
      <c r="AM206" s="55"/>
      <c r="AN206" s="55"/>
    </row>
    <row r="207" spans="1:40" ht="62.25" x14ac:dyDescent="0.9">
      <c r="A207" s="4">
        <v>1</v>
      </c>
      <c r="B207" s="57">
        <f>SUBTOTAL(103,$A$88:A207)</f>
        <v>104</v>
      </c>
      <c r="C207" s="165" t="s">
        <v>1880</v>
      </c>
      <c r="D207" s="62" t="s">
        <v>1516</v>
      </c>
      <c r="E207" s="60">
        <v>0.99670000000000003</v>
      </c>
      <c r="F207" s="29">
        <f>P207+AE207</f>
        <v>39002.800000000003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64">
        <v>0</v>
      </c>
      <c r="N207" s="29">
        <v>0</v>
      </c>
      <c r="O207" s="29">
        <v>594</v>
      </c>
      <c r="P207" s="29">
        <v>38426.400000000001</v>
      </c>
      <c r="Q207" s="29">
        <v>0</v>
      </c>
      <c r="R207" s="29">
        <v>0</v>
      </c>
      <c r="S207" s="29">
        <v>0</v>
      </c>
      <c r="T207" s="167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f>ROUND(P207*1.5%,2)</f>
        <v>576.4</v>
      </c>
      <c r="AF207" s="29">
        <v>0</v>
      </c>
      <c r="AG207" s="29">
        <v>0</v>
      </c>
      <c r="AH207" s="166" t="s">
        <v>268</v>
      </c>
      <c r="AI207" s="166">
        <v>2021</v>
      </c>
      <c r="AJ207" s="166">
        <v>2021</v>
      </c>
      <c r="AK207" s="55"/>
      <c r="AL207" s="55"/>
      <c r="AM207" s="55"/>
      <c r="AN207" s="55"/>
    </row>
    <row r="208" spans="1:40" ht="62.25" x14ac:dyDescent="0.9">
      <c r="B208" s="416" t="s">
        <v>849</v>
      </c>
      <c r="C208" s="165"/>
      <c r="D208" s="415" t="s">
        <v>882</v>
      </c>
      <c r="E208" s="60">
        <f>E209</f>
        <v>0.95309999999999995</v>
      </c>
      <c r="F208" s="29">
        <f>F209</f>
        <v>39585</v>
      </c>
      <c r="G208" s="29">
        <f t="shared" ref="G208:AG208" si="53">G209</f>
        <v>0</v>
      </c>
      <c r="H208" s="29">
        <f t="shared" si="53"/>
        <v>0</v>
      </c>
      <c r="I208" s="29">
        <f t="shared" si="53"/>
        <v>0</v>
      </c>
      <c r="J208" s="29">
        <f t="shared" si="53"/>
        <v>0</v>
      </c>
      <c r="K208" s="29">
        <f t="shared" si="53"/>
        <v>0</v>
      </c>
      <c r="L208" s="29">
        <f t="shared" si="53"/>
        <v>0</v>
      </c>
      <c r="M208" s="64">
        <f t="shared" si="53"/>
        <v>0</v>
      </c>
      <c r="N208" s="29">
        <f t="shared" si="53"/>
        <v>0</v>
      </c>
      <c r="O208" s="29">
        <f t="shared" si="53"/>
        <v>544</v>
      </c>
      <c r="P208" s="29">
        <f t="shared" si="53"/>
        <v>39000</v>
      </c>
      <c r="Q208" s="29">
        <f t="shared" si="53"/>
        <v>0</v>
      </c>
      <c r="R208" s="29">
        <f t="shared" si="53"/>
        <v>0</v>
      </c>
      <c r="S208" s="29">
        <f t="shared" si="53"/>
        <v>0</v>
      </c>
      <c r="T208" s="29">
        <f t="shared" si="53"/>
        <v>0</v>
      </c>
      <c r="U208" s="29">
        <f t="shared" si="53"/>
        <v>0</v>
      </c>
      <c r="V208" s="29">
        <f t="shared" si="53"/>
        <v>0</v>
      </c>
      <c r="W208" s="29">
        <f t="shared" si="53"/>
        <v>0</v>
      </c>
      <c r="X208" s="29">
        <f t="shared" si="53"/>
        <v>0</v>
      </c>
      <c r="Y208" s="29">
        <f t="shared" si="53"/>
        <v>0</v>
      </c>
      <c r="Z208" s="29">
        <f t="shared" si="53"/>
        <v>0</v>
      </c>
      <c r="AA208" s="29">
        <f t="shared" si="53"/>
        <v>0</v>
      </c>
      <c r="AB208" s="29">
        <f t="shared" si="53"/>
        <v>0</v>
      </c>
      <c r="AC208" s="29">
        <f t="shared" si="53"/>
        <v>0</v>
      </c>
      <c r="AD208" s="29">
        <f t="shared" si="53"/>
        <v>0</v>
      </c>
      <c r="AE208" s="29">
        <f t="shared" si="53"/>
        <v>585</v>
      </c>
      <c r="AF208" s="29">
        <f t="shared" si="53"/>
        <v>0</v>
      </c>
      <c r="AG208" s="29">
        <f t="shared" si="53"/>
        <v>0</v>
      </c>
      <c r="AH208" s="166" t="s">
        <v>882</v>
      </c>
      <c r="AI208" s="166" t="s">
        <v>882</v>
      </c>
      <c r="AJ208" s="166" t="s">
        <v>882</v>
      </c>
      <c r="AK208" s="55"/>
      <c r="AL208" s="55"/>
      <c r="AM208" s="55"/>
      <c r="AN208" s="55"/>
    </row>
    <row r="209" spans="1:40" ht="62.25" x14ac:dyDescent="0.9">
      <c r="A209" s="4">
        <v>1</v>
      </c>
      <c r="B209" s="57">
        <f>SUBTOTAL(103,$A$88:A209)</f>
        <v>105</v>
      </c>
      <c r="C209" s="165" t="s">
        <v>1470</v>
      </c>
      <c r="D209" s="62" t="s">
        <v>1866</v>
      </c>
      <c r="E209" s="60">
        <v>0.95309999999999995</v>
      </c>
      <c r="F209" s="29">
        <f>G209+H209+I209+J209+K209+L209+N209+P209+R209+T209+V209+W209+X209+Y209+Z209+AA209+AB209+AC209+AD209+AE209+AF209+AG209</f>
        <v>39585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64">
        <v>0</v>
      </c>
      <c r="N209" s="29">
        <v>0</v>
      </c>
      <c r="O209" s="29">
        <v>544</v>
      </c>
      <c r="P209" s="29">
        <v>39000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f>ROUND(P209*1.5%,2)</f>
        <v>585</v>
      </c>
      <c r="AF209" s="29">
        <v>0</v>
      </c>
      <c r="AG209" s="29">
        <v>0</v>
      </c>
      <c r="AH209" s="166" t="s">
        <v>268</v>
      </c>
      <c r="AI209" s="33">
        <v>2021</v>
      </c>
      <c r="AJ209" s="33">
        <v>2021</v>
      </c>
      <c r="AK209" s="55"/>
      <c r="AL209" s="55"/>
      <c r="AM209" s="55"/>
      <c r="AN209" s="55"/>
    </row>
    <row r="210" spans="1:40" ht="62.25" x14ac:dyDescent="0.9">
      <c r="B210" s="416" t="s">
        <v>817</v>
      </c>
      <c r="C210" s="165"/>
      <c r="D210" s="415" t="s">
        <v>882</v>
      </c>
      <c r="E210" s="60">
        <f>E211</f>
        <v>0.81220000000000003</v>
      </c>
      <c r="F210" s="29">
        <f>F211</f>
        <v>275468.56</v>
      </c>
      <c r="G210" s="29">
        <f t="shared" ref="G210:AG210" si="54">G211</f>
        <v>0</v>
      </c>
      <c r="H210" s="29">
        <f t="shared" si="54"/>
        <v>0</v>
      </c>
      <c r="I210" s="29">
        <f t="shared" si="54"/>
        <v>0</v>
      </c>
      <c r="J210" s="29">
        <f t="shared" si="54"/>
        <v>0</v>
      </c>
      <c r="K210" s="29">
        <f t="shared" si="54"/>
        <v>0</v>
      </c>
      <c r="L210" s="29">
        <f t="shared" si="54"/>
        <v>0</v>
      </c>
      <c r="M210" s="64">
        <f t="shared" si="54"/>
        <v>0</v>
      </c>
      <c r="N210" s="29">
        <f t="shared" si="54"/>
        <v>0</v>
      </c>
      <c r="O210" s="29">
        <f t="shared" si="54"/>
        <v>708</v>
      </c>
      <c r="P210" s="29">
        <f t="shared" si="54"/>
        <v>271397.59999999998</v>
      </c>
      <c r="Q210" s="29">
        <f t="shared" si="54"/>
        <v>0</v>
      </c>
      <c r="R210" s="29">
        <f t="shared" si="54"/>
        <v>0</v>
      </c>
      <c r="S210" s="29">
        <f t="shared" si="54"/>
        <v>0</v>
      </c>
      <c r="T210" s="29">
        <f t="shared" si="54"/>
        <v>0</v>
      </c>
      <c r="U210" s="29">
        <f t="shared" si="54"/>
        <v>0</v>
      </c>
      <c r="V210" s="29">
        <f t="shared" si="54"/>
        <v>0</v>
      </c>
      <c r="W210" s="29">
        <f t="shared" si="54"/>
        <v>0</v>
      </c>
      <c r="X210" s="29">
        <f t="shared" si="54"/>
        <v>0</v>
      </c>
      <c r="Y210" s="29">
        <f t="shared" si="54"/>
        <v>0</v>
      </c>
      <c r="Z210" s="29">
        <f t="shared" si="54"/>
        <v>0</v>
      </c>
      <c r="AA210" s="29">
        <f t="shared" si="54"/>
        <v>0</v>
      </c>
      <c r="AB210" s="29">
        <f t="shared" si="54"/>
        <v>0</v>
      </c>
      <c r="AC210" s="29">
        <f t="shared" si="54"/>
        <v>0</v>
      </c>
      <c r="AD210" s="29">
        <f t="shared" si="54"/>
        <v>0</v>
      </c>
      <c r="AE210" s="29">
        <f t="shared" si="54"/>
        <v>4070.96</v>
      </c>
      <c r="AF210" s="29">
        <f t="shared" si="54"/>
        <v>0</v>
      </c>
      <c r="AG210" s="29">
        <f t="shared" si="54"/>
        <v>0</v>
      </c>
      <c r="AH210" s="166" t="s">
        <v>882</v>
      </c>
      <c r="AI210" s="166" t="s">
        <v>882</v>
      </c>
      <c r="AJ210" s="166" t="s">
        <v>882</v>
      </c>
      <c r="AK210" s="55"/>
    </row>
    <row r="211" spans="1:40" ht="62.25" x14ac:dyDescent="0.9">
      <c r="A211" s="4">
        <v>1</v>
      </c>
      <c r="B211" s="57">
        <f>SUBTOTAL(103,$A$88:A211)</f>
        <v>106</v>
      </c>
      <c r="C211" s="165" t="s">
        <v>1471</v>
      </c>
      <c r="D211" s="62" t="s">
        <v>1867</v>
      </c>
      <c r="E211" s="60">
        <v>0.81220000000000003</v>
      </c>
      <c r="F211" s="29">
        <f>G211+H211+I211+J211+K211+L211+N211+P211+R211+T211+V211+W211+X211+Y211+Z211+AA211+AB211+AC211+AD211+AE211+AF211+AG211</f>
        <v>275468.56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64">
        <v>0</v>
      </c>
      <c r="N211" s="29">
        <v>0</v>
      </c>
      <c r="O211" s="29">
        <v>708</v>
      </c>
      <c r="P211" s="29">
        <v>271397.59999999998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v>0</v>
      </c>
      <c r="AD211" s="29">
        <v>0</v>
      </c>
      <c r="AE211" s="29">
        <f>ROUND(P211*1.5%,2)</f>
        <v>4070.96</v>
      </c>
      <c r="AF211" s="29">
        <v>0</v>
      </c>
      <c r="AG211" s="29">
        <v>0</v>
      </c>
      <c r="AH211" s="166" t="s">
        <v>268</v>
      </c>
      <c r="AI211" s="33">
        <v>2021</v>
      </c>
      <c r="AJ211" s="33">
        <v>2021</v>
      </c>
      <c r="AK211" s="55"/>
    </row>
    <row r="212" spans="1:40" ht="62.25" x14ac:dyDescent="0.9">
      <c r="B212" s="416" t="s">
        <v>859</v>
      </c>
      <c r="C212" s="165"/>
      <c r="D212" s="77" t="s">
        <v>882</v>
      </c>
      <c r="E212" s="60">
        <v>0.82630000000000003</v>
      </c>
      <c r="F212" s="29">
        <v>50753.95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64">
        <v>0</v>
      </c>
      <c r="N212" s="29">
        <v>0</v>
      </c>
      <c r="O212" s="29">
        <v>828</v>
      </c>
      <c r="P212" s="29">
        <v>50003.89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29">
        <v>0</v>
      </c>
      <c r="AE212" s="29">
        <v>750.06</v>
      </c>
      <c r="AF212" s="29">
        <v>0</v>
      </c>
      <c r="AG212" s="29">
        <v>0</v>
      </c>
      <c r="AH212" s="166" t="s">
        <v>882</v>
      </c>
      <c r="AI212" s="166" t="s">
        <v>882</v>
      </c>
      <c r="AJ212" s="166" t="s">
        <v>882</v>
      </c>
      <c r="AK212" s="55"/>
    </row>
    <row r="213" spans="1:40" ht="62.25" x14ac:dyDescent="0.9">
      <c r="A213" s="4">
        <v>1</v>
      </c>
      <c r="B213" s="57">
        <f>SUBTOTAL(103,$A$88:A213)</f>
        <v>107</v>
      </c>
      <c r="C213" s="165" t="s">
        <v>1881</v>
      </c>
      <c r="D213" s="62" t="s">
        <v>1866</v>
      </c>
      <c r="E213" s="60">
        <v>0.82630000000000003</v>
      </c>
      <c r="F213" s="29">
        <f>P213+AE213</f>
        <v>50753.95</v>
      </c>
      <c r="G213" s="29">
        <v>0</v>
      </c>
      <c r="H213" s="29">
        <v>0</v>
      </c>
      <c r="I213" s="29">
        <v>0</v>
      </c>
      <c r="J213" s="29">
        <v>0</v>
      </c>
      <c r="K213" s="29">
        <v>0</v>
      </c>
      <c r="L213" s="29">
        <v>0</v>
      </c>
      <c r="M213" s="64">
        <v>0</v>
      </c>
      <c r="N213" s="29">
        <v>0</v>
      </c>
      <c r="O213" s="29">
        <v>828</v>
      </c>
      <c r="P213" s="29">
        <v>50003.89</v>
      </c>
      <c r="Q213" s="29">
        <v>0</v>
      </c>
      <c r="R213" s="29">
        <v>0</v>
      </c>
      <c r="S213" s="29">
        <v>0</v>
      </c>
      <c r="T213" s="167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f>ROUND(P213*1.5%,2)</f>
        <v>750.06</v>
      </c>
      <c r="AF213" s="29">
        <v>0</v>
      </c>
      <c r="AG213" s="29">
        <v>0</v>
      </c>
      <c r="AH213" s="166" t="s">
        <v>268</v>
      </c>
      <c r="AI213" s="166">
        <v>2021</v>
      </c>
      <c r="AJ213" s="166">
        <v>2021</v>
      </c>
      <c r="AK213" s="55"/>
    </row>
    <row r="214" spans="1:40" ht="62.25" x14ac:dyDescent="0.9">
      <c r="B214" s="416" t="s">
        <v>844</v>
      </c>
      <c r="C214" s="165"/>
      <c r="D214" s="415" t="s">
        <v>882</v>
      </c>
      <c r="E214" s="60">
        <f>AVERAGE(E215:E218)</f>
        <v>0.90027499999999994</v>
      </c>
      <c r="F214" s="29">
        <f>SUM(F215:F218)</f>
        <v>4098921.42</v>
      </c>
      <c r="G214" s="29">
        <f>SUM(G215:G218)</f>
        <v>0</v>
      </c>
      <c r="H214" s="29">
        <f t="shared" ref="H214:AG214" si="55">SUM(H215:H218)</f>
        <v>0</v>
      </c>
      <c r="I214" s="29">
        <f t="shared" si="55"/>
        <v>175721.62</v>
      </c>
      <c r="J214" s="29">
        <f t="shared" si="55"/>
        <v>0</v>
      </c>
      <c r="K214" s="29">
        <f t="shared" si="55"/>
        <v>0</v>
      </c>
      <c r="L214" s="29">
        <f t="shared" si="55"/>
        <v>0</v>
      </c>
      <c r="M214" s="64">
        <f t="shared" si="55"/>
        <v>0</v>
      </c>
      <c r="N214" s="29">
        <f t="shared" si="55"/>
        <v>0</v>
      </c>
      <c r="O214" s="29">
        <f t="shared" si="55"/>
        <v>1779.9</v>
      </c>
      <c r="P214" s="29">
        <f t="shared" si="55"/>
        <v>3849111.73</v>
      </c>
      <c r="Q214" s="29">
        <f t="shared" si="55"/>
        <v>0</v>
      </c>
      <c r="R214" s="29">
        <f t="shared" si="55"/>
        <v>0</v>
      </c>
      <c r="S214" s="29">
        <f t="shared" si="55"/>
        <v>474</v>
      </c>
      <c r="T214" s="29">
        <f t="shared" si="55"/>
        <v>13512.88</v>
      </c>
      <c r="U214" s="29">
        <f t="shared" si="55"/>
        <v>0</v>
      </c>
      <c r="V214" s="29">
        <f t="shared" si="55"/>
        <v>0</v>
      </c>
      <c r="W214" s="29">
        <f t="shared" si="55"/>
        <v>0</v>
      </c>
      <c r="X214" s="29">
        <f t="shared" si="55"/>
        <v>0</v>
      </c>
      <c r="Y214" s="29">
        <f t="shared" si="55"/>
        <v>0</v>
      </c>
      <c r="Z214" s="29">
        <f t="shared" si="55"/>
        <v>0</v>
      </c>
      <c r="AA214" s="29">
        <f t="shared" si="55"/>
        <v>0</v>
      </c>
      <c r="AB214" s="29">
        <f t="shared" si="55"/>
        <v>0</v>
      </c>
      <c r="AC214" s="29">
        <f t="shared" si="55"/>
        <v>0</v>
      </c>
      <c r="AD214" s="29">
        <f t="shared" si="55"/>
        <v>0</v>
      </c>
      <c r="AE214" s="29">
        <f t="shared" si="55"/>
        <v>60575.19</v>
      </c>
      <c r="AF214" s="29">
        <f t="shared" si="55"/>
        <v>0</v>
      </c>
      <c r="AG214" s="29">
        <f t="shared" si="55"/>
        <v>0</v>
      </c>
      <c r="AH214" s="166" t="s">
        <v>882</v>
      </c>
      <c r="AI214" s="166" t="s">
        <v>882</v>
      </c>
      <c r="AJ214" s="166" t="s">
        <v>882</v>
      </c>
      <c r="AK214" s="55"/>
    </row>
    <row r="215" spans="1:40" ht="62.25" x14ac:dyDescent="0.9">
      <c r="A215" s="4">
        <v>1</v>
      </c>
      <c r="B215" s="57">
        <f>SUBTOTAL(103,$A$88:A215)</f>
        <v>108</v>
      </c>
      <c r="C215" s="165" t="s">
        <v>1472</v>
      </c>
      <c r="D215" s="62" t="s">
        <v>1866</v>
      </c>
      <c r="E215" s="60">
        <v>0.96160000000000001</v>
      </c>
      <c r="F215" s="29">
        <f>G215+H215+I215+J215+K215+L215+N215+P215+R215+T215+V215+W215+X215+Y215+Z215+AA215+AB215+AC215+AD215+AE215+AF215+AG215</f>
        <v>3896508.54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64">
        <v>0</v>
      </c>
      <c r="N215" s="29">
        <v>0</v>
      </c>
      <c r="O215" s="29">
        <v>1245.4000000000001</v>
      </c>
      <c r="P215" s="29">
        <v>3838924.67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f>ROUND(P215*1.5%,2)</f>
        <v>57583.87</v>
      </c>
      <c r="AF215" s="29">
        <v>0</v>
      </c>
      <c r="AG215" s="29">
        <v>0</v>
      </c>
      <c r="AH215" s="166" t="s">
        <v>268</v>
      </c>
      <c r="AI215" s="33">
        <v>2021</v>
      </c>
      <c r="AJ215" s="33">
        <v>2021</v>
      </c>
      <c r="AK215" s="55"/>
    </row>
    <row r="216" spans="1:40" ht="62.25" x14ac:dyDescent="0.9">
      <c r="A216" s="4">
        <v>1</v>
      </c>
      <c r="B216" s="57">
        <f>SUBTOTAL(103,$A$88:A216)</f>
        <v>109</v>
      </c>
      <c r="C216" s="165" t="s">
        <v>1473</v>
      </c>
      <c r="D216" s="62" t="s">
        <v>1867</v>
      </c>
      <c r="E216" s="60">
        <v>0.92120000000000002</v>
      </c>
      <c r="F216" s="29">
        <f>G216+H216+I216+J216+K216+L216+N216+P216+R216+T216+V216+W216+X216+Y216+Z216+AA216+AB216+AC216+AD216+AE216+AF216+AG216</f>
        <v>10339.869999999999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64">
        <v>0</v>
      </c>
      <c r="N216" s="29">
        <v>0</v>
      </c>
      <c r="O216" s="29">
        <v>534.5</v>
      </c>
      <c r="P216" s="29">
        <v>10187.06</v>
      </c>
      <c r="Q216" s="29">
        <v>0</v>
      </c>
      <c r="R216" s="29">
        <v>0</v>
      </c>
      <c r="S216" s="29">
        <v>0</v>
      </c>
      <c r="T216" s="29">
        <v>0</v>
      </c>
      <c r="U216" s="29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f>ROUND(P216*1.5%,2)</f>
        <v>152.81</v>
      </c>
      <c r="AF216" s="29">
        <v>0</v>
      </c>
      <c r="AG216" s="29">
        <v>0</v>
      </c>
      <c r="AH216" s="166" t="s">
        <v>268</v>
      </c>
      <c r="AI216" s="33">
        <v>2021</v>
      </c>
      <c r="AJ216" s="33">
        <v>2021</v>
      </c>
      <c r="AK216" s="55"/>
    </row>
    <row r="217" spans="1:40" ht="62.25" x14ac:dyDescent="0.9">
      <c r="A217" s="4">
        <v>1</v>
      </c>
      <c r="B217" s="57">
        <f>SUBTOTAL(103,$A$88:A217)</f>
        <v>110</v>
      </c>
      <c r="C217" s="165" t="s">
        <v>1474</v>
      </c>
      <c r="D217" s="415" t="s">
        <v>1866</v>
      </c>
      <c r="E217" s="60">
        <v>0.85540000000000005</v>
      </c>
      <c r="F217" s="29">
        <f>G217+H217+I217+J217+K217+L217+N217+P217+R217+T217+V217+W217+X217+Y217+Z217+AA217+AB217+AC217+AD217+AE217+AF217+AG217</f>
        <v>178357.44</v>
      </c>
      <c r="G217" s="29">
        <v>0</v>
      </c>
      <c r="H217" s="29">
        <v>0</v>
      </c>
      <c r="I217" s="29">
        <v>175721.62</v>
      </c>
      <c r="J217" s="29">
        <v>0</v>
      </c>
      <c r="K217" s="29">
        <v>0</v>
      </c>
      <c r="L217" s="29">
        <v>0</v>
      </c>
      <c r="M217" s="64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f>ROUND(I217*1.5%,2)</f>
        <v>2635.82</v>
      </c>
      <c r="AF217" s="29">
        <v>0</v>
      </c>
      <c r="AG217" s="29">
        <v>0</v>
      </c>
      <c r="AH217" s="166" t="s">
        <v>268</v>
      </c>
      <c r="AI217" s="33">
        <v>2021</v>
      </c>
      <c r="AJ217" s="33">
        <v>2021</v>
      </c>
      <c r="AK217" s="55"/>
    </row>
    <row r="218" spans="1:40" ht="62.25" x14ac:dyDescent="0.9">
      <c r="A218" s="4">
        <v>1</v>
      </c>
      <c r="B218" s="57">
        <f>SUBTOTAL(103,$A$88:A218)</f>
        <v>111</v>
      </c>
      <c r="C218" s="165" t="s">
        <v>2268</v>
      </c>
      <c r="D218" s="415">
        <v>2014</v>
      </c>
      <c r="E218" s="60">
        <v>0.8629</v>
      </c>
      <c r="F218" s="29">
        <f>G218+H218+I218+J218+K218+L218+N218+P218+R218+T218+V218+W218+X218+Y218+Z218+AA218+AB218+AC218+AD218+AE218+AF218+AG218</f>
        <v>13715.57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64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474</v>
      </c>
      <c r="T218" s="29">
        <v>13512.88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f>ROUND(T218*1.5%,2)</f>
        <v>202.69</v>
      </c>
      <c r="AF218" s="29">
        <v>0</v>
      </c>
      <c r="AG218" s="29">
        <v>0</v>
      </c>
      <c r="AH218" s="166" t="s">
        <v>268</v>
      </c>
      <c r="AI218" s="33">
        <v>2021</v>
      </c>
      <c r="AJ218" s="33">
        <v>2021</v>
      </c>
      <c r="AK218" s="55"/>
    </row>
    <row r="219" spans="1:40" ht="62.25" x14ac:dyDescent="0.9">
      <c r="B219" s="416" t="s">
        <v>1279</v>
      </c>
      <c r="C219" s="165"/>
      <c r="D219" s="415" t="s">
        <v>882</v>
      </c>
      <c r="E219" s="60">
        <f>E220</f>
        <v>0.99180000000000001</v>
      </c>
      <c r="F219" s="29">
        <f>F220</f>
        <v>222759.59</v>
      </c>
      <c r="G219" s="29">
        <f t="shared" ref="G219:AG219" si="56">G220</f>
        <v>0</v>
      </c>
      <c r="H219" s="29">
        <f t="shared" si="56"/>
        <v>0</v>
      </c>
      <c r="I219" s="29">
        <f t="shared" si="56"/>
        <v>0</v>
      </c>
      <c r="J219" s="29">
        <f t="shared" si="56"/>
        <v>0</v>
      </c>
      <c r="K219" s="29">
        <f t="shared" si="56"/>
        <v>0</v>
      </c>
      <c r="L219" s="29">
        <f t="shared" si="56"/>
        <v>0</v>
      </c>
      <c r="M219" s="64">
        <f t="shared" si="56"/>
        <v>0</v>
      </c>
      <c r="N219" s="29">
        <f t="shared" si="56"/>
        <v>0</v>
      </c>
      <c r="O219" s="29">
        <f t="shared" si="56"/>
        <v>0</v>
      </c>
      <c r="P219" s="29">
        <f t="shared" si="56"/>
        <v>0</v>
      </c>
      <c r="Q219" s="29">
        <f t="shared" si="56"/>
        <v>0</v>
      </c>
      <c r="R219" s="29">
        <f t="shared" si="56"/>
        <v>0</v>
      </c>
      <c r="S219" s="29">
        <f t="shared" si="56"/>
        <v>488.11</v>
      </c>
      <c r="T219" s="29">
        <f t="shared" si="56"/>
        <v>219483.79</v>
      </c>
      <c r="U219" s="29">
        <f t="shared" si="56"/>
        <v>0</v>
      </c>
      <c r="V219" s="29">
        <f t="shared" si="56"/>
        <v>0</v>
      </c>
      <c r="W219" s="29">
        <f t="shared" si="56"/>
        <v>0</v>
      </c>
      <c r="X219" s="29">
        <f t="shared" si="56"/>
        <v>0</v>
      </c>
      <c r="Y219" s="29">
        <f t="shared" si="56"/>
        <v>0</v>
      </c>
      <c r="Z219" s="29">
        <f t="shared" si="56"/>
        <v>0</v>
      </c>
      <c r="AA219" s="29">
        <f t="shared" si="56"/>
        <v>0</v>
      </c>
      <c r="AB219" s="29">
        <f t="shared" si="56"/>
        <v>0</v>
      </c>
      <c r="AC219" s="29">
        <f t="shared" si="56"/>
        <v>0</v>
      </c>
      <c r="AD219" s="29">
        <f t="shared" si="56"/>
        <v>0</v>
      </c>
      <c r="AE219" s="29">
        <f t="shared" si="56"/>
        <v>3275.8</v>
      </c>
      <c r="AF219" s="29">
        <f t="shared" si="56"/>
        <v>0</v>
      </c>
      <c r="AG219" s="29">
        <f t="shared" si="56"/>
        <v>0</v>
      </c>
      <c r="AH219" s="166" t="s">
        <v>882</v>
      </c>
      <c r="AI219" s="166" t="s">
        <v>882</v>
      </c>
      <c r="AJ219" s="166" t="s">
        <v>882</v>
      </c>
      <c r="AK219" s="55"/>
    </row>
    <row r="220" spans="1:40" ht="62.25" x14ac:dyDescent="0.9">
      <c r="A220" s="4">
        <v>1</v>
      </c>
      <c r="B220" s="57">
        <f>SUBTOTAL(103,$A$88:A220)</f>
        <v>112</v>
      </c>
      <c r="C220" s="165" t="s">
        <v>1475</v>
      </c>
      <c r="D220" s="415" t="s">
        <v>1516</v>
      </c>
      <c r="E220" s="60">
        <v>0.99180000000000001</v>
      </c>
      <c r="F220" s="29">
        <f>G220+H220+I220+J220+K220+L220+N220+P220+R220+T220+V220+W220+X220+Y220+Z220+AA220+AB220+AC220+AD220+AE220+AF220+AG220</f>
        <v>222759.59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64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488.11</v>
      </c>
      <c r="T220" s="29">
        <v>219483.79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3275.8</v>
      </c>
      <c r="AF220" s="29">
        <v>0</v>
      </c>
      <c r="AG220" s="29">
        <v>0</v>
      </c>
      <c r="AH220" s="166" t="s">
        <v>268</v>
      </c>
      <c r="AI220" s="166">
        <v>2020</v>
      </c>
      <c r="AJ220" s="166">
        <v>2020</v>
      </c>
      <c r="AK220" s="55"/>
    </row>
    <row r="221" spans="1:40" ht="62.25" x14ac:dyDescent="0.9">
      <c r="B221" s="416" t="s">
        <v>840</v>
      </c>
      <c r="C221" s="165"/>
      <c r="D221" s="415" t="s">
        <v>882</v>
      </c>
      <c r="E221" s="60">
        <f>E222</f>
        <v>1</v>
      </c>
      <c r="F221" s="29">
        <f>F222</f>
        <v>137654.99000000002</v>
      </c>
      <c r="G221" s="29">
        <f t="shared" ref="G221:AG221" si="57">G222</f>
        <v>0</v>
      </c>
      <c r="H221" s="29">
        <f t="shared" si="57"/>
        <v>0</v>
      </c>
      <c r="I221" s="29">
        <f t="shared" si="57"/>
        <v>0</v>
      </c>
      <c r="J221" s="29">
        <f t="shared" si="57"/>
        <v>0</v>
      </c>
      <c r="K221" s="29">
        <f t="shared" si="57"/>
        <v>0</v>
      </c>
      <c r="L221" s="29">
        <f t="shared" si="57"/>
        <v>0</v>
      </c>
      <c r="M221" s="64">
        <f t="shared" si="57"/>
        <v>0</v>
      </c>
      <c r="N221" s="29">
        <f t="shared" si="57"/>
        <v>0</v>
      </c>
      <c r="O221" s="29">
        <f t="shared" si="57"/>
        <v>0</v>
      </c>
      <c r="P221" s="29">
        <f t="shared" si="57"/>
        <v>0</v>
      </c>
      <c r="Q221" s="29">
        <f t="shared" si="57"/>
        <v>0</v>
      </c>
      <c r="R221" s="29">
        <f t="shared" si="57"/>
        <v>0</v>
      </c>
      <c r="S221" s="29">
        <f t="shared" si="57"/>
        <v>370.88</v>
      </c>
      <c r="T221" s="29">
        <f t="shared" si="57"/>
        <v>135630.70000000001</v>
      </c>
      <c r="U221" s="29">
        <f t="shared" si="57"/>
        <v>0</v>
      </c>
      <c r="V221" s="29">
        <f t="shared" si="57"/>
        <v>0</v>
      </c>
      <c r="W221" s="29">
        <f t="shared" si="57"/>
        <v>0</v>
      </c>
      <c r="X221" s="29">
        <f t="shared" si="57"/>
        <v>0</v>
      </c>
      <c r="Y221" s="29">
        <f t="shared" si="57"/>
        <v>0</v>
      </c>
      <c r="Z221" s="29">
        <f t="shared" si="57"/>
        <v>0</v>
      </c>
      <c r="AA221" s="29">
        <f t="shared" si="57"/>
        <v>0</v>
      </c>
      <c r="AB221" s="29">
        <f t="shared" si="57"/>
        <v>0</v>
      </c>
      <c r="AC221" s="29">
        <f t="shared" si="57"/>
        <v>0</v>
      </c>
      <c r="AD221" s="29">
        <f t="shared" si="57"/>
        <v>0</v>
      </c>
      <c r="AE221" s="29">
        <f t="shared" si="57"/>
        <v>2024.29</v>
      </c>
      <c r="AF221" s="29">
        <f t="shared" si="57"/>
        <v>0</v>
      </c>
      <c r="AG221" s="29">
        <f t="shared" si="57"/>
        <v>0</v>
      </c>
      <c r="AH221" s="166" t="s">
        <v>882</v>
      </c>
      <c r="AI221" s="166" t="s">
        <v>882</v>
      </c>
      <c r="AJ221" s="166" t="s">
        <v>882</v>
      </c>
      <c r="AK221" s="55"/>
    </row>
    <row r="222" spans="1:40" ht="62.25" x14ac:dyDescent="0.9">
      <c r="A222" s="4">
        <v>1</v>
      </c>
      <c r="B222" s="57">
        <f>SUBTOTAL(103,$A$88:A222)</f>
        <v>113</v>
      </c>
      <c r="C222" s="165" t="s">
        <v>1476</v>
      </c>
      <c r="D222" s="415" t="s">
        <v>1516</v>
      </c>
      <c r="E222" s="60">
        <v>1</v>
      </c>
      <c r="F222" s="29">
        <f>G222+H222+I222+J222+K222+L222+N222+P222+R222+T222+V222+W222+X222+Y222+Z222+AA222+AB222+AC222+AD222+AE222+AF222+AG222</f>
        <v>137654.99000000002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64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370.88</v>
      </c>
      <c r="T222" s="29">
        <v>135630.70000000001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2024.29</v>
      </c>
      <c r="AF222" s="29">
        <v>0</v>
      </c>
      <c r="AG222" s="29">
        <v>0</v>
      </c>
      <c r="AH222" s="166" t="s">
        <v>268</v>
      </c>
      <c r="AI222" s="166">
        <v>2020</v>
      </c>
      <c r="AJ222" s="166">
        <v>2020</v>
      </c>
      <c r="AK222" s="55"/>
    </row>
    <row r="223" spans="1:40" ht="62.25" x14ac:dyDescent="0.9">
      <c r="B223" s="416" t="s">
        <v>828</v>
      </c>
      <c r="C223" s="165"/>
      <c r="D223" s="415" t="s">
        <v>882</v>
      </c>
      <c r="E223" s="60">
        <f>E224</f>
        <v>0.98829999999999996</v>
      </c>
      <c r="F223" s="29">
        <f>F224</f>
        <v>894902.36</v>
      </c>
      <c r="G223" s="29">
        <f t="shared" ref="G223:AG223" si="58">G224</f>
        <v>0</v>
      </c>
      <c r="H223" s="29">
        <f t="shared" si="58"/>
        <v>0</v>
      </c>
      <c r="I223" s="29">
        <f t="shared" si="58"/>
        <v>0</v>
      </c>
      <c r="J223" s="29">
        <f t="shared" si="58"/>
        <v>0</v>
      </c>
      <c r="K223" s="29">
        <f t="shared" si="58"/>
        <v>0</v>
      </c>
      <c r="L223" s="29">
        <f t="shared" si="58"/>
        <v>0</v>
      </c>
      <c r="M223" s="64">
        <f t="shared" si="58"/>
        <v>0</v>
      </c>
      <c r="N223" s="29">
        <f t="shared" si="58"/>
        <v>0</v>
      </c>
      <c r="O223" s="29">
        <f t="shared" si="58"/>
        <v>400</v>
      </c>
      <c r="P223" s="29">
        <f t="shared" si="58"/>
        <v>881677.2</v>
      </c>
      <c r="Q223" s="29">
        <f t="shared" si="58"/>
        <v>0</v>
      </c>
      <c r="R223" s="29">
        <f t="shared" si="58"/>
        <v>0</v>
      </c>
      <c r="S223" s="29">
        <f t="shared" si="58"/>
        <v>0</v>
      </c>
      <c r="T223" s="29">
        <f t="shared" si="58"/>
        <v>0</v>
      </c>
      <c r="U223" s="29">
        <f t="shared" si="58"/>
        <v>0</v>
      </c>
      <c r="V223" s="29">
        <f t="shared" si="58"/>
        <v>0</v>
      </c>
      <c r="W223" s="29">
        <f t="shared" si="58"/>
        <v>0</v>
      </c>
      <c r="X223" s="29">
        <f t="shared" si="58"/>
        <v>0</v>
      </c>
      <c r="Y223" s="29">
        <f t="shared" si="58"/>
        <v>0</v>
      </c>
      <c r="Z223" s="29">
        <f t="shared" si="58"/>
        <v>0</v>
      </c>
      <c r="AA223" s="29">
        <f t="shared" si="58"/>
        <v>0</v>
      </c>
      <c r="AB223" s="29">
        <f t="shared" si="58"/>
        <v>0</v>
      </c>
      <c r="AC223" s="29">
        <f t="shared" si="58"/>
        <v>0</v>
      </c>
      <c r="AD223" s="29">
        <f t="shared" si="58"/>
        <v>0</v>
      </c>
      <c r="AE223" s="29">
        <f t="shared" si="58"/>
        <v>13225.16</v>
      </c>
      <c r="AF223" s="29">
        <f t="shared" si="58"/>
        <v>0</v>
      </c>
      <c r="AG223" s="29">
        <f t="shared" si="58"/>
        <v>0</v>
      </c>
      <c r="AH223" s="166" t="s">
        <v>882</v>
      </c>
      <c r="AI223" s="166" t="s">
        <v>882</v>
      </c>
      <c r="AJ223" s="166" t="s">
        <v>882</v>
      </c>
      <c r="AK223" s="55"/>
    </row>
    <row r="224" spans="1:40" ht="62.25" x14ac:dyDescent="0.9">
      <c r="A224" s="4">
        <v>1</v>
      </c>
      <c r="B224" s="57">
        <f>SUBTOTAL(103,$A$88:A224)</f>
        <v>114</v>
      </c>
      <c r="C224" s="165" t="s">
        <v>1477</v>
      </c>
      <c r="D224" s="62" t="s">
        <v>1867</v>
      </c>
      <c r="E224" s="60">
        <v>0.98829999999999996</v>
      </c>
      <c r="F224" s="29">
        <f>G224+H224+I224+J224+K224+L224+N224+P224+R224+T224+V224+W224+X224+Y224+Z224+AA224+AB224+AC224+AD224+AE224+AF224+AG224</f>
        <v>894902.36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64">
        <v>0</v>
      </c>
      <c r="N224" s="29">
        <v>0</v>
      </c>
      <c r="O224" s="29">
        <v>400</v>
      </c>
      <c r="P224" s="29">
        <v>881677.2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f>ROUND(P224*1.5%,2)</f>
        <v>13225.16</v>
      </c>
      <c r="AF224" s="29">
        <v>0</v>
      </c>
      <c r="AG224" s="29">
        <v>0</v>
      </c>
      <c r="AH224" s="166" t="s">
        <v>268</v>
      </c>
      <c r="AI224" s="33">
        <v>2021</v>
      </c>
      <c r="AJ224" s="33">
        <v>2021</v>
      </c>
      <c r="AK224" s="55"/>
    </row>
    <row r="225" spans="1:37" ht="62.25" x14ac:dyDescent="0.9">
      <c r="B225" s="416" t="s">
        <v>833</v>
      </c>
      <c r="C225" s="165"/>
      <c r="D225" s="415" t="s">
        <v>882</v>
      </c>
      <c r="E225" s="60">
        <f>E226</f>
        <v>0.72670000000000001</v>
      </c>
      <c r="F225" s="29">
        <f>F226</f>
        <v>41771.31</v>
      </c>
      <c r="G225" s="29">
        <f t="shared" ref="G225:AG225" si="59">G226</f>
        <v>0</v>
      </c>
      <c r="H225" s="29">
        <f t="shared" si="59"/>
        <v>0</v>
      </c>
      <c r="I225" s="29">
        <f t="shared" si="59"/>
        <v>0</v>
      </c>
      <c r="J225" s="29">
        <f t="shared" si="59"/>
        <v>0</v>
      </c>
      <c r="K225" s="29">
        <f t="shared" si="59"/>
        <v>0</v>
      </c>
      <c r="L225" s="29">
        <f t="shared" si="59"/>
        <v>0</v>
      </c>
      <c r="M225" s="64">
        <f t="shared" si="59"/>
        <v>0</v>
      </c>
      <c r="N225" s="29">
        <f t="shared" si="59"/>
        <v>0</v>
      </c>
      <c r="O225" s="29">
        <f t="shared" si="59"/>
        <v>651</v>
      </c>
      <c r="P225" s="29">
        <f t="shared" si="59"/>
        <v>41154</v>
      </c>
      <c r="Q225" s="29">
        <f t="shared" si="59"/>
        <v>0</v>
      </c>
      <c r="R225" s="29">
        <f t="shared" si="59"/>
        <v>0</v>
      </c>
      <c r="S225" s="29">
        <f t="shared" si="59"/>
        <v>0</v>
      </c>
      <c r="T225" s="29">
        <f t="shared" si="59"/>
        <v>0</v>
      </c>
      <c r="U225" s="29">
        <f t="shared" si="59"/>
        <v>0</v>
      </c>
      <c r="V225" s="29">
        <f t="shared" si="59"/>
        <v>0</v>
      </c>
      <c r="W225" s="29">
        <f t="shared" si="59"/>
        <v>0</v>
      </c>
      <c r="X225" s="29">
        <f t="shared" si="59"/>
        <v>0</v>
      </c>
      <c r="Y225" s="29">
        <f t="shared" si="59"/>
        <v>0</v>
      </c>
      <c r="Z225" s="29">
        <f t="shared" si="59"/>
        <v>0</v>
      </c>
      <c r="AA225" s="29">
        <f t="shared" si="59"/>
        <v>0</v>
      </c>
      <c r="AB225" s="29">
        <f t="shared" si="59"/>
        <v>0</v>
      </c>
      <c r="AC225" s="29">
        <f t="shared" si="59"/>
        <v>0</v>
      </c>
      <c r="AD225" s="29">
        <f t="shared" si="59"/>
        <v>0</v>
      </c>
      <c r="AE225" s="29">
        <f t="shared" si="59"/>
        <v>617.30999999999995</v>
      </c>
      <c r="AF225" s="29">
        <f t="shared" si="59"/>
        <v>0</v>
      </c>
      <c r="AG225" s="29">
        <f t="shared" si="59"/>
        <v>0</v>
      </c>
      <c r="AH225" s="166" t="s">
        <v>882</v>
      </c>
      <c r="AI225" s="166" t="s">
        <v>882</v>
      </c>
      <c r="AJ225" s="166" t="s">
        <v>882</v>
      </c>
      <c r="AK225" s="55"/>
    </row>
    <row r="226" spans="1:37" ht="62.25" x14ac:dyDescent="0.9">
      <c r="A226" s="4">
        <v>1</v>
      </c>
      <c r="B226" s="57">
        <f>SUBTOTAL(103,$A$88:A226)</f>
        <v>115</v>
      </c>
      <c r="C226" s="165" t="s">
        <v>1478</v>
      </c>
      <c r="D226" s="62" t="s">
        <v>1516</v>
      </c>
      <c r="E226" s="60">
        <v>0.72670000000000001</v>
      </c>
      <c r="F226" s="29">
        <f>G226+H226+I226+J226+K226+L226+N226+P226+R226+T226+V226+W226+X226+Y226+Z226+AA226+AB226+AC226+AD226+AE226+AF226+AG226</f>
        <v>41771.31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64">
        <v>0</v>
      </c>
      <c r="N226" s="29">
        <v>0</v>
      </c>
      <c r="O226" s="29">
        <v>651</v>
      </c>
      <c r="P226" s="29">
        <v>41154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f>ROUND(P226*1.5%,2)</f>
        <v>617.30999999999995</v>
      </c>
      <c r="AF226" s="29">
        <v>0</v>
      </c>
      <c r="AG226" s="29">
        <v>0</v>
      </c>
      <c r="AH226" s="166" t="s">
        <v>268</v>
      </c>
      <c r="AI226" s="33">
        <v>2021</v>
      </c>
      <c r="AJ226" s="33">
        <v>2021</v>
      </c>
      <c r="AK226" s="55"/>
    </row>
    <row r="227" spans="1:37" ht="62.25" x14ac:dyDescent="0.9">
      <c r="B227" s="416" t="s">
        <v>848</v>
      </c>
      <c r="C227" s="165"/>
      <c r="D227" s="415" t="s">
        <v>882</v>
      </c>
      <c r="E227" s="60">
        <f>E228</f>
        <v>0.98380000000000001</v>
      </c>
      <c r="F227" s="29">
        <f>F228</f>
        <v>39622.869999999995</v>
      </c>
      <c r="G227" s="29">
        <f t="shared" ref="G227:AG227" si="60">G228</f>
        <v>0</v>
      </c>
      <c r="H227" s="29">
        <f t="shared" si="60"/>
        <v>0</v>
      </c>
      <c r="I227" s="29">
        <f t="shared" si="60"/>
        <v>0</v>
      </c>
      <c r="J227" s="29">
        <f t="shared" si="60"/>
        <v>0</v>
      </c>
      <c r="K227" s="29">
        <f t="shared" si="60"/>
        <v>0</v>
      </c>
      <c r="L227" s="29">
        <f t="shared" si="60"/>
        <v>0</v>
      </c>
      <c r="M227" s="64">
        <f t="shared" si="60"/>
        <v>0</v>
      </c>
      <c r="N227" s="29">
        <f t="shared" si="60"/>
        <v>0</v>
      </c>
      <c r="O227" s="29">
        <f t="shared" si="60"/>
        <v>762</v>
      </c>
      <c r="P227" s="29">
        <f t="shared" si="60"/>
        <v>39037.31</v>
      </c>
      <c r="Q227" s="29">
        <f t="shared" si="60"/>
        <v>0</v>
      </c>
      <c r="R227" s="29">
        <f t="shared" si="60"/>
        <v>0</v>
      </c>
      <c r="S227" s="29">
        <f t="shared" si="60"/>
        <v>0</v>
      </c>
      <c r="T227" s="29">
        <f t="shared" si="60"/>
        <v>0</v>
      </c>
      <c r="U227" s="29">
        <f t="shared" si="60"/>
        <v>0</v>
      </c>
      <c r="V227" s="29">
        <f t="shared" si="60"/>
        <v>0</v>
      </c>
      <c r="W227" s="29">
        <f t="shared" si="60"/>
        <v>0</v>
      </c>
      <c r="X227" s="29">
        <f t="shared" si="60"/>
        <v>0</v>
      </c>
      <c r="Y227" s="29">
        <f t="shared" si="60"/>
        <v>0</v>
      </c>
      <c r="Z227" s="29">
        <f t="shared" si="60"/>
        <v>0</v>
      </c>
      <c r="AA227" s="29">
        <f t="shared" si="60"/>
        <v>0</v>
      </c>
      <c r="AB227" s="29">
        <f t="shared" si="60"/>
        <v>0</v>
      </c>
      <c r="AC227" s="29">
        <f t="shared" si="60"/>
        <v>0</v>
      </c>
      <c r="AD227" s="29">
        <f t="shared" si="60"/>
        <v>0</v>
      </c>
      <c r="AE227" s="29">
        <f t="shared" si="60"/>
        <v>585.55999999999995</v>
      </c>
      <c r="AF227" s="29">
        <f t="shared" si="60"/>
        <v>0</v>
      </c>
      <c r="AG227" s="29">
        <f t="shared" si="60"/>
        <v>0</v>
      </c>
      <c r="AH227" s="166" t="s">
        <v>882</v>
      </c>
      <c r="AI227" s="166" t="s">
        <v>882</v>
      </c>
      <c r="AJ227" s="166" t="s">
        <v>882</v>
      </c>
      <c r="AK227" s="55"/>
    </row>
    <row r="228" spans="1:37" ht="62.25" x14ac:dyDescent="0.9">
      <c r="A228" s="4">
        <v>1</v>
      </c>
      <c r="B228" s="57">
        <f>SUBTOTAL(103,$A$88:A228)</f>
        <v>116</v>
      </c>
      <c r="C228" s="165" t="s">
        <v>1479</v>
      </c>
      <c r="D228" s="62" t="s">
        <v>1867</v>
      </c>
      <c r="E228" s="60">
        <v>0.98380000000000001</v>
      </c>
      <c r="F228" s="29">
        <f>G228+H228+I228+J228+K228+L228+N228+P228+R228+T228+V228+W228+X228+Y228+Z228+AA228+AB228+AC228+AD228+AE228+AF228+AG228</f>
        <v>39622.869999999995</v>
      </c>
      <c r="G228" s="29">
        <v>0</v>
      </c>
      <c r="H228" s="29">
        <v>0</v>
      </c>
      <c r="I228" s="29">
        <v>0</v>
      </c>
      <c r="J228" s="29">
        <v>0</v>
      </c>
      <c r="K228" s="29">
        <v>0</v>
      </c>
      <c r="L228" s="29">
        <v>0</v>
      </c>
      <c r="M228" s="64">
        <v>0</v>
      </c>
      <c r="N228" s="29">
        <v>0</v>
      </c>
      <c r="O228" s="29">
        <v>762</v>
      </c>
      <c r="P228" s="29">
        <v>39037.31</v>
      </c>
      <c r="Q228" s="29">
        <v>0</v>
      </c>
      <c r="R228" s="29">
        <v>0</v>
      </c>
      <c r="S228" s="29">
        <v>0</v>
      </c>
      <c r="T228" s="29">
        <v>0</v>
      </c>
      <c r="U228" s="29">
        <v>0</v>
      </c>
      <c r="V228" s="29">
        <v>0</v>
      </c>
      <c r="W228" s="29">
        <v>0</v>
      </c>
      <c r="X228" s="29">
        <v>0</v>
      </c>
      <c r="Y228" s="29">
        <v>0</v>
      </c>
      <c r="Z228" s="29">
        <v>0</v>
      </c>
      <c r="AA228" s="29">
        <v>0</v>
      </c>
      <c r="AB228" s="29">
        <v>0</v>
      </c>
      <c r="AC228" s="29">
        <v>0</v>
      </c>
      <c r="AD228" s="29">
        <v>0</v>
      </c>
      <c r="AE228" s="29">
        <f>ROUND(P228*1.5%,2)</f>
        <v>585.55999999999995</v>
      </c>
      <c r="AF228" s="29">
        <v>0</v>
      </c>
      <c r="AG228" s="29">
        <v>0</v>
      </c>
      <c r="AH228" s="166" t="s">
        <v>268</v>
      </c>
      <c r="AI228" s="166">
        <v>2020</v>
      </c>
      <c r="AJ228" s="166">
        <v>2020</v>
      </c>
      <c r="AK228" s="55"/>
    </row>
    <row r="229" spans="1:37" ht="62.25" x14ac:dyDescent="0.9">
      <c r="B229" s="416" t="s">
        <v>826</v>
      </c>
      <c r="C229" s="165"/>
      <c r="D229" s="415" t="s">
        <v>882</v>
      </c>
      <c r="E229" s="60">
        <f>E230</f>
        <v>0.98480000000000001</v>
      </c>
      <c r="F229" s="29">
        <f>F230</f>
        <v>1045972.2</v>
      </c>
      <c r="G229" s="29">
        <f t="shared" ref="G229:AG229" si="61">G230</f>
        <v>0</v>
      </c>
      <c r="H229" s="29">
        <f t="shared" si="61"/>
        <v>0</v>
      </c>
      <c r="I229" s="29">
        <f t="shared" si="61"/>
        <v>0</v>
      </c>
      <c r="J229" s="29">
        <f t="shared" si="61"/>
        <v>0</v>
      </c>
      <c r="K229" s="29">
        <f t="shared" si="61"/>
        <v>0</v>
      </c>
      <c r="L229" s="29">
        <f t="shared" si="61"/>
        <v>0</v>
      </c>
      <c r="M229" s="64">
        <f t="shared" si="61"/>
        <v>0</v>
      </c>
      <c r="N229" s="29">
        <f t="shared" si="61"/>
        <v>0</v>
      </c>
      <c r="O229" s="29">
        <f t="shared" si="61"/>
        <v>1187</v>
      </c>
      <c r="P229" s="29">
        <f t="shared" si="61"/>
        <v>1030514.48</v>
      </c>
      <c r="Q229" s="29">
        <f t="shared" si="61"/>
        <v>0</v>
      </c>
      <c r="R229" s="29">
        <f t="shared" si="61"/>
        <v>0</v>
      </c>
      <c r="S229" s="29">
        <f t="shared" si="61"/>
        <v>0</v>
      </c>
      <c r="T229" s="29">
        <f t="shared" si="61"/>
        <v>0</v>
      </c>
      <c r="U229" s="29">
        <f t="shared" si="61"/>
        <v>0</v>
      </c>
      <c r="V229" s="29">
        <f t="shared" si="61"/>
        <v>0</v>
      </c>
      <c r="W229" s="29">
        <f t="shared" si="61"/>
        <v>0</v>
      </c>
      <c r="X229" s="29">
        <f t="shared" si="61"/>
        <v>0</v>
      </c>
      <c r="Y229" s="29">
        <f t="shared" si="61"/>
        <v>0</v>
      </c>
      <c r="Z229" s="29">
        <f t="shared" si="61"/>
        <v>0</v>
      </c>
      <c r="AA229" s="29">
        <f t="shared" si="61"/>
        <v>0</v>
      </c>
      <c r="AB229" s="29">
        <f t="shared" si="61"/>
        <v>0</v>
      </c>
      <c r="AC229" s="29">
        <f t="shared" si="61"/>
        <v>0</v>
      </c>
      <c r="AD229" s="29">
        <f t="shared" si="61"/>
        <v>0</v>
      </c>
      <c r="AE229" s="29">
        <f t="shared" si="61"/>
        <v>15457.72</v>
      </c>
      <c r="AF229" s="29">
        <f t="shared" si="61"/>
        <v>0</v>
      </c>
      <c r="AG229" s="29">
        <f t="shared" si="61"/>
        <v>0</v>
      </c>
      <c r="AH229" s="166" t="s">
        <v>882</v>
      </c>
      <c r="AI229" s="166" t="s">
        <v>882</v>
      </c>
      <c r="AJ229" s="166" t="s">
        <v>882</v>
      </c>
      <c r="AK229" s="55"/>
    </row>
    <row r="230" spans="1:37" ht="62.25" x14ac:dyDescent="0.9">
      <c r="A230" s="4">
        <v>1</v>
      </c>
      <c r="B230" s="57">
        <f>SUBTOTAL(103,$A$88:A230)</f>
        <v>117</v>
      </c>
      <c r="C230" s="165" t="s">
        <v>2266</v>
      </c>
      <c r="D230" s="62">
        <v>2014</v>
      </c>
      <c r="E230" s="60">
        <v>0.98480000000000001</v>
      </c>
      <c r="F230" s="29">
        <f>G230+H230+I230+J230+K230+L230+N230+P230+R230+T230+V230+W230+X230+Y230+Z230+AA230+AB230+AC230+AD230+AE230+AF230+AG230</f>
        <v>1045972.2</v>
      </c>
      <c r="G230" s="29">
        <v>0</v>
      </c>
      <c r="H230" s="29">
        <v>0</v>
      </c>
      <c r="I230" s="29">
        <v>0</v>
      </c>
      <c r="J230" s="29">
        <v>0</v>
      </c>
      <c r="K230" s="29">
        <v>0</v>
      </c>
      <c r="L230" s="29">
        <v>0</v>
      </c>
      <c r="M230" s="64">
        <v>0</v>
      </c>
      <c r="N230" s="29">
        <v>0</v>
      </c>
      <c r="O230" s="29">
        <v>1187</v>
      </c>
      <c r="P230" s="29">
        <v>1030514.48</v>
      </c>
      <c r="Q230" s="29">
        <v>0</v>
      </c>
      <c r="R230" s="29">
        <v>0</v>
      </c>
      <c r="S230" s="29">
        <v>0</v>
      </c>
      <c r="T230" s="29">
        <v>0</v>
      </c>
      <c r="U230" s="29">
        <v>0</v>
      </c>
      <c r="V230" s="29">
        <v>0</v>
      </c>
      <c r="W230" s="29">
        <v>0</v>
      </c>
      <c r="X230" s="29">
        <v>0</v>
      </c>
      <c r="Y230" s="29">
        <v>0</v>
      </c>
      <c r="Z230" s="29">
        <v>0</v>
      </c>
      <c r="AA230" s="29">
        <v>0</v>
      </c>
      <c r="AB230" s="29">
        <v>0</v>
      </c>
      <c r="AC230" s="29">
        <v>0</v>
      </c>
      <c r="AD230" s="29">
        <v>0</v>
      </c>
      <c r="AE230" s="29">
        <f>ROUND(P230*1.5%,2)</f>
        <v>15457.72</v>
      </c>
      <c r="AF230" s="29">
        <v>0</v>
      </c>
      <c r="AG230" s="29">
        <v>0</v>
      </c>
      <c r="AH230" s="166" t="s">
        <v>268</v>
      </c>
      <c r="AI230" s="33">
        <v>2021</v>
      </c>
      <c r="AJ230" s="33">
        <v>2021</v>
      </c>
      <c r="AK230" s="55"/>
    </row>
    <row r="231" spans="1:37" ht="62.25" x14ac:dyDescent="0.9">
      <c r="B231" s="416" t="s">
        <v>831</v>
      </c>
      <c r="C231" s="165"/>
      <c r="D231" s="415" t="s">
        <v>882</v>
      </c>
      <c r="E231" s="60">
        <f>AVERAGE(E232:E233)</f>
        <v>0.83830000000000005</v>
      </c>
      <c r="F231" s="29">
        <f>F232+F233</f>
        <v>98453.75</v>
      </c>
      <c r="G231" s="29">
        <f t="shared" ref="G231:AG231" si="62">G232+G233</f>
        <v>0</v>
      </c>
      <c r="H231" s="29">
        <f t="shared" si="62"/>
        <v>0</v>
      </c>
      <c r="I231" s="29">
        <f t="shared" si="62"/>
        <v>0</v>
      </c>
      <c r="J231" s="29">
        <f t="shared" si="62"/>
        <v>0</v>
      </c>
      <c r="K231" s="29">
        <f t="shared" si="62"/>
        <v>0</v>
      </c>
      <c r="L231" s="29">
        <f t="shared" si="62"/>
        <v>0</v>
      </c>
      <c r="M231" s="64">
        <f t="shared" si="62"/>
        <v>0</v>
      </c>
      <c r="N231" s="29">
        <f t="shared" si="62"/>
        <v>0</v>
      </c>
      <c r="O231" s="29">
        <f t="shared" si="62"/>
        <v>949</v>
      </c>
      <c r="P231" s="29">
        <f t="shared" si="62"/>
        <v>97866.559999999998</v>
      </c>
      <c r="Q231" s="29">
        <f t="shared" si="62"/>
        <v>0</v>
      </c>
      <c r="R231" s="29">
        <f t="shared" si="62"/>
        <v>0</v>
      </c>
      <c r="S231" s="29">
        <f t="shared" si="62"/>
        <v>0</v>
      </c>
      <c r="T231" s="29">
        <f t="shared" si="62"/>
        <v>0</v>
      </c>
      <c r="U231" s="29">
        <f t="shared" si="62"/>
        <v>0</v>
      </c>
      <c r="V231" s="29">
        <f t="shared" si="62"/>
        <v>0</v>
      </c>
      <c r="W231" s="29">
        <f t="shared" si="62"/>
        <v>0</v>
      </c>
      <c r="X231" s="29">
        <f t="shared" si="62"/>
        <v>0</v>
      </c>
      <c r="Y231" s="29">
        <f t="shared" si="62"/>
        <v>0</v>
      </c>
      <c r="Z231" s="29">
        <f t="shared" si="62"/>
        <v>0</v>
      </c>
      <c r="AA231" s="29">
        <f t="shared" si="62"/>
        <v>0</v>
      </c>
      <c r="AB231" s="29">
        <f t="shared" si="62"/>
        <v>0</v>
      </c>
      <c r="AC231" s="29">
        <f t="shared" si="62"/>
        <v>0</v>
      </c>
      <c r="AD231" s="29">
        <f t="shared" si="62"/>
        <v>0</v>
      </c>
      <c r="AE231" s="29">
        <f t="shared" si="62"/>
        <v>587.18999999999994</v>
      </c>
      <c r="AF231" s="29">
        <f t="shared" si="62"/>
        <v>0</v>
      </c>
      <c r="AG231" s="29">
        <f t="shared" si="62"/>
        <v>0</v>
      </c>
      <c r="AH231" s="166" t="s">
        <v>882</v>
      </c>
      <c r="AI231" s="166" t="s">
        <v>882</v>
      </c>
      <c r="AJ231" s="166" t="s">
        <v>882</v>
      </c>
      <c r="AK231" s="55"/>
    </row>
    <row r="232" spans="1:37" ht="62.25" x14ac:dyDescent="0.9">
      <c r="A232" s="4">
        <v>1</v>
      </c>
      <c r="B232" s="57">
        <f>SUBTOTAL(103,$A$88:A232)</f>
        <v>118</v>
      </c>
      <c r="C232" s="165" t="s">
        <v>1487</v>
      </c>
      <c r="D232" s="62" t="s">
        <v>1866</v>
      </c>
      <c r="E232" s="60">
        <v>0.75480000000000003</v>
      </c>
      <c r="F232" s="29">
        <f>G232+H232+I232+J232+K232+L232+N232+P232+R232+T232+V232+W232+X232+Y232+Z232+AA232+AB232+AC232+AD232+AE232+AF232+AG232</f>
        <v>78556.570000000007</v>
      </c>
      <c r="G232" s="29">
        <v>0</v>
      </c>
      <c r="H232" s="29">
        <v>0</v>
      </c>
      <c r="I232" s="29">
        <v>0</v>
      </c>
      <c r="J232" s="29">
        <v>0</v>
      </c>
      <c r="K232" s="29">
        <v>0</v>
      </c>
      <c r="L232" s="29">
        <v>0</v>
      </c>
      <c r="M232" s="64">
        <v>0</v>
      </c>
      <c r="N232" s="29">
        <v>0</v>
      </c>
      <c r="O232" s="29">
        <v>577</v>
      </c>
      <c r="P232" s="29">
        <v>78088.05</v>
      </c>
      <c r="Q232" s="29">
        <v>0</v>
      </c>
      <c r="R232" s="29">
        <v>0</v>
      </c>
      <c r="S232" s="29">
        <v>0</v>
      </c>
      <c r="T232" s="29">
        <v>0</v>
      </c>
      <c r="U232" s="29">
        <v>0</v>
      </c>
      <c r="V232" s="29">
        <v>0</v>
      </c>
      <c r="W232" s="29">
        <v>0</v>
      </c>
      <c r="X232" s="29">
        <v>0</v>
      </c>
      <c r="Y232" s="29">
        <v>0</v>
      </c>
      <c r="Z232" s="29">
        <v>0</v>
      </c>
      <c r="AA232" s="29">
        <v>0</v>
      </c>
      <c r="AB232" s="29">
        <v>0</v>
      </c>
      <c r="AC232" s="29">
        <v>0</v>
      </c>
      <c r="AD232" s="29">
        <v>0</v>
      </c>
      <c r="AE232" s="29">
        <v>468.52</v>
      </c>
      <c r="AF232" s="29">
        <v>0</v>
      </c>
      <c r="AG232" s="29">
        <v>0</v>
      </c>
      <c r="AH232" s="166" t="s">
        <v>268</v>
      </c>
      <c r="AI232" s="166">
        <v>2020</v>
      </c>
      <c r="AJ232" s="166">
        <v>2020</v>
      </c>
      <c r="AK232" s="55"/>
    </row>
    <row r="233" spans="1:37" ht="62.25" x14ac:dyDescent="0.9">
      <c r="A233" s="4">
        <v>1</v>
      </c>
      <c r="B233" s="57">
        <f>SUBTOTAL(103,$A$88:A233)</f>
        <v>119</v>
      </c>
      <c r="C233" s="165" t="s">
        <v>1488</v>
      </c>
      <c r="D233" s="62" t="s">
        <v>1867</v>
      </c>
      <c r="E233" s="60">
        <v>0.92179999999999995</v>
      </c>
      <c r="F233" s="29">
        <f>G233+H233+I233+J233+K233+L233+N233+P233+R233+T233+V233+W233+X233+Y233+Z233+AA233+AB233+AC233+AD233+AE233+AF233+AG233</f>
        <v>19897.179999999997</v>
      </c>
      <c r="G233" s="29">
        <v>0</v>
      </c>
      <c r="H233" s="29">
        <v>0</v>
      </c>
      <c r="I233" s="29">
        <v>0</v>
      </c>
      <c r="J233" s="29">
        <v>0</v>
      </c>
      <c r="K233" s="29">
        <v>0</v>
      </c>
      <c r="L233" s="29">
        <v>0</v>
      </c>
      <c r="M233" s="64">
        <v>0</v>
      </c>
      <c r="N233" s="29">
        <v>0</v>
      </c>
      <c r="O233" s="29">
        <v>372</v>
      </c>
      <c r="P233" s="29">
        <v>19778.509999999998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0</v>
      </c>
      <c r="AE233" s="29">
        <v>118.67</v>
      </c>
      <c r="AF233" s="29">
        <v>0</v>
      </c>
      <c r="AG233" s="29">
        <v>0</v>
      </c>
      <c r="AH233" s="166" t="s">
        <v>268</v>
      </c>
      <c r="AI233" s="166">
        <v>2020</v>
      </c>
      <c r="AJ233" s="166">
        <v>2020</v>
      </c>
      <c r="AK233" s="55"/>
    </row>
    <row r="234" spans="1:37" ht="62.25" x14ac:dyDescent="0.9">
      <c r="B234" s="416" t="s">
        <v>1036</v>
      </c>
      <c r="C234" s="165"/>
      <c r="D234" s="415" t="s">
        <v>882</v>
      </c>
      <c r="E234" s="60">
        <f t="shared" ref="E234:T240" si="63">E235</f>
        <v>0.93410000000000004</v>
      </c>
      <c r="F234" s="29">
        <f t="shared" si="63"/>
        <v>5309.7</v>
      </c>
      <c r="G234" s="29">
        <f t="shared" si="63"/>
        <v>0</v>
      </c>
      <c r="H234" s="29">
        <f t="shared" si="63"/>
        <v>0</v>
      </c>
      <c r="I234" s="29">
        <f t="shared" si="63"/>
        <v>0</v>
      </c>
      <c r="J234" s="29">
        <f t="shared" si="63"/>
        <v>0</v>
      </c>
      <c r="K234" s="29">
        <f t="shared" si="63"/>
        <v>0</v>
      </c>
      <c r="L234" s="29">
        <f t="shared" si="63"/>
        <v>0</v>
      </c>
      <c r="M234" s="64">
        <f t="shared" si="63"/>
        <v>0</v>
      </c>
      <c r="N234" s="29">
        <f t="shared" si="63"/>
        <v>0</v>
      </c>
      <c r="O234" s="29">
        <f t="shared" si="63"/>
        <v>429.6</v>
      </c>
      <c r="P234" s="29">
        <f t="shared" si="63"/>
        <v>5231.2299999999996</v>
      </c>
      <c r="Q234" s="29">
        <f t="shared" si="63"/>
        <v>0</v>
      </c>
      <c r="R234" s="29">
        <f t="shared" si="63"/>
        <v>0</v>
      </c>
      <c r="S234" s="29">
        <f t="shared" si="63"/>
        <v>0</v>
      </c>
      <c r="T234" s="29">
        <f t="shared" si="63"/>
        <v>0</v>
      </c>
      <c r="U234" s="29">
        <f t="shared" ref="U234:AG234" si="64">U235</f>
        <v>0</v>
      </c>
      <c r="V234" s="29">
        <f t="shared" si="64"/>
        <v>0</v>
      </c>
      <c r="W234" s="29">
        <f t="shared" si="64"/>
        <v>0</v>
      </c>
      <c r="X234" s="29">
        <f t="shared" si="64"/>
        <v>0</v>
      </c>
      <c r="Y234" s="29">
        <f t="shared" si="64"/>
        <v>0</v>
      </c>
      <c r="Z234" s="29">
        <f t="shared" si="64"/>
        <v>0</v>
      </c>
      <c r="AA234" s="29">
        <f t="shared" si="64"/>
        <v>0</v>
      </c>
      <c r="AB234" s="29">
        <f t="shared" si="64"/>
        <v>0</v>
      </c>
      <c r="AC234" s="29">
        <f t="shared" si="64"/>
        <v>0</v>
      </c>
      <c r="AD234" s="29">
        <f t="shared" si="64"/>
        <v>0</v>
      </c>
      <c r="AE234" s="29">
        <f t="shared" si="64"/>
        <v>78.47</v>
      </c>
      <c r="AF234" s="29">
        <f t="shared" si="64"/>
        <v>0</v>
      </c>
      <c r="AG234" s="29">
        <f t="shared" si="64"/>
        <v>0</v>
      </c>
      <c r="AH234" s="166" t="s">
        <v>882</v>
      </c>
      <c r="AI234" s="166" t="s">
        <v>882</v>
      </c>
      <c r="AJ234" s="166" t="s">
        <v>882</v>
      </c>
      <c r="AK234" s="55"/>
    </row>
    <row r="235" spans="1:37" ht="62.25" x14ac:dyDescent="0.9">
      <c r="A235" s="4">
        <v>1</v>
      </c>
      <c r="B235" s="57">
        <f>SUBTOTAL(103,$A$88:A235)</f>
        <v>120</v>
      </c>
      <c r="C235" s="165" t="s">
        <v>1581</v>
      </c>
      <c r="D235" s="62" t="s">
        <v>1866</v>
      </c>
      <c r="E235" s="60">
        <v>0.93410000000000004</v>
      </c>
      <c r="F235" s="29">
        <f>G235+H235+I235+J235+K235+L235+N235+P235+R235+T235+V235+W235+X235+Y235+Z235+AA235+AB235+AC235+AD235+AE235+AF235+AG235</f>
        <v>5309.7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64">
        <v>0</v>
      </c>
      <c r="N235" s="29">
        <v>0</v>
      </c>
      <c r="O235" s="29">
        <v>429.6</v>
      </c>
      <c r="P235" s="29">
        <v>5231.2299999999996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9">
        <v>0</v>
      </c>
      <c r="AC235" s="29">
        <v>0</v>
      </c>
      <c r="AD235" s="29">
        <v>0</v>
      </c>
      <c r="AE235" s="29">
        <f>ROUND(P235*1.5%,2)</f>
        <v>78.47</v>
      </c>
      <c r="AF235" s="29">
        <v>0</v>
      </c>
      <c r="AG235" s="29">
        <v>0</v>
      </c>
      <c r="AH235" s="166" t="s">
        <v>268</v>
      </c>
      <c r="AI235" s="166">
        <v>2020</v>
      </c>
      <c r="AJ235" s="166">
        <v>2020</v>
      </c>
      <c r="AK235" s="55"/>
    </row>
    <row r="236" spans="1:37" ht="62.25" x14ac:dyDescent="0.9">
      <c r="B236" s="416" t="s">
        <v>874</v>
      </c>
      <c r="C236" s="165"/>
      <c r="D236" s="415" t="s">
        <v>882</v>
      </c>
      <c r="E236" s="60">
        <v>0.99509999999999998</v>
      </c>
      <c r="F236" s="29">
        <f t="shared" si="63"/>
        <v>188216.53</v>
      </c>
      <c r="G236" s="29">
        <f t="shared" si="63"/>
        <v>0</v>
      </c>
      <c r="H236" s="29">
        <f t="shared" si="63"/>
        <v>0</v>
      </c>
      <c r="I236" s="29">
        <f t="shared" si="63"/>
        <v>0</v>
      </c>
      <c r="J236" s="29">
        <f t="shared" si="63"/>
        <v>0</v>
      </c>
      <c r="K236" s="29">
        <f t="shared" si="63"/>
        <v>0</v>
      </c>
      <c r="L236" s="29">
        <f t="shared" si="63"/>
        <v>0</v>
      </c>
      <c r="M236" s="64">
        <f t="shared" si="63"/>
        <v>0</v>
      </c>
      <c r="N236" s="29">
        <f t="shared" si="63"/>
        <v>0</v>
      </c>
      <c r="O236" s="29">
        <f t="shared" si="63"/>
        <v>186.15</v>
      </c>
      <c r="P236" s="29">
        <f t="shared" si="63"/>
        <v>185435</v>
      </c>
      <c r="Q236" s="29">
        <f t="shared" si="63"/>
        <v>0</v>
      </c>
      <c r="R236" s="29">
        <f t="shared" si="63"/>
        <v>0</v>
      </c>
      <c r="S236" s="29">
        <f t="shared" si="63"/>
        <v>0</v>
      </c>
      <c r="T236" s="29">
        <f t="shared" si="63"/>
        <v>0</v>
      </c>
      <c r="U236" s="29">
        <f t="shared" ref="U236:AG236" si="65">U237</f>
        <v>0</v>
      </c>
      <c r="V236" s="29">
        <f t="shared" si="65"/>
        <v>0</v>
      </c>
      <c r="W236" s="29">
        <f t="shared" si="65"/>
        <v>0</v>
      </c>
      <c r="X236" s="29">
        <f t="shared" si="65"/>
        <v>0</v>
      </c>
      <c r="Y236" s="29">
        <f t="shared" si="65"/>
        <v>0</v>
      </c>
      <c r="Z236" s="29">
        <f t="shared" si="65"/>
        <v>0</v>
      </c>
      <c r="AA236" s="29">
        <f t="shared" si="65"/>
        <v>0</v>
      </c>
      <c r="AB236" s="29">
        <f t="shared" si="65"/>
        <v>0</v>
      </c>
      <c r="AC236" s="29">
        <f t="shared" si="65"/>
        <v>0</v>
      </c>
      <c r="AD236" s="29">
        <f t="shared" si="65"/>
        <v>0</v>
      </c>
      <c r="AE236" s="29">
        <f t="shared" si="65"/>
        <v>2781.53</v>
      </c>
      <c r="AF236" s="29">
        <f t="shared" si="65"/>
        <v>0</v>
      </c>
      <c r="AG236" s="29">
        <f t="shared" si="65"/>
        <v>0</v>
      </c>
      <c r="AH236" s="166" t="s">
        <v>882</v>
      </c>
      <c r="AI236" s="166" t="s">
        <v>882</v>
      </c>
      <c r="AJ236" s="166" t="s">
        <v>882</v>
      </c>
      <c r="AK236" s="55"/>
    </row>
    <row r="237" spans="1:37" ht="62.25" x14ac:dyDescent="0.9">
      <c r="A237" s="4">
        <v>1</v>
      </c>
      <c r="B237" s="57">
        <f>SUBTOTAL(103,$A$88:A237)</f>
        <v>121</v>
      </c>
      <c r="C237" s="165" t="s">
        <v>1669</v>
      </c>
      <c r="D237" s="62" t="s">
        <v>1866</v>
      </c>
      <c r="E237" s="60">
        <v>0.99509999999999998</v>
      </c>
      <c r="F237" s="29">
        <f>P237+AE237</f>
        <v>188216.53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64">
        <v>0</v>
      </c>
      <c r="N237" s="29">
        <v>0</v>
      </c>
      <c r="O237" s="29">
        <v>186.15</v>
      </c>
      <c r="P237" s="29">
        <v>185435</v>
      </c>
      <c r="Q237" s="29">
        <v>0</v>
      </c>
      <c r="R237" s="29">
        <v>0</v>
      </c>
      <c r="S237" s="29">
        <v>0</v>
      </c>
      <c r="T237" s="167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0</v>
      </c>
      <c r="AA237" s="29">
        <v>0</v>
      </c>
      <c r="AB237" s="29">
        <v>0</v>
      </c>
      <c r="AC237" s="29">
        <v>0</v>
      </c>
      <c r="AD237" s="29">
        <v>0</v>
      </c>
      <c r="AE237" s="29">
        <f>ROUND(P237*1.5%,2)</f>
        <v>2781.53</v>
      </c>
      <c r="AF237" s="29">
        <v>0</v>
      </c>
      <c r="AG237" s="29">
        <v>0</v>
      </c>
      <c r="AH237" s="166" t="s">
        <v>268</v>
      </c>
      <c r="AI237" s="166">
        <v>2020</v>
      </c>
      <c r="AJ237" s="166">
        <v>2020</v>
      </c>
      <c r="AK237" s="55"/>
    </row>
    <row r="238" spans="1:37" ht="62.25" x14ac:dyDescent="0.9">
      <c r="B238" s="416" t="s">
        <v>845</v>
      </c>
      <c r="C238" s="165"/>
      <c r="D238" s="415" t="s">
        <v>882</v>
      </c>
      <c r="E238" s="60">
        <f t="shared" si="63"/>
        <v>0.981975146584529</v>
      </c>
      <c r="F238" s="29">
        <f t="shared" si="63"/>
        <v>29122.38</v>
      </c>
      <c r="G238" s="29">
        <f t="shared" si="63"/>
        <v>0</v>
      </c>
      <c r="H238" s="29">
        <f t="shared" si="63"/>
        <v>0</v>
      </c>
      <c r="I238" s="29">
        <f t="shared" si="63"/>
        <v>28692</v>
      </c>
      <c r="J238" s="29">
        <f t="shared" si="63"/>
        <v>0</v>
      </c>
      <c r="K238" s="29">
        <f t="shared" si="63"/>
        <v>0</v>
      </c>
      <c r="L238" s="29">
        <f t="shared" si="63"/>
        <v>0</v>
      </c>
      <c r="M238" s="64">
        <f t="shared" si="63"/>
        <v>0</v>
      </c>
      <c r="N238" s="29">
        <f t="shared" si="63"/>
        <v>0</v>
      </c>
      <c r="O238" s="29">
        <f t="shared" si="63"/>
        <v>0</v>
      </c>
      <c r="P238" s="29">
        <f t="shared" si="63"/>
        <v>0</v>
      </c>
      <c r="Q238" s="29">
        <f t="shared" si="63"/>
        <v>0</v>
      </c>
      <c r="R238" s="29">
        <f t="shared" si="63"/>
        <v>0</v>
      </c>
      <c r="S238" s="29">
        <f t="shared" si="63"/>
        <v>0</v>
      </c>
      <c r="T238" s="29">
        <f t="shared" si="63"/>
        <v>0</v>
      </c>
      <c r="U238" s="29">
        <f t="shared" ref="U238:AG240" si="66">U239</f>
        <v>0</v>
      </c>
      <c r="V238" s="29">
        <f t="shared" si="66"/>
        <v>0</v>
      </c>
      <c r="W238" s="29">
        <f t="shared" si="66"/>
        <v>0</v>
      </c>
      <c r="X238" s="29">
        <f t="shared" si="66"/>
        <v>0</v>
      </c>
      <c r="Y238" s="29">
        <f t="shared" si="66"/>
        <v>0</v>
      </c>
      <c r="Z238" s="29">
        <f t="shared" si="66"/>
        <v>0</v>
      </c>
      <c r="AA238" s="29">
        <f t="shared" si="66"/>
        <v>0</v>
      </c>
      <c r="AB238" s="29">
        <f t="shared" si="66"/>
        <v>0</v>
      </c>
      <c r="AC238" s="29">
        <f t="shared" si="66"/>
        <v>0</v>
      </c>
      <c r="AD238" s="29">
        <f t="shared" si="66"/>
        <v>0</v>
      </c>
      <c r="AE238" s="29">
        <f t="shared" si="66"/>
        <v>430.38</v>
      </c>
      <c r="AF238" s="29">
        <f t="shared" si="66"/>
        <v>0</v>
      </c>
      <c r="AG238" s="29">
        <f t="shared" si="66"/>
        <v>0</v>
      </c>
      <c r="AH238" s="166" t="s">
        <v>882</v>
      </c>
      <c r="AI238" s="166" t="s">
        <v>882</v>
      </c>
      <c r="AJ238" s="166" t="s">
        <v>882</v>
      </c>
      <c r="AK238" s="55"/>
    </row>
    <row r="239" spans="1:37" ht="62.25" x14ac:dyDescent="0.9">
      <c r="A239" s="4">
        <v>1</v>
      </c>
      <c r="B239" s="57">
        <f>SUBTOTAL(103,$A$88:A239)</f>
        <v>122</v>
      </c>
      <c r="C239" s="165" t="s">
        <v>1882</v>
      </c>
      <c r="D239" s="77">
        <v>2015</v>
      </c>
      <c r="E239" s="60">
        <v>0.981975146584529</v>
      </c>
      <c r="F239" s="29">
        <f>G239+H239+I239+J239+K239+L239+N239+P239+R239+T239+V239+W239+X239+Y239+Z239+AA239+AB239+AC239+AD239+AE239+AF239+AG239</f>
        <v>29122.38</v>
      </c>
      <c r="G239" s="29">
        <v>0</v>
      </c>
      <c r="H239" s="29">
        <v>0</v>
      </c>
      <c r="I239" s="29">
        <v>28692</v>
      </c>
      <c r="J239" s="29">
        <v>0</v>
      </c>
      <c r="K239" s="29">
        <v>0</v>
      </c>
      <c r="L239" s="29">
        <v>0</v>
      </c>
      <c r="M239" s="64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167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9">
        <v>0</v>
      </c>
      <c r="AC239" s="29">
        <v>0</v>
      </c>
      <c r="AD239" s="29">
        <v>0</v>
      </c>
      <c r="AE239" s="29">
        <f>ROUND(I239*1.5%,2)</f>
        <v>430.38</v>
      </c>
      <c r="AF239" s="29">
        <v>0</v>
      </c>
      <c r="AG239" s="29">
        <v>0</v>
      </c>
      <c r="AH239" s="166" t="s">
        <v>268</v>
      </c>
      <c r="AI239" s="166">
        <v>2021</v>
      </c>
      <c r="AJ239" s="166">
        <v>2021</v>
      </c>
      <c r="AK239" s="55"/>
    </row>
    <row r="240" spans="1:37" ht="62.25" x14ac:dyDescent="0.9">
      <c r="B240" s="416" t="s">
        <v>843</v>
      </c>
      <c r="C240" s="165"/>
      <c r="D240" s="415" t="s">
        <v>882</v>
      </c>
      <c r="E240" s="60">
        <f t="shared" si="63"/>
        <v>0.95199999999999996</v>
      </c>
      <c r="F240" s="29">
        <f t="shared" si="63"/>
        <v>4917329.37</v>
      </c>
      <c r="G240" s="29">
        <f t="shared" si="63"/>
        <v>0</v>
      </c>
      <c r="H240" s="29">
        <f t="shared" si="63"/>
        <v>0</v>
      </c>
      <c r="I240" s="29">
        <f t="shared" si="63"/>
        <v>0</v>
      </c>
      <c r="J240" s="29">
        <f t="shared" si="63"/>
        <v>0</v>
      </c>
      <c r="K240" s="29">
        <f t="shared" si="63"/>
        <v>0</v>
      </c>
      <c r="L240" s="29">
        <f t="shared" si="63"/>
        <v>0</v>
      </c>
      <c r="M240" s="64">
        <f t="shared" si="63"/>
        <v>0</v>
      </c>
      <c r="N240" s="29">
        <f t="shared" si="63"/>
        <v>0</v>
      </c>
      <c r="O240" s="29">
        <f t="shared" si="63"/>
        <v>1020</v>
      </c>
      <c r="P240" s="29">
        <f t="shared" si="63"/>
        <v>4844659.4800000004</v>
      </c>
      <c r="Q240" s="29">
        <f t="shared" si="63"/>
        <v>0</v>
      </c>
      <c r="R240" s="29">
        <f t="shared" si="63"/>
        <v>0</v>
      </c>
      <c r="S240" s="29">
        <f t="shared" si="63"/>
        <v>0</v>
      </c>
      <c r="T240" s="29">
        <f t="shared" si="63"/>
        <v>0</v>
      </c>
      <c r="U240" s="29">
        <f t="shared" si="66"/>
        <v>0</v>
      </c>
      <c r="V240" s="29">
        <f t="shared" si="66"/>
        <v>0</v>
      </c>
      <c r="W240" s="29">
        <f t="shared" si="66"/>
        <v>0</v>
      </c>
      <c r="X240" s="29">
        <f t="shared" si="66"/>
        <v>0</v>
      </c>
      <c r="Y240" s="29">
        <f t="shared" si="66"/>
        <v>0</v>
      </c>
      <c r="Z240" s="29">
        <f t="shared" si="66"/>
        <v>0</v>
      </c>
      <c r="AA240" s="29">
        <f t="shared" si="66"/>
        <v>0</v>
      </c>
      <c r="AB240" s="29">
        <f t="shared" si="66"/>
        <v>0</v>
      </c>
      <c r="AC240" s="29">
        <f t="shared" si="66"/>
        <v>0</v>
      </c>
      <c r="AD240" s="29">
        <f t="shared" si="66"/>
        <v>0</v>
      </c>
      <c r="AE240" s="29">
        <f t="shared" si="66"/>
        <v>72669.89</v>
      </c>
      <c r="AF240" s="29">
        <f t="shared" si="66"/>
        <v>0</v>
      </c>
      <c r="AG240" s="29">
        <f t="shared" si="66"/>
        <v>0</v>
      </c>
      <c r="AH240" s="166" t="s">
        <v>882</v>
      </c>
      <c r="AI240" s="166" t="s">
        <v>882</v>
      </c>
      <c r="AJ240" s="166" t="s">
        <v>882</v>
      </c>
      <c r="AK240" s="55"/>
    </row>
    <row r="241" spans="1:37" ht="62.25" x14ac:dyDescent="0.9">
      <c r="A241" s="4">
        <v>1</v>
      </c>
      <c r="B241" s="57">
        <f>SUBTOTAL(103,$A$88:A241)</f>
        <v>123</v>
      </c>
      <c r="C241" s="165" t="s">
        <v>2265</v>
      </c>
      <c r="D241" s="77">
        <v>2015</v>
      </c>
      <c r="E241" s="60">
        <v>0.95199999999999996</v>
      </c>
      <c r="F241" s="29">
        <f>G241+H241+I241+J241+K241+L241+N241+P241+R241+T241+V241+W241+X241+Y241+Z241+AA241+AB241+AC241+AD241+AE241+AF241+AG241</f>
        <v>4917329.37</v>
      </c>
      <c r="G241" s="29">
        <v>0</v>
      </c>
      <c r="H241" s="29">
        <v>0</v>
      </c>
      <c r="I241" s="29">
        <v>0</v>
      </c>
      <c r="J241" s="29">
        <v>0</v>
      </c>
      <c r="K241" s="29">
        <v>0</v>
      </c>
      <c r="L241" s="29">
        <v>0</v>
      </c>
      <c r="M241" s="64">
        <v>0</v>
      </c>
      <c r="N241" s="29">
        <v>0</v>
      </c>
      <c r="O241" s="29">
        <v>1020</v>
      </c>
      <c r="P241" s="29">
        <v>4844659.4800000004</v>
      </c>
      <c r="Q241" s="29">
        <v>0</v>
      </c>
      <c r="R241" s="29">
        <v>0</v>
      </c>
      <c r="S241" s="29">
        <v>0</v>
      </c>
      <c r="T241" s="167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29">
        <v>0</v>
      </c>
      <c r="AD241" s="29">
        <v>0</v>
      </c>
      <c r="AE241" s="29">
        <f>ROUND(P241*1.5%,2)</f>
        <v>72669.89</v>
      </c>
      <c r="AF241" s="29">
        <v>0</v>
      </c>
      <c r="AG241" s="29">
        <v>0</v>
      </c>
      <c r="AH241" s="166" t="s">
        <v>268</v>
      </c>
      <c r="AI241" s="166">
        <v>2021</v>
      </c>
      <c r="AJ241" s="166">
        <v>2021</v>
      </c>
      <c r="AK241" s="55"/>
    </row>
  </sheetData>
  <autoFilter ref="A9:AN240" xr:uid="{00000000-0009-0000-0000-000006000000}"/>
  <mergeCells count="34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B10:AJ10"/>
    <mergeCell ref="W6:W7"/>
    <mergeCell ref="S6:T7"/>
    <mergeCell ref="M6:N7"/>
    <mergeCell ref="G6:L6"/>
    <mergeCell ref="U6:V7"/>
    <mergeCell ref="B86:C86"/>
    <mergeCell ref="B85:AJ85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240"/>
  <sheetViews>
    <sheetView topLeftCell="B1" zoomScale="30" zoomScaleNormal="30" workbookViewId="0">
      <selection activeCell="B1" sqref="A1:XFD1048576"/>
    </sheetView>
  </sheetViews>
  <sheetFormatPr defaultRowHeight="26.25" x14ac:dyDescent="0.4"/>
  <cols>
    <col min="1" max="1" width="9.140625" style="4" hidden="1" customWidth="1"/>
    <col min="2" max="2" width="15.85546875" style="4" customWidth="1"/>
    <col min="3" max="3" width="219.85546875" style="4" customWidth="1"/>
    <col min="4" max="4" width="21.42578125" style="4" customWidth="1"/>
    <col min="5" max="5" width="14.85546875" style="4" customWidth="1"/>
    <col min="6" max="6" width="74.28515625" style="4" customWidth="1"/>
    <col min="7" max="7" width="12.85546875" style="4" customWidth="1"/>
    <col min="8" max="8" width="13.85546875" style="4" customWidth="1"/>
    <col min="9" max="9" width="31.140625" style="4" customWidth="1"/>
    <col min="10" max="10" width="32.28515625" style="4" customWidth="1"/>
    <col min="11" max="11" width="32.5703125" style="4" customWidth="1"/>
    <col min="12" max="12" width="32.85546875" style="4" customWidth="1"/>
    <col min="13" max="13" width="42.28515625" style="4" customWidth="1"/>
    <col min="14" max="14" width="95.28515625" style="4" customWidth="1"/>
    <col min="15" max="15" width="45.5703125" style="4" customWidth="1"/>
    <col min="16" max="16" width="29.85546875" style="4" customWidth="1"/>
    <col min="17" max="17" width="25.5703125" style="4" customWidth="1"/>
    <col min="18" max="18" width="9.140625" style="4"/>
    <col min="19" max="19" width="22.5703125" style="421" bestFit="1" customWidth="1"/>
    <col min="20" max="20" width="19.140625" style="4" bestFit="1" customWidth="1"/>
    <col min="21" max="16384" width="9.140625" style="4"/>
  </cols>
  <sheetData>
    <row r="1" spans="1:17" ht="35.25" x14ac:dyDescent="0.5">
      <c r="B1" s="417"/>
      <c r="C1" s="417"/>
      <c r="D1" s="417"/>
      <c r="E1" s="417"/>
      <c r="F1" s="417"/>
      <c r="G1" s="418"/>
      <c r="H1" s="417"/>
      <c r="I1" s="417"/>
      <c r="J1" s="417"/>
      <c r="K1" s="417"/>
      <c r="L1" s="417"/>
      <c r="M1" s="419"/>
      <c r="N1" s="419"/>
      <c r="O1" s="420" t="s">
        <v>1040</v>
      </c>
      <c r="P1" s="420"/>
      <c r="Q1" s="420"/>
    </row>
    <row r="2" spans="1:17" ht="71.25" customHeight="1" x14ac:dyDescent="0.5">
      <c r="B2" s="417"/>
      <c r="C2" s="417"/>
      <c r="D2" s="417"/>
      <c r="E2" s="417"/>
      <c r="F2" s="417"/>
      <c r="G2" s="418"/>
      <c r="H2" s="417"/>
      <c r="I2" s="417"/>
      <c r="J2" s="417"/>
      <c r="K2" s="417"/>
      <c r="L2" s="417"/>
      <c r="M2" s="422"/>
      <c r="N2" s="423" t="s">
        <v>1041</v>
      </c>
      <c r="O2" s="423"/>
      <c r="P2" s="423"/>
      <c r="Q2" s="423"/>
    </row>
    <row r="3" spans="1:17" ht="201.75" customHeight="1" x14ac:dyDescent="0.4">
      <c r="B3" s="424" t="s">
        <v>1928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</row>
    <row r="4" spans="1:17" ht="35.25" x14ac:dyDescent="0.4">
      <c r="B4" s="425" t="s">
        <v>6</v>
      </c>
      <c r="C4" s="425" t="s">
        <v>1042</v>
      </c>
      <c r="D4" s="425" t="s">
        <v>248</v>
      </c>
      <c r="E4" s="426"/>
      <c r="F4" s="427" t="s">
        <v>249</v>
      </c>
      <c r="G4" s="428" t="s">
        <v>250</v>
      </c>
      <c r="H4" s="428" t="s">
        <v>251</v>
      </c>
      <c r="I4" s="427" t="s">
        <v>252</v>
      </c>
      <c r="J4" s="425" t="s">
        <v>253</v>
      </c>
      <c r="K4" s="426"/>
      <c r="L4" s="429" t="s">
        <v>1043</v>
      </c>
      <c r="M4" s="429" t="s">
        <v>1044</v>
      </c>
      <c r="N4" s="429" t="s">
        <v>254</v>
      </c>
      <c r="O4" s="430" t="s">
        <v>8</v>
      </c>
      <c r="P4" s="431" t="s">
        <v>256</v>
      </c>
      <c r="Q4" s="431" t="s">
        <v>257</v>
      </c>
    </row>
    <row r="5" spans="1:17" x14ac:dyDescent="0.4">
      <c r="B5" s="426"/>
      <c r="C5" s="426"/>
      <c r="D5" s="427" t="s">
        <v>258</v>
      </c>
      <c r="E5" s="428" t="s">
        <v>259</v>
      </c>
      <c r="F5" s="426"/>
      <c r="G5" s="432"/>
      <c r="H5" s="432"/>
      <c r="I5" s="426"/>
      <c r="J5" s="427" t="s">
        <v>260</v>
      </c>
      <c r="K5" s="428" t="s">
        <v>1045</v>
      </c>
      <c r="L5" s="433"/>
      <c r="M5" s="434"/>
      <c r="N5" s="434"/>
      <c r="O5" s="435"/>
      <c r="P5" s="436"/>
      <c r="Q5" s="436"/>
    </row>
    <row r="6" spans="1:17" ht="301.5" customHeight="1" x14ac:dyDescent="0.4">
      <c r="B6" s="426"/>
      <c r="C6" s="426"/>
      <c r="D6" s="426"/>
      <c r="E6" s="435"/>
      <c r="F6" s="426"/>
      <c r="G6" s="432"/>
      <c r="H6" s="432"/>
      <c r="I6" s="426"/>
      <c r="J6" s="426"/>
      <c r="K6" s="437"/>
      <c r="L6" s="438"/>
      <c r="M6" s="434"/>
      <c r="N6" s="434"/>
      <c r="O6" s="439"/>
      <c r="P6" s="436"/>
      <c r="Q6" s="436"/>
    </row>
    <row r="7" spans="1:17" ht="35.25" x14ac:dyDescent="0.4">
      <c r="B7" s="440"/>
      <c r="C7" s="440"/>
      <c r="D7" s="440"/>
      <c r="E7" s="441"/>
      <c r="F7" s="426"/>
      <c r="G7" s="442"/>
      <c r="H7" s="442"/>
      <c r="I7" s="443" t="s">
        <v>38</v>
      </c>
      <c r="J7" s="443" t="s">
        <v>38</v>
      </c>
      <c r="K7" s="443" t="s">
        <v>38</v>
      </c>
      <c r="L7" s="443" t="s">
        <v>263</v>
      </c>
      <c r="M7" s="444"/>
      <c r="N7" s="444"/>
      <c r="O7" s="443" t="s">
        <v>36</v>
      </c>
      <c r="P7" s="443" t="s">
        <v>264</v>
      </c>
      <c r="Q7" s="443" t="s">
        <v>264</v>
      </c>
    </row>
    <row r="8" spans="1:17" ht="35.25" x14ac:dyDescent="0.4">
      <c r="B8" s="443">
        <v>1</v>
      </c>
      <c r="C8" s="443">
        <v>2</v>
      </c>
      <c r="D8" s="443">
        <v>3</v>
      </c>
      <c r="E8" s="443">
        <v>4</v>
      </c>
      <c r="F8" s="443">
        <v>5</v>
      </c>
      <c r="G8" s="445">
        <v>5.5697674418604599</v>
      </c>
      <c r="H8" s="445">
        <v>7</v>
      </c>
      <c r="I8" s="445">
        <v>8</v>
      </c>
      <c r="J8" s="445">
        <v>9</v>
      </c>
      <c r="K8" s="445">
        <v>10</v>
      </c>
      <c r="L8" s="443">
        <v>11</v>
      </c>
      <c r="M8" s="445">
        <v>12</v>
      </c>
      <c r="N8" s="445">
        <v>13</v>
      </c>
      <c r="O8" s="445">
        <v>14</v>
      </c>
      <c r="P8" s="445">
        <v>15</v>
      </c>
      <c r="Q8" s="445">
        <v>16</v>
      </c>
    </row>
    <row r="9" spans="1:17" ht="45.75" x14ac:dyDescent="0.4">
      <c r="B9" s="446" t="s">
        <v>1007</v>
      </c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8"/>
    </row>
    <row r="10" spans="1:17" ht="35.25" x14ac:dyDescent="0.4">
      <c r="B10" s="172" t="s">
        <v>1927</v>
      </c>
      <c r="C10" s="449"/>
      <c r="D10" s="450" t="s">
        <v>882</v>
      </c>
      <c r="E10" s="450" t="s">
        <v>882</v>
      </c>
      <c r="F10" s="450" t="s">
        <v>882</v>
      </c>
      <c r="G10" s="450" t="s">
        <v>882</v>
      </c>
      <c r="H10" s="450" t="s">
        <v>882</v>
      </c>
      <c r="I10" s="451">
        <f>I11+I63</f>
        <v>43052.78</v>
      </c>
      <c r="J10" s="451">
        <f>J11+J63</f>
        <v>37285.21</v>
      </c>
      <c r="K10" s="451">
        <f>K11+K63</f>
        <v>33378.71</v>
      </c>
      <c r="L10" s="452">
        <f>L11+L63</f>
        <v>1783</v>
      </c>
      <c r="M10" s="450" t="s">
        <v>882</v>
      </c>
      <c r="N10" s="450" t="s">
        <v>882</v>
      </c>
      <c r="O10" s="451">
        <v>81758127.070000008</v>
      </c>
      <c r="P10" s="453">
        <f>O10/I10</f>
        <v>1899.0208546347067</v>
      </c>
      <c r="Q10" s="170">
        <f>MAX(Q11:Q83)</f>
        <v>11442.668502202645</v>
      </c>
    </row>
    <row r="11" spans="1:17" ht="35.25" x14ac:dyDescent="0.4">
      <c r="B11" s="172" t="s">
        <v>1651</v>
      </c>
      <c r="C11" s="449"/>
      <c r="D11" s="450" t="s">
        <v>882</v>
      </c>
      <c r="E11" s="450" t="s">
        <v>882</v>
      </c>
      <c r="F11" s="450" t="s">
        <v>882</v>
      </c>
      <c r="G11" s="450" t="s">
        <v>882</v>
      </c>
      <c r="H11" s="450" t="s">
        <v>882</v>
      </c>
      <c r="I11" s="451">
        <f>I12+I14+I23+I25+I27+I29+I32+I35+I39+I41+I43+I47+I49+I51+I53+I57+I61+I59</f>
        <v>33695.279999999999</v>
      </c>
      <c r="J11" s="451">
        <f>J12+J14+J23+J25+J27+J29+J32+J35+J39+J41+J43+J47+J49+J51+J53+J57+J61+J59</f>
        <v>29309.11</v>
      </c>
      <c r="K11" s="451">
        <f>K12+K14+K23+K25+K27+K29+K32+K35+K39+K41+K43+K47+K49+K51+K53+K57+K61+K59</f>
        <v>26092.609999999997</v>
      </c>
      <c r="L11" s="452">
        <f>L12+L14+L23+L25+L27+L29+L32+L35+L39+L41+L43+L47+L49+L51+L53+L57+L61+L59</f>
        <v>1359</v>
      </c>
      <c r="M11" s="450" t="s">
        <v>882</v>
      </c>
      <c r="N11" s="450" t="s">
        <v>882</v>
      </c>
      <c r="O11" s="451">
        <v>51357504.920000009</v>
      </c>
      <c r="P11" s="453">
        <f t="shared" ref="P11:P74" si="0">O11/I11</f>
        <v>1524.1750452882425</v>
      </c>
      <c r="Q11" s="170">
        <f>MAX(Q12:Q62)</f>
        <v>11442.668502202645</v>
      </c>
    </row>
    <row r="12" spans="1:17" ht="35.25" x14ac:dyDescent="0.4">
      <c r="B12" s="172" t="s">
        <v>807</v>
      </c>
      <c r="C12" s="449"/>
      <c r="D12" s="450" t="s">
        <v>882</v>
      </c>
      <c r="E12" s="450" t="s">
        <v>882</v>
      </c>
      <c r="F12" s="450" t="s">
        <v>882</v>
      </c>
      <c r="G12" s="450" t="s">
        <v>882</v>
      </c>
      <c r="H12" s="450" t="s">
        <v>882</v>
      </c>
      <c r="I12" s="451">
        <f>I13</f>
        <v>792.7</v>
      </c>
      <c r="J12" s="451">
        <f>J13</f>
        <v>481</v>
      </c>
      <c r="K12" s="451">
        <f>K13</f>
        <v>481</v>
      </c>
      <c r="L12" s="452">
        <f>L13</f>
        <v>42</v>
      </c>
      <c r="M12" s="450" t="s">
        <v>882</v>
      </c>
      <c r="N12" s="450" t="s">
        <v>882</v>
      </c>
      <c r="O12" s="453">
        <v>2123521.14</v>
      </c>
      <c r="P12" s="453">
        <f t="shared" si="0"/>
        <v>2678.8458937807495</v>
      </c>
      <c r="Q12" s="170">
        <f>Q13</f>
        <v>4277.1687902106714</v>
      </c>
    </row>
    <row r="13" spans="1:17" ht="35.25" x14ac:dyDescent="0.5">
      <c r="A13" s="4">
        <v>1</v>
      </c>
      <c r="B13" s="454">
        <f>SUBTOTAL(103,$A13:A$13)</f>
        <v>1</v>
      </c>
      <c r="C13" s="455" t="s">
        <v>1008</v>
      </c>
      <c r="D13" s="450">
        <v>1969</v>
      </c>
      <c r="E13" s="450"/>
      <c r="F13" s="450" t="s">
        <v>267</v>
      </c>
      <c r="G13" s="450" t="s">
        <v>303</v>
      </c>
      <c r="H13" s="450" t="s">
        <v>303</v>
      </c>
      <c r="I13" s="451">
        <v>792.7</v>
      </c>
      <c r="J13" s="451">
        <v>481</v>
      </c>
      <c r="K13" s="451">
        <f>J13</f>
        <v>481</v>
      </c>
      <c r="L13" s="452">
        <v>42</v>
      </c>
      <c r="M13" s="450" t="s">
        <v>266</v>
      </c>
      <c r="N13" s="450" t="s">
        <v>268</v>
      </c>
      <c r="O13" s="453">
        <v>2123521.14</v>
      </c>
      <c r="P13" s="453">
        <f t="shared" si="0"/>
        <v>2678.8458937807495</v>
      </c>
      <c r="Q13" s="170">
        <v>4277.1687902106714</v>
      </c>
    </row>
    <row r="14" spans="1:17" ht="35.25" x14ac:dyDescent="0.4">
      <c r="B14" s="455" t="s">
        <v>1035</v>
      </c>
      <c r="C14" s="455"/>
      <c r="D14" s="450" t="s">
        <v>882</v>
      </c>
      <c r="E14" s="450" t="s">
        <v>882</v>
      </c>
      <c r="F14" s="450" t="s">
        <v>882</v>
      </c>
      <c r="G14" s="450" t="s">
        <v>882</v>
      </c>
      <c r="H14" s="450" t="s">
        <v>882</v>
      </c>
      <c r="I14" s="451">
        <f>SUM(I15:I22)</f>
        <v>12811.8</v>
      </c>
      <c r="J14" s="451">
        <f>SUM(J15:J22)</f>
        <v>11686.800000000001</v>
      </c>
      <c r="K14" s="451">
        <f>SUM(K15:K22)</f>
        <v>10750.4</v>
      </c>
      <c r="L14" s="452">
        <f>SUM(L15:L22)</f>
        <v>434</v>
      </c>
      <c r="M14" s="450" t="s">
        <v>882</v>
      </c>
      <c r="N14" s="450" t="s">
        <v>882</v>
      </c>
      <c r="O14" s="453">
        <v>14141903.43</v>
      </c>
      <c r="P14" s="453">
        <f t="shared" si="0"/>
        <v>1103.8186226759706</v>
      </c>
      <c r="Q14" s="170">
        <f>MAX(Q15:Q22)</f>
        <v>11442.668502202645</v>
      </c>
    </row>
    <row r="15" spans="1:17" ht="35.25" x14ac:dyDescent="0.5">
      <c r="A15" s="4">
        <v>1</v>
      </c>
      <c r="B15" s="454">
        <f>SUBTOTAL(103,$A$13:A15)</f>
        <v>2</v>
      </c>
      <c r="C15" s="455" t="s">
        <v>1009</v>
      </c>
      <c r="D15" s="450">
        <v>1958</v>
      </c>
      <c r="E15" s="450"/>
      <c r="F15" s="450" t="s">
        <v>267</v>
      </c>
      <c r="G15" s="450" t="s">
        <v>351</v>
      </c>
      <c r="H15" s="450" t="s">
        <v>308</v>
      </c>
      <c r="I15" s="451">
        <v>5229.2</v>
      </c>
      <c r="J15" s="451">
        <v>5229.2</v>
      </c>
      <c r="K15" s="451">
        <f>J15-227.6</f>
        <v>5001.5999999999995</v>
      </c>
      <c r="L15" s="452">
        <v>121</v>
      </c>
      <c r="M15" s="450" t="s">
        <v>341</v>
      </c>
      <c r="N15" s="450" t="s">
        <v>1046</v>
      </c>
      <c r="O15" s="453">
        <v>6213014.2000000002</v>
      </c>
      <c r="P15" s="453">
        <f t="shared" si="0"/>
        <v>1188.1385680410006</v>
      </c>
      <c r="Q15" s="170">
        <v>1793.3136426221984</v>
      </c>
    </row>
    <row r="16" spans="1:17" ht="35.25" x14ac:dyDescent="0.5">
      <c r="A16" s="4">
        <v>1</v>
      </c>
      <c r="B16" s="454">
        <f>SUBTOTAL(103,$A$13:A16)</f>
        <v>3</v>
      </c>
      <c r="C16" s="455" t="s">
        <v>1010</v>
      </c>
      <c r="D16" s="450">
        <v>1979</v>
      </c>
      <c r="E16" s="450"/>
      <c r="F16" s="450" t="s">
        <v>267</v>
      </c>
      <c r="G16" s="450" t="s">
        <v>351</v>
      </c>
      <c r="H16" s="450" t="s">
        <v>304</v>
      </c>
      <c r="I16" s="451">
        <v>802.1</v>
      </c>
      <c r="J16" s="451">
        <v>554.1</v>
      </c>
      <c r="K16" s="451">
        <f>J16</f>
        <v>554.1</v>
      </c>
      <c r="L16" s="452">
        <v>25</v>
      </c>
      <c r="M16" s="450" t="s">
        <v>269</v>
      </c>
      <c r="N16" s="450" t="s">
        <v>1047</v>
      </c>
      <c r="O16" s="453">
        <v>801933.34000000008</v>
      </c>
      <c r="P16" s="453">
        <f t="shared" si="0"/>
        <v>999.79222042139395</v>
      </c>
      <c r="Q16" s="170">
        <v>1322.4723849894026</v>
      </c>
    </row>
    <row r="17" spans="1:17" ht="35.25" x14ac:dyDescent="0.5">
      <c r="A17" s="4">
        <v>1</v>
      </c>
      <c r="B17" s="454">
        <f>SUBTOTAL(103,$A$13:A17)</f>
        <v>4</v>
      </c>
      <c r="C17" s="455" t="s">
        <v>1011</v>
      </c>
      <c r="D17" s="450">
        <v>1961</v>
      </c>
      <c r="E17" s="450"/>
      <c r="F17" s="450" t="s">
        <v>267</v>
      </c>
      <c r="G17" s="450" t="s">
        <v>303</v>
      </c>
      <c r="H17" s="450" t="s">
        <v>304</v>
      </c>
      <c r="I17" s="451">
        <v>301.39999999999998</v>
      </c>
      <c r="J17" s="451">
        <v>276.5</v>
      </c>
      <c r="K17" s="451">
        <f>J17-38</f>
        <v>238.5</v>
      </c>
      <c r="L17" s="452">
        <v>16</v>
      </c>
      <c r="M17" s="450" t="s">
        <v>269</v>
      </c>
      <c r="N17" s="450" t="s">
        <v>988</v>
      </c>
      <c r="O17" s="453">
        <v>61989.62</v>
      </c>
      <c r="P17" s="453">
        <f t="shared" si="0"/>
        <v>205.67226277372265</v>
      </c>
      <c r="Q17" s="170">
        <v>205.67226277372265</v>
      </c>
    </row>
    <row r="18" spans="1:17" ht="35.25" x14ac:dyDescent="0.5">
      <c r="A18" s="4">
        <v>1</v>
      </c>
      <c r="B18" s="454">
        <f>SUBTOTAL(103,$A$13:A18)</f>
        <v>5</v>
      </c>
      <c r="C18" s="455" t="s">
        <v>1024</v>
      </c>
      <c r="D18" s="450">
        <v>1957</v>
      </c>
      <c r="E18" s="450"/>
      <c r="F18" s="450" t="s">
        <v>267</v>
      </c>
      <c r="G18" s="450" t="s">
        <v>303</v>
      </c>
      <c r="H18" s="450" t="s">
        <v>304</v>
      </c>
      <c r="I18" s="451">
        <v>272.39999999999998</v>
      </c>
      <c r="J18" s="451">
        <v>194.8</v>
      </c>
      <c r="K18" s="451">
        <f>J18-37.2</f>
        <v>157.60000000000002</v>
      </c>
      <c r="L18" s="452">
        <v>14</v>
      </c>
      <c r="M18" s="450" t="s">
        <v>269</v>
      </c>
      <c r="N18" s="450" t="s">
        <v>1048</v>
      </c>
      <c r="O18" s="453">
        <v>995484.92999999993</v>
      </c>
      <c r="P18" s="453">
        <f t="shared" si="0"/>
        <v>3654.4968061674008</v>
      </c>
      <c r="Q18" s="170">
        <v>11442.668502202645</v>
      </c>
    </row>
    <row r="19" spans="1:17" ht="35.25" x14ac:dyDescent="0.5">
      <c r="A19" s="4">
        <v>1</v>
      </c>
      <c r="B19" s="454">
        <f>SUBTOTAL(103,$A$13:A19)</f>
        <v>6</v>
      </c>
      <c r="C19" s="455" t="s">
        <v>1067</v>
      </c>
      <c r="D19" s="450">
        <v>1960</v>
      </c>
      <c r="E19" s="450"/>
      <c r="F19" s="450" t="s">
        <v>267</v>
      </c>
      <c r="G19" s="450" t="s">
        <v>308</v>
      </c>
      <c r="H19" s="450" t="s">
        <v>308</v>
      </c>
      <c r="I19" s="451">
        <v>2738.8</v>
      </c>
      <c r="J19" s="451">
        <v>2498.1</v>
      </c>
      <c r="K19" s="451">
        <f>2498.1-114.3</f>
        <v>2383.7999999999997</v>
      </c>
      <c r="L19" s="452">
        <v>128</v>
      </c>
      <c r="M19" s="450" t="s">
        <v>269</v>
      </c>
      <c r="N19" s="450" t="s">
        <v>1066</v>
      </c>
      <c r="O19" s="453">
        <v>4973435.79</v>
      </c>
      <c r="P19" s="453">
        <f t="shared" si="0"/>
        <v>1815.9178435811302</v>
      </c>
      <c r="Q19" s="170">
        <v>2321.463012998393</v>
      </c>
    </row>
    <row r="20" spans="1:17" ht="35.25" x14ac:dyDescent="0.5">
      <c r="A20" s="4">
        <v>1</v>
      </c>
      <c r="B20" s="454">
        <f>SUBTOTAL(103,$A$13:A20)</f>
        <v>7</v>
      </c>
      <c r="C20" s="456" t="s">
        <v>1075</v>
      </c>
      <c r="D20" s="450">
        <v>1956</v>
      </c>
      <c r="E20" s="450"/>
      <c r="F20" s="450" t="s">
        <v>267</v>
      </c>
      <c r="G20" s="450" t="s">
        <v>303</v>
      </c>
      <c r="H20" s="450" t="s">
        <v>304</v>
      </c>
      <c r="I20" s="451">
        <v>512.5</v>
      </c>
      <c r="J20" s="451">
        <v>512.20000000000005</v>
      </c>
      <c r="K20" s="451">
        <v>324.10000000000002</v>
      </c>
      <c r="L20" s="452">
        <v>25</v>
      </c>
      <c r="M20" s="450" t="s">
        <v>269</v>
      </c>
      <c r="N20" s="450" t="s">
        <v>1048</v>
      </c>
      <c r="O20" s="453">
        <v>50283.37</v>
      </c>
      <c r="P20" s="453">
        <f t="shared" si="0"/>
        <v>98.113892682926831</v>
      </c>
      <c r="Q20" s="170">
        <v>98.113892682926831</v>
      </c>
    </row>
    <row r="21" spans="1:17" ht="35.25" x14ac:dyDescent="0.5">
      <c r="A21" s="4">
        <v>1</v>
      </c>
      <c r="B21" s="454">
        <f>SUBTOTAL(103,$A$13:A21)</f>
        <v>8</v>
      </c>
      <c r="C21" s="456" t="s">
        <v>1390</v>
      </c>
      <c r="D21" s="450">
        <v>1957</v>
      </c>
      <c r="E21" s="450"/>
      <c r="F21" s="450" t="s">
        <v>267</v>
      </c>
      <c r="G21" s="450" t="s">
        <v>303</v>
      </c>
      <c r="H21" s="450" t="s">
        <v>304</v>
      </c>
      <c r="I21" s="451">
        <v>436.2</v>
      </c>
      <c r="J21" s="451">
        <v>387.1</v>
      </c>
      <c r="K21" s="451">
        <v>340.8</v>
      </c>
      <c r="L21" s="452">
        <v>20</v>
      </c>
      <c r="M21" s="450" t="s">
        <v>269</v>
      </c>
      <c r="N21" s="450" t="s">
        <v>1391</v>
      </c>
      <c r="O21" s="453">
        <v>43517.47</v>
      </c>
      <c r="P21" s="453">
        <f t="shared" si="0"/>
        <v>99.764947271893632</v>
      </c>
      <c r="Q21" s="170">
        <v>99.764947271893632</v>
      </c>
    </row>
    <row r="22" spans="1:17" ht="35.25" x14ac:dyDescent="0.5">
      <c r="A22" s="4">
        <v>1</v>
      </c>
      <c r="B22" s="454">
        <f>SUBTOTAL(103,$A$13:A22)</f>
        <v>9</v>
      </c>
      <c r="C22" s="456" t="s">
        <v>1706</v>
      </c>
      <c r="D22" s="450">
        <v>1965</v>
      </c>
      <c r="E22" s="450"/>
      <c r="F22" s="450" t="s">
        <v>267</v>
      </c>
      <c r="G22" s="450" t="s">
        <v>351</v>
      </c>
      <c r="H22" s="450" t="s">
        <v>303</v>
      </c>
      <c r="I22" s="451">
        <v>2519.1999999999998</v>
      </c>
      <c r="J22" s="451">
        <v>2034.8</v>
      </c>
      <c r="K22" s="451">
        <v>1749.9</v>
      </c>
      <c r="L22" s="452">
        <v>85</v>
      </c>
      <c r="M22" s="450" t="s">
        <v>265</v>
      </c>
      <c r="N22" s="450" t="s">
        <v>1371</v>
      </c>
      <c r="O22" s="453">
        <v>1002244.71</v>
      </c>
      <c r="P22" s="453">
        <f t="shared" si="0"/>
        <v>397.8424539536361</v>
      </c>
      <c r="Q22" s="170">
        <v>669.05934423626559</v>
      </c>
    </row>
    <row r="23" spans="1:17" ht="35.25" x14ac:dyDescent="0.4">
      <c r="B23" s="455" t="s">
        <v>811</v>
      </c>
      <c r="C23" s="455"/>
      <c r="D23" s="450" t="s">
        <v>882</v>
      </c>
      <c r="E23" s="450" t="s">
        <v>882</v>
      </c>
      <c r="F23" s="450" t="s">
        <v>882</v>
      </c>
      <c r="G23" s="450" t="s">
        <v>882</v>
      </c>
      <c r="H23" s="450" t="s">
        <v>882</v>
      </c>
      <c r="I23" s="451">
        <f>I24</f>
        <v>882.3</v>
      </c>
      <c r="J23" s="451">
        <f>J24</f>
        <v>779.5</v>
      </c>
      <c r="K23" s="451">
        <f>K24</f>
        <v>779.5</v>
      </c>
      <c r="L23" s="452">
        <f>L24</f>
        <v>29</v>
      </c>
      <c r="M23" s="450" t="s">
        <v>882</v>
      </c>
      <c r="N23" s="450" t="s">
        <v>882</v>
      </c>
      <c r="O23" s="453">
        <v>2046844.64</v>
      </c>
      <c r="P23" s="453">
        <f t="shared" si="0"/>
        <v>2319.8964524538137</v>
      </c>
      <c r="Q23" s="170">
        <f>MAX(Q24)</f>
        <v>2852.9733197325172</v>
      </c>
    </row>
    <row r="24" spans="1:17" ht="35.25" x14ac:dyDescent="0.5">
      <c r="A24" s="4">
        <v>1</v>
      </c>
      <c r="B24" s="454">
        <f>SUBTOTAL(103,$A$13:A24)</f>
        <v>10</v>
      </c>
      <c r="C24" s="455" t="s">
        <v>668</v>
      </c>
      <c r="D24" s="450">
        <v>1982</v>
      </c>
      <c r="E24" s="450"/>
      <c r="F24" s="450" t="s">
        <v>267</v>
      </c>
      <c r="G24" s="450" t="s">
        <v>308</v>
      </c>
      <c r="H24" s="450" t="s">
        <v>304</v>
      </c>
      <c r="I24" s="451">
        <v>882.3</v>
      </c>
      <c r="J24" s="451">
        <v>779.5</v>
      </c>
      <c r="K24" s="451">
        <f>J24</f>
        <v>779.5</v>
      </c>
      <c r="L24" s="452">
        <v>29</v>
      </c>
      <c r="M24" s="450" t="s">
        <v>266</v>
      </c>
      <c r="N24" s="450" t="s">
        <v>268</v>
      </c>
      <c r="O24" s="453">
        <v>2046844.64</v>
      </c>
      <c r="P24" s="453">
        <f t="shared" si="0"/>
        <v>2319.8964524538137</v>
      </c>
      <c r="Q24" s="170">
        <v>2852.9733197325172</v>
      </c>
    </row>
    <row r="25" spans="1:17" ht="35.25" x14ac:dyDescent="0.5">
      <c r="B25" s="457" t="s">
        <v>815</v>
      </c>
      <c r="C25" s="455"/>
      <c r="D25" s="450" t="s">
        <v>882</v>
      </c>
      <c r="E25" s="450" t="s">
        <v>882</v>
      </c>
      <c r="F25" s="450" t="s">
        <v>882</v>
      </c>
      <c r="G25" s="450" t="s">
        <v>882</v>
      </c>
      <c r="H25" s="450" t="s">
        <v>882</v>
      </c>
      <c r="I25" s="451">
        <f>I26</f>
        <v>1813.2</v>
      </c>
      <c r="J25" s="451">
        <f>J26</f>
        <v>1042.3</v>
      </c>
      <c r="K25" s="451">
        <f>K26</f>
        <v>567</v>
      </c>
      <c r="L25" s="452">
        <f>L26</f>
        <v>156</v>
      </c>
      <c r="M25" s="450" t="s">
        <v>882</v>
      </c>
      <c r="N25" s="450" t="s">
        <v>882</v>
      </c>
      <c r="O25" s="453">
        <v>5153989.53</v>
      </c>
      <c r="P25" s="453">
        <f t="shared" si="0"/>
        <v>2842.4826439444078</v>
      </c>
      <c r="Q25" s="170">
        <f>MAX(Q26)</f>
        <v>3878.3480145598937</v>
      </c>
    </row>
    <row r="26" spans="1:17" ht="35.25" x14ac:dyDescent="0.5">
      <c r="A26" s="4">
        <v>1</v>
      </c>
      <c r="B26" s="454">
        <f>SUBTOTAL(103,$A$13:A26)</f>
        <v>11</v>
      </c>
      <c r="C26" s="455" t="s">
        <v>1058</v>
      </c>
      <c r="D26" s="450">
        <v>2007</v>
      </c>
      <c r="E26" s="450"/>
      <c r="F26" s="450" t="s">
        <v>267</v>
      </c>
      <c r="G26" s="450" t="s">
        <v>312</v>
      </c>
      <c r="H26" s="450" t="s">
        <v>312</v>
      </c>
      <c r="I26" s="451">
        <v>1813.2</v>
      </c>
      <c r="J26" s="451">
        <v>1042.3</v>
      </c>
      <c r="K26" s="451">
        <f>J26-475.3</f>
        <v>567</v>
      </c>
      <c r="L26" s="452">
        <v>156</v>
      </c>
      <c r="M26" s="450" t="s">
        <v>269</v>
      </c>
      <c r="N26" s="450" t="s">
        <v>1060</v>
      </c>
      <c r="O26" s="453">
        <v>5153989.53</v>
      </c>
      <c r="P26" s="453">
        <f t="shared" si="0"/>
        <v>2842.4826439444078</v>
      </c>
      <c r="Q26" s="170">
        <v>3878.3480145598937</v>
      </c>
    </row>
    <row r="27" spans="1:17" ht="35.25" x14ac:dyDescent="0.4">
      <c r="B27" s="455" t="s">
        <v>816</v>
      </c>
      <c r="C27" s="455"/>
      <c r="D27" s="450" t="s">
        <v>882</v>
      </c>
      <c r="E27" s="450" t="s">
        <v>882</v>
      </c>
      <c r="F27" s="450" t="s">
        <v>882</v>
      </c>
      <c r="G27" s="450" t="s">
        <v>882</v>
      </c>
      <c r="H27" s="450" t="s">
        <v>882</v>
      </c>
      <c r="I27" s="451">
        <f>I28</f>
        <v>366.5</v>
      </c>
      <c r="J27" s="451">
        <f>J28</f>
        <v>336.9</v>
      </c>
      <c r="K27" s="451">
        <f>K28</f>
        <v>336.9</v>
      </c>
      <c r="L27" s="452">
        <f>L28</f>
        <v>13</v>
      </c>
      <c r="M27" s="450" t="s">
        <v>882</v>
      </c>
      <c r="N27" s="450" t="s">
        <v>882</v>
      </c>
      <c r="O27" s="453">
        <v>48440.03</v>
      </c>
      <c r="P27" s="453">
        <f t="shared" si="0"/>
        <v>132.16924965893588</v>
      </c>
      <c r="Q27" s="170">
        <f>MAX(Q28)</f>
        <v>132.16924965893588</v>
      </c>
    </row>
    <row r="28" spans="1:17" ht="35.25" x14ac:dyDescent="0.5">
      <c r="A28" s="4">
        <v>1</v>
      </c>
      <c r="B28" s="454">
        <f>SUBTOTAL(103,$A$13:A28)</f>
        <v>12</v>
      </c>
      <c r="C28" s="455" t="s">
        <v>1012</v>
      </c>
      <c r="D28" s="450">
        <v>1971</v>
      </c>
      <c r="E28" s="450"/>
      <c r="F28" s="450" t="s">
        <v>267</v>
      </c>
      <c r="G28" s="450" t="s">
        <v>303</v>
      </c>
      <c r="H28" s="450" t="s">
        <v>304</v>
      </c>
      <c r="I28" s="451">
        <v>366.5</v>
      </c>
      <c r="J28" s="451">
        <v>336.9</v>
      </c>
      <c r="K28" s="451">
        <f>J28</f>
        <v>336.9</v>
      </c>
      <c r="L28" s="452">
        <v>13</v>
      </c>
      <c r="M28" s="450" t="s">
        <v>269</v>
      </c>
      <c r="N28" s="450" t="s">
        <v>333</v>
      </c>
      <c r="O28" s="453">
        <v>48440.03</v>
      </c>
      <c r="P28" s="453">
        <f t="shared" si="0"/>
        <v>132.16924965893588</v>
      </c>
      <c r="Q28" s="170">
        <v>132.16924965893588</v>
      </c>
    </row>
    <row r="29" spans="1:17" ht="35.25" x14ac:dyDescent="0.4">
      <c r="B29" s="455" t="s">
        <v>1036</v>
      </c>
      <c r="C29" s="455"/>
      <c r="D29" s="450" t="s">
        <v>882</v>
      </c>
      <c r="E29" s="450" t="s">
        <v>882</v>
      </c>
      <c r="F29" s="450" t="s">
        <v>882</v>
      </c>
      <c r="G29" s="450" t="s">
        <v>882</v>
      </c>
      <c r="H29" s="450" t="s">
        <v>882</v>
      </c>
      <c r="I29" s="451">
        <f>I30+I31</f>
        <v>872.2</v>
      </c>
      <c r="J29" s="451">
        <f>J30+J31</f>
        <v>820.40000000000009</v>
      </c>
      <c r="K29" s="451">
        <f>K30+K31</f>
        <v>653.30000000000007</v>
      </c>
      <c r="L29" s="452">
        <f>L30+L31</f>
        <v>38</v>
      </c>
      <c r="M29" s="450" t="s">
        <v>882</v>
      </c>
      <c r="N29" s="450" t="s">
        <v>882</v>
      </c>
      <c r="O29" s="453">
        <v>31767</v>
      </c>
      <c r="P29" s="453">
        <f t="shared" si="0"/>
        <v>36.421692272414582</v>
      </c>
      <c r="Q29" s="170">
        <f>MAX(Q30:Q31)</f>
        <v>46.402933134476761</v>
      </c>
    </row>
    <row r="30" spans="1:17" ht="35.25" x14ac:dyDescent="0.5">
      <c r="A30" s="4">
        <v>1</v>
      </c>
      <c r="B30" s="454">
        <f>SUBTOTAL(103,$A$13:A30)</f>
        <v>13</v>
      </c>
      <c r="C30" s="455" t="s">
        <v>1013</v>
      </c>
      <c r="D30" s="450">
        <v>1938</v>
      </c>
      <c r="E30" s="450"/>
      <c r="F30" s="450" t="s">
        <v>330</v>
      </c>
      <c r="G30" s="450" t="s">
        <v>303</v>
      </c>
      <c r="H30" s="450" t="s">
        <v>303</v>
      </c>
      <c r="I30" s="451">
        <v>469.9</v>
      </c>
      <c r="J30" s="451">
        <v>418.1</v>
      </c>
      <c r="K30" s="451">
        <f>J30-167.1</f>
        <v>251.00000000000003</v>
      </c>
      <c r="L30" s="452">
        <v>19</v>
      </c>
      <c r="M30" s="450" t="s">
        <v>266</v>
      </c>
      <c r="N30" s="450" t="s">
        <v>268</v>
      </c>
      <c r="O30" s="453">
        <v>13099.1</v>
      </c>
      <c r="P30" s="453">
        <f t="shared" si="0"/>
        <v>27.876356671632266</v>
      </c>
      <c r="Q30" s="170">
        <v>27.876356671632266</v>
      </c>
    </row>
    <row r="31" spans="1:17" ht="35.25" x14ac:dyDescent="0.5">
      <c r="A31" s="4">
        <v>1</v>
      </c>
      <c r="B31" s="454">
        <f>SUBTOTAL(103,$A$13:A31)</f>
        <v>14</v>
      </c>
      <c r="C31" s="455" t="s">
        <v>1014</v>
      </c>
      <c r="D31" s="450">
        <v>1950</v>
      </c>
      <c r="E31" s="450"/>
      <c r="F31" s="450" t="s">
        <v>330</v>
      </c>
      <c r="G31" s="450" t="s">
        <v>303</v>
      </c>
      <c r="H31" s="450" t="s">
        <v>303</v>
      </c>
      <c r="I31" s="451">
        <v>402.3</v>
      </c>
      <c r="J31" s="451">
        <v>402.3</v>
      </c>
      <c r="K31" s="451">
        <f>J31</f>
        <v>402.3</v>
      </c>
      <c r="L31" s="452">
        <v>19</v>
      </c>
      <c r="M31" s="450" t="s">
        <v>266</v>
      </c>
      <c r="N31" s="450" t="s">
        <v>268</v>
      </c>
      <c r="O31" s="453">
        <v>18667.900000000001</v>
      </c>
      <c r="P31" s="453">
        <f t="shared" si="0"/>
        <v>46.402933134476761</v>
      </c>
      <c r="Q31" s="170">
        <v>46.402933134476761</v>
      </c>
    </row>
    <row r="32" spans="1:17" ht="35.25" x14ac:dyDescent="0.4">
      <c r="B32" s="455" t="s">
        <v>823</v>
      </c>
      <c r="C32" s="455"/>
      <c r="D32" s="450" t="s">
        <v>882</v>
      </c>
      <c r="E32" s="450" t="s">
        <v>882</v>
      </c>
      <c r="F32" s="450" t="s">
        <v>882</v>
      </c>
      <c r="G32" s="450" t="s">
        <v>882</v>
      </c>
      <c r="H32" s="450" t="s">
        <v>882</v>
      </c>
      <c r="I32" s="451">
        <f>I33+I34</f>
        <v>881.98</v>
      </c>
      <c r="J32" s="451">
        <f>J33+J34</f>
        <v>832.51</v>
      </c>
      <c r="K32" s="451">
        <f>K33+K34</f>
        <v>544.31000000000006</v>
      </c>
      <c r="L32" s="452">
        <f>L33+L34</f>
        <v>48</v>
      </c>
      <c r="M32" s="450" t="s">
        <v>882</v>
      </c>
      <c r="N32" s="450" t="s">
        <v>882</v>
      </c>
      <c r="O32" s="453">
        <v>3557815.66</v>
      </c>
      <c r="P32" s="453">
        <f t="shared" si="0"/>
        <v>4033.8960747409237</v>
      </c>
      <c r="Q32" s="170">
        <f>MAX(Q33:Q34)</f>
        <v>6940.3071047619051</v>
      </c>
    </row>
    <row r="33" spans="1:17" ht="35.25" x14ac:dyDescent="0.5">
      <c r="A33" s="4">
        <v>1</v>
      </c>
      <c r="B33" s="454">
        <f>SUBTOTAL(103,$A$13:A33)</f>
        <v>15</v>
      </c>
      <c r="C33" s="455" t="s">
        <v>1034</v>
      </c>
      <c r="D33" s="450">
        <v>1962</v>
      </c>
      <c r="E33" s="450"/>
      <c r="F33" s="450" t="s">
        <v>267</v>
      </c>
      <c r="G33" s="450" t="s">
        <v>303</v>
      </c>
      <c r="H33" s="450" t="s">
        <v>303</v>
      </c>
      <c r="I33" s="451">
        <v>671.98</v>
      </c>
      <c r="J33" s="451">
        <v>624.21</v>
      </c>
      <c r="K33" s="451">
        <f>J33-79.9</f>
        <v>544.31000000000006</v>
      </c>
      <c r="L33" s="452">
        <v>38</v>
      </c>
      <c r="M33" s="450" t="s">
        <v>269</v>
      </c>
      <c r="N33" s="450" t="s">
        <v>285</v>
      </c>
      <c r="O33" s="453">
        <v>2576429.98</v>
      </c>
      <c r="P33" s="453">
        <f t="shared" si="0"/>
        <v>3834.0872942647102</v>
      </c>
      <c r="Q33" s="170">
        <v>5854.5863835233185</v>
      </c>
    </row>
    <row r="34" spans="1:17" ht="35.25" x14ac:dyDescent="0.5">
      <c r="A34" s="4">
        <v>1</v>
      </c>
      <c r="B34" s="454">
        <f>SUBTOTAL(103,$A$13:A34)</f>
        <v>16</v>
      </c>
      <c r="C34" s="455" t="s">
        <v>1015</v>
      </c>
      <c r="D34" s="450">
        <v>1964</v>
      </c>
      <c r="E34" s="450"/>
      <c r="F34" s="450" t="s">
        <v>267</v>
      </c>
      <c r="G34" s="450" t="s">
        <v>303</v>
      </c>
      <c r="H34" s="450" t="s">
        <v>304</v>
      </c>
      <c r="I34" s="451">
        <v>210</v>
      </c>
      <c r="J34" s="451">
        <v>208.3</v>
      </c>
      <c r="K34" s="451">
        <v>0</v>
      </c>
      <c r="L34" s="452">
        <v>10</v>
      </c>
      <c r="M34" s="450" t="s">
        <v>266</v>
      </c>
      <c r="N34" s="450" t="s">
        <v>268</v>
      </c>
      <c r="O34" s="453">
        <v>981385.68</v>
      </c>
      <c r="P34" s="453">
        <f t="shared" si="0"/>
        <v>4673.2651428571435</v>
      </c>
      <c r="Q34" s="170">
        <v>6940.3071047619051</v>
      </c>
    </row>
    <row r="35" spans="1:17" ht="35.25" x14ac:dyDescent="0.4">
      <c r="B35" s="455" t="s">
        <v>752</v>
      </c>
      <c r="C35" s="455"/>
      <c r="D35" s="450" t="s">
        <v>882</v>
      </c>
      <c r="E35" s="450" t="s">
        <v>882</v>
      </c>
      <c r="F35" s="450" t="s">
        <v>882</v>
      </c>
      <c r="G35" s="450" t="s">
        <v>882</v>
      </c>
      <c r="H35" s="450" t="s">
        <v>882</v>
      </c>
      <c r="I35" s="451">
        <f>I36+I37+I38</f>
        <v>2093.1</v>
      </c>
      <c r="J35" s="451">
        <f>J36+J37+J38</f>
        <v>1649</v>
      </c>
      <c r="K35" s="451">
        <f>K36+K37+K38</f>
        <v>1480.6</v>
      </c>
      <c r="L35" s="452">
        <f>L36+L37+L38</f>
        <v>110</v>
      </c>
      <c r="M35" s="450" t="s">
        <v>882</v>
      </c>
      <c r="N35" s="450" t="s">
        <v>882</v>
      </c>
      <c r="O35" s="453">
        <v>223917.22</v>
      </c>
      <c r="P35" s="453">
        <f t="shared" si="0"/>
        <v>106.97874922363958</v>
      </c>
      <c r="Q35" s="170">
        <f>MAX(Q36:Q38)</f>
        <v>154.58582000000001</v>
      </c>
    </row>
    <row r="36" spans="1:17" ht="35.25" x14ac:dyDescent="0.5">
      <c r="A36" s="4">
        <v>1</v>
      </c>
      <c r="B36" s="454">
        <f>SUBTOTAL(103,$A$13:A36)</f>
        <v>17</v>
      </c>
      <c r="C36" s="455" t="s">
        <v>1016</v>
      </c>
      <c r="D36" s="450">
        <v>1960</v>
      </c>
      <c r="E36" s="450"/>
      <c r="F36" s="450" t="s">
        <v>267</v>
      </c>
      <c r="G36" s="450" t="s">
        <v>303</v>
      </c>
      <c r="H36" s="450" t="s">
        <v>304</v>
      </c>
      <c r="I36" s="451">
        <v>306.60000000000002</v>
      </c>
      <c r="J36" s="451">
        <v>285.60000000000002</v>
      </c>
      <c r="K36" s="451">
        <f>J36-33.2</f>
        <v>252.40000000000003</v>
      </c>
      <c r="L36" s="452">
        <v>21</v>
      </c>
      <c r="M36" s="450" t="s">
        <v>266</v>
      </c>
      <c r="N36" s="450" t="s">
        <v>268</v>
      </c>
      <c r="O36" s="453">
        <v>47271.85</v>
      </c>
      <c r="P36" s="453">
        <f t="shared" si="0"/>
        <v>154.18085453359424</v>
      </c>
      <c r="Q36" s="170">
        <v>154.18085453359424</v>
      </c>
    </row>
    <row r="37" spans="1:17" ht="35.25" x14ac:dyDescent="0.5">
      <c r="A37" s="4">
        <v>1</v>
      </c>
      <c r="B37" s="454">
        <f>SUBTOTAL(103,$A$13:A37)</f>
        <v>18</v>
      </c>
      <c r="C37" s="455" t="s">
        <v>776</v>
      </c>
      <c r="D37" s="450">
        <v>1960</v>
      </c>
      <c r="E37" s="450"/>
      <c r="F37" s="450" t="s">
        <v>267</v>
      </c>
      <c r="G37" s="450" t="s">
        <v>312</v>
      </c>
      <c r="H37" s="450" t="s">
        <v>303</v>
      </c>
      <c r="I37" s="451">
        <v>1286.5</v>
      </c>
      <c r="J37" s="451">
        <v>881.8</v>
      </c>
      <c r="K37" s="451">
        <f>J37-65.9</f>
        <v>815.9</v>
      </c>
      <c r="L37" s="452">
        <v>39</v>
      </c>
      <c r="M37" s="450" t="s">
        <v>266</v>
      </c>
      <c r="N37" s="450" t="s">
        <v>268</v>
      </c>
      <c r="O37" s="453">
        <v>99352.46</v>
      </c>
      <c r="P37" s="453">
        <f t="shared" si="0"/>
        <v>77.226941313641674</v>
      </c>
      <c r="Q37" s="170">
        <v>77.226941313641674</v>
      </c>
    </row>
    <row r="38" spans="1:17" ht="35.25" x14ac:dyDescent="0.5">
      <c r="A38" s="4">
        <v>1</v>
      </c>
      <c r="B38" s="454">
        <f>SUBTOTAL(103,$A$13:A38)</f>
        <v>19</v>
      </c>
      <c r="C38" s="455" t="s">
        <v>768</v>
      </c>
      <c r="D38" s="450">
        <v>1965</v>
      </c>
      <c r="E38" s="450"/>
      <c r="F38" s="450" t="s">
        <v>267</v>
      </c>
      <c r="G38" s="450" t="s">
        <v>303</v>
      </c>
      <c r="H38" s="450" t="s">
        <v>312</v>
      </c>
      <c r="I38" s="451">
        <v>500</v>
      </c>
      <c r="J38" s="451">
        <v>481.6</v>
      </c>
      <c r="K38" s="451">
        <f>J38-69.3</f>
        <v>412.3</v>
      </c>
      <c r="L38" s="452">
        <v>50</v>
      </c>
      <c r="M38" s="450" t="s">
        <v>266</v>
      </c>
      <c r="N38" s="450" t="s">
        <v>268</v>
      </c>
      <c r="O38" s="453">
        <v>77292.91</v>
      </c>
      <c r="P38" s="453">
        <f t="shared" si="0"/>
        <v>154.58582000000001</v>
      </c>
      <c r="Q38" s="170">
        <v>154.58582000000001</v>
      </c>
    </row>
    <row r="39" spans="1:17" ht="35.25" x14ac:dyDescent="0.4">
      <c r="B39" s="455" t="s">
        <v>830</v>
      </c>
      <c r="C39" s="455"/>
      <c r="D39" s="450" t="s">
        <v>882</v>
      </c>
      <c r="E39" s="450" t="s">
        <v>882</v>
      </c>
      <c r="F39" s="450" t="s">
        <v>882</v>
      </c>
      <c r="G39" s="450" t="s">
        <v>882</v>
      </c>
      <c r="H39" s="450" t="s">
        <v>882</v>
      </c>
      <c r="I39" s="451">
        <f>I40</f>
        <v>755.8</v>
      </c>
      <c r="J39" s="451">
        <f>J40</f>
        <v>690.5</v>
      </c>
      <c r="K39" s="451">
        <f>K40</f>
        <v>391.9</v>
      </c>
      <c r="L39" s="452">
        <f>L40</f>
        <v>20</v>
      </c>
      <c r="M39" s="450" t="s">
        <v>882</v>
      </c>
      <c r="N39" s="450" t="s">
        <v>882</v>
      </c>
      <c r="O39" s="453">
        <v>3265341.36</v>
      </c>
      <c r="P39" s="453">
        <f t="shared" si="0"/>
        <v>4320.3775602011119</v>
      </c>
      <c r="Q39" s="170">
        <f>MAX(Q40)</f>
        <v>5984.1909235247422</v>
      </c>
    </row>
    <row r="40" spans="1:17" ht="35.25" x14ac:dyDescent="0.5">
      <c r="A40" s="4">
        <v>1</v>
      </c>
      <c r="B40" s="454">
        <f>SUBTOTAL(103,$A$13:A40)</f>
        <v>20</v>
      </c>
      <c r="C40" s="455" t="s">
        <v>1017</v>
      </c>
      <c r="D40" s="450">
        <v>1953</v>
      </c>
      <c r="E40" s="450"/>
      <c r="F40" s="450" t="s">
        <v>267</v>
      </c>
      <c r="G40" s="450" t="s">
        <v>303</v>
      </c>
      <c r="H40" s="450" t="s">
        <v>303</v>
      </c>
      <c r="I40" s="451">
        <v>755.8</v>
      </c>
      <c r="J40" s="451">
        <v>690.5</v>
      </c>
      <c r="K40" s="451">
        <f>J40-298.6</f>
        <v>391.9</v>
      </c>
      <c r="L40" s="452">
        <v>20</v>
      </c>
      <c r="M40" s="450" t="s">
        <v>266</v>
      </c>
      <c r="N40" s="450" t="s">
        <v>268</v>
      </c>
      <c r="O40" s="453">
        <v>3265341.36</v>
      </c>
      <c r="P40" s="453">
        <f t="shared" si="0"/>
        <v>4320.3775602011119</v>
      </c>
      <c r="Q40" s="170">
        <v>5984.1909235247422</v>
      </c>
    </row>
    <row r="41" spans="1:17" ht="35.25" x14ac:dyDescent="0.4">
      <c r="B41" s="455" t="s">
        <v>832</v>
      </c>
      <c r="C41" s="455"/>
      <c r="D41" s="450" t="s">
        <v>882</v>
      </c>
      <c r="E41" s="450" t="s">
        <v>882</v>
      </c>
      <c r="F41" s="450" t="s">
        <v>882</v>
      </c>
      <c r="G41" s="450" t="s">
        <v>882</v>
      </c>
      <c r="H41" s="450" t="s">
        <v>882</v>
      </c>
      <c r="I41" s="451">
        <f>I42</f>
        <v>1840.2</v>
      </c>
      <c r="J41" s="451">
        <f>J42</f>
        <v>1840.2</v>
      </c>
      <c r="K41" s="451">
        <f>K42</f>
        <v>1695.4</v>
      </c>
      <c r="L41" s="452">
        <f>L42</f>
        <v>77</v>
      </c>
      <c r="M41" s="450" t="s">
        <v>882</v>
      </c>
      <c r="N41" s="450" t="s">
        <v>882</v>
      </c>
      <c r="O41" s="453">
        <v>97672.62</v>
      </c>
      <c r="P41" s="453">
        <f t="shared" si="0"/>
        <v>53.077176393870225</v>
      </c>
      <c r="Q41" s="170">
        <f>MAX(Q42)</f>
        <v>53.077176393870225</v>
      </c>
    </row>
    <row r="42" spans="1:17" ht="35.25" x14ac:dyDescent="0.5">
      <c r="A42" s="4">
        <v>1</v>
      </c>
      <c r="B42" s="454">
        <f>SUBTOTAL(103,$A$13:A42)</f>
        <v>21</v>
      </c>
      <c r="C42" s="455" t="s">
        <v>1018</v>
      </c>
      <c r="D42" s="450">
        <v>1986</v>
      </c>
      <c r="E42" s="450"/>
      <c r="F42" s="450" t="s">
        <v>267</v>
      </c>
      <c r="G42" s="450" t="s">
        <v>312</v>
      </c>
      <c r="H42" s="450" t="s">
        <v>312</v>
      </c>
      <c r="I42" s="451">
        <v>1840.2</v>
      </c>
      <c r="J42" s="451">
        <v>1840.2</v>
      </c>
      <c r="K42" s="451">
        <f>J42-144.8</f>
        <v>1695.4</v>
      </c>
      <c r="L42" s="452">
        <v>77</v>
      </c>
      <c r="M42" s="450" t="s">
        <v>341</v>
      </c>
      <c r="N42" s="450" t="s">
        <v>1049</v>
      </c>
      <c r="O42" s="453">
        <v>97672.62</v>
      </c>
      <c r="P42" s="453">
        <f t="shared" si="0"/>
        <v>53.077176393870225</v>
      </c>
      <c r="Q42" s="170">
        <v>53.077176393870225</v>
      </c>
    </row>
    <row r="43" spans="1:17" ht="35.25" x14ac:dyDescent="0.4">
      <c r="B43" s="455" t="s">
        <v>1037</v>
      </c>
      <c r="C43" s="455"/>
      <c r="D43" s="450" t="s">
        <v>882</v>
      </c>
      <c r="E43" s="450" t="s">
        <v>882</v>
      </c>
      <c r="F43" s="450" t="s">
        <v>882</v>
      </c>
      <c r="G43" s="450" t="s">
        <v>882</v>
      </c>
      <c r="H43" s="450" t="s">
        <v>882</v>
      </c>
      <c r="I43" s="451">
        <f>I44+I45+I46</f>
        <v>1621.7</v>
      </c>
      <c r="J43" s="451">
        <f>J44+J45+J46</f>
        <v>1475.1999999999998</v>
      </c>
      <c r="K43" s="451">
        <f>K44+K45+K46</f>
        <v>1246.9000000000001</v>
      </c>
      <c r="L43" s="452">
        <f>L44+L45+L46</f>
        <v>58</v>
      </c>
      <c r="M43" s="450" t="s">
        <v>882</v>
      </c>
      <c r="N43" s="450" t="s">
        <v>882</v>
      </c>
      <c r="O43" s="453">
        <v>7637123.5900000008</v>
      </c>
      <c r="P43" s="453">
        <f t="shared" si="0"/>
        <v>4709.3319294567436</v>
      </c>
      <c r="Q43" s="170">
        <f>MAX(Q44:Q46)</f>
        <v>5884.2396929375636</v>
      </c>
    </row>
    <row r="44" spans="1:17" ht="35.25" x14ac:dyDescent="0.5">
      <c r="A44" s="4">
        <v>1</v>
      </c>
      <c r="B44" s="454">
        <f>SUBTOTAL(103,$A$13:A44)</f>
        <v>22</v>
      </c>
      <c r="C44" s="455" t="s">
        <v>1019</v>
      </c>
      <c r="D44" s="450">
        <v>1950</v>
      </c>
      <c r="E44" s="450"/>
      <c r="F44" s="450" t="s">
        <v>267</v>
      </c>
      <c r="G44" s="450" t="s">
        <v>303</v>
      </c>
      <c r="H44" s="450" t="s">
        <v>304</v>
      </c>
      <c r="I44" s="451">
        <v>488.5</v>
      </c>
      <c r="J44" s="451">
        <v>433.9</v>
      </c>
      <c r="K44" s="451">
        <f>J44-53.4</f>
        <v>380.5</v>
      </c>
      <c r="L44" s="452">
        <v>18</v>
      </c>
      <c r="M44" s="450" t="s">
        <v>269</v>
      </c>
      <c r="N44" s="450" t="s">
        <v>321</v>
      </c>
      <c r="O44" s="453">
        <v>2406352.7599999998</v>
      </c>
      <c r="P44" s="453">
        <f t="shared" si="0"/>
        <v>4926.003602865916</v>
      </c>
      <c r="Q44" s="170">
        <v>5884.2396929375636</v>
      </c>
    </row>
    <row r="45" spans="1:17" ht="35.25" x14ac:dyDescent="0.5">
      <c r="A45" s="4">
        <v>1</v>
      </c>
      <c r="B45" s="454">
        <f>SUBTOTAL(103,$A$13:A45)</f>
        <v>23</v>
      </c>
      <c r="C45" s="455" t="s">
        <v>1020</v>
      </c>
      <c r="D45" s="450">
        <v>1956</v>
      </c>
      <c r="E45" s="450"/>
      <c r="F45" s="450" t="s">
        <v>267</v>
      </c>
      <c r="G45" s="450" t="s">
        <v>303</v>
      </c>
      <c r="H45" s="450" t="s">
        <v>304</v>
      </c>
      <c r="I45" s="451">
        <v>567.9</v>
      </c>
      <c r="J45" s="451">
        <v>524.79999999999995</v>
      </c>
      <c r="K45" s="451">
        <f>J45-79.8</f>
        <v>444.99999999999994</v>
      </c>
      <c r="L45" s="452">
        <v>13</v>
      </c>
      <c r="M45" s="450" t="s">
        <v>269</v>
      </c>
      <c r="N45" s="450" t="s">
        <v>321</v>
      </c>
      <c r="O45" s="453">
        <v>2491755.89</v>
      </c>
      <c r="P45" s="453">
        <f t="shared" si="0"/>
        <v>4387.6666490579328</v>
      </c>
      <c r="Q45" s="170">
        <v>5752.5363620355693</v>
      </c>
    </row>
    <row r="46" spans="1:17" ht="35.25" x14ac:dyDescent="0.5">
      <c r="A46" s="4">
        <v>1</v>
      </c>
      <c r="B46" s="454">
        <f>SUBTOTAL(103,$A$13:A46)</f>
        <v>24</v>
      </c>
      <c r="C46" s="455" t="s">
        <v>1021</v>
      </c>
      <c r="D46" s="450">
        <v>1963</v>
      </c>
      <c r="E46" s="450"/>
      <c r="F46" s="450" t="s">
        <v>267</v>
      </c>
      <c r="G46" s="450" t="s">
        <v>303</v>
      </c>
      <c r="H46" s="450" t="s">
        <v>303</v>
      </c>
      <c r="I46" s="451">
        <v>565.29999999999995</v>
      </c>
      <c r="J46" s="451">
        <v>516.5</v>
      </c>
      <c r="K46" s="451">
        <f>J46-95.1</f>
        <v>421.4</v>
      </c>
      <c r="L46" s="452">
        <v>27</v>
      </c>
      <c r="M46" s="450" t="s">
        <v>269</v>
      </c>
      <c r="N46" s="450" t="s">
        <v>327</v>
      </c>
      <c r="O46" s="453">
        <v>2739014.9400000004</v>
      </c>
      <c r="P46" s="453">
        <f t="shared" si="0"/>
        <v>4845.2413585706718</v>
      </c>
      <c r="Q46" s="170">
        <v>5698.4105784539188</v>
      </c>
    </row>
    <row r="47" spans="1:17" ht="35.25" x14ac:dyDescent="0.4">
      <c r="B47" s="455" t="s">
        <v>1038</v>
      </c>
      <c r="C47" s="455"/>
      <c r="D47" s="450" t="s">
        <v>882</v>
      </c>
      <c r="E47" s="450" t="s">
        <v>882</v>
      </c>
      <c r="F47" s="450" t="s">
        <v>882</v>
      </c>
      <c r="G47" s="450" t="s">
        <v>882</v>
      </c>
      <c r="H47" s="450" t="s">
        <v>882</v>
      </c>
      <c r="I47" s="451">
        <f>I48</f>
        <v>1598.9</v>
      </c>
      <c r="J47" s="451">
        <f>J48</f>
        <v>874</v>
      </c>
      <c r="K47" s="451">
        <f>K48</f>
        <v>786.4</v>
      </c>
      <c r="L47" s="452">
        <f>L48</f>
        <v>38</v>
      </c>
      <c r="M47" s="450" t="s">
        <v>882</v>
      </c>
      <c r="N47" s="450" t="s">
        <v>882</v>
      </c>
      <c r="O47" s="453">
        <v>2434994.4500000002</v>
      </c>
      <c r="P47" s="453">
        <f t="shared" si="0"/>
        <v>1522.9185377446995</v>
      </c>
      <c r="Q47" s="170">
        <f>MAX(Q48)</f>
        <v>3174.6863468634683</v>
      </c>
    </row>
    <row r="48" spans="1:17" ht="35.25" x14ac:dyDescent="0.5">
      <c r="A48" s="4">
        <v>1</v>
      </c>
      <c r="B48" s="454">
        <f>SUBTOTAL(103,$A$13:A48)</f>
        <v>25</v>
      </c>
      <c r="C48" s="455" t="s">
        <v>1026</v>
      </c>
      <c r="D48" s="450">
        <v>1974</v>
      </c>
      <c r="E48" s="450"/>
      <c r="F48" s="450" t="s">
        <v>267</v>
      </c>
      <c r="G48" s="450" t="s">
        <v>303</v>
      </c>
      <c r="H48" s="450" t="s">
        <v>312</v>
      </c>
      <c r="I48" s="451">
        <v>1598.9</v>
      </c>
      <c r="J48" s="451">
        <v>874</v>
      </c>
      <c r="K48" s="451">
        <f>J48-87.6</f>
        <v>786.4</v>
      </c>
      <c r="L48" s="452">
        <v>38</v>
      </c>
      <c r="M48" s="450" t="s">
        <v>269</v>
      </c>
      <c r="N48" s="450" t="s">
        <v>294</v>
      </c>
      <c r="O48" s="453">
        <v>2434994.4500000002</v>
      </c>
      <c r="P48" s="453">
        <f t="shared" si="0"/>
        <v>1522.9185377446995</v>
      </c>
      <c r="Q48" s="170">
        <v>3174.6863468634683</v>
      </c>
    </row>
    <row r="49" spans="1:17" ht="35.25" x14ac:dyDescent="0.4">
      <c r="B49" s="455" t="s">
        <v>843</v>
      </c>
      <c r="C49" s="455"/>
      <c r="D49" s="450" t="s">
        <v>882</v>
      </c>
      <c r="E49" s="450" t="s">
        <v>882</v>
      </c>
      <c r="F49" s="450" t="s">
        <v>882</v>
      </c>
      <c r="G49" s="450" t="s">
        <v>882</v>
      </c>
      <c r="H49" s="450" t="s">
        <v>882</v>
      </c>
      <c r="I49" s="451">
        <f>I50</f>
        <v>465</v>
      </c>
      <c r="J49" s="451">
        <f>J50</f>
        <v>424.6</v>
      </c>
      <c r="K49" s="451">
        <f>K50</f>
        <v>175.8</v>
      </c>
      <c r="L49" s="452">
        <f>L50</f>
        <v>26</v>
      </c>
      <c r="M49" s="450" t="s">
        <v>882</v>
      </c>
      <c r="N49" s="450" t="s">
        <v>882</v>
      </c>
      <c r="O49" s="453">
        <v>89459.11</v>
      </c>
      <c r="P49" s="453">
        <f t="shared" si="0"/>
        <v>192.38518279569894</v>
      </c>
      <c r="Q49" s="170">
        <f>MAX(Q50)</f>
        <v>192.38518279569894</v>
      </c>
    </row>
    <row r="50" spans="1:17" ht="35.25" x14ac:dyDescent="0.5">
      <c r="A50" s="4">
        <v>1</v>
      </c>
      <c r="B50" s="454">
        <f>SUBTOTAL(103,$A$13:A50)</f>
        <v>26</v>
      </c>
      <c r="C50" s="455" t="s">
        <v>1022</v>
      </c>
      <c r="D50" s="450">
        <v>1953</v>
      </c>
      <c r="E50" s="450"/>
      <c r="F50" s="450" t="s">
        <v>267</v>
      </c>
      <c r="G50" s="450" t="s">
        <v>303</v>
      </c>
      <c r="H50" s="450" t="s">
        <v>304</v>
      </c>
      <c r="I50" s="451">
        <v>465</v>
      </c>
      <c r="J50" s="451">
        <v>424.6</v>
      </c>
      <c r="K50" s="451">
        <f>J50-248.8</f>
        <v>175.8</v>
      </c>
      <c r="L50" s="452">
        <v>26</v>
      </c>
      <c r="M50" s="450" t="s">
        <v>266</v>
      </c>
      <c r="N50" s="450" t="s">
        <v>268</v>
      </c>
      <c r="O50" s="453">
        <v>89459.11</v>
      </c>
      <c r="P50" s="453">
        <f t="shared" si="0"/>
        <v>192.38518279569894</v>
      </c>
      <c r="Q50" s="170">
        <v>192.38518279569894</v>
      </c>
    </row>
    <row r="51" spans="1:17" ht="35.25" x14ac:dyDescent="0.4">
      <c r="B51" s="455" t="s">
        <v>849</v>
      </c>
      <c r="C51" s="455"/>
      <c r="D51" s="450" t="s">
        <v>882</v>
      </c>
      <c r="E51" s="450" t="s">
        <v>882</v>
      </c>
      <c r="F51" s="450" t="s">
        <v>882</v>
      </c>
      <c r="G51" s="450" t="s">
        <v>882</v>
      </c>
      <c r="H51" s="450" t="s">
        <v>882</v>
      </c>
      <c r="I51" s="451">
        <f>I52</f>
        <v>861.5</v>
      </c>
      <c r="J51" s="451">
        <f>J52</f>
        <v>861.5</v>
      </c>
      <c r="K51" s="451">
        <f>K52</f>
        <v>816.5</v>
      </c>
      <c r="L51" s="452">
        <f>L52</f>
        <v>31</v>
      </c>
      <c r="M51" s="450" t="s">
        <v>882</v>
      </c>
      <c r="N51" s="450" t="s">
        <v>882</v>
      </c>
      <c r="O51" s="453">
        <v>3168456.39</v>
      </c>
      <c r="P51" s="453">
        <f t="shared" si="0"/>
        <v>3677.8367846778874</v>
      </c>
      <c r="Q51" s="170">
        <f>MAX(Q52)</f>
        <v>6602.1239698200807</v>
      </c>
    </row>
    <row r="52" spans="1:17" ht="35.25" x14ac:dyDescent="0.5">
      <c r="A52" s="4">
        <v>1</v>
      </c>
      <c r="B52" s="454">
        <f>SUBTOTAL(103,$A$13:A52)</f>
        <v>27</v>
      </c>
      <c r="C52" s="455" t="s">
        <v>1025</v>
      </c>
      <c r="D52" s="450">
        <v>1980</v>
      </c>
      <c r="E52" s="450"/>
      <c r="F52" s="450" t="s">
        <v>267</v>
      </c>
      <c r="G52" s="450" t="s">
        <v>303</v>
      </c>
      <c r="H52" s="450" t="s">
        <v>312</v>
      </c>
      <c r="I52" s="451">
        <v>861.5</v>
      </c>
      <c r="J52" s="451">
        <v>861.5</v>
      </c>
      <c r="K52" s="451">
        <f>J52-45</f>
        <v>816.5</v>
      </c>
      <c r="L52" s="452">
        <v>31</v>
      </c>
      <c r="M52" s="450" t="s">
        <v>269</v>
      </c>
      <c r="N52" s="450" t="s">
        <v>282</v>
      </c>
      <c r="O52" s="453">
        <v>3168456.39</v>
      </c>
      <c r="P52" s="453">
        <f t="shared" si="0"/>
        <v>3677.8367846778874</v>
      </c>
      <c r="Q52" s="170">
        <v>6602.1239698200807</v>
      </c>
    </row>
    <row r="53" spans="1:17" ht="35.25" x14ac:dyDescent="0.4">
      <c r="B53" s="455" t="s">
        <v>851</v>
      </c>
      <c r="C53" s="455"/>
      <c r="D53" s="450" t="s">
        <v>882</v>
      </c>
      <c r="E53" s="450" t="s">
        <v>882</v>
      </c>
      <c r="F53" s="450" t="s">
        <v>882</v>
      </c>
      <c r="G53" s="450" t="s">
        <v>882</v>
      </c>
      <c r="H53" s="450" t="s">
        <v>882</v>
      </c>
      <c r="I53" s="451">
        <f>I55+I54+I56</f>
        <v>2249.1999999999998</v>
      </c>
      <c r="J53" s="451">
        <f>J55+J54+J56</f>
        <v>2068.4</v>
      </c>
      <c r="K53" s="451">
        <f>K55+K54+K56</f>
        <v>2023.6000000000001</v>
      </c>
      <c r="L53" s="452">
        <f>L55+L54+L56</f>
        <v>104</v>
      </c>
      <c r="M53" s="450" t="s">
        <v>882</v>
      </c>
      <c r="N53" s="450" t="s">
        <v>882</v>
      </c>
      <c r="O53" s="453">
        <v>4966030.97</v>
      </c>
      <c r="P53" s="453">
        <f t="shared" si="0"/>
        <v>2207.9099101902898</v>
      </c>
      <c r="Q53" s="170">
        <f>MAX(Q54:Q56)</f>
        <v>8081.8441367351998</v>
      </c>
    </row>
    <row r="54" spans="1:17" ht="35.25" x14ac:dyDescent="0.5">
      <c r="A54" s="4">
        <v>1</v>
      </c>
      <c r="B54" s="454">
        <f>SUBTOTAL(103,$A$13:A54)</f>
        <v>28</v>
      </c>
      <c r="C54" s="455" t="s">
        <v>1068</v>
      </c>
      <c r="D54" s="450">
        <v>1980</v>
      </c>
      <c r="E54" s="450"/>
      <c r="F54" s="450" t="s">
        <v>318</v>
      </c>
      <c r="G54" s="450" t="s">
        <v>312</v>
      </c>
      <c r="H54" s="450" t="s">
        <v>312</v>
      </c>
      <c r="I54" s="451">
        <v>1481.6</v>
      </c>
      <c r="J54" s="451">
        <v>1361.4</v>
      </c>
      <c r="K54" s="451">
        <v>1361.4</v>
      </c>
      <c r="L54" s="452">
        <v>70</v>
      </c>
      <c r="M54" s="450" t="s">
        <v>266</v>
      </c>
      <c r="N54" s="450" t="s">
        <v>268</v>
      </c>
      <c r="O54" s="453">
        <v>1924066.04</v>
      </c>
      <c r="P54" s="453">
        <f t="shared" si="0"/>
        <v>1298.6406857451404</v>
      </c>
      <c r="Q54" s="170">
        <v>2511.8948947084232</v>
      </c>
    </row>
    <row r="55" spans="1:17" ht="35.25" x14ac:dyDescent="0.5">
      <c r="A55" s="4">
        <v>1</v>
      </c>
      <c r="B55" s="454">
        <f>SUBTOTAL(103,$A$13:A55)</f>
        <v>29</v>
      </c>
      <c r="C55" s="455" t="s">
        <v>1023</v>
      </c>
      <c r="D55" s="450">
        <v>1970</v>
      </c>
      <c r="E55" s="450"/>
      <c r="F55" s="450" t="s">
        <v>267</v>
      </c>
      <c r="G55" s="450" t="s">
        <v>303</v>
      </c>
      <c r="H55" s="450" t="s">
        <v>304</v>
      </c>
      <c r="I55" s="451">
        <v>403.7</v>
      </c>
      <c r="J55" s="451">
        <v>373</v>
      </c>
      <c r="K55" s="451">
        <f>J55-44.8</f>
        <v>328.2</v>
      </c>
      <c r="L55" s="452">
        <v>20</v>
      </c>
      <c r="M55" s="450" t="s">
        <v>266</v>
      </c>
      <c r="N55" s="450" t="s">
        <v>268</v>
      </c>
      <c r="O55" s="453">
        <v>1650932.93</v>
      </c>
      <c r="P55" s="453">
        <f t="shared" si="0"/>
        <v>4089.5044092147632</v>
      </c>
      <c r="Q55" s="170">
        <v>8081.8441367351998</v>
      </c>
    </row>
    <row r="56" spans="1:17" ht="35.25" x14ac:dyDescent="0.5">
      <c r="A56" s="4">
        <v>1</v>
      </c>
      <c r="B56" s="454">
        <f>SUBTOTAL(103,$A$13:A56)</f>
        <v>30</v>
      </c>
      <c r="C56" s="455" t="s">
        <v>191</v>
      </c>
      <c r="D56" s="450">
        <v>1968</v>
      </c>
      <c r="E56" s="450"/>
      <c r="F56" s="450" t="s">
        <v>267</v>
      </c>
      <c r="G56" s="450" t="s">
        <v>303</v>
      </c>
      <c r="H56" s="450" t="s">
        <v>304</v>
      </c>
      <c r="I56" s="451">
        <v>363.9</v>
      </c>
      <c r="J56" s="451">
        <v>334</v>
      </c>
      <c r="K56" s="451">
        <v>334</v>
      </c>
      <c r="L56" s="452">
        <v>14</v>
      </c>
      <c r="M56" s="450" t="s">
        <v>266</v>
      </c>
      <c r="N56" s="450" t="s">
        <v>268</v>
      </c>
      <c r="O56" s="453">
        <v>1391032.0000000002</v>
      </c>
      <c r="P56" s="453">
        <f t="shared" si="0"/>
        <v>3822.5666391865907</v>
      </c>
      <c r="Q56" s="170">
        <v>5525.0176284693598</v>
      </c>
    </row>
    <row r="57" spans="1:17" ht="35.25" x14ac:dyDescent="0.4">
      <c r="B57" s="455" t="s">
        <v>850</v>
      </c>
      <c r="C57" s="455"/>
      <c r="D57" s="450" t="s">
        <v>882</v>
      </c>
      <c r="E57" s="450" t="s">
        <v>882</v>
      </c>
      <c r="F57" s="450" t="s">
        <v>882</v>
      </c>
      <c r="G57" s="450" t="s">
        <v>882</v>
      </c>
      <c r="H57" s="450" t="s">
        <v>882</v>
      </c>
      <c r="I57" s="451">
        <f>I58</f>
        <v>940.4</v>
      </c>
      <c r="J57" s="451">
        <f>J58</f>
        <v>940.4</v>
      </c>
      <c r="K57" s="451">
        <f>K58</f>
        <v>940.4</v>
      </c>
      <c r="L57" s="452">
        <f>L58</f>
        <v>26</v>
      </c>
      <c r="M57" s="450" t="s">
        <v>882</v>
      </c>
      <c r="N57" s="450" t="s">
        <v>882</v>
      </c>
      <c r="O57" s="453">
        <v>1661171.06</v>
      </c>
      <c r="P57" s="453">
        <f t="shared" si="0"/>
        <v>1766.4515737983838</v>
      </c>
      <c r="Q57" s="170">
        <f>MAX(Q58)</f>
        <v>3781.5107028923862</v>
      </c>
    </row>
    <row r="58" spans="1:17" ht="35.25" x14ac:dyDescent="0.5">
      <c r="A58" s="4">
        <v>1</v>
      </c>
      <c r="B58" s="454">
        <f>SUBTOTAL(103,$A$13:A58)</f>
        <v>31</v>
      </c>
      <c r="C58" s="455" t="s">
        <v>1059</v>
      </c>
      <c r="D58" s="450">
        <v>1987</v>
      </c>
      <c r="E58" s="450"/>
      <c r="F58" s="450" t="s">
        <v>267</v>
      </c>
      <c r="G58" s="450" t="s">
        <v>303</v>
      </c>
      <c r="H58" s="450" t="s">
        <v>303</v>
      </c>
      <c r="I58" s="451">
        <v>940.4</v>
      </c>
      <c r="J58" s="451">
        <v>940.4</v>
      </c>
      <c r="K58" s="451">
        <f>J58</f>
        <v>940.4</v>
      </c>
      <c r="L58" s="452">
        <v>26</v>
      </c>
      <c r="M58" s="450" t="s">
        <v>269</v>
      </c>
      <c r="N58" s="450" t="s">
        <v>1061</v>
      </c>
      <c r="O58" s="453">
        <v>1661171.06</v>
      </c>
      <c r="P58" s="453">
        <f t="shared" si="0"/>
        <v>1766.4515737983838</v>
      </c>
      <c r="Q58" s="170">
        <v>3781.5107028923862</v>
      </c>
    </row>
    <row r="59" spans="1:17" ht="35.25" x14ac:dyDescent="0.5">
      <c r="B59" s="457" t="s">
        <v>826</v>
      </c>
      <c r="C59" s="455"/>
      <c r="D59" s="450" t="s">
        <v>882</v>
      </c>
      <c r="E59" s="450" t="s">
        <v>882</v>
      </c>
      <c r="F59" s="450" t="s">
        <v>882</v>
      </c>
      <c r="G59" s="450" t="s">
        <v>882</v>
      </c>
      <c r="H59" s="450" t="s">
        <v>882</v>
      </c>
      <c r="I59" s="451">
        <f>I60</f>
        <v>1743.7</v>
      </c>
      <c r="J59" s="451">
        <f>J60</f>
        <v>1552.6</v>
      </c>
      <c r="K59" s="451">
        <f>K60</f>
        <v>1552.6</v>
      </c>
      <c r="L59" s="452">
        <f>L60</f>
        <v>65</v>
      </c>
      <c r="M59" s="450" t="s">
        <v>882</v>
      </c>
      <c r="N59" s="450" t="s">
        <v>882</v>
      </c>
      <c r="O59" s="453">
        <v>105794.97</v>
      </c>
      <c r="P59" s="453">
        <f t="shared" si="0"/>
        <v>60.672690256351437</v>
      </c>
      <c r="Q59" s="170">
        <f>Q60</f>
        <v>60.672690256351437</v>
      </c>
    </row>
    <row r="60" spans="1:17" ht="35.25" x14ac:dyDescent="0.5">
      <c r="A60" s="4">
        <v>1</v>
      </c>
      <c r="B60" s="454">
        <f>SUBTOTAL(103,$A$13:A60)</f>
        <v>32</v>
      </c>
      <c r="C60" s="455" t="s">
        <v>1392</v>
      </c>
      <c r="D60" s="450">
        <v>1978</v>
      </c>
      <c r="E60" s="450"/>
      <c r="F60" s="450" t="s">
        <v>267</v>
      </c>
      <c r="G60" s="450" t="s">
        <v>312</v>
      </c>
      <c r="H60" s="450" t="s">
        <v>312</v>
      </c>
      <c r="I60" s="451">
        <v>1743.7</v>
      </c>
      <c r="J60" s="451">
        <v>1552.6</v>
      </c>
      <c r="K60" s="451">
        <f>J60</f>
        <v>1552.6</v>
      </c>
      <c r="L60" s="452">
        <v>65</v>
      </c>
      <c r="M60" s="450" t="s">
        <v>269</v>
      </c>
      <c r="N60" s="450" t="s">
        <v>802</v>
      </c>
      <c r="O60" s="453">
        <v>105794.97</v>
      </c>
      <c r="P60" s="453">
        <f t="shared" si="0"/>
        <v>60.672690256351437</v>
      </c>
      <c r="Q60" s="170">
        <v>60.672690256351437</v>
      </c>
    </row>
    <row r="61" spans="1:17" ht="35.25" x14ac:dyDescent="0.5">
      <c r="B61" s="457" t="s">
        <v>862</v>
      </c>
      <c r="C61" s="455"/>
      <c r="D61" s="450" t="s">
        <v>882</v>
      </c>
      <c r="E61" s="450" t="s">
        <v>882</v>
      </c>
      <c r="F61" s="450" t="s">
        <v>882</v>
      </c>
      <c r="G61" s="450" t="s">
        <v>882</v>
      </c>
      <c r="H61" s="450" t="s">
        <v>882</v>
      </c>
      <c r="I61" s="451">
        <f>I62</f>
        <v>1105.0999999999999</v>
      </c>
      <c r="J61" s="451">
        <f>J62</f>
        <v>953.3</v>
      </c>
      <c r="K61" s="451">
        <f>K62</f>
        <v>870.1</v>
      </c>
      <c r="L61" s="452">
        <f>L62</f>
        <v>44</v>
      </c>
      <c r="M61" s="450" t="s">
        <v>882</v>
      </c>
      <c r="N61" s="450" t="s">
        <v>882</v>
      </c>
      <c r="O61" s="453">
        <v>603261.75</v>
      </c>
      <c r="P61" s="453">
        <f t="shared" si="0"/>
        <v>545.88883358972043</v>
      </c>
      <c r="Q61" s="170">
        <f>MAX(Q62)</f>
        <v>810.46</v>
      </c>
    </row>
    <row r="62" spans="1:17" ht="35.25" x14ac:dyDescent="0.5">
      <c r="A62" s="4">
        <v>1</v>
      </c>
      <c r="B62" s="454">
        <f>SUBTOTAL(103,$A$13:A62)</f>
        <v>33</v>
      </c>
      <c r="C62" s="455" t="s">
        <v>1393</v>
      </c>
      <c r="D62" s="450">
        <v>1979</v>
      </c>
      <c r="E62" s="450"/>
      <c r="F62" s="450" t="s">
        <v>267</v>
      </c>
      <c r="G62" s="450" t="s">
        <v>303</v>
      </c>
      <c r="H62" s="450" t="s">
        <v>312</v>
      </c>
      <c r="I62" s="451">
        <v>1105.0999999999999</v>
      </c>
      <c r="J62" s="451">
        <v>953.3</v>
      </c>
      <c r="K62" s="451">
        <v>870.1</v>
      </c>
      <c r="L62" s="452">
        <v>44</v>
      </c>
      <c r="M62" s="450" t="s">
        <v>269</v>
      </c>
      <c r="N62" s="450" t="s">
        <v>1348</v>
      </c>
      <c r="O62" s="453">
        <v>603261.75</v>
      </c>
      <c r="P62" s="453">
        <f t="shared" si="0"/>
        <v>545.88883358972043</v>
      </c>
      <c r="Q62" s="170">
        <v>810.46</v>
      </c>
    </row>
    <row r="63" spans="1:17" ht="35.25" x14ac:dyDescent="0.4">
      <c r="B63" s="172" t="s">
        <v>1925</v>
      </c>
      <c r="C63" s="449"/>
      <c r="D63" s="450" t="s">
        <v>882</v>
      </c>
      <c r="E63" s="450" t="s">
        <v>882</v>
      </c>
      <c r="F63" s="450" t="s">
        <v>882</v>
      </c>
      <c r="G63" s="450" t="s">
        <v>882</v>
      </c>
      <c r="H63" s="450" t="s">
        <v>882</v>
      </c>
      <c r="I63" s="451">
        <f>I64+I68+I70+I72+I76+I78+I80+I82</f>
        <v>9357.5</v>
      </c>
      <c r="J63" s="451">
        <f>J64+J68+J70+J72+J76+J78+J80+J82</f>
        <v>7976.1</v>
      </c>
      <c r="K63" s="451">
        <f>K64+K68+K70+K72+K76+K78+K80+K82</f>
        <v>7286.1</v>
      </c>
      <c r="L63" s="452">
        <f>L64+L68+L70+L72+L76+L78+L80+L82</f>
        <v>424</v>
      </c>
      <c r="M63" s="450" t="s">
        <v>882</v>
      </c>
      <c r="N63" s="450" t="s">
        <v>882</v>
      </c>
      <c r="O63" s="451">
        <v>30400622.149999999</v>
      </c>
      <c r="P63" s="453">
        <f t="shared" si="0"/>
        <v>3248.7974512423189</v>
      </c>
      <c r="Q63" s="170">
        <f>MAX(Q64:Q83)</f>
        <v>8764.5360338600458</v>
      </c>
    </row>
    <row r="64" spans="1:17" ht="35.25" x14ac:dyDescent="0.4">
      <c r="B64" s="455" t="s">
        <v>1035</v>
      </c>
      <c r="C64" s="455"/>
      <c r="D64" s="450" t="s">
        <v>882</v>
      </c>
      <c r="E64" s="450" t="s">
        <v>882</v>
      </c>
      <c r="F64" s="450" t="s">
        <v>882</v>
      </c>
      <c r="G64" s="450" t="s">
        <v>882</v>
      </c>
      <c r="H64" s="450" t="s">
        <v>882</v>
      </c>
      <c r="I64" s="451">
        <f>SUM(I65:I67)</f>
        <v>1180.5999999999999</v>
      </c>
      <c r="J64" s="451">
        <f>SUM(J65:J67)</f>
        <v>1060.7</v>
      </c>
      <c r="K64" s="451">
        <f>SUM(K65:K67)</f>
        <v>932.7</v>
      </c>
      <c r="L64" s="452">
        <f>SUM(L65:L67)</f>
        <v>60</v>
      </c>
      <c r="M64" s="450" t="s">
        <v>882</v>
      </c>
      <c r="N64" s="450" t="s">
        <v>882</v>
      </c>
      <c r="O64" s="453">
        <v>5103149.49</v>
      </c>
      <c r="P64" s="453">
        <f t="shared" si="0"/>
        <v>4322.5050736913436</v>
      </c>
      <c r="Q64" s="170">
        <f>MAX(Q65:Q67)</f>
        <v>8764.5360338600458</v>
      </c>
    </row>
    <row r="65" spans="1:17" ht="35.25" x14ac:dyDescent="0.5">
      <c r="A65" s="4">
        <v>1</v>
      </c>
      <c r="B65" s="454">
        <f>SUBTOTAL(103,$A$64:A65)</f>
        <v>1</v>
      </c>
      <c r="C65" s="455" t="s">
        <v>1011</v>
      </c>
      <c r="D65" s="450">
        <v>1961</v>
      </c>
      <c r="E65" s="450"/>
      <c r="F65" s="450" t="s">
        <v>267</v>
      </c>
      <c r="G65" s="450" t="s">
        <v>303</v>
      </c>
      <c r="H65" s="450" t="s">
        <v>304</v>
      </c>
      <c r="I65" s="451">
        <v>301.39999999999998</v>
      </c>
      <c r="J65" s="451">
        <v>276.5</v>
      </c>
      <c r="K65" s="451">
        <f>J65-38</f>
        <v>238.5</v>
      </c>
      <c r="L65" s="452">
        <v>16</v>
      </c>
      <c r="M65" s="450" t="s">
        <v>269</v>
      </c>
      <c r="N65" s="450" t="s">
        <v>988</v>
      </c>
      <c r="O65" s="453">
        <v>1063050</v>
      </c>
      <c r="P65" s="453">
        <f t="shared" si="0"/>
        <v>3527.0404777704052</v>
      </c>
      <c r="Q65" s="170">
        <v>5549.0341738553416</v>
      </c>
    </row>
    <row r="66" spans="1:17" ht="35.25" x14ac:dyDescent="0.5">
      <c r="A66" s="4">
        <v>1</v>
      </c>
      <c r="B66" s="454">
        <f>SUBTOTAL(103,$A$64:A66)</f>
        <v>2</v>
      </c>
      <c r="C66" s="456" t="s">
        <v>1074</v>
      </c>
      <c r="D66" s="450">
        <v>1956</v>
      </c>
      <c r="E66" s="450"/>
      <c r="F66" s="450" t="s">
        <v>267</v>
      </c>
      <c r="G66" s="450" t="s">
        <v>303</v>
      </c>
      <c r="H66" s="450" t="s">
        <v>304</v>
      </c>
      <c r="I66" s="451">
        <v>443</v>
      </c>
      <c r="J66" s="451">
        <v>397.1</v>
      </c>
      <c r="K66" s="451">
        <v>353.4</v>
      </c>
      <c r="L66" s="452">
        <v>24</v>
      </c>
      <c r="M66" s="450" t="s">
        <v>269</v>
      </c>
      <c r="N66" s="450" t="s">
        <v>1066</v>
      </c>
      <c r="O66" s="453">
        <v>2595067.46</v>
      </c>
      <c r="P66" s="453">
        <f t="shared" si="0"/>
        <v>5857.940090293454</v>
      </c>
      <c r="Q66" s="170">
        <v>8764.5360338600458</v>
      </c>
    </row>
    <row r="67" spans="1:17" ht="35.25" x14ac:dyDescent="0.5">
      <c r="A67" s="4">
        <v>1</v>
      </c>
      <c r="B67" s="454">
        <f>SUBTOTAL(103,$A$64:A67)</f>
        <v>3</v>
      </c>
      <c r="C67" s="456" t="s">
        <v>1390</v>
      </c>
      <c r="D67" s="450">
        <v>1957</v>
      </c>
      <c r="E67" s="450"/>
      <c r="F67" s="450" t="s">
        <v>267</v>
      </c>
      <c r="G67" s="450" t="s">
        <v>303</v>
      </c>
      <c r="H67" s="450" t="s">
        <v>304</v>
      </c>
      <c r="I67" s="451">
        <v>436.2</v>
      </c>
      <c r="J67" s="451">
        <v>387.1</v>
      </c>
      <c r="K67" s="451">
        <v>340.8</v>
      </c>
      <c r="L67" s="452">
        <v>20</v>
      </c>
      <c r="M67" s="450" t="s">
        <v>269</v>
      </c>
      <c r="N67" s="450" t="s">
        <v>1391</v>
      </c>
      <c r="O67" s="453">
        <v>1445032.0299999998</v>
      </c>
      <c r="P67" s="453">
        <f t="shared" si="0"/>
        <v>3312.774025676295</v>
      </c>
      <c r="Q67" s="170">
        <v>5593.6083470884923</v>
      </c>
    </row>
    <row r="68" spans="1:17" ht="35.25" x14ac:dyDescent="0.4">
      <c r="B68" s="455" t="s">
        <v>816</v>
      </c>
      <c r="C68" s="455"/>
      <c r="D68" s="450" t="s">
        <v>882</v>
      </c>
      <c r="E68" s="450" t="s">
        <v>882</v>
      </c>
      <c r="F68" s="450" t="s">
        <v>882</v>
      </c>
      <c r="G68" s="450" t="s">
        <v>882</v>
      </c>
      <c r="H68" s="450" t="s">
        <v>882</v>
      </c>
      <c r="I68" s="451">
        <f>I69</f>
        <v>366.5</v>
      </c>
      <c r="J68" s="451">
        <f>J69</f>
        <v>336.9</v>
      </c>
      <c r="K68" s="451">
        <f>K69</f>
        <v>336.9</v>
      </c>
      <c r="L68" s="452">
        <f>L69</f>
        <v>25</v>
      </c>
      <c r="M68" s="450" t="s">
        <v>882</v>
      </c>
      <c r="N68" s="450" t="s">
        <v>882</v>
      </c>
      <c r="O68" s="453">
        <v>1358175.69</v>
      </c>
      <c r="P68" s="453">
        <f t="shared" si="0"/>
        <v>3705.7999727148704</v>
      </c>
      <c r="Q68" s="170">
        <f>Q69</f>
        <v>5199.0574624829469</v>
      </c>
    </row>
    <row r="69" spans="1:17" ht="35.25" x14ac:dyDescent="0.5">
      <c r="A69" s="4">
        <v>1</v>
      </c>
      <c r="B69" s="454">
        <f>SUBTOTAL(103,$A$64:A69)</f>
        <v>4</v>
      </c>
      <c r="C69" s="455" t="s">
        <v>1012</v>
      </c>
      <c r="D69" s="450">
        <v>1971</v>
      </c>
      <c r="E69" s="450"/>
      <c r="F69" s="450" t="s">
        <v>267</v>
      </c>
      <c r="G69" s="450" t="s">
        <v>303</v>
      </c>
      <c r="H69" s="450" t="s">
        <v>304</v>
      </c>
      <c r="I69" s="451">
        <v>366.5</v>
      </c>
      <c r="J69" s="451">
        <v>336.9</v>
      </c>
      <c r="K69" s="451">
        <f>J69</f>
        <v>336.9</v>
      </c>
      <c r="L69" s="452">
        <f>L70</f>
        <v>25</v>
      </c>
      <c r="M69" s="450" t="s">
        <v>269</v>
      </c>
      <c r="N69" s="450" t="s">
        <v>333</v>
      </c>
      <c r="O69" s="453">
        <v>1358175.69</v>
      </c>
      <c r="P69" s="453">
        <f t="shared" si="0"/>
        <v>3705.7999727148704</v>
      </c>
      <c r="Q69" s="170">
        <v>5199.0574624829469</v>
      </c>
    </row>
    <row r="70" spans="1:17" ht="35.25" x14ac:dyDescent="0.4">
      <c r="B70" s="455" t="s">
        <v>1036</v>
      </c>
      <c r="C70" s="455"/>
      <c r="D70" s="450" t="s">
        <v>882</v>
      </c>
      <c r="E70" s="450" t="s">
        <v>882</v>
      </c>
      <c r="F70" s="450" t="s">
        <v>882</v>
      </c>
      <c r="G70" s="450" t="s">
        <v>882</v>
      </c>
      <c r="H70" s="450" t="s">
        <v>882</v>
      </c>
      <c r="I70" s="451">
        <f>I71</f>
        <v>410.7</v>
      </c>
      <c r="J70" s="451">
        <f>J71</f>
        <v>379.6</v>
      </c>
      <c r="K70" s="451">
        <f>K71</f>
        <v>379.6</v>
      </c>
      <c r="L70" s="452">
        <f>L71</f>
        <v>25</v>
      </c>
      <c r="M70" s="450" t="s">
        <v>882</v>
      </c>
      <c r="N70" s="450" t="s">
        <v>882</v>
      </c>
      <c r="O70" s="453">
        <v>2525661.19</v>
      </c>
      <c r="P70" s="453">
        <f t="shared" si="0"/>
        <v>6149.6498417336252</v>
      </c>
      <c r="Q70" s="170">
        <f>Q71</f>
        <v>6348.892646700755</v>
      </c>
    </row>
    <row r="71" spans="1:17" ht="35.25" x14ac:dyDescent="0.5">
      <c r="A71" s="4">
        <v>1</v>
      </c>
      <c r="B71" s="454">
        <f>SUBTOTAL(103,$A$64:A71)</f>
        <v>5</v>
      </c>
      <c r="C71" s="455" t="s">
        <v>1926</v>
      </c>
      <c r="D71" s="450">
        <v>1997</v>
      </c>
      <c r="E71" s="450"/>
      <c r="F71" s="450" t="s">
        <v>267</v>
      </c>
      <c r="G71" s="450">
        <v>2</v>
      </c>
      <c r="H71" s="450">
        <v>1</v>
      </c>
      <c r="I71" s="451">
        <v>410.7</v>
      </c>
      <c r="J71" s="451">
        <v>379.6</v>
      </c>
      <c r="K71" s="451">
        <v>379.6</v>
      </c>
      <c r="L71" s="452">
        <v>25</v>
      </c>
      <c r="M71" s="450" t="s">
        <v>266</v>
      </c>
      <c r="N71" s="450" t="s">
        <v>268</v>
      </c>
      <c r="O71" s="453">
        <v>2525661.19</v>
      </c>
      <c r="P71" s="453">
        <f t="shared" si="0"/>
        <v>6149.6498417336252</v>
      </c>
      <c r="Q71" s="170">
        <v>6348.892646700755</v>
      </c>
    </row>
    <row r="72" spans="1:17" ht="35.25" x14ac:dyDescent="0.4">
      <c r="B72" s="455" t="s">
        <v>752</v>
      </c>
      <c r="C72" s="455"/>
      <c r="D72" s="450" t="s">
        <v>882</v>
      </c>
      <c r="E72" s="450" t="s">
        <v>882</v>
      </c>
      <c r="F72" s="450" t="s">
        <v>882</v>
      </c>
      <c r="G72" s="450" t="s">
        <v>882</v>
      </c>
      <c r="H72" s="450" t="s">
        <v>882</v>
      </c>
      <c r="I72" s="451">
        <f>I73+I74+I75</f>
        <v>2093.1</v>
      </c>
      <c r="J72" s="451">
        <f>J73+J74+J75</f>
        <v>1649</v>
      </c>
      <c r="K72" s="451">
        <f>K73+K74+K75</f>
        <v>1480.6</v>
      </c>
      <c r="L72" s="452">
        <f>L73+L74+L75</f>
        <v>110</v>
      </c>
      <c r="M72" s="450" t="s">
        <v>882</v>
      </c>
      <c r="N72" s="450" t="s">
        <v>882</v>
      </c>
      <c r="O72" s="453">
        <v>6104073.4000000004</v>
      </c>
      <c r="P72" s="453">
        <f t="shared" si="0"/>
        <v>2916.2836940423299</v>
      </c>
      <c r="Q72" s="170">
        <f>MAX(Q73:Q75)</f>
        <v>6168.9430136986293</v>
      </c>
    </row>
    <row r="73" spans="1:17" ht="35.25" x14ac:dyDescent="0.5">
      <c r="A73" s="4">
        <v>1</v>
      </c>
      <c r="B73" s="454">
        <f>SUBTOTAL(103,$A$64:A73)</f>
        <v>6</v>
      </c>
      <c r="C73" s="455" t="s">
        <v>1016</v>
      </c>
      <c r="D73" s="450">
        <v>1960</v>
      </c>
      <c r="E73" s="450"/>
      <c r="F73" s="450" t="s">
        <v>267</v>
      </c>
      <c r="G73" s="450" t="s">
        <v>303</v>
      </c>
      <c r="H73" s="450" t="s">
        <v>304</v>
      </c>
      <c r="I73" s="451">
        <v>306.60000000000002</v>
      </c>
      <c r="J73" s="451">
        <v>285.60000000000002</v>
      </c>
      <c r="K73" s="451">
        <f>J73-33.2</f>
        <v>252.40000000000003</v>
      </c>
      <c r="L73" s="452">
        <v>21</v>
      </c>
      <c r="M73" s="450" t="s">
        <v>266</v>
      </c>
      <c r="N73" s="450" t="s">
        <v>268</v>
      </c>
      <c r="O73" s="453">
        <v>1003273.4</v>
      </c>
      <c r="P73" s="453">
        <f t="shared" si="0"/>
        <v>3272.2550554468362</v>
      </c>
      <c r="Q73" s="170">
        <v>6168.9430136986293</v>
      </c>
    </row>
    <row r="74" spans="1:17" ht="35.25" x14ac:dyDescent="0.5">
      <c r="A74" s="4">
        <v>1</v>
      </c>
      <c r="B74" s="454">
        <f>SUBTOTAL(103,$A$64:A74)</f>
        <v>7</v>
      </c>
      <c r="C74" s="455" t="s">
        <v>776</v>
      </c>
      <c r="D74" s="450">
        <v>1960</v>
      </c>
      <c r="E74" s="450"/>
      <c r="F74" s="450" t="s">
        <v>267</v>
      </c>
      <c r="G74" s="450" t="s">
        <v>312</v>
      </c>
      <c r="H74" s="450" t="s">
        <v>303</v>
      </c>
      <c r="I74" s="451">
        <v>1286.5</v>
      </c>
      <c r="J74" s="451">
        <v>881.8</v>
      </c>
      <c r="K74" s="451">
        <f>J74-65.9</f>
        <v>815.9</v>
      </c>
      <c r="L74" s="452">
        <v>39</v>
      </c>
      <c r="M74" s="450" t="s">
        <v>266</v>
      </c>
      <c r="N74" s="450" t="s">
        <v>268</v>
      </c>
      <c r="O74" s="453">
        <v>2664800</v>
      </c>
      <c r="P74" s="453">
        <f t="shared" si="0"/>
        <v>2071.3563933151963</v>
      </c>
      <c r="Q74" s="170">
        <v>2913.6690244850365</v>
      </c>
    </row>
    <row r="75" spans="1:17" ht="35.25" x14ac:dyDescent="0.5">
      <c r="A75" s="4">
        <v>1</v>
      </c>
      <c r="B75" s="454">
        <f>SUBTOTAL(103,$A$64:A75)</f>
        <v>8</v>
      </c>
      <c r="C75" s="455" t="s">
        <v>768</v>
      </c>
      <c r="D75" s="450">
        <v>1965</v>
      </c>
      <c r="E75" s="450"/>
      <c r="F75" s="450" t="s">
        <v>267</v>
      </c>
      <c r="G75" s="450" t="s">
        <v>303</v>
      </c>
      <c r="H75" s="450" t="s">
        <v>312</v>
      </c>
      <c r="I75" s="451">
        <v>500</v>
      </c>
      <c r="J75" s="451">
        <v>481.6</v>
      </c>
      <c r="K75" s="451">
        <f>J75-69.3</f>
        <v>412.3</v>
      </c>
      <c r="L75" s="452">
        <v>50</v>
      </c>
      <c r="M75" s="450" t="s">
        <v>266</v>
      </c>
      <c r="N75" s="450" t="s">
        <v>268</v>
      </c>
      <c r="O75" s="453">
        <v>2436000</v>
      </c>
      <c r="P75" s="453">
        <f t="shared" ref="P75:P83" si="1">O75/I75</f>
        <v>4872</v>
      </c>
      <c r="Q75" s="170">
        <v>5635.6682000000001</v>
      </c>
    </row>
    <row r="76" spans="1:17" ht="35.25" x14ac:dyDescent="0.4">
      <c r="B76" s="455" t="s">
        <v>832</v>
      </c>
      <c r="C76" s="455"/>
      <c r="D76" s="450" t="s">
        <v>882</v>
      </c>
      <c r="E76" s="450" t="s">
        <v>882</v>
      </c>
      <c r="F76" s="450" t="s">
        <v>882</v>
      </c>
      <c r="G76" s="450" t="s">
        <v>882</v>
      </c>
      <c r="H76" s="450" t="s">
        <v>882</v>
      </c>
      <c r="I76" s="451">
        <f>I77</f>
        <v>1840.2</v>
      </c>
      <c r="J76" s="451">
        <f>J77</f>
        <v>1840.2</v>
      </c>
      <c r="K76" s="451">
        <f>K77</f>
        <v>1695.4</v>
      </c>
      <c r="L76" s="452">
        <f>L77</f>
        <v>77</v>
      </c>
      <c r="M76" s="450" t="s">
        <v>882</v>
      </c>
      <c r="N76" s="450" t="s">
        <v>882</v>
      </c>
      <c r="O76" s="453">
        <v>5538174.9500000002</v>
      </c>
      <c r="P76" s="453">
        <f t="shared" si="1"/>
        <v>3009.5505651559615</v>
      </c>
      <c r="Q76" s="170">
        <f>Q77</f>
        <v>3659.5822144332137</v>
      </c>
    </row>
    <row r="77" spans="1:17" ht="35.25" x14ac:dyDescent="0.5">
      <c r="A77" s="4">
        <v>1</v>
      </c>
      <c r="B77" s="454">
        <f>SUBTOTAL(103,$A$64:A77)</f>
        <v>9</v>
      </c>
      <c r="C77" s="455" t="s">
        <v>1018</v>
      </c>
      <c r="D77" s="450">
        <v>1986</v>
      </c>
      <c r="E77" s="450"/>
      <c r="F77" s="450" t="s">
        <v>267</v>
      </c>
      <c r="G77" s="450" t="s">
        <v>312</v>
      </c>
      <c r="H77" s="450" t="s">
        <v>312</v>
      </c>
      <c r="I77" s="451">
        <v>1840.2</v>
      </c>
      <c r="J77" s="451">
        <v>1840.2</v>
      </c>
      <c r="K77" s="451">
        <f>J77-144.8</f>
        <v>1695.4</v>
      </c>
      <c r="L77" s="452">
        <v>77</v>
      </c>
      <c r="M77" s="450" t="s">
        <v>341</v>
      </c>
      <c r="N77" s="450" t="s">
        <v>1049</v>
      </c>
      <c r="O77" s="453">
        <v>5538174.9500000002</v>
      </c>
      <c r="P77" s="453">
        <f t="shared" si="1"/>
        <v>3009.5505651559615</v>
      </c>
      <c r="Q77" s="170">
        <v>3659.5822144332137</v>
      </c>
    </row>
    <row r="78" spans="1:17" ht="35.25" x14ac:dyDescent="0.4">
      <c r="B78" s="455" t="s">
        <v>1689</v>
      </c>
      <c r="C78" s="455"/>
      <c r="D78" s="450" t="s">
        <v>882</v>
      </c>
      <c r="E78" s="450" t="s">
        <v>882</v>
      </c>
      <c r="F78" s="450" t="s">
        <v>882</v>
      </c>
      <c r="G78" s="450" t="s">
        <v>882</v>
      </c>
      <c r="H78" s="450" t="s">
        <v>882</v>
      </c>
      <c r="I78" s="451">
        <f>I79</f>
        <v>1257.7</v>
      </c>
      <c r="J78" s="451">
        <f>J79</f>
        <v>732.5</v>
      </c>
      <c r="K78" s="451">
        <f>K79</f>
        <v>732.5</v>
      </c>
      <c r="L78" s="452">
        <f>L79</f>
        <v>36</v>
      </c>
      <c r="M78" s="450" t="s">
        <v>882</v>
      </c>
      <c r="N78" s="450" t="s">
        <v>882</v>
      </c>
      <c r="O78" s="453">
        <v>3666162.4299999997</v>
      </c>
      <c r="P78" s="453">
        <f t="shared" si="1"/>
        <v>2914.973705971217</v>
      </c>
      <c r="Q78" s="170">
        <f>Q79</f>
        <v>3438.8307386499164</v>
      </c>
    </row>
    <row r="79" spans="1:17" ht="35.25" x14ac:dyDescent="0.5">
      <c r="A79" s="4">
        <v>1</v>
      </c>
      <c r="B79" s="454">
        <f>SUBTOTAL(103,$A$64:A79)</f>
        <v>10</v>
      </c>
      <c r="C79" s="455" t="s">
        <v>1688</v>
      </c>
      <c r="D79" s="450">
        <v>1972</v>
      </c>
      <c r="E79" s="450"/>
      <c r="F79" s="450" t="s">
        <v>267</v>
      </c>
      <c r="G79" s="450" t="s">
        <v>303</v>
      </c>
      <c r="H79" s="450" t="s">
        <v>303</v>
      </c>
      <c r="I79" s="451">
        <v>1257.7</v>
      </c>
      <c r="J79" s="451">
        <v>732.5</v>
      </c>
      <c r="K79" s="451">
        <f>J79</f>
        <v>732.5</v>
      </c>
      <c r="L79" s="452">
        <v>36</v>
      </c>
      <c r="M79" s="450" t="s">
        <v>341</v>
      </c>
      <c r="N79" s="450" t="s">
        <v>1690</v>
      </c>
      <c r="O79" s="453">
        <v>3666162.4299999997</v>
      </c>
      <c r="P79" s="453">
        <f t="shared" si="1"/>
        <v>2914.973705971217</v>
      </c>
      <c r="Q79" s="170">
        <v>3438.8307386499164</v>
      </c>
    </row>
    <row r="80" spans="1:17" ht="35.25" x14ac:dyDescent="0.4">
      <c r="B80" s="455" t="s">
        <v>843</v>
      </c>
      <c r="C80" s="455"/>
      <c r="D80" s="450" t="s">
        <v>882</v>
      </c>
      <c r="E80" s="450" t="s">
        <v>882</v>
      </c>
      <c r="F80" s="450" t="s">
        <v>882</v>
      </c>
      <c r="G80" s="450" t="s">
        <v>882</v>
      </c>
      <c r="H80" s="450" t="s">
        <v>882</v>
      </c>
      <c r="I80" s="451">
        <f>I81</f>
        <v>465</v>
      </c>
      <c r="J80" s="451">
        <f>J81</f>
        <v>424.6</v>
      </c>
      <c r="K80" s="451">
        <f>K81</f>
        <v>175.8</v>
      </c>
      <c r="L80" s="452">
        <f>L81</f>
        <v>26</v>
      </c>
      <c r="M80" s="450" t="s">
        <v>882</v>
      </c>
      <c r="N80" s="450" t="s">
        <v>882</v>
      </c>
      <c r="O80" s="453">
        <v>2476600</v>
      </c>
      <c r="P80" s="453">
        <f t="shared" si="1"/>
        <v>5326.0215053763441</v>
      </c>
      <c r="Q80" s="170">
        <f>Q81</f>
        <v>5326.0215053763441</v>
      </c>
    </row>
    <row r="81" spans="1:20" ht="35.25" x14ac:dyDescent="0.5">
      <c r="A81" s="4">
        <v>1</v>
      </c>
      <c r="B81" s="454">
        <f>SUBTOTAL(103,$A$64:A81)</f>
        <v>11</v>
      </c>
      <c r="C81" s="455" t="s">
        <v>1022</v>
      </c>
      <c r="D81" s="450">
        <v>1953</v>
      </c>
      <c r="E81" s="450"/>
      <c r="F81" s="450" t="s">
        <v>267</v>
      </c>
      <c r="G81" s="450" t="s">
        <v>303</v>
      </c>
      <c r="H81" s="450" t="s">
        <v>304</v>
      </c>
      <c r="I81" s="451">
        <v>465</v>
      </c>
      <c r="J81" s="451">
        <v>424.6</v>
      </c>
      <c r="K81" s="451">
        <f>J81-248.8</f>
        <v>175.8</v>
      </c>
      <c r="L81" s="452">
        <v>26</v>
      </c>
      <c r="M81" s="450" t="s">
        <v>266</v>
      </c>
      <c r="N81" s="450" t="s">
        <v>268</v>
      </c>
      <c r="O81" s="453">
        <v>2476600</v>
      </c>
      <c r="P81" s="453">
        <f t="shared" si="1"/>
        <v>5326.0215053763441</v>
      </c>
      <c r="Q81" s="170">
        <v>5326.0215053763441</v>
      </c>
    </row>
    <row r="82" spans="1:20" ht="35.25" x14ac:dyDescent="0.5">
      <c r="B82" s="457" t="s">
        <v>826</v>
      </c>
      <c r="C82" s="455"/>
      <c r="D82" s="450" t="s">
        <v>882</v>
      </c>
      <c r="E82" s="450" t="s">
        <v>882</v>
      </c>
      <c r="F82" s="450" t="s">
        <v>882</v>
      </c>
      <c r="G82" s="450" t="s">
        <v>882</v>
      </c>
      <c r="H82" s="450" t="s">
        <v>882</v>
      </c>
      <c r="I82" s="451">
        <f>I83</f>
        <v>1743.7</v>
      </c>
      <c r="J82" s="451">
        <f>J83</f>
        <v>1552.6</v>
      </c>
      <c r="K82" s="451">
        <f>K83</f>
        <v>1552.6</v>
      </c>
      <c r="L82" s="452">
        <f>L83</f>
        <v>65</v>
      </c>
      <c r="M82" s="450" t="s">
        <v>882</v>
      </c>
      <c r="N82" s="450" t="s">
        <v>882</v>
      </c>
      <c r="O82" s="453">
        <v>3628625</v>
      </c>
      <c r="P82" s="453">
        <f t="shared" si="1"/>
        <v>2080.9915696507428</v>
      </c>
      <c r="Q82" s="170">
        <f>Q83</f>
        <v>2668.4667660721452</v>
      </c>
    </row>
    <row r="83" spans="1:20" ht="35.25" x14ac:dyDescent="0.5">
      <c r="A83" s="4">
        <v>1</v>
      </c>
      <c r="B83" s="454">
        <f>SUBTOTAL(103,$A$64:A83)</f>
        <v>12</v>
      </c>
      <c r="C83" s="455" t="s">
        <v>1392</v>
      </c>
      <c r="D83" s="450">
        <v>1978</v>
      </c>
      <c r="E83" s="450"/>
      <c r="F83" s="450" t="s">
        <v>267</v>
      </c>
      <c r="G83" s="450" t="s">
        <v>312</v>
      </c>
      <c r="H83" s="450" t="s">
        <v>312</v>
      </c>
      <c r="I83" s="451">
        <v>1743.7</v>
      </c>
      <c r="J83" s="451">
        <v>1552.6</v>
      </c>
      <c r="K83" s="451">
        <f>J83</f>
        <v>1552.6</v>
      </c>
      <c r="L83" s="452">
        <v>65</v>
      </c>
      <c r="M83" s="450" t="s">
        <v>269</v>
      </c>
      <c r="N83" s="450" t="s">
        <v>802</v>
      </c>
      <c r="O83" s="453">
        <v>3628625</v>
      </c>
      <c r="P83" s="453">
        <f t="shared" si="1"/>
        <v>2080.9915696507428</v>
      </c>
      <c r="Q83" s="170">
        <v>2668.4667660721452</v>
      </c>
    </row>
    <row r="84" spans="1:20" ht="45.75" x14ac:dyDescent="0.4">
      <c r="B84" s="446" t="s">
        <v>1394</v>
      </c>
      <c r="C84" s="447"/>
      <c r="D84" s="447"/>
      <c r="E84" s="447"/>
      <c r="F84" s="447"/>
      <c r="G84" s="447"/>
      <c r="H84" s="447"/>
      <c r="I84" s="447"/>
      <c r="J84" s="447"/>
      <c r="K84" s="447"/>
      <c r="L84" s="447"/>
      <c r="M84" s="447"/>
      <c r="N84" s="447"/>
      <c r="O84" s="447"/>
      <c r="P84" s="447"/>
      <c r="Q84" s="448"/>
    </row>
    <row r="85" spans="1:20" ht="35.25" x14ac:dyDescent="0.5">
      <c r="B85" s="458" t="s">
        <v>1039</v>
      </c>
      <c r="C85" s="458"/>
      <c r="D85" s="459" t="s">
        <v>743</v>
      </c>
      <c r="E85" s="459" t="s">
        <v>743</v>
      </c>
      <c r="F85" s="460" t="s">
        <v>743</v>
      </c>
      <c r="G85" s="460" t="s">
        <v>743</v>
      </c>
      <c r="H85" s="460" t="s">
        <v>743</v>
      </c>
      <c r="I85" s="461">
        <f>I86+I95+I99+I116+I124+I129+I158+I174+I181+I184+I187+I189+I195+I197+I200+I203+I207+I209+I211+I213+I218+I220+I222+I224+I226+I228+I230+I233+I235+I239+I93+I237</f>
        <v>303518.68</v>
      </c>
      <c r="J85" s="461">
        <f>J86+J95+J99+J116+J124+J129+J158+J174+J181+J184+J187+J189+J195+J197+J200+J203+J207+J209+J211+J213+J218+J220+J222+J224+J226+J228+J230+J233+J235+J239+J93+J237</f>
        <v>253483.60000000003</v>
      </c>
      <c r="K85" s="461">
        <f>K86+K95+K99+K116+K124+K129+K158+K174+K181+K184+K187+K189+K195+K197+K200+K203+K207+K209+K211+K213+K218+K220+K222+K224+K226+K228+K230+K233+K235+K239+K93+K237</f>
        <v>225996.13999999993</v>
      </c>
      <c r="L85" s="462">
        <f>L86+L95+L99+L116+L124+L129+L158+L174+L181+L184+L187+L189+L195+L197+L200+L203+L207+L209+L211+L213+L218+L220+L222+L224+L226+L228+L230+L233+L235+L239+L93+L237</f>
        <v>12599</v>
      </c>
      <c r="M85" s="459" t="s">
        <v>882</v>
      </c>
      <c r="N85" s="190" t="s">
        <v>882</v>
      </c>
      <c r="O85" s="461">
        <v>53003596.220000006</v>
      </c>
      <c r="P85" s="461">
        <f t="shared" ref="P85:P148" si="2">O85/I85</f>
        <v>174.63042544860832</v>
      </c>
      <c r="Q85" s="461">
        <f>MAX(Q86:Q240)</f>
        <v>13365.003411244476</v>
      </c>
      <c r="T85" s="463"/>
    </row>
    <row r="86" spans="1:20" ht="35.25" x14ac:dyDescent="0.5">
      <c r="B86" s="458" t="s">
        <v>807</v>
      </c>
      <c r="C86" s="458"/>
      <c r="D86" s="459" t="s">
        <v>743</v>
      </c>
      <c r="E86" s="459" t="s">
        <v>743</v>
      </c>
      <c r="F86" s="460" t="s">
        <v>743</v>
      </c>
      <c r="G86" s="459" t="s">
        <v>743</v>
      </c>
      <c r="H86" s="459" t="s">
        <v>743</v>
      </c>
      <c r="I86" s="461">
        <f>SUM(I87:I92)</f>
        <v>13682.619999999999</v>
      </c>
      <c r="J86" s="461">
        <f>SUM(J87:J92)</f>
        <v>11157.02</v>
      </c>
      <c r="K86" s="461">
        <f>SUM(K87:K92)</f>
        <v>10128.199999999999</v>
      </c>
      <c r="L86" s="462">
        <f>SUM(L87:L92)</f>
        <v>744</v>
      </c>
      <c r="M86" s="459" t="s">
        <v>882</v>
      </c>
      <c r="N86" s="190" t="s">
        <v>882</v>
      </c>
      <c r="O86" s="461">
        <v>3985118.04</v>
      </c>
      <c r="P86" s="461">
        <f t="shared" si="2"/>
        <v>291.25401713999224</v>
      </c>
      <c r="Q86" s="461">
        <f>MAX(Q87:Q92)</f>
        <v>3575.8287148879731</v>
      </c>
      <c r="T86" s="463"/>
    </row>
    <row r="87" spans="1:20" ht="35.25" x14ac:dyDescent="0.5">
      <c r="A87" s="4">
        <v>1</v>
      </c>
      <c r="B87" s="464">
        <v>1</v>
      </c>
      <c r="C87" s="465" t="s">
        <v>611</v>
      </c>
      <c r="D87" s="459">
        <v>1965</v>
      </c>
      <c r="E87" s="459"/>
      <c r="F87" s="460" t="s">
        <v>267</v>
      </c>
      <c r="G87" s="459">
        <v>5</v>
      </c>
      <c r="H87" s="459">
        <v>2</v>
      </c>
      <c r="I87" s="461">
        <v>2985.38</v>
      </c>
      <c r="J87" s="461">
        <v>2398.58</v>
      </c>
      <c r="K87" s="461">
        <v>1889.27</v>
      </c>
      <c r="L87" s="462">
        <v>202</v>
      </c>
      <c r="M87" s="459" t="s">
        <v>269</v>
      </c>
      <c r="N87" s="459" t="s">
        <v>1304</v>
      </c>
      <c r="O87" s="461">
        <v>546562.15</v>
      </c>
      <c r="P87" s="461">
        <f t="shared" si="2"/>
        <v>183.07959120781945</v>
      </c>
      <c r="Q87" s="461">
        <v>1856.8017672792071</v>
      </c>
      <c r="T87" s="463"/>
    </row>
    <row r="88" spans="1:20" ht="35.25" x14ac:dyDescent="0.5">
      <c r="A88" s="4">
        <v>1</v>
      </c>
      <c r="B88" s="464">
        <v>2</v>
      </c>
      <c r="C88" s="465" t="s">
        <v>1398</v>
      </c>
      <c r="D88" s="459">
        <v>1986</v>
      </c>
      <c r="E88" s="459"/>
      <c r="F88" s="460" t="s">
        <v>267</v>
      </c>
      <c r="G88" s="459">
        <v>4</v>
      </c>
      <c r="H88" s="459">
        <v>1</v>
      </c>
      <c r="I88" s="461">
        <v>2374.1999999999998</v>
      </c>
      <c r="J88" s="461">
        <v>1689.3</v>
      </c>
      <c r="K88" s="461">
        <v>1639.4</v>
      </c>
      <c r="L88" s="462">
        <v>151</v>
      </c>
      <c r="M88" s="459" t="s">
        <v>269</v>
      </c>
      <c r="N88" s="190" t="s">
        <v>1491</v>
      </c>
      <c r="O88" s="461">
        <v>491248.27</v>
      </c>
      <c r="P88" s="461">
        <f t="shared" si="2"/>
        <v>206.91107320360544</v>
      </c>
      <c r="Q88" s="461">
        <v>2471.0182587819054</v>
      </c>
      <c r="T88" s="463"/>
    </row>
    <row r="89" spans="1:20" ht="35.25" x14ac:dyDescent="0.5">
      <c r="A89" s="4">
        <v>1</v>
      </c>
      <c r="B89" s="464">
        <v>3</v>
      </c>
      <c r="C89" s="465" t="s">
        <v>1399</v>
      </c>
      <c r="D89" s="459">
        <v>1969</v>
      </c>
      <c r="E89" s="459"/>
      <c r="F89" s="460" t="s">
        <v>267</v>
      </c>
      <c r="G89" s="459">
        <v>5</v>
      </c>
      <c r="H89" s="459">
        <v>4</v>
      </c>
      <c r="I89" s="461">
        <v>2953.64</v>
      </c>
      <c r="J89" s="461">
        <v>2684.14</v>
      </c>
      <c r="K89" s="461">
        <v>2616.34</v>
      </c>
      <c r="L89" s="462">
        <v>107</v>
      </c>
      <c r="M89" s="459" t="s">
        <v>269</v>
      </c>
      <c r="N89" s="190" t="s">
        <v>1069</v>
      </c>
      <c r="O89" s="461">
        <v>1439722.57</v>
      </c>
      <c r="P89" s="461">
        <f t="shared" si="2"/>
        <v>487.44009764223131</v>
      </c>
      <c r="Q89" s="461">
        <v>1786.8611950000679</v>
      </c>
      <c r="T89" s="463"/>
    </row>
    <row r="90" spans="1:20" ht="35.25" x14ac:dyDescent="0.5">
      <c r="A90" s="4">
        <v>1</v>
      </c>
      <c r="B90" s="464">
        <v>4</v>
      </c>
      <c r="C90" s="465" t="s">
        <v>1400</v>
      </c>
      <c r="D90" s="459">
        <v>1928</v>
      </c>
      <c r="E90" s="459"/>
      <c r="F90" s="460" t="s">
        <v>267</v>
      </c>
      <c r="G90" s="459">
        <v>3</v>
      </c>
      <c r="H90" s="459">
        <v>2</v>
      </c>
      <c r="I90" s="461">
        <v>884.1</v>
      </c>
      <c r="J90" s="461">
        <v>763.7</v>
      </c>
      <c r="K90" s="461">
        <v>441.4</v>
      </c>
      <c r="L90" s="462">
        <v>48</v>
      </c>
      <c r="M90" s="459" t="s">
        <v>269</v>
      </c>
      <c r="N90" s="459" t="s">
        <v>1492</v>
      </c>
      <c r="O90" s="461">
        <v>361347.58</v>
      </c>
      <c r="P90" s="461">
        <f t="shared" si="2"/>
        <v>408.71799570184368</v>
      </c>
      <c r="Q90" s="461">
        <v>712.1</v>
      </c>
      <c r="T90" s="463"/>
    </row>
    <row r="91" spans="1:20" ht="35.25" x14ac:dyDescent="0.5">
      <c r="A91" s="4">
        <v>1</v>
      </c>
      <c r="B91" s="464">
        <v>5</v>
      </c>
      <c r="C91" s="465" t="s">
        <v>1401</v>
      </c>
      <c r="D91" s="459">
        <v>1958</v>
      </c>
      <c r="E91" s="459"/>
      <c r="F91" s="460" t="s">
        <v>267</v>
      </c>
      <c r="G91" s="459">
        <v>3</v>
      </c>
      <c r="H91" s="459">
        <v>3</v>
      </c>
      <c r="I91" s="461">
        <v>2111.1</v>
      </c>
      <c r="J91" s="461">
        <v>1932</v>
      </c>
      <c r="K91" s="461">
        <v>1902.39</v>
      </c>
      <c r="L91" s="462">
        <v>85</v>
      </c>
      <c r="M91" s="459" t="s">
        <v>266</v>
      </c>
      <c r="N91" s="459" t="s">
        <v>268</v>
      </c>
      <c r="O91" s="461">
        <v>179920.82</v>
      </c>
      <c r="P91" s="461">
        <f t="shared" si="2"/>
        <v>85.226100137369144</v>
      </c>
      <c r="Q91" s="461">
        <v>3575.8287148879731</v>
      </c>
      <c r="T91" s="463"/>
    </row>
    <row r="92" spans="1:20" ht="35.25" x14ac:dyDescent="0.5">
      <c r="A92" s="4">
        <v>1</v>
      </c>
      <c r="B92" s="464">
        <v>6</v>
      </c>
      <c r="C92" s="465" t="s">
        <v>1402</v>
      </c>
      <c r="D92" s="459">
        <v>1986</v>
      </c>
      <c r="E92" s="459"/>
      <c r="F92" s="460" t="s">
        <v>267</v>
      </c>
      <c r="G92" s="459">
        <v>4</v>
      </c>
      <c r="H92" s="459">
        <v>1</v>
      </c>
      <c r="I92" s="461">
        <v>2374.1999999999998</v>
      </c>
      <c r="J92" s="461">
        <v>1689.3</v>
      </c>
      <c r="K92" s="461">
        <v>1639.4</v>
      </c>
      <c r="L92" s="462">
        <v>151</v>
      </c>
      <c r="M92" s="459" t="s">
        <v>269</v>
      </c>
      <c r="N92" s="459" t="s">
        <v>1491</v>
      </c>
      <c r="O92" s="461">
        <v>966316.65</v>
      </c>
      <c r="P92" s="461">
        <f t="shared" si="2"/>
        <v>407.00726560525652</v>
      </c>
      <c r="Q92" s="461">
        <v>3015.1082469884595</v>
      </c>
      <c r="T92" s="463"/>
    </row>
    <row r="93" spans="1:20" ht="35.25" x14ac:dyDescent="0.5">
      <c r="B93" s="458" t="s">
        <v>808</v>
      </c>
      <c r="C93" s="458"/>
      <c r="D93" s="459" t="s">
        <v>743</v>
      </c>
      <c r="E93" s="459" t="s">
        <v>743</v>
      </c>
      <c r="F93" s="460" t="s">
        <v>743</v>
      </c>
      <c r="G93" s="459" t="s">
        <v>743</v>
      </c>
      <c r="H93" s="459" t="s">
        <v>743</v>
      </c>
      <c r="I93" s="461">
        <f>I94</f>
        <v>4101.7</v>
      </c>
      <c r="J93" s="461">
        <f>J94</f>
        <v>2751.3</v>
      </c>
      <c r="K93" s="461">
        <f>K94</f>
        <v>2562.4</v>
      </c>
      <c r="L93" s="462">
        <f>L94</f>
        <v>111</v>
      </c>
      <c r="M93" s="459" t="s">
        <v>882</v>
      </c>
      <c r="N93" s="190" t="s">
        <v>882</v>
      </c>
      <c r="O93" s="461">
        <v>418959.01</v>
      </c>
      <c r="P93" s="461">
        <f t="shared" si="2"/>
        <v>102.14277250895971</v>
      </c>
      <c r="Q93" s="461">
        <f>Q94</f>
        <v>1300.5245849282007</v>
      </c>
      <c r="T93" s="463"/>
    </row>
    <row r="94" spans="1:20" ht="35.25" x14ac:dyDescent="0.5">
      <c r="A94" s="4">
        <v>1</v>
      </c>
      <c r="B94" s="464">
        <v>7</v>
      </c>
      <c r="C94" s="465" t="s">
        <v>1912</v>
      </c>
      <c r="D94" s="459">
        <v>1980</v>
      </c>
      <c r="E94" s="459"/>
      <c r="F94" s="460" t="s">
        <v>267</v>
      </c>
      <c r="G94" s="459">
        <v>5</v>
      </c>
      <c r="H94" s="459">
        <v>4</v>
      </c>
      <c r="I94" s="461">
        <v>4101.7</v>
      </c>
      <c r="J94" s="461">
        <v>2751.3</v>
      </c>
      <c r="K94" s="461">
        <f>J94-188.9</f>
        <v>2562.4</v>
      </c>
      <c r="L94" s="462">
        <v>111</v>
      </c>
      <c r="M94" s="459" t="s">
        <v>269</v>
      </c>
      <c r="N94" s="459" t="s">
        <v>701</v>
      </c>
      <c r="O94" s="461">
        <v>418959.01</v>
      </c>
      <c r="P94" s="461">
        <f t="shared" si="2"/>
        <v>102.14277250895971</v>
      </c>
      <c r="Q94" s="461">
        <v>1300.5245849282007</v>
      </c>
      <c r="T94" s="463"/>
    </row>
    <row r="95" spans="1:20" ht="35.25" x14ac:dyDescent="0.5">
      <c r="B95" s="458" t="s">
        <v>811</v>
      </c>
      <c r="C95" s="465"/>
      <c r="D95" s="459" t="s">
        <v>743</v>
      </c>
      <c r="E95" s="459" t="s">
        <v>743</v>
      </c>
      <c r="F95" s="459" t="s">
        <v>743</v>
      </c>
      <c r="G95" s="459" t="s">
        <v>743</v>
      </c>
      <c r="H95" s="459" t="s">
        <v>743</v>
      </c>
      <c r="I95" s="461">
        <f>I96+I97+I98</f>
        <v>2327.5</v>
      </c>
      <c r="J95" s="461">
        <f>J96+J97+J98</f>
        <v>2088.7999999999997</v>
      </c>
      <c r="K95" s="461">
        <f>K96+K97+K98</f>
        <v>1990.8000000000002</v>
      </c>
      <c r="L95" s="462">
        <f>L96+L97+L98</f>
        <v>106</v>
      </c>
      <c r="M95" s="459" t="s">
        <v>882</v>
      </c>
      <c r="N95" s="190" t="s">
        <v>882</v>
      </c>
      <c r="O95" s="461">
        <v>34858.28</v>
      </c>
      <c r="P95" s="461">
        <f t="shared" si="2"/>
        <v>14.976704618689581</v>
      </c>
      <c r="Q95" s="461">
        <f>MAX(Q96:Q98)</f>
        <v>6691.6217678893554</v>
      </c>
      <c r="T95" s="463"/>
    </row>
    <row r="96" spans="1:20" ht="35.25" x14ac:dyDescent="0.5">
      <c r="A96" s="4">
        <v>1</v>
      </c>
      <c r="B96" s="464">
        <v>8</v>
      </c>
      <c r="C96" s="465" t="s">
        <v>1403</v>
      </c>
      <c r="D96" s="459">
        <v>1979</v>
      </c>
      <c r="E96" s="459"/>
      <c r="F96" s="460" t="s">
        <v>267</v>
      </c>
      <c r="G96" s="459">
        <v>2</v>
      </c>
      <c r="H96" s="459">
        <v>3</v>
      </c>
      <c r="I96" s="461">
        <v>1053.2</v>
      </c>
      <c r="J96" s="461">
        <v>928.3</v>
      </c>
      <c r="K96" s="461">
        <v>866</v>
      </c>
      <c r="L96" s="462">
        <v>38</v>
      </c>
      <c r="M96" s="459" t="s">
        <v>266</v>
      </c>
      <c r="N96" s="190" t="s">
        <v>268</v>
      </c>
      <c r="O96" s="461">
        <v>11221.62</v>
      </c>
      <c r="P96" s="461">
        <f t="shared" si="2"/>
        <v>10.654785415875427</v>
      </c>
      <c r="Q96" s="461">
        <v>5709.3759969616403</v>
      </c>
      <c r="T96" s="463"/>
    </row>
    <row r="97" spans="1:20" ht="35.25" x14ac:dyDescent="0.5">
      <c r="A97" s="4">
        <v>1</v>
      </c>
      <c r="B97" s="464">
        <v>9</v>
      </c>
      <c r="C97" s="465" t="s">
        <v>1404</v>
      </c>
      <c r="D97" s="459">
        <v>1980</v>
      </c>
      <c r="E97" s="459"/>
      <c r="F97" s="460" t="s">
        <v>267</v>
      </c>
      <c r="G97" s="459">
        <v>2</v>
      </c>
      <c r="H97" s="459">
        <v>3</v>
      </c>
      <c r="I97" s="461">
        <v>941.7</v>
      </c>
      <c r="J97" s="461">
        <v>856.9</v>
      </c>
      <c r="K97" s="461">
        <v>856.9</v>
      </c>
      <c r="L97" s="462">
        <v>53</v>
      </c>
      <c r="M97" s="459" t="s">
        <v>266</v>
      </c>
      <c r="N97" s="190" t="s">
        <v>268</v>
      </c>
      <c r="O97" s="461">
        <v>19576.66</v>
      </c>
      <c r="P97" s="461">
        <f t="shared" si="2"/>
        <v>20.78863757035149</v>
      </c>
      <c r="Q97" s="461">
        <v>5155.2980779441432</v>
      </c>
      <c r="T97" s="463"/>
    </row>
    <row r="98" spans="1:20" ht="35.25" x14ac:dyDescent="0.5">
      <c r="B98" s="464">
        <v>10</v>
      </c>
      <c r="C98" s="465" t="s">
        <v>1868</v>
      </c>
      <c r="D98" s="459">
        <v>1962</v>
      </c>
      <c r="E98" s="459"/>
      <c r="F98" s="460" t="s">
        <v>267</v>
      </c>
      <c r="G98" s="459">
        <v>2</v>
      </c>
      <c r="H98" s="459">
        <v>1</v>
      </c>
      <c r="I98" s="461">
        <v>332.6</v>
      </c>
      <c r="J98" s="461">
        <v>303.60000000000002</v>
      </c>
      <c r="K98" s="461">
        <v>267.89999999999998</v>
      </c>
      <c r="L98" s="462">
        <v>15</v>
      </c>
      <c r="M98" s="459" t="s">
        <v>266</v>
      </c>
      <c r="N98" s="190" t="s">
        <v>268</v>
      </c>
      <c r="O98" s="461">
        <v>4060</v>
      </c>
      <c r="P98" s="461">
        <f t="shared" si="2"/>
        <v>12.206855081178592</v>
      </c>
      <c r="Q98" s="461">
        <v>6691.6217678893554</v>
      </c>
      <c r="T98" s="463"/>
    </row>
    <row r="99" spans="1:20" ht="35.25" x14ac:dyDescent="0.5">
      <c r="B99" s="458" t="s">
        <v>1035</v>
      </c>
      <c r="C99" s="465"/>
      <c r="D99" s="459" t="s">
        <v>743</v>
      </c>
      <c r="E99" s="459" t="s">
        <v>743</v>
      </c>
      <c r="F99" s="460" t="s">
        <v>743</v>
      </c>
      <c r="G99" s="459" t="s">
        <v>743</v>
      </c>
      <c r="H99" s="459" t="s">
        <v>743</v>
      </c>
      <c r="I99" s="461">
        <f>SUM(I100:I115)</f>
        <v>28928.739999999998</v>
      </c>
      <c r="J99" s="461">
        <f>SUM(J100:J115)</f>
        <v>24894.54</v>
      </c>
      <c r="K99" s="461">
        <f>SUM(K100:K115)</f>
        <v>22312.100000000002</v>
      </c>
      <c r="L99" s="462">
        <f>SUM(L100:L115)</f>
        <v>1177</v>
      </c>
      <c r="M99" s="459" t="s">
        <v>882</v>
      </c>
      <c r="N99" s="190" t="s">
        <v>882</v>
      </c>
      <c r="O99" s="461">
        <v>1921865.3299999994</v>
      </c>
      <c r="P99" s="461">
        <f t="shared" si="2"/>
        <v>66.434463789297411</v>
      </c>
      <c r="Q99" s="461">
        <f>MAX(Q100:Q115)</f>
        <v>13365.003411244476</v>
      </c>
      <c r="T99" s="463"/>
    </row>
    <row r="100" spans="1:20" ht="35.25" x14ac:dyDescent="0.5">
      <c r="A100" s="4">
        <v>1</v>
      </c>
      <c r="B100" s="464">
        <v>11</v>
      </c>
      <c r="C100" s="465" t="s">
        <v>1405</v>
      </c>
      <c r="D100" s="459">
        <v>1966</v>
      </c>
      <c r="E100" s="459"/>
      <c r="F100" s="460" t="s">
        <v>267</v>
      </c>
      <c r="G100" s="459">
        <v>5</v>
      </c>
      <c r="H100" s="459">
        <v>4</v>
      </c>
      <c r="I100" s="461">
        <v>4070</v>
      </c>
      <c r="J100" s="461">
        <v>3151.1</v>
      </c>
      <c r="K100" s="461">
        <v>2925.4</v>
      </c>
      <c r="L100" s="462">
        <v>137</v>
      </c>
      <c r="M100" s="459" t="s">
        <v>269</v>
      </c>
      <c r="N100" s="190" t="s">
        <v>1494</v>
      </c>
      <c r="O100" s="461">
        <v>9167.9599999999991</v>
      </c>
      <c r="P100" s="461">
        <f t="shared" si="2"/>
        <v>2.2525700245700242</v>
      </c>
      <c r="Q100" s="461">
        <v>1790.8167076167076</v>
      </c>
      <c r="T100" s="463"/>
    </row>
    <row r="101" spans="1:20" ht="35.25" x14ac:dyDescent="0.5">
      <c r="A101" s="4">
        <v>1</v>
      </c>
      <c r="B101" s="464">
        <v>12</v>
      </c>
      <c r="C101" s="465" t="s">
        <v>1406</v>
      </c>
      <c r="D101" s="459">
        <v>1960</v>
      </c>
      <c r="E101" s="459">
        <v>2006</v>
      </c>
      <c r="F101" s="460" t="s">
        <v>267</v>
      </c>
      <c r="G101" s="459">
        <v>2</v>
      </c>
      <c r="H101" s="459">
        <v>3</v>
      </c>
      <c r="I101" s="461">
        <v>1011.9</v>
      </c>
      <c r="J101" s="461">
        <v>804.7</v>
      </c>
      <c r="K101" s="461">
        <v>655.4</v>
      </c>
      <c r="L101" s="462">
        <v>42</v>
      </c>
      <c r="M101" s="459" t="s">
        <v>269</v>
      </c>
      <c r="N101" s="190" t="s">
        <v>1495</v>
      </c>
      <c r="O101" s="461">
        <v>208365.3</v>
      </c>
      <c r="P101" s="461">
        <f t="shared" si="2"/>
        <v>205.9149125407649</v>
      </c>
      <c r="Q101" s="461">
        <v>4682.6628362486417</v>
      </c>
      <c r="T101" s="463"/>
    </row>
    <row r="102" spans="1:20" ht="35.25" x14ac:dyDescent="0.5">
      <c r="A102" s="4">
        <v>1</v>
      </c>
      <c r="B102" s="464">
        <v>13</v>
      </c>
      <c r="C102" s="465" t="s">
        <v>1407</v>
      </c>
      <c r="D102" s="459">
        <v>1951</v>
      </c>
      <c r="E102" s="459"/>
      <c r="F102" s="460" t="s">
        <v>267</v>
      </c>
      <c r="G102" s="459">
        <v>2</v>
      </c>
      <c r="H102" s="459">
        <v>2</v>
      </c>
      <c r="I102" s="461">
        <v>695</v>
      </c>
      <c r="J102" s="461">
        <v>626.9</v>
      </c>
      <c r="K102" s="461">
        <v>626.9</v>
      </c>
      <c r="L102" s="462">
        <v>33</v>
      </c>
      <c r="M102" s="459" t="s">
        <v>269</v>
      </c>
      <c r="N102" s="190" t="s">
        <v>980</v>
      </c>
      <c r="O102" s="461">
        <v>170151.06</v>
      </c>
      <c r="P102" s="461">
        <f t="shared" si="2"/>
        <v>244.82166906474819</v>
      </c>
      <c r="Q102" s="461">
        <v>7069.5158273381294</v>
      </c>
      <c r="T102" s="463"/>
    </row>
    <row r="103" spans="1:20" ht="35.25" x14ac:dyDescent="0.5">
      <c r="A103" s="4">
        <v>1</v>
      </c>
      <c r="B103" s="464">
        <v>14</v>
      </c>
      <c r="C103" s="465" t="s">
        <v>1408</v>
      </c>
      <c r="D103" s="459">
        <v>1953</v>
      </c>
      <c r="E103" s="459">
        <v>2006</v>
      </c>
      <c r="F103" s="460" t="s">
        <v>267</v>
      </c>
      <c r="G103" s="459">
        <v>2</v>
      </c>
      <c r="H103" s="459">
        <v>1</v>
      </c>
      <c r="I103" s="461">
        <v>537.54</v>
      </c>
      <c r="J103" s="461">
        <v>501.3</v>
      </c>
      <c r="K103" s="461">
        <v>310.2</v>
      </c>
      <c r="L103" s="462">
        <v>37</v>
      </c>
      <c r="M103" s="459" t="s">
        <v>269</v>
      </c>
      <c r="N103" s="190" t="s">
        <v>1493</v>
      </c>
      <c r="O103" s="461">
        <v>39070.28</v>
      </c>
      <c r="P103" s="461">
        <f t="shared" si="2"/>
        <v>72.68348401979388</v>
      </c>
      <c r="Q103" s="461">
        <v>6016.9046024481904</v>
      </c>
      <c r="T103" s="463"/>
    </row>
    <row r="104" spans="1:20" ht="35.25" x14ac:dyDescent="0.5">
      <c r="A104" s="4">
        <v>1</v>
      </c>
      <c r="B104" s="464">
        <v>15</v>
      </c>
      <c r="C104" s="465" t="s">
        <v>1409</v>
      </c>
      <c r="D104" s="459">
        <v>1958</v>
      </c>
      <c r="E104" s="459">
        <v>2007</v>
      </c>
      <c r="F104" s="460" t="s">
        <v>267</v>
      </c>
      <c r="G104" s="459">
        <v>2</v>
      </c>
      <c r="H104" s="459">
        <v>2</v>
      </c>
      <c r="I104" s="461">
        <v>854.8</v>
      </c>
      <c r="J104" s="461">
        <v>789.8</v>
      </c>
      <c r="K104" s="461">
        <v>434.07</v>
      </c>
      <c r="L104" s="462">
        <v>42</v>
      </c>
      <c r="M104" s="459" t="s">
        <v>269</v>
      </c>
      <c r="N104" s="190" t="s">
        <v>1495</v>
      </c>
      <c r="O104" s="461">
        <v>35421.97</v>
      </c>
      <c r="P104" s="461">
        <f t="shared" si="2"/>
        <v>41.438897987833414</v>
      </c>
      <c r="Q104" s="461">
        <v>4841.9480580252693</v>
      </c>
      <c r="T104" s="463"/>
    </row>
    <row r="105" spans="1:20" ht="35.25" x14ac:dyDescent="0.5">
      <c r="A105" s="4">
        <v>1</v>
      </c>
      <c r="B105" s="464">
        <v>16</v>
      </c>
      <c r="C105" s="465" t="s">
        <v>1410</v>
      </c>
      <c r="D105" s="459">
        <v>1940</v>
      </c>
      <c r="E105" s="459"/>
      <c r="F105" s="460" t="s">
        <v>267</v>
      </c>
      <c r="G105" s="459">
        <v>3</v>
      </c>
      <c r="H105" s="459">
        <v>2</v>
      </c>
      <c r="I105" s="461">
        <v>1189.4000000000001</v>
      </c>
      <c r="J105" s="461">
        <v>1119.5999999999999</v>
      </c>
      <c r="K105" s="461">
        <v>1021.2</v>
      </c>
      <c r="L105" s="462">
        <v>46</v>
      </c>
      <c r="M105" s="459" t="s">
        <v>269</v>
      </c>
      <c r="N105" s="190" t="s">
        <v>349</v>
      </c>
      <c r="O105" s="461">
        <v>381944.5</v>
      </c>
      <c r="P105" s="461">
        <f t="shared" si="2"/>
        <v>321.12367580292585</v>
      </c>
      <c r="Q105" s="461">
        <v>3529.0621321674789</v>
      </c>
      <c r="T105" s="463"/>
    </row>
    <row r="106" spans="1:20" ht="35.25" x14ac:dyDescent="0.5">
      <c r="A106" s="4">
        <v>1</v>
      </c>
      <c r="B106" s="464">
        <v>17</v>
      </c>
      <c r="C106" s="465" t="s">
        <v>1411</v>
      </c>
      <c r="D106" s="459">
        <v>1961</v>
      </c>
      <c r="E106" s="459"/>
      <c r="F106" s="460" t="s">
        <v>267</v>
      </c>
      <c r="G106" s="459">
        <v>4</v>
      </c>
      <c r="H106" s="459">
        <v>3</v>
      </c>
      <c r="I106" s="461">
        <v>2136.1</v>
      </c>
      <c r="J106" s="461">
        <v>1990.2</v>
      </c>
      <c r="K106" s="461">
        <v>1946.2</v>
      </c>
      <c r="L106" s="462">
        <v>89</v>
      </c>
      <c r="M106" s="459" t="s">
        <v>269</v>
      </c>
      <c r="N106" s="190" t="s">
        <v>980</v>
      </c>
      <c r="O106" s="461">
        <v>7571.98</v>
      </c>
      <c r="P106" s="461">
        <f t="shared" si="2"/>
        <v>3.5447685033472216</v>
      </c>
      <c r="Q106" s="461">
        <v>2107.6222728336688</v>
      </c>
      <c r="T106" s="463"/>
    </row>
    <row r="107" spans="1:20" ht="35.25" x14ac:dyDescent="0.5">
      <c r="A107" s="4">
        <v>1</v>
      </c>
      <c r="B107" s="464">
        <v>18</v>
      </c>
      <c r="C107" s="465" t="s">
        <v>1412</v>
      </c>
      <c r="D107" s="459">
        <v>1935</v>
      </c>
      <c r="E107" s="459"/>
      <c r="F107" s="460" t="s">
        <v>267</v>
      </c>
      <c r="G107" s="459">
        <v>2</v>
      </c>
      <c r="H107" s="459">
        <v>2</v>
      </c>
      <c r="I107" s="461">
        <v>474.9</v>
      </c>
      <c r="J107" s="461">
        <v>427.5</v>
      </c>
      <c r="K107" s="461">
        <v>427.5</v>
      </c>
      <c r="L107" s="462">
        <v>15</v>
      </c>
      <c r="M107" s="459" t="s">
        <v>269</v>
      </c>
      <c r="N107" s="190" t="s">
        <v>349</v>
      </c>
      <c r="O107" s="461">
        <v>433416.75</v>
      </c>
      <c r="P107" s="461">
        <f t="shared" si="2"/>
        <v>912.64845230574861</v>
      </c>
      <c r="Q107" s="461">
        <v>13365.003411244476</v>
      </c>
      <c r="T107" s="463"/>
    </row>
    <row r="108" spans="1:20" ht="35.25" x14ac:dyDescent="0.5">
      <c r="A108" s="4">
        <v>1</v>
      </c>
      <c r="B108" s="464">
        <v>19</v>
      </c>
      <c r="C108" s="465" t="s">
        <v>1108</v>
      </c>
      <c r="D108" s="459">
        <v>1991</v>
      </c>
      <c r="E108" s="459">
        <v>2010</v>
      </c>
      <c r="F108" s="460" t="s">
        <v>1309</v>
      </c>
      <c r="G108" s="459">
        <v>13</v>
      </c>
      <c r="H108" s="459">
        <v>1</v>
      </c>
      <c r="I108" s="461">
        <v>4135.3</v>
      </c>
      <c r="J108" s="461">
        <v>3928.9</v>
      </c>
      <c r="K108" s="461">
        <v>3680.79</v>
      </c>
      <c r="L108" s="462">
        <v>225</v>
      </c>
      <c r="M108" s="190" t="s">
        <v>269</v>
      </c>
      <c r="N108" s="466" t="s">
        <v>348</v>
      </c>
      <c r="O108" s="461">
        <v>167825.19</v>
      </c>
      <c r="P108" s="461">
        <f t="shared" si="2"/>
        <v>40.583558629361832</v>
      </c>
      <c r="Q108" s="461">
        <v>635.77268880129611</v>
      </c>
      <c r="T108" s="463"/>
    </row>
    <row r="109" spans="1:20" ht="35.25" x14ac:dyDescent="0.5">
      <c r="A109" s="4">
        <v>1</v>
      </c>
      <c r="B109" s="464">
        <v>20</v>
      </c>
      <c r="C109" s="465" t="s">
        <v>1413</v>
      </c>
      <c r="D109" s="459">
        <v>1959</v>
      </c>
      <c r="E109" s="459"/>
      <c r="F109" s="460" t="s">
        <v>267</v>
      </c>
      <c r="G109" s="459">
        <v>4</v>
      </c>
      <c r="H109" s="459">
        <v>3</v>
      </c>
      <c r="I109" s="461">
        <v>3123</v>
      </c>
      <c r="J109" s="461">
        <v>2505.0300000000002</v>
      </c>
      <c r="K109" s="461">
        <v>2369.63</v>
      </c>
      <c r="L109" s="462">
        <v>89</v>
      </c>
      <c r="M109" s="466" t="s">
        <v>269</v>
      </c>
      <c r="N109" s="466" t="s">
        <v>1308</v>
      </c>
      <c r="O109" s="461">
        <v>11003.900000000001</v>
      </c>
      <c r="P109" s="461">
        <f t="shared" si="2"/>
        <v>3.5235030419468463</v>
      </c>
      <c r="Q109" s="461">
        <v>2408.8700608389372</v>
      </c>
      <c r="T109" s="463"/>
    </row>
    <row r="110" spans="1:20" ht="35.25" x14ac:dyDescent="0.5">
      <c r="A110" s="4">
        <v>1</v>
      </c>
      <c r="B110" s="464">
        <v>21</v>
      </c>
      <c r="C110" s="465" t="s">
        <v>1480</v>
      </c>
      <c r="D110" s="459">
        <v>1953</v>
      </c>
      <c r="E110" s="459">
        <v>2008</v>
      </c>
      <c r="F110" s="460" t="s">
        <v>267</v>
      </c>
      <c r="G110" s="459">
        <v>2</v>
      </c>
      <c r="H110" s="459">
        <v>1</v>
      </c>
      <c r="I110" s="461">
        <v>520.79999999999995</v>
      </c>
      <c r="J110" s="461">
        <v>480.7</v>
      </c>
      <c r="K110" s="461">
        <v>406.6</v>
      </c>
      <c r="L110" s="462">
        <v>27</v>
      </c>
      <c r="M110" s="466" t="s">
        <v>269</v>
      </c>
      <c r="N110" s="466" t="s">
        <v>348</v>
      </c>
      <c r="O110" s="461">
        <v>111509.89</v>
      </c>
      <c r="P110" s="461">
        <f t="shared" si="2"/>
        <v>214.11269201228882</v>
      </c>
      <c r="Q110" s="461">
        <v>9325.2146313364065</v>
      </c>
      <c r="T110" s="463"/>
    </row>
    <row r="111" spans="1:20" ht="35.25" x14ac:dyDescent="0.5">
      <c r="A111" s="4">
        <v>1</v>
      </c>
      <c r="B111" s="464">
        <v>22</v>
      </c>
      <c r="C111" s="465" t="s">
        <v>1481</v>
      </c>
      <c r="D111" s="459">
        <v>1936</v>
      </c>
      <c r="E111" s="459">
        <v>2008</v>
      </c>
      <c r="F111" s="460" t="s">
        <v>267</v>
      </c>
      <c r="G111" s="459">
        <v>3</v>
      </c>
      <c r="H111" s="459">
        <v>4</v>
      </c>
      <c r="I111" s="461">
        <v>1637.8</v>
      </c>
      <c r="J111" s="461">
        <v>1246.5999999999999</v>
      </c>
      <c r="K111" s="461">
        <v>1142.8</v>
      </c>
      <c r="L111" s="462">
        <v>53</v>
      </c>
      <c r="M111" s="466" t="s">
        <v>269</v>
      </c>
      <c r="N111" s="466" t="s">
        <v>349</v>
      </c>
      <c r="O111" s="461">
        <v>155632.46</v>
      </c>
      <c r="P111" s="461">
        <f t="shared" si="2"/>
        <v>95.025314446208327</v>
      </c>
      <c r="Q111" s="461">
        <v>2473.9829350348027</v>
      </c>
      <c r="T111" s="463"/>
    </row>
    <row r="112" spans="1:20" ht="35.25" x14ac:dyDescent="0.5">
      <c r="A112" s="4">
        <v>1</v>
      </c>
      <c r="B112" s="464">
        <v>23</v>
      </c>
      <c r="C112" s="465" t="s">
        <v>1482</v>
      </c>
      <c r="D112" s="459">
        <v>1950</v>
      </c>
      <c r="E112" s="459"/>
      <c r="F112" s="460" t="s">
        <v>267</v>
      </c>
      <c r="G112" s="459">
        <v>2</v>
      </c>
      <c r="H112" s="459">
        <v>1</v>
      </c>
      <c r="I112" s="461">
        <v>459.9</v>
      </c>
      <c r="J112" s="461">
        <v>417.6</v>
      </c>
      <c r="K112" s="461">
        <v>417.6</v>
      </c>
      <c r="L112" s="462">
        <v>24</v>
      </c>
      <c r="M112" s="466" t="s">
        <v>269</v>
      </c>
      <c r="N112" s="466" t="s">
        <v>980</v>
      </c>
      <c r="O112" s="461">
        <v>7503.39</v>
      </c>
      <c r="P112" s="461">
        <f t="shared" si="2"/>
        <v>16.31526418786693</v>
      </c>
      <c r="Q112" s="461">
        <v>7782.6375298978046</v>
      </c>
      <c r="T112" s="463"/>
    </row>
    <row r="113" spans="1:20" ht="35.25" x14ac:dyDescent="0.5">
      <c r="A113" s="4">
        <v>1</v>
      </c>
      <c r="B113" s="464">
        <v>24</v>
      </c>
      <c r="C113" s="465" t="s">
        <v>1483</v>
      </c>
      <c r="D113" s="459">
        <v>1961</v>
      </c>
      <c r="E113" s="459"/>
      <c r="F113" s="460" t="s">
        <v>267</v>
      </c>
      <c r="G113" s="459">
        <v>4</v>
      </c>
      <c r="H113" s="459">
        <v>2</v>
      </c>
      <c r="I113" s="461">
        <v>2794.3</v>
      </c>
      <c r="J113" s="461">
        <v>1973.11</v>
      </c>
      <c r="K113" s="461">
        <v>1887.11</v>
      </c>
      <c r="L113" s="462">
        <v>86</v>
      </c>
      <c r="M113" s="466" t="s">
        <v>269</v>
      </c>
      <c r="N113" s="466" t="s">
        <v>1553</v>
      </c>
      <c r="O113" s="461">
        <v>48190.02</v>
      </c>
      <c r="P113" s="461">
        <f t="shared" si="2"/>
        <v>17.245829009054145</v>
      </c>
      <c r="Q113" s="461">
        <v>1879.4381061446513</v>
      </c>
      <c r="T113" s="463"/>
    </row>
    <row r="114" spans="1:20" ht="35.25" x14ac:dyDescent="0.5">
      <c r="A114" s="4">
        <v>1</v>
      </c>
      <c r="B114" s="464">
        <v>25</v>
      </c>
      <c r="C114" s="465" t="s">
        <v>1588</v>
      </c>
      <c r="D114" s="459">
        <v>1952</v>
      </c>
      <c r="E114" s="459"/>
      <c r="F114" s="460" t="s">
        <v>336</v>
      </c>
      <c r="G114" s="459">
        <v>2</v>
      </c>
      <c r="H114" s="459">
        <v>3</v>
      </c>
      <c r="I114" s="461">
        <v>1380</v>
      </c>
      <c r="J114" s="461">
        <v>1114.5</v>
      </c>
      <c r="K114" s="461">
        <v>895.5</v>
      </c>
      <c r="L114" s="462">
        <v>35</v>
      </c>
      <c r="M114" s="466" t="s">
        <v>269</v>
      </c>
      <c r="N114" s="466" t="s">
        <v>1587</v>
      </c>
      <c r="O114" s="461">
        <v>91476.549999999988</v>
      </c>
      <c r="P114" s="461">
        <f t="shared" si="2"/>
        <v>66.287355072463754</v>
      </c>
      <c r="Q114" s="461">
        <v>4993.9523913043477</v>
      </c>
      <c r="T114" s="463"/>
    </row>
    <row r="115" spans="1:20" ht="35.25" x14ac:dyDescent="0.5">
      <c r="B115" s="464">
        <v>26</v>
      </c>
      <c r="C115" s="465" t="s">
        <v>1870</v>
      </c>
      <c r="D115" s="459" t="s">
        <v>373</v>
      </c>
      <c r="E115" s="459"/>
      <c r="F115" s="460" t="s">
        <v>311</v>
      </c>
      <c r="G115" s="459">
        <v>5</v>
      </c>
      <c r="H115" s="459">
        <v>4</v>
      </c>
      <c r="I115" s="461">
        <v>3908</v>
      </c>
      <c r="J115" s="461">
        <v>3817</v>
      </c>
      <c r="K115" s="461">
        <v>3165.2</v>
      </c>
      <c r="L115" s="462">
        <v>197</v>
      </c>
      <c r="M115" s="466" t="s">
        <v>269</v>
      </c>
      <c r="N115" s="190" t="s">
        <v>1678</v>
      </c>
      <c r="O115" s="461">
        <v>43614.13</v>
      </c>
      <c r="P115" s="461">
        <f t="shared" si="2"/>
        <v>11.160217502558853</v>
      </c>
      <c r="Q115" s="461">
        <v>1586.9595957011259</v>
      </c>
      <c r="T115" s="463"/>
    </row>
    <row r="116" spans="1:20" ht="35.25" x14ac:dyDescent="0.5">
      <c r="B116" s="458" t="s">
        <v>815</v>
      </c>
      <c r="C116" s="465"/>
      <c r="D116" s="459" t="s">
        <v>743</v>
      </c>
      <c r="E116" s="459" t="s">
        <v>743</v>
      </c>
      <c r="F116" s="460" t="s">
        <v>743</v>
      </c>
      <c r="G116" s="459" t="s">
        <v>743</v>
      </c>
      <c r="H116" s="459" t="s">
        <v>743</v>
      </c>
      <c r="I116" s="461">
        <f>SUM(I117:I123)</f>
        <v>14909.5</v>
      </c>
      <c r="J116" s="461">
        <f>SUM(J117:J123)</f>
        <v>8883.0999999999985</v>
      </c>
      <c r="K116" s="461">
        <f>SUM(K117:K123)</f>
        <v>7514.1</v>
      </c>
      <c r="L116" s="462">
        <f>SUM(L117:L123)</f>
        <v>477</v>
      </c>
      <c r="M116" s="459" t="s">
        <v>882</v>
      </c>
      <c r="N116" s="190" t="s">
        <v>882</v>
      </c>
      <c r="O116" s="461">
        <v>2700572.82</v>
      </c>
      <c r="P116" s="461">
        <f t="shared" si="2"/>
        <v>181.13101177101848</v>
      </c>
      <c r="Q116" s="461">
        <f>MAX(Q117:Q123)</f>
        <v>6142.803164774682</v>
      </c>
      <c r="T116" s="463"/>
    </row>
    <row r="117" spans="1:20" ht="35.25" x14ac:dyDescent="0.5">
      <c r="A117" s="4">
        <v>1</v>
      </c>
      <c r="B117" s="464">
        <v>27</v>
      </c>
      <c r="C117" s="465" t="s">
        <v>1414</v>
      </c>
      <c r="D117" s="459">
        <v>1992</v>
      </c>
      <c r="E117" s="459"/>
      <c r="F117" s="460" t="s">
        <v>267</v>
      </c>
      <c r="G117" s="459">
        <v>3</v>
      </c>
      <c r="H117" s="459">
        <v>3</v>
      </c>
      <c r="I117" s="461">
        <v>3997</v>
      </c>
      <c r="J117" s="461">
        <v>1901.1</v>
      </c>
      <c r="K117" s="461">
        <v>1791.5</v>
      </c>
      <c r="L117" s="462">
        <v>73</v>
      </c>
      <c r="M117" s="459" t="s">
        <v>269</v>
      </c>
      <c r="N117" s="190" t="s">
        <v>1496</v>
      </c>
      <c r="O117" s="461">
        <v>502837.5</v>
      </c>
      <c r="P117" s="461">
        <f t="shared" si="2"/>
        <v>125.80372779584688</v>
      </c>
      <c r="Q117" s="461">
        <v>1869.1117338003501</v>
      </c>
      <c r="T117" s="463"/>
    </row>
    <row r="118" spans="1:20" ht="35.25" x14ac:dyDescent="0.5">
      <c r="A118" s="4">
        <v>1</v>
      </c>
      <c r="B118" s="464">
        <v>28</v>
      </c>
      <c r="C118" s="465" t="s">
        <v>1415</v>
      </c>
      <c r="D118" s="459">
        <v>1983</v>
      </c>
      <c r="E118" s="459"/>
      <c r="F118" s="460" t="s">
        <v>311</v>
      </c>
      <c r="G118" s="459">
        <v>5</v>
      </c>
      <c r="H118" s="459">
        <v>4</v>
      </c>
      <c r="I118" s="461">
        <v>4357</v>
      </c>
      <c r="J118" s="461">
        <v>1821.4</v>
      </c>
      <c r="K118" s="461">
        <v>1678.3</v>
      </c>
      <c r="L118" s="462">
        <v>159</v>
      </c>
      <c r="M118" s="459" t="s">
        <v>269</v>
      </c>
      <c r="N118" s="190" t="s">
        <v>1496</v>
      </c>
      <c r="O118" s="461">
        <v>1853524.39</v>
      </c>
      <c r="P118" s="461">
        <f t="shared" si="2"/>
        <v>425.41298829469815</v>
      </c>
      <c r="Q118" s="461">
        <v>1213.5658136332338</v>
      </c>
      <c r="T118" s="463"/>
    </row>
    <row r="119" spans="1:20" ht="35.25" x14ac:dyDescent="0.5">
      <c r="A119" s="4">
        <v>1</v>
      </c>
      <c r="B119" s="464">
        <v>29</v>
      </c>
      <c r="C119" s="465" t="s">
        <v>1416</v>
      </c>
      <c r="D119" s="459">
        <v>1940</v>
      </c>
      <c r="E119" s="459"/>
      <c r="F119" s="460" t="s">
        <v>267</v>
      </c>
      <c r="G119" s="459">
        <v>3</v>
      </c>
      <c r="H119" s="459">
        <v>3</v>
      </c>
      <c r="I119" s="461">
        <v>2021</v>
      </c>
      <c r="J119" s="461">
        <v>1886.9</v>
      </c>
      <c r="K119" s="461">
        <v>1320.5</v>
      </c>
      <c r="L119" s="462">
        <v>47</v>
      </c>
      <c r="M119" s="459" t="s">
        <v>269</v>
      </c>
      <c r="N119" s="190" t="s">
        <v>1497</v>
      </c>
      <c r="O119" s="461">
        <v>57982.38</v>
      </c>
      <c r="P119" s="461">
        <f t="shared" si="2"/>
        <v>28.689945571499255</v>
      </c>
      <c r="Q119" s="461">
        <v>3994.6523067788216</v>
      </c>
      <c r="T119" s="463"/>
    </row>
    <row r="120" spans="1:20" ht="35.25" x14ac:dyDescent="0.5">
      <c r="A120" s="4">
        <v>1</v>
      </c>
      <c r="B120" s="464">
        <v>30</v>
      </c>
      <c r="C120" s="465" t="s">
        <v>1417</v>
      </c>
      <c r="D120" s="459">
        <v>1994</v>
      </c>
      <c r="E120" s="459"/>
      <c r="F120" s="460" t="s">
        <v>267</v>
      </c>
      <c r="G120" s="459">
        <v>3</v>
      </c>
      <c r="H120" s="459">
        <v>3</v>
      </c>
      <c r="I120" s="461">
        <v>1540.3</v>
      </c>
      <c r="J120" s="461">
        <v>1362.4</v>
      </c>
      <c r="K120" s="461">
        <v>1247.3</v>
      </c>
      <c r="L120" s="462">
        <v>65</v>
      </c>
      <c r="M120" s="459" t="s">
        <v>266</v>
      </c>
      <c r="N120" s="190" t="s">
        <v>268</v>
      </c>
      <c r="O120" s="461">
        <v>175548.91</v>
      </c>
      <c r="P120" s="461">
        <f t="shared" si="2"/>
        <v>113.97059663701877</v>
      </c>
      <c r="Q120" s="461">
        <v>3540.5132766344218</v>
      </c>
      <c r="T120" s="463"/>
    </row>
    <row r="121" spans="1:20" ht="35.25" x14ac:dyDescent="0.5">
      <c r="A121" s="4">
        <v>1</v>
      </c>
      <c r="B121" s="464">
        <v>31</v>
      </c>
      <c r="C121" s="465" t="s">
        <v>1418</v>
      </c>
      <c r="D121" s="459">
        <v>1955</v>
      </c>
      <c r="E121" s="459"/>
      <c r="F121" s="460" t="s">
        <v>267</v>
      </c>
      <c r="G121" s="459">
        <v>2</v>
      </c>
      <c r="H121" s="459">
        <v>2</v>
      </c>
      <c r="I121" s="461">
        <v>872.1</v>
      </c>
      <c r="J121" s="461">
        <v>557</v>
      </c>
      <c r="K121" s="461">
        <v>255.4</v>
      </c>
      <c r="L121" s="462">
        <v>40</v>
      </c>
      <c r="M121" s="459" t="s">
        <v>269</v>
      </c>
      <c r="N121" s="190" t="s">
        <v>1497</v>
      </c>
      <c r="O121" s="461">
        <v>63565.37</v>
      </c>
      <c r="P121" s="461">
        <f t="shared" si="2"/>
        <v>72.887707831670681</v>
      </c>
      <c r="Q121" s="461">
        <v>6142.803164774682</v>
      </c>
      <c r="T121" s="463"/>
    </row>
    <row r="122" spans="1:20" ht="35.25" x14ac:dyDescent="0.5">
      <c r="A122" s="4">
        <v>1</v>
      </c>
      <c r="B122" s="464">
        <v>32</v>
      </c>
      <c r="C122" s="465" t="s">
        <v>1419</v>
      </c>
      <c r="D122" s="459">
        <v>1928</v>
      </c>
      <c r="E122" s="459"/>
      <c r="F122" s="460" t="s">
        <v>267</v>
      </c>
      <c r="G122" s="459">
        <v>2</v>
      </c>
      <c r="H122" s="459">
        <v>2</v>
      </c>
      <c r="I122" s="461">
        <v>552</v>
      </c>
      <c r="J122" s="461">
        <v>401.5</v>
      </c>
      <c r="K122" s="461">
        <v>268.3</v>
      </c>
      <c r="L122" s="462">
        <v>32</v>
      </c>
      <c r="M122" s="459" t="s">
        <v>266</v>
      </c>
      <c r="N122" s="190" t="s">
        <v>268</v>
      </c>
      <c r="O122" s="461">
        <v>2454.27</v>
      </c>
      <c r="P122" s="461">
        <f t="shared" si="2"/>
        <v>4.446141304347826</v>
      </c>
      <c r="Q122" s="461">
        <v>5564.5550724637678</v>
      </c>
      <c r="T122" s="463"/>
    </row>
    <row r="123" spans="1:20" ht="35.25" x14ac:dyDescent="0.5">
      <c r="B123" s="464">
        <v>33</v>
      </c>
      <c r="C123" s="465" t="s">
        <v>1871</v>
      </c>
      <c r="D123" s="459" t="s">
        <v>368</v>
      </c>
      <c r="E123" s="459"/>
      <c r="F123" s="460" t="s">
        <v>267</v>
      </c>
      <c r="G123" s="459">
        <v>3</v>
      </c>
      <c r="H123" s="459">
        <v>3</v>
      </c>
      <c r="I123" s="461">
        <v>1570.1</v>
      </c>
      <c r="J123" s="461">
        <v>952.8</v>
      </c>
      <c r="K123" s="461">
        <v>952.8</v>
      </c>
      <c r="L123" s="462">
        <v>61</v>
      </c>
      <c r="M123" s="459" t="s">
        <v>341</v>
      </c>
      <c r="N123" s="190" t="s">
        <v>1883</v>
      </c>
      <c r="O123" s="461">
        <v>44660</v>
      </c>
      <c r="P123" s="461">
        <f t="shared" si="2"/>
        <v>28.444048149799379</v>
      </c>
      <c r="Q123" s="461">
        <v>4082.5963314438573</v>
      </c>
      <c r="T123" s="463"/>
    </row>
    <row r="124" spans="1:20" ht="35.25" x14ac:dyDescent="0.5">
      <c r="B124" s="458" t="s">
        <v>814</v>
      </c>
      <c r="C124" s="465"/>
      <c r="D124" s="459" t="s">
        <v>743</v>
      </c>
      <c r="E124" s="459" t="s">
        <v>743</v>
      </c>
      <c r="F124" s="460" t="s">
        <v>743</v>
      </c>
      <c r="G124" s="459" t="s">
        <v>743</v>
      </c>
      <c r="H124" s="459" t="s">
        <v>743</v>
      </c>
      <c r="I124" s="461">
        <f>SUM(I125:I128)</f>
        <v>3874.7000000000003</v>
      </c>
      <c r="J124" s="461">
        <f>SUM(J125:J128)</f>
        <v>2543</v>
      </c>
      <c r="K124" s="461">
        <f>SUM(K125:K128)</f>
        <v>1614</v>
      </c>
      <c r="L124" s="462">
        <f>SUM(L125:L128)</f>
        <v>141</v>
      </c>
      <c r="M124" s="459" t="s">
        <v>882</v>
      </c>
      <c r="N124" s="190" t="s">
        <v>882</v>
      </c>
      <c r="O124" s="461">
        <v>3358217.53</v>
      </c>
      <c r="P124" s="461">
        <f t="shared" si="2"/>
        <v>866.70388159083268</v>
      </c>
      <c r="Q124" s="461">
        <f>MAX(Q125:Q128)</f>
        <v>4684.4219827586203</v>
      </c>
      <c r="T124" s="463"/>
    </row>
    <row r="125" spans="1:20" ht="35.25" x14ac:dyDescent="0.5">
      <c r="A125" s="4">
        <v>1</v>
      </c>
      <c r="B125" s="464">
        <v>34</v>
      </c>
      <c r="C125" s="465" t="s">
        <v>1420</v>
      </c>
      <c r="D125" s="459">
        <v>1965</v>
      </c>
      <c r="E125" s="459"/>
      <c r="F125" s="460" t="s">
        <v>267</v>
      </c>
      <c r="G125" s="459">
        <v>2</v>
      </c>
      <c r="H125" s="459">
        <v>2</v>
      </c>
      <c r="I125" s="461">
        <v>772.6</v>
      </c>
      <c r="J125" s="461">
        <v>450.9</v>
      </c>
      <c r="K125" s="461">
        <v>299.5</v>
      </c>
      <c r="L125" s="462">
        <v>27</v>
      </c>
      <c r="M125" s="459" t="s">
        <v>266</v>
      </c>
      <c r="N125" s="459" t="s">
        <v>268</v>
      </c>
      <c r="O125" s="461">
        <v>48915.49</v>
      </c>
      <c r="P125" s="461">
        <f t="shared" si="2"/>
        <v>63.312826818534816</v>
      </c>
      <c r="Q125" s="461">
        <v>3470.3241004400725</v>
      </c>
      <c r="T125" s="463"/>
    </row>
    <row r="126" spans="1:20" ht="35.25" x14ac:dyDescent="0.5">
      <c r="A126" s="4">
        <v>1</v>
      </c>
      <c r="B126" s="464">
        <v>35</v>
      </c>
      <c r="C126" s="465" t="s">
        <v>1421</v>
      </c>
      <c r="D126" s="459">
        <v>1942</v>
      </c>
      <c r="E126" s="459"/>
      <c r="F126" s="460" t="s">
        <v>330</v>
      </c>
      <c r="G126" s="459">
        <v>2</v>
      </c>
      <c r="H126" s="459">
        <v>2</v>
      </c>
      <c r="I126" s="461">
        <v>842.2</v>
      </c>
      <c r="J126" s="461">
        <v>492.3</v>
      </c>
      <c r="K126" s="461">
        <v>352</v>
      </c>
      <c r="L126" s="462">
        <v>33</v>
      </c>
      <c r="M126" s="459" t="s">
        <v>266</v>
      </c>
      <c r="N126" s="459" t="s">
        <v>268</v>
      </c>
      <c r="O126" s="461">
        <v>14682.87</v>
      </c>
      <c r="P126" s="461">
        <f t="shared" si="2"/>
        <v>17.433946805984327</v>
      </c>
      <c r="Q126" s="461">
        <v>3925.3284255521253</v>
      </c>
      <c r="T126" s="463"/>
    </row>
    <row r="127" spans="1:20" ht="35.25" x14ac:dyDescent="0.5">
      <c r="A127" s="4">
        <v>1</v>
      </c>
      <c r="B127" s="464">
        <v>36</v>
      </c>
      <c r="C127" s="465" t="s">
        <v>1422</v>
      </c>
      <c r="D127" s="459">
        <v>1933</v>
      </c>
      <c r="E127" s="459"/>
      <c r="F127" s="460" t="s">
        <v>267</v>
      </c>
      <c r="G127" s="459">
        <v>3</v>
      </c>
      <c r="H127" s="459">
        <v>3</v>
      </c>
      <c r="I127" s="461">
        <v>1795.9</v>
      </c>
      <c r="J127" s="461">
        <v>1183</v>
      </c>
      <c r="K127" s="461">
        <v>857.7</v>
      </c>
      <c r="L127" s="462">
        <v>48</v>
      </c>
      <c r="M127" s="459" t="s">
        <v>266</v>
      </c>
      <c r="N127" s="459" t="s">
        <v>268</v>
      </c>
      <c r="O127" s="461">
        <v>3248000</v>
      </c>
      <c r="P127" s="461">
        <f t="shared" si="2"/>
        <v>1808.5639512222283</v>
      </c>
      <c r="Q127" s="461">
        <v>2645.259201514561</v>
      </c>
      <c r="T127" s="463"/>
    </row>
    <row r="128" spans="1:20" ht="35.25" x14ac:dyDescent="0.5">
      <c r="A128" s="4">
        <v>1</v>
      </c>
      <c r="B128" s="464">
        <v>37</v>
      </c>
      <c r="C128" s="465" t="s">
        <v>1423</v>
      </c>
      <c r="D128" s="459">
        <v>1934</v>
      </c>
      <c r="E128" s="459"/>
      <c r="F128" s="460" t="s">
        <v>330</v>
      </c>
      <c r="G128" s="459">
        <v>2</v>
      </c>
      <c r="H128" s="459">
        <v>2</v>
      </c>
      <c r="I128" s="461">
        <v>464</v>
      </c>
      <c r="J128" s="461">
        <v>416.8</v>
      </c>
      <c r="K128" s="461">
        <v>104.80000000000001</v>
      </c>
      <c r="L128" s="462">
        <v>33</v>
      </c>
      <c r="M128" s="459" t="s">
        <v>266</v>
      </c>
      <c r="N128" s="459" t="s">
        <v>268</v>
      </c>
      <c r="O128" s="461">
        <v>46619.17</v>
      </c>
      <c r="P128" s="461">
        <f t="shared" si="2"/>
        <v>100.47234913793103</v>
      </c>
      <c r="Q128" s="461">
        <v>4684.4219827586203</v>
      </c>
      <c r="T128" s="463"/>
    </row>
    <row r="129" spans="1:20" ht="35.25" x14ac:dyDescent="0.5">
      <c r="B129" s="458" t="s">
        <v>752</v>
      </c>
      <c r="C129" s="465"/>
      <c r="D129" s="459" t="s">
        <v>743</v>
      </c>
      <c r="E129" s="459" t="s">
        <v>743</v>
      </c>
      <c r="F129" s="460" t="s">
        <v>743</v>
      </c>
      <c r="G129" s="459" t="s">
        <v>743</v>
      </c>
      <c r="H129" s="459" t="s">
        <v>743</v>
      </c>
      <c r="I129" s="461">
        <f>SUM(I130:I157)</f>
        <v>56264.920000000006</v>
      </c>
      <c r="J129" s="461">
        <f>SUM(J130:J157)</f>
        <v>46052.36</v>
      </c>
      <c r="K129" s="461">
        <f>SUM(K130:K157)</f>
        <v>39823.909999999996</v>
      </c>
      <c r="L129" s="462">
        <f>SUM(L130:L157)</f>
        <v>1785</v>
      </c>
      <c r="M129" s="459" t="s">
        <v>882</v>
      </c>
      <c r="N129" s="190" t="s">
        <v>882</v>
      </c>
      <c r="O129" s="461">
        <v>12670128.300000001</v>
      </c>
      <c r="P129" s="461">
        <f t="shared" si="2"/>
        <v>225.1869957337538</v>
      </c>
      <c r="Q129" s="461">
        <f>MAX(Q130:Q157)</f>
        <v>6843.6696229163299</v>
      </c>
      <c r="T129" s="463"/>
    </row>
    <row r="130" spans="1:20" ht="35.25" x14ac:dyDescent="0.5">
      <c r="A130" s="4">
        <v>1</v>
      </c>
      <c r="B130" s="464">
        <v>38</v>
      </c>
      <c r="C130" s="465" t="s">
        <v>1424</v>
      </c>
      <c r="D130" s="459">
        <v>1962</v>
      </c>
      <c r="E130" s="459"/>
      <c r="F130" s="460" t="s">
        <v>267</v>
      </c>
      <c r="G130" s="459">
        <v>5</v>
      </c>
      <c r="H130" s="459">
        <v>2</v>
      </c>
      <c r="I130" s="461">
        <v>1612.2</v>
      </c>
      <c r="J130" s="461">
        <v>1358.8</v>
      </c>
      <c r="K130" s="461">
        <v>1358.8</v>
      </c>
      <c r="L130" s="462">
        <v>53</v>
      </c>
      <c r="M130" s="459" t="s">
        <v>269</v>
      </c>
      <c r="N130" s="459" t="s">
        <v>1498</v>
      </c>
      <c r="O130" s="461">
        <v>13000.44</v>
      </c>
      <c r="P130" s="461">
        <f t="shared" si="2"/>
        <v>8.0637886118347595</v>
      </c>
      <c r="Q130" s="461">
        <v>810.46</v>
      </c>
      <c r="T130" s="463"/>
    </row>
    <row r="131" spans="1:20" ht="35.25" x14ac:dyDescent="0.5">
      <c r="A131" s="4">
        <v>1</v>
      </c>
      <c r="B131" s="464">
        <v>39</v>
      </c>
      <c r="C131" s="465" t="s">
        <v>1425</v>
      </c>
      <c r="D131" s="459">
        <v>1958</v>
      </c>
      <c r="E131" s="459"/>
      <c r="F131" s="460" t="s">
        <v>267</v>
      </c>
      <c r="G131" s="459">
        <v>4</v>
      </c>
      <c r="H131" s="459">
        <v>4</v>
      </c>
      <c r="I131" s="461">
        <v>5485.5</v>
      </c>
      <c r="J131" s="461">
        <v>4412.8</v>
      </c>
      <c r="K131" s="461">
        <v>3382.7</v>
      </c>
      <c r="L131" s="462">
        <v>96</v>
      </c>
      <c r="M131" s="459" t="s">
        <v>269</v>
      </c>
      <c r="N131" s="190" t="s">
        <v>1344</v>
      </c>
      <c r="O131" s="461">
        <v>2190830</v>
      </c>
      <c r="P131" s="461">
        <f t="shared" si="2"/>
        <v>399.385653085407</v>
      </c>
      <c r="Q131" s="461">
        <v>1898.1533132804666</v>
      </c>
      <c r="T131" s="463"/>
    </row>
    <row r="132" spans="1:20" ht="35.25" x14ac:dyDescent="0.5">
      <c r="A132" s="4">
        <v>1</v>
      </c>
      <c r="B132" s="464">
        <v>40</v>
      </c>
      <c r="C132" s="465" t="s">
        <v>1426</v>
      </c>
      <c r="D132" s="459">
        <v>1929</v>
      </c>
      <c r="E132" s="459"/>
      <c r="F132" s="460" t="s">
        <v>267</v>
      </c>
      <c r="G132" s="459">
        <v>4</v>
      </c>
      <c r="H132" s="459">
        <v>5</v>
      </c>
      <c r="I132" s="461">
        <v>2469.13</v>
      </c>
      <c r="J132" s="461">
        <v>2349.9299999999998</v>
      </c>
      <c r="K132" s="461">
        <v>2349.9299999999998</v>
      </c>
      <c r="L132" s="462">
        <v>95</v>
      </c>
      <c r="M132" s="459" t="s">
        <v>269</v>
      </c>
      <c r="N132" s="190" t="s">
        <v>1499</v>
      </c>
      <c r="O132" s="461">
        <v>4131339.42</v>
      </c>
      <c r="P132" s="461">
        <f t="shared" si="2"/>
        <v>1673.1963971115331</v>
      </c>
      <c r="Q132" s="461">
        <v>2174.0740973541283</v>
      </c>
      <c r="T132" s="463"/>
    </row>
    <row r="133" spans="1:20" ht="35.25" x14ac:dyDescent="0.5">
      <c r="A133" s="4">
        <v>1</v>
      </c>
      <c r="B133" s="464">
        <v>41</v>
      </c>
      <c r="C133" s="465" t="s">
        <v>1427</v>
      </c>
      <c r="D133" s="459">
        <v>1961</v>
      </c>
      <c r="E133" s="459"/>
      <c r="F133" s="460" t="s">
        <v>267</v>
      </c>
      <c r="G133" s="459">
        <v>4</v>
      </c>
      <c r="H133" s="459">
        <v>2</v>
      </c>
      <c r="I133" s="461">
        <v>1371.7</v>
      </c>
      <c r="J133" s="461">
        <v>1268.5999999999999</v>
      </c>
      <c r="K133" s="461">
        <v>1268.5999999999999</v>
      </c>
      <c r="L133" s="462">
        <v>55</v>
      </c>
      <c r="M133" s="459" t="s">
        <v>269</v>
      </c>
      <c r="N133" s="190" t="s">
        <v>1500</v>
      </c>
      <c r="O133" s="461">
        <v>450455.92</v>
      </c>
      <c r="P133" s="461">
        <f t="shared" si="2"/>
        <v>328.39244732813296</v>
      </c>
      <c r="Q133" s="461">
        <v>2265.8580739228692</v>
      </c>
      <c r="T133" s="463"/>
    </row>
    <row r="134" spans="1:20" ht="35.25" x14ac:dyDescent="0.5">
      <c r="A134" s="4">
        <v>1</v>
      </c>
      <c r="B134" s="464">
        <v>42</v>
      </c>
      <c r="C134" s="465" t="s">
        <v>1428</v>
      </c>
      <c r="D134" s="459">
        <v>1959</v>
      </c>
      <c r="E134" s="459"/>
      <c r="F134" s="460" t="s">
        <v>267</v>
      </c>
      <c r="G134" s="459">
        <v>4</v>
      </c>
      <c r="H134" s="459">
        <v>3</v>
      </c>
      <c r="I134" s="461">
        <v>2155.1999999999998</v>
      </c>
      <c r="J134" s="461">
        <v>1435.2</v>
      </c>
      <c r="K134" s="461">
        <v>1184.7</v>
      </c>
      <c r="L134" s="462">
        <v>62</v>
      </c>
      <c r="M134" s="459" t="s">
        <v>269</v>
      </c>
      <c r="N134" s="190" t="s">
        <v>1501</v>
      </c>
      <c r="O134" s="461">
        <v>428766.45</v>
      </c>
      <c r="P134" s="461">
        <f t="shared" si="2"/>
        <v>198.94508630289533</v>
      </c>
      <c r="Q134" s="461">
        <v>1303.8348459539718</v>
      </c>
      <c r="T134" s="463"/>
    </row>
    <row r="135" spans="1:20" ht="35.25" x14ac:dyDescent="0.5">
      <c r="A135" s="4">
        <v>1</v>
      </c>
      <c r="B135" s="464">
        <v>43</v>
      </c>
      <c r="C135" s="465" t="s">
        <v>1429</v>
      </c>
      <c r="D135" s="459">
        <v>1959</v>
      </c>
      <c r="E135" s="459"/>
      <c r="F135" s="460" t="s">
        <v>267</v>
      </c>
      <c r="G135" s="459">
        <v>4</v>
      </c>
      <c r="H135" s="459">
        <v>3</v>
      </c>
      <c r="I135" s="461">
        <v>3647.3</v>
      </c>
      <c r="J135" s="461">
        <v>2675.1</v>
      </c>
      <c r="K135" s="461">
        <v>2194.3000000000002</v>
      </c>
      <c r="L135" s="462">
        <v>61</v>
      </c>
      <c r="M135" s="459" t="s">
        <v>269</v>
      </c>
      <c r="N135" s="190" t="s">
        <v>1502</v>
      </c>
      <c r="O135" s="461">
        <v>1170243.6200000001</v>
      </c>
      <c r="P135" s="461">
        <f t="shared" si="2"/>
        <v>320.85203301072028</v>
      </c>
      <c r="Q135" s="461">
        <v>1980.5190140651989</v>
      </c>
      <c r="T135" s="463"/>
    </row>
    <row r="136" spans="1:20" ht="35.25" x14ac:dyDescent="0.5">
      <c r="A136" s="4">
        <v>1</v>
      </c>
      <c r="B136" s="464">
        <v>44</v>
      </c>
      <c r="C136" s="465" t="s">
        <v>1430</v>
      </c>
      <c r="D136" s="459">
        <v>1973</v>
      </c>
      <c r="E136" s="459"/>
      <c r="F136" s="460" t="s">
        <v>267</v>
      </c>
      <c r="G136" s="459">
        <v>5</v>
      </c>
      <c r="H136" s="459">
        <v>6</v>
      </c>
      <c r="I136" s="461">
        <v>4358.8999999999996</v>
      </c>
      <c r="J136" s="461">
        <v>3381.5</v>
      </c>
      <c r="K136" s="461">
        <v>2777</v>
      </c>
      <c r="L136" s="462">
        <v>177</v>
      </c>
      <c r="M136" s="459" t="s">
        <v>269</v>
      </c>
      <c r="N136" s="190" t="s">
        <v>1381</v>
      </c>
      <c r="O136" s="461">
        <v>82236.160000000003</v>
      </c>
      <c r="P136" s="461">
        <f t="shared" si="2"/>
        <v>18.866264424510774</v>
      </c>
      <c r="Q136" s="461">
        <v>2368.146491087201</v>
      </c>
      <c r="T136" s="463"/>
    </row>
    <row r="137" spans="1:20" ht="35.25" x14ac:dyDescent="0.5">
      <c r="A137" s="4">
        <v>1</v>
      </c>
      <c r="B137" s="464">
        <v>45</v>
      </c>
      <c r="C137" s="465" t="s">
        <v>1431</v>
      </c>
      <c r="D137" s="459">
        <v>1956</v>
      </c>
      <c r="E137" s="459"/>
      <c r="F137" s="460" t="s">
        <v>267</v>
      </c>
      <c r="G137" s="459">
        <v>4</v>
      </c>
      <c r="H137" s="459">
        <v>3</v>
      </c>
      <c r="I137" s="461">
        <v>4032.8</v>
      </c>
      <c r="J137" s="461">
        <v>3036.64</v>
      </c>
      <c r="K137" s="461">
        <v>2440.14</v>
      </c>
      <c r="L137" s="462">
        <v>93</v>
      </c>
      <c r="M137" s="459" t="s">
        <v>269</v>
      </c>
      <c r="N137" s="190" t="s">
        <v>1502</v>
      </c>
      <c r="O137" s="461">
        <v>253750</v>
      </c>
      <c r="P137" s="461">
        <f t="shared" si="2"/>
        <v>62.921543344574488</v>
      </c>
      <c r="Q137" s="461">
        <v>810.46</v>
      </c>
      <c r="T137" s="463"/>
    </row>
    <row r="138" spans="1:20" ht="35.25" x14ac:dyDescent="0.5">
      <c r="A138" s="4">
        <v>1</v>
      </c>
      <c r="B138" s="464">
        <v>46</v>
      </c>
      <c r="C138" s="465" t="s">
        <v>1432</v>
      </c>
      <c r="D138" s="459">
        <v>1953</v>
      </c>
      <c r="E138" s="459"/>
      <c r="F138" s="460" t="s">
        <v>267</v>
      </c>
      <c r="G138" s="459">
        <v>2</v>
      </c>
      <c r="H138" s="459">
        <v>1</v>
      </c>
      <c r="I138" s="461">
        <v>617.9</v>
      </c>
      <c r="J138" s="461">
        <v>408.9</v>
      </c>
      <c r="K138" s="461">
        <v>408.9</v>
      </c>
      <c r="L138" s="462">
        <v>21</v>
      </c>
      <c r="M138" s="459" t="s">
        <v>266</v>
      </c>
      <c r="N138" s="190" t="s">
        <v>268</v>
      </c>
      <c r="O138" s="461">
        <v>23581.1</v>
      </c>
      <c r="P138" s="461">
        <f t="shared" si="2"/>
        <v>38.163295031558505</v>
      </c>
      <c r="Q138" s="461">
        <v>6843.6696229163299</v>
      </c>
      <c r="T138" s="463"/>
    </row>
    <row r="139" spans="1:20" ht="35.25" x14ac:dyDescent="0.5">
      <c r="A139" s="4">
        <v>1</v>
      </c>
      <c r="B139" s="464">
        <v>47</v>
      </c>
      <c r="C139" s="465" t="s">
        <v>1433</v>
      </c>
      <c r="D139" s="459">
        <v>1937</v>
      </c>
      <c r="E139" s="459"/>
      <c r="F139" s="460" t="s">
        <v>267</v>
      </c>
      <c r="G139" s="459">
        <v>4</v>
      </c>
      <c r="H139" s="459">
        <v>6</v>
      </c>
      <c r="I139" s="461">
        <v>2381.6999999999998</v>
      </c>
      <c r="J139" s="461">
        <v>2256.8000000000002</v>
      </c>
      <c r="K139" s="461">
        <v>2256.8000000000002</v>
      </c>
      <c r="L139" s="462">
        <v>155</v>
      </c>
      <c r="M139" s="459" t="s">
        <v>269</v>
      </c>
      <c r="N139" s="190" t="s">
        <v>1592</v>
      </c>
      <c r="O139" s="461">
        <v>650544.2699999999</v>
      </c>
      <c r="P139" s="461">
        <f t="shared" si="2"/>
        <v>273.14282655246251</v>
      </c>
      <c r="Q139" s="461">
        <v>3456.4556829155649</v>
      </c>
      <c r="T139" s="463"/>
    </row>
    <row r="140" spans="1:20" ht="35.25" x14ac:dyDescent="0.5">
      <c r="A140" s="4">
        <v>1</v>
      </c>
      <c r="B140" s="464">
        <v>48</v>
      </c>
      <c r="C140" s="465" t="s">
        <v>1434</v>
      </c>
      <c r="D140" s="459">
        <v>1955</v>
      </c>
      <c r="E140" s="459"/>
      <c r="F140" s="460" t="s">
        <v>267</v>
      </c>
      <c r="G140" s="459">
        <v>3</v>
      </c>
      <c r="H140" s="459">
        <v>3</v>
      </c>
      <c r="I140" s="461">
        <v>1854.6</v>
      </c>
      <c r="J140" s="461">
        <v>1281.7</v>
      </c>
      <c r="K140" s="461">
        <v>834.3</v>
      </c>
      <c r="L140" s="462">
        <v>34</v>
      </c>
      <c r="M140" s="459" t="s">
        <v>269</v>
      </c>
      <c r="N140" s="190" t="s">
        <v>1593</v>
      </c>
      <c r="O140" s="461">
        <v>186610.06</v>
      </c>
      <c r="P140" s="461">
        <f t="shared" si="2"/>
        <v>100.62011215356411</v>
      </c>
      <c r="Q140" s="461">
        <v>4091.4365361803088</v>
      </c>
      <c r="T140" s="463"/>
    </row>
    <row r="141" spans="1:20" ht="35.25" x14ac:dyDescent="0.5">
      <c r="A141" s="4">
        <v>1</v>
      </c>
      <c r="B141" s="464">
        <v>49</v>
      </c>
      <c r="C141" s="465" t="s">
        <v>1435</v>
      </c>
      <c r="D141" s="459">
        <v>1929</v>
      </c>
      <c r="E141" s="459"/>
      <c r="F141" s="460" t="s">
        <v>267</v>
      </c>
      <c r="G141" s="459">
        <v>3</v>
      </c>
      <c r="H141" s="459">
        <v>5</v>
      </c>
      <c r="I141" s="461">
        <v>2240.83</v>
      </c>
      <c r="J141" s="461">
        <v>1864.33</v>
      </c>
      <c r="K141" s="461">
        <v>1864.33</v>
      </c>
      <c r="L141" s="462">
        <v>90</v>
      </c>
      <c r="M141" s="459" t="s">
        <v>269</v>
      </c>
      <c r="N141" s="190" t="s">
        <v>1344</v>
      </c>
      <c r="O141" s="461">
        <v>69345.69</v>
      </c>
      <c r="P141" s="461">
        <f t="shared" si="2"/>
        <v>30.946430563675069</v>
      </c>
      <c r="Q141" s="461">
        <v>919.08571154438323</v>
      </c>
      <c r="T141" s="463"/>
    </row>
    <row r="142" spans="1:20" ht="35.25" x14ac:dyDescent="0.5">
      <c r="A142" s="4">
        <v>1</v>
      </c>
      <c r="B142" s="464">
        <v>50</v>
      </c>
      <c r="C142" s="465" t="s">
        <v>1436</v>
      </c>
      <c r="D142" s="459">
        <v>1959</v>
      </c>
      <c r="E142" s="459"/>
      <c r="F142" s="460" t="s">
        <v>267</v>
      </c>
      <c r="G142" s="459">
        <v>2</v>
      </c>
      <c r="H142" s="459">
        <v>1</v>
      </c>
      <c r="I142" s="461">
        <v>367.5</v>
      </c>
      <c r="J142" s="461">
        <v>251</v>
      </c>
      <c r="K142" s="461">
        <v>251</v>
      </c>
      <c r="L142" s="462">
        <v>14</v>
      </c>
      <c r="M142" s="459" t="s">
        <v>269</v>
      </c>
      <c r="N142" s="190" t="s">
        <v>978</v>
      </c>
      <c r="O142" s="461">
        <v>49508.61</v>
      </c>
      <c r="P142" s="461">
        <f t="shared" si="2"/>
        <v>134.71730612244897</v>
      </c>
      <c r="Q142" s="461">
        <v>5036.1629387755102</v>
      </c>
      <c r="T142" s="463"/>
    </row>
    <row r="143" spans="1:20" ht="35.25" x14ac:dyDescent="0.5">
      <c r="A143" s="4">
        <v>1</v>
      </c>
      <c r="B143" s="464">
        <v>51</v>
      </c>
      <c r="C143" s="465" t="s">
        <v>1437</v>
      </c>
      <c r="D143" s="459">
        <v>1934</v>
      </c>
      <c r="E143" s="459"/>
      <c r="F143" s="460" t="s">
        <v>267</v>
      </c>
      <c r="G143" s="459">
        <v>3</v>
      </c>
      <c r="H143" s="459">
        <v>7</v>
      </c>
      <c r="I143" s="461">
        <v>2922</v>
      </c>
      <c r="J143" s="461">
        <v>2656.4</v>
      </c>
      <c r="K143" s="461">
        <v>2656.4</v>
      </c>
      <c r="L143" s="462">
        <v>95</v>
      </c>
      <c r="M143" s="459" t="s">
        <v>269</v>
      </c>
      <c r="N143" s="190" t="s">
        <v>978</v>
      </c>
      <c r="O143" s="461">
        <v>194179.65</v>
      </c>
      <c r="P143" s="461">
        <f t="shared" si="2"/>
        <v>66.454363449691996</v>
      </c>
      <c r="Q143" s="461">
        <v>3427.5668377823404</v>
      </c>
      <c r="T143" s="463"/>
    </row>
    <row r="144" spans="1:20" ht="35.25" x14ac:dyDescent="0.5">
      <c r="A144" s="4">
        <v>1</v>
      </c>
      <c r="B144" s="464">
        <v>52</v>
      </c>
      <c r="C144" s="465" t="s">
        <v>1438</v>
      </c>
      <c r="D144" s="459">
        <v>1934</v>
      </c>
      <c r="E144" s="459"/>
      <c r="F144" s="460" t="s">
        <v>267</v>
      </c>
      <c r="G144" s="459">
        <v>3</v>
      </c>
      <c r="H144" s="459">
        <v>5</v>
      </c>
      <c r="I144" s="461">
        <v>1040.8</v>
      </c>
      <c r="J144" s="461">
        <v>878</v>
      </c>
      <c r="K144" s="461">
        <v>878</v>
      </c>
      <c r="L144" s="462">
        <v>58</v>
      </c>
      <c r="M144" s="459" t="s">
        <v>266</v>
      </c>
      <c r="N144" s="190" t="s">
        <v>268</v>
      </c>
      <c r="O144" s="461">
        <v>874380.28</v>
      </c>
      <c r="P144" s="461">
        <f t="shared" si="2"/>
        <v>840.10403535741739</v>
      </c>
      <c r="Q144" s="461">
        <v>4676.9404304381242</v>
      </c>
      <c r="T144" s="463"/>
    </row>
    <row r="145" spans="1:20" ht="35.25" x14ac:dyDescent="0.5">
      <c r="A145" s="4">
        <v>1</v>
      </c>
      <c r="B145" s="464">
        <v>53</v>
      </c>
      <c r="C145" s="465" t="s">
        <v>1439</v>
      </c>
      <c r="D145" s="459">
        <v>1928</v>
      </c>
      <c r="E145" s="459"/>
      <c r="F145" s="460" t="s">
        <v>330</v>
      </c>
      <c r="G145" s="459">
        <v>2</v>
      </c>
      <c r="H145" s="459">
        <v>1</v>
      </c>
      <c r="I145" s="461">
        <v>286.10000000000002</v>
      </c>
      <c r="J145" s="461">
        <v>205.8</v>
      </c>
      <c r="K145" s="461">
        <v>205.8</v>
      </c>
      <c r="L145" s="462">
        <v>16</v>
      </c>
      <c r="M145" s="459" t="s">
        <v>266</v>
      </c>
      <c r="N145" s="190" t="s">
        <v>268</v>
      </c>
      <c r="O145" s="461">
        <v>37308.06</v>
      </c>
      <c r="P145" s="461">
        <f t="shared" si="2"/>
        <v>130.40216707444947</v>
      </c>
      <c r="Q145" s="461">
        <v>2420.2238378189445</v>
      </c>
      <c r="T145" s="463"/>
    </row>
    <row r="146" spans="1:20" ht="35.25" x14ac:dyDescent="0.5">
      <c r="A146" s="4">
        <v>1</v>
      </c>
      <c r="B146" s="464">
        <v>54</v>
      </c>
      <c r="C146" s="465" t="s">
        <v>1440</v>
      </c>
      <c r="D146" s="459">
        <v>1958</v>
      </c>
      <c r="E146" s="459"/>
      <c r="F146" s="460" t="s">
        <v>267</v>
      </c>
      <c r="G146" s="459">
        <v>2</v>
      </c>
      <c r="H146" s="459">
        <v>1</v>
      </c>
      <c r="I146" s="461">
        <v>417.2</v>
      </c>
      <c r="J146" s="461">
        <v>385.8</v>
      </c>
      <c r="K146" s="461">
        <v>385.8</v>
      </c>
      <c r="L146" s="462">
        <v>20</v>
      </c>
      <c r="M146" s="459" t="s">
        <v>266</v>
      </c>
      <c r="N146" s="190" t="s">
        <v>268</v>
      </c>
      <c r="O146" s="461">
        <v>41021.47</v>
      </c>
      <c r="P146" s="461">
        <f t="shared" si="2"/>
        <v>98.325671140939605</v>
      </c>
      <c r="Q146" s="461">
        <v>4518.2655369127524</v>
      </c>
      <c r="T146" s="463"/>
    </row>
    <row r="147" spans="1:20" ht="35.25" x14ac:dyDescent="0.5">
      <c r="A147" s="4">
        <v>1</v>
      </c>
      <c r="B147" s="464">
        <v>55</v>
      </c>
      <c r="C147" s="465" t="s">
        <v>1441</v>
      </c>
      <c r="D147" s="459">
        <v>1958</v>
      </c>
      <c r="E147" s="459"/>
      <c r="F147" s="460" t="s">
        <v>267</v>
      </c>
      <c r="G147" s="459">
        <v>4</v>
      </c>
      <c r="H147" s="459">
        <v>5</v>
      </c>
      <c r="I147" s="461">
        <v>3533.4</v>
      </c>
      <c r="J147" s="461">
        <v>3254</v>
      </c>
      <c r="K147" s="461">
        <v>3254</v>
      </c>
      <c r="L147" s="462">
        <v>98</v>
      </c>
      <c r="M147" s="459" t="s">
        <v>269</v>
      </c>
      <c r="N147" s="190" t="s">
        <v>1381</v>
      </c>
      <c r="O147" s="461">
        <v>504846.64999999997</v>
      </c>
      <c r="P147" s="461">
        <f t="shared" si="2"/>
        <v>142.87843153902756</v>
      </c>
      <c r="Q147" s="461">
        <v>6332.09859059263</v>
      </c>
      <c r="T147" s="463"/>
    </row>
    <row r="148" spans="1:20" ht="35.25" x14ac:dyDescent="0.5">
      <c r="A148" s="4">
        <v>1</v>
      </c>
      <c r="B148" s="464">
        <v>56</v>
      </c>
      <c r="C148" s="465" t="s">
        <v>1484</v>
      </c>
      <c r="D148" s="459">
        <v>1958</v>
      </c>
      <c r="E148" s="459"/>
      <c r="F148" s="460" t="s">
        <v>267</v>
      </c>
      <c r="G148" s="459">
        <v>4</v>
      </c>
      <c r="H148" s="459">
        <v>4</v>
      </c>
      <c r="I148" s="461">
        <v>3399.9</v>
      </c>
      <c r="J148" s="461">
        <v>2625.8</v>
      </c>
      <c r="K148" s="461">
        <v>2062.6999999999998</v>
      </c>
      <c r="L148" s="462">
        <v>68</v>
      </c>
      <c r="M148" s="459" t="s">
        <v>269</v>
      </c>
      <c r="N148" s="190" t="s">
        <v>1554</v>
      </c>
      <c r="O148" s="461">
        <v>42749.45</v>
      </c>
      <c r="P148" s="461">
        <f t="shared" si="2"/>
        <v>12.573737462866553</v>
      </c>
      <c r="Q148" s="461">
        <v>3667.1465631342103</v>
      </c>
      <c r="T148" s="463"/>
    </row>
    <row r="149" spans="1:20" ht="35.25" x14ac:dyDescent="0.5">
      <c r="A149" s="4">
        <v>1</v>
      </c>
      <c r="B149" s="464">
        <v>57</v>
      </c>
      <c r="C149" s="465" t="s">
        <v>1485</v>
      </c>
      <c r="D149" s="459">
        <v>1942</v>
      </c>
      <c r="E149" s="459"/>
      <c r="F149" s="460" t="s">
        <v>330</v>
      </c>
      <c r="G149" s="459">
        <v>2</v>
      </c>
      <c r="H149" s="459">
        <v>2</v>
      </c>
      <c r="I149" s="461">
        <v>489</v>
      </c>
      <c r="J149" s="461">
        <v>431</v>
      </c>
      <c r="K149" s="461">
        <v>431</v>
      </c>
      <c r="L149" s="462">
        <v>39</v>
      </c>
      <c r="M149" s="459" t="s">
        <v>266</v>
      </c>
      <c r="N149" s="190" t="s">
        <v>268</v>
      </c>
      <c r="O149" s="461">
        <v>65602.210000000006</v>
      </c>
      <c r="P149" s="461">
        <f t="shared" ref="P149:P214" si="3">O149/I149</f>
        <v>134.15584867075665</v>
      </c>
      <c r="Q149" s="461">
        <v>4684.4793456032721</v>
      </c>
      <c r="T149" s="463"/>
    </row>
    <row r="150" spans="1:20" ht="35.25" x14ac:dyDescent="0.5">
      <c r="A150" s="4">
        <v>1</v>
      </c>
      <c r="B150" s="464">
        <v>58</v>
      </c>
      <c r="C150" s="465" t="s">
        <v>1486</v>
      </c>
      <c r="D150" s="459">
        <v>1931</v>
      </c>
      <c r="E150" s="459"/>
      <c r="F150" s="460" t="s">
        <v>267</v>
      </c>
      <c r="G150" s="459">
        <v>3</v>
      </c>
      <c r="H150" s="459">
        <v>5</v>
      </c>
      <c r="I150" s="461">
        <v>1823.46</v>
      </c>
      <c r="J150" s="461">
        <v>1514.06</v>
      </c>
      <c r="K150" s="461">
        <v>1514.06</v>
      </c>
      <c r="L150" s="462">
        <v>60</v>
      </c>
      <c r="M150" s="459" t="s">
        <v>269</v>
      </c>
      <c r="N150" s="190" t="s">
        <v>1381</v>
      </c>
      <c r="O150" s="461">
        <v>7245.74</v>
      </c>
      <c r="P150" s="461">
        <f t="shared" si="3"/>
        <v>3.9736215765632368</v>
      </c>
      <c r="Q150" s="461">
        <v>3247.6758470161121</v>
      </c>
      <c r="T150" s="463"/>
    </row>
    <row r="151" spans="1:20" ht="35.25" x14ac:dyDescent="0.5">
      <c r="A151" s="4">
        <v>1</v>
      </c>
      <c r="B151" s="464">
        <v>59</v>
      </c>
      <c r="C151" s="465" t="s">
        <v>1659</v>
      </c>
      <c r="D151" s="459">
        <v>1984</v>
      </c>
      <c r="E151" s="459"/>
      <c r="F151" s="460" t="s">
        <v>311</v>
      </c>
      <c r="G151" s="459">
        <v>5</v>
      </c>
      <c r="H151" s="459">
        <v>5</v>
      </c>
      <c r="I151" s="461">
        <v>4724.5</v>
      </c>
      <c r="J151" s="461">
        <v>4003.6</v>
      </c>
      <c r="K151" s="461">
        <v>1759.6</v>
      </c>
      <c r="L151" s="462">
        <v>146</v>
      </c>
      <c r="M151" s="459" t="s">
        <v>269</v>
      </c>
      <c r="N151" s="190" t="s">
        <v>1499</v>
      </c>
      <c r="O151" s="461">
        <v>16859.560000000001</v>
      </c>
      <c r="P151" s="461">
        <f t="shared" si="3"/>
        <v>3.5685384696793316</v>
      </c>
      <c r="Q151" s="461">
        <v>1239.69308921579</v>
      </c>
      <c r="T151" s="463"/>
    </row>
    <row r="152" spans="1:20" ht="35.25" x14ac:dyDescent="0.5">
      <c r="B152" s="464">
        <v>60</v>
      </c>
      <c r="C152" s="465" t="s">
        <v>1872</v>
      </c>
      <c r="D152" s="459">
        <v>1959</v>
      </c>
      <c r="E152" s="459"/>
      <c r="F152" s="460" t="s">
        <v>267</v>
      </c>
      <c r="G152" s="459">
        <v>2</v>
      </c>
      <c r="H152" s="459">
        <v>1</v>
      </c>
      <c r="I152" s="461">
        <v>416.5</v>
      </c>
      <c r="J152" s="461">
        <v>259.3</v>
      </c>
      <c r="K152" s="461">
        <v>259.3</v>
      </c>
      <c r="L152" s="462">
        <v>14</v>
      </c>
      <c r="M152" s="466" t="s">
        <v>269</v>
      </c>
      <c r="N152" s="190" t="s">
        <v>1884</v>
      </c>
      <c r="O152" s="461">
        <v>27161.4</v>
      </c>
      <c r="P152" s="461">
        <f t="shared" si="3"/>
        <v>65.213445378151263</v>
      </c>
      <c r="Q152" s="461">
        <v>5399.9066506602639</v>
      </c>
      <c r="T152" s="463"/>
    </row>
    <row r="153" spans="1:20" ht="35.25" x14ac:dyDescent="0.5">
      <c r="B153" s="464">
        <v>61</v>
      </c>
      <c r="C153" s="465" t="s">
        <v>1873</v>
      </c>
      <c r="D153" s="459">
        <v>1959</v>
      </c>
      <c r="E153" s="459"/>
      <c r="F153" s="460" t="s">
        <v>267</v>
      </c>
      <c r="G153" s="459">
        <v>3</v>
      </c>
      <c r="H153" s="459">
        <v>2</v>
      </c>
      <c r="I153" s="461">
        <v>1142</v>
      </c>
      <c r="J153" s="461">
        <v>934</v>
      </c>
      <c r="K153" s="461">
        <v>922.45</v>
      </c>
      <c r="L153" s="462">
        <v>42</v>
      </c>
      <c r="M153" s="466" t="s">
        <v>269</v>
      </c>
      <c r="N153" s="190" t="s">
        <v>1885</v>
      </c>
      <c r="O153" s="461">
        <v>988504.92999999993</v>
      </c>
      <c r="P153" s="461">
        <f t="shared" si="3"/>
        <v>865.59100700525391</v>
      </c>
      <c r="Q153" s="461">
        <v>3248.1514886164623</v>
      </c>
      <c r="T153" s="463"/>
    </row>
    <row r="154" spans="1:20" ht="35.25" x14ac:dyDescent="0.5">
      <c r="B154" s="464">
        <v>62</v>
      </c>
      <c r="C154" s="465" t="s">
        <v>1874</v>
      </c>
      <c r="D154" s="459" t="s">
        <v>366</v>
      </c>
      <c r="E154" s="459"/>
      <c r="F154" s="460" t="s">
        <v>330</v>
      </c>
      <c r="G154" s="459">
        <v>2</v>
      </c>
      <c r="H154" s="459">
        <v>2</v>
      </c>
      <c r="I154" s="461">
        <v>485</v>
      </c>
      <c r="J154" s="461">
        <v>329.7</v>
      </c>
      <c r="K154" s="461">
        <v>329.7</v>
      </c>
      <c r="L154" s="462">
        <v>21</v>
      </c>
      <c r="M154" s="466" t="s">
        <v>269</v>
      </c>
      <c r="N154" s="190" t="s">
        <v>798</v>
      </c>
      <c r="O154" s="461">
        <v>92522.930000000008</v>
      </c>
      <c r="P154" s="461">
        <f>O154/I154</f>
        <v>190.76892783505156</v>
      </c>
      <c r="Q154" s="461">
        <v>5702.6237113402058</v>
      </c>
      <c r="T154" s="463"/>
    </row>
    <row r="155" spans="1:20" ht="35.25" x14ac:dyDescent="0.5">
      <c r="B155" s="464">
        <v>63</v>
      </c>
      <c r="C155" s="465" t="s">
        <v>1875</v>
      </c>
      <c r="D155" s="459" t="s">
        <v>306</v>
      </c>
      <c r="E155" s="459"/>
      <c r="F155" s="460" t="s">
        <v>267</v>
      </c>
      <c r="G155" s="459">
        <v>2</v>
      </c>
      <c r="H155" s="459">
        <v>2</v>
      </c>
      <c r="I155" s="461">
        <v>610.9</v>
      </c>
      <c r="J155" s="461">
        <v>567.20000000000005</v>
      </c>
      <c r="K155" s="461">
        <v>567.20000000000005</v>
      </c>
      <c r="L155" s="462">
        <v>26</v>
      </c>
      <c r="M155" s="466" t="s">
        <v>269</v>
      </c>
      <c r="N155" s="190" t="s">
        <v>1884</v>
      </c>
      <c r="O155" s="461">
        <v>22182.22</v>
      </c>
      <c r="P155" s="461">
        <f>O155/I155</f>
        <v>36.310721885742353</v>
      </c>
      <c r="Q155" s="461">
        <v>5656.5537731216236</v>
      </c>
      <c r="T155" s="463"/>
    </row>
    <row r="156" spans="1:20" ht="35.25" x14ac:dyDescent="0.5">
      <c r="B156" s="464">
        <v>64</v>
      </c>
      <c r="C156" s="465" t="s">
        <v>2434</v>
      </c>
      <c r="D156" s="459">
        <v>1925</v>
      </c>
      <c r="E156" s="459"/>
      <c r="F156" s="460" t="s">
        <v>330</v>
      </c>
      <c r="G156" s="459">
        <v>2</v>
      </c>
      <c r="H156" s="459">
        <v>1</v>
      </c>
      <c r="I156" s="461">
        <v>346.6</v>
      </c>
      <c r="J156" s="461">
        <v>312</v>
      </c>
      <c r="K156" s="461">
        <v>312</v>
      </c>
      <c r="L156" s="462">
        <v>8</v>
      </c>
      <c r="M156" s="466" t="s">
        <v>265</v>
      </c>
      <c r="N156" s="190" t="s">
        <v>1344</v>
      </c>
      <c r="O156" s="461">
        <v>14008.220000000001</v>
      </c>
      <c r="P156" s="461">
        <f t="shared" si="3"/>
        <v>40.416099249855741</v>
      </c>
      <c r="Q156" s="461">
        <v>5933.1598384304671</v>
      </c>
      <c r="T156" s="463"/>
    </row>
    <row r="157" spans="1:20" ht="35.25" x14ac:dyDescent="0.5">
      <c r="B157" s="464">
        <v>65</v>
      </c>
      <c r="C157" s="465" t="s">
        <v>2435</v>
      </c>
      <c r="D157" s="459">
        <v>1954</v>
      </c>
      <c r="E157" s="459"/>
      <c r="F157" s="460" t="s">
        <v>267</v>
      </c>
      <c r="G157" s="459">
        <v>2</v>
      </c>
      <c r="H157" s="459">
        <v>3</v>
      </c>
      <c r="I157" s="461">
        <v>2032.3</v>
      </c>
      <c r="J157" s="461">
        <v>1714.4</v>
      </c>
      <c r="K157" s="461">
        <v>1714.4</v>
      </c>
      <c r="L157" s="462">
        <v>68</v>
      </c>
      <c r="M157" s="466" t="s">
        <v>265</v>
      </c>
      <c r="N157" s="190" t="s">
        <v>2415</v>
      </c>
      <c r="O157" s="461">
        <v>41343.79</v>
      </c>
      <c r="P157" s="461">
        <f t="shared" si="3"/>
        <v>20.343349899129066</v>
      </c>
      <c r="Q157" s="461">
        <v>3131.6885302366777</v>
      </c>
      <c r="T157" s="463"/>
    </row>
    <row r="158" spans="1:20" ht="35.25" x14ac:dyDescent="0.5">
      <c r="B158" s="458" t="s">
        <v>1395</v>
      </c>
      <c r="C158" s="465"/>
      <c r="D158" s="459" t="s">
        <v>743</v>
      </c>
      <c r="E158" s="459" t="s">
        <v>743</v>
      </c>
      <c r="F158" s="460" t="s">
        <v>743</v>
      </c>
      <c r="G158" s="459" t="s">
        <v>743</v>
      </c>
      <c r="H158" s="459" t="s">
        <v>743</v>
      </c>
      <c r="I158" s="461">
        <f>SUM(I159:I173)</f>
        <v>47621.47</v>
      </c>
      <c r="J158" s="461">
        <f>SUM(J159:J173)</f>
        <v>44795.68</v>
      </c>
      <c r="K158" s="461">
        <f>SUM(K159:K173)</f>
        <v>40469.659999999996</v>
      </c>
      <c r="L158" s="462">
        <f>SUM(L159:L173)</f>
        <v>2263</v>
      </c>
      <c r="M158" s="459" t="s">
        <v>882</v>
      </c>
      <c r="N158" s="190" t="s">
        <v>882</v>
      </c>
      <c r="O158" s="461">
        <v>5257534.7999999989</v>
      </c>
      <c r="P158" s="461">
        <f t="shared" si="3"/>
        <v>110.40261461899431</v>
      </c>
      <c r="Q158" s="461">
        <f>MAX(Q159:Q173)</f>
        <v>6899.7434211921372</v>
      </c>
      <c r="T158" s="463"/>
    </row>
    <row r="159" spans="1:20" ht="35.25" x14ac:dyDescent="0.5">
      <c r="A159" s="4">
        <v>1</v>
      </c>
      <c r="B159" s="464">
        <f>B157+1</f>
        <v>66</v>
      </c>
      <c r="C159" s="465" t="s">
        <v>1442</v>
      </c>
      <c r="D159" s="459">
        <v>1968</v>
      </c>
      <c r="E159" s="459"/>
      <c r="F159" s="460" t="s">
        <v>267</v>
      </c>
      <c r="G159" s="459">
        <v>6</v>
      </c>
      <c r="H159" s="459">
        <v>8</v>
      </c>
      <c r="I159" s="461">
        <v>6064</v>
      </c>
      <c r="J159" s="461">
        <v>5971</v>
      </c>
      <c r="K159" s="461">
        <v>5128.3999999999996</v>
      </c>
      <c r="L159" s="462">
        <v>268</v>
      </c>
      <c r="M159" s="459" t="s">
        <v>341</v>
      </c>
      <c r="N159" s="190" t="s">
        <v>1503</v>
      </c>
      <c r="O159" s="461">
        <v>1768733.14</v>
      </c>
      <c r="P159" s="461">
        <f t="shared" si="3"/>
        <v>291.67762862796832</v>
      </c>
      <c r="Q159" s="461">
        <v>2188.1926616094984</v>
      </c>
      <c r="T159" s="463"/>
    </row>
    <row r="160" spans="1:20" ht="35.25" x14ac:dyDescent="0.5">
      <c r="A160" s="4">
        <v>1</v>
      </c>
      <c r="B160" s="464">
        <f t="shared" ref="B160:B173" si="4">B159+1</f>
        <v>67</v>
      </c>
      <c r="C160" s="465" t="s">
        <v>1443</v>
      </c>
      <c r="D160" s="459">
        <v>1983</v>
      </c>
      <c r="E160" s="459"/>
      <c r="F160" s="460" t="s">
        <v>267</v>
      </c>
      <c r="G160" s="459">
        <v>5</v>
      </c>
      <c r="H160" s="459">
        <v>6</v>
      </c>
      <c r="I160" s="461">
        <v>4247.2</v>
      </c>
      <c r="J160" s="461">
        <v>3821.7</v>
      </c>
      <c r="K160" s="461">
        <v>3620.8</v>
      </c>
      <c r="L160" s="462">
        <v>176</v>
      </c>
      <c r="M160" s="459" t="s">
        <v>269</v>
      </c>
      <c r="N160" s="190" t="s">
        <v>1504</v>
      </c>
      <c r="O160" s="461">
        <v>224063.98</v>
      </c>
      <c r="P160" s="461">
        <f t="shared" si="3"/>
        <v>52.755693162554159</v>
      </c>
      <c r="Q160" s="461">
        <v>1739.0844556413638</v>
      </c>
      <c r="T160" s="463"/>
    </row>
    <row r="161" spans="1:20" ht="35.25" x14ac:dyDescent="0.5">
      <c r="A161" s="4">
        <v>1</v>
      </c>
      <c r="B161" s="464">
        <f t="shared" si="4"/>
        <v>68</v>
      </c>
      <c r="C161" s="465" t="s">
        <v>1444</v>
      </c>
      <c r="D161" s="459">
        <v>1973</v>
      </c>
      <c r="E161" s="459"/>
      <c r="F161" s="460" t="s">
        <v>267</v>
      </c>
      <c r="G161" s="459">
        <v>5</v>
      </c>
      <c r="H161" s="459">
        <v>8</v>
      </c>
      <c r="I161" s="461">
        <v>6143</v>
      </c>
      <c r="J161" s="461">
        <v>6075.43</v>
      </c>
      <c r="K161" s="461">
        <v>5422.03</v>
      </c>
      <c r="L161" s="462">
        <v>275</v>
      </c>
      <c r="M161" s="459" t="s">
        <v>269</v>
      </c>
      <c r="N161" s="190" t="s">
        <v>1505</v>
      </c>
      <c r="O161" s="461">
        <v>31696.09</v>
      </c>
      <c r="P161" s="461">
        <f t="shared" si="3"/>
        <v>5.1597086114276411</v>
      </c>
      <c r="Q161" s="461">
        <v>1954.5346736122415</v>
      </c>
      <c r="T161" s="463"/>
    </row>
    <row r="162" spans="1:20" ht="35.25" x14ac:dyDescent="0.5">
      <c r="A162" s="4">
        <v>1</v>
      </c>
      <c r="B162" s="464">
        <f t="shared" si="4"/>
        <v>69</v>
      </c>
      <c r="C162" s="465" t="s">
        <v>1445</v>
      </c>
      <c r="D162" s="459">
        <v>1961</v>
      </c>
      <c r="E162" s="459"/>
      <c r="F162" s="460" t="s">
        <v>267</v>
      </c>
      <c r="G162" s="459">
        <v>4</v>
      </c>
      <c r="H162" s="459">
        <v>3</v>
      </c>
      <c r="I162" s="461">
        <v>2176</v>
      </c>
      <c r="J162" s="461">
        <v>2029.3</v>
      </c>
      <c r="K162" s="461">
        <v>1988.8</v>
      </c>
      <c r="L162" s="462">
        <v>89</v>
      </c>
      <c r="M162" s="459" t="s">
        <v>269</v>
      </c>
      <c r="N162" s="190" t="s">
        <v>1329</v>
      </c>
      <c r="O162" s="461">
        <v>97154.82</v>
      </c>
      <c r="P162" s="461">
        <f t="shared" si="3"/>
        <v>44.648354779411768</v>
      </c>
      <c r="Q162" s="461">
        <v>2201.133823529412</v>
      </c>
      <c r="T162" s="463"/>
    </row>
    <row r="163" spans="1:20" ht="35.25" x14ac:dyDescent="0.5">
      <c r="A163" s="4">
        <v>1</v>
      </c>
      <c r="B163" s="464">
        <f t="shared" si="4"/>
        <v>70</v>
      </c>
      <c r="C163" s="465" t="s">
        <v>1446</v>
      </c>
      <c r="D163" s="459">
        <v>1961</v>
      </c>
      <c r="E163" s="459"/>
      <c r="F163" s="460" t="s">
        <v>267</v>
      </c>
      <c r="G163" s="459">
        <v>2</v>
      </c>
      <c r="H163" s="459">
        <v>2</v>
      </c>
      <c r="I163" s="461">
        <v>588.42999999999995</v>
      </c>
      <c r="J163" s="461">
        <v>546.92999999999995</v>
      </c>
      <c r="K163" s="461">
        <v>516.08000000000004</v>
      </c>
      <c r="L163" s="462">
        <v>30</v>
      </c>
      <c r="M163" s="459" t="s">
        <v>269</v>
      </c>
      <c r="N163" s="190" t="s">
        <v>1505</v>
      </c>
      <c r="O163" s="461">
        <v>115006.25</v>
      </c>
      <c r="P163" s="461">
        <f t="shared" si="3"/>
        <v>195.4459323963768</v>
      </c>
      <c r="Q163" s="461">
        <v>5728.7843923661276</v>
      </c>
      <c r="T163" s="463"/>
    </row>
    <row r="164" spans="1:20" ht="35.25" x14ac:dyDescent="0.5">
      <c r="A164" s="4">
        <v>1</v>
      </c>
      <c r="B164" s="464">
        <f t="shared" si="4"/>
        <v>71</v>
      </c>
      <c r="C164" s="465" t="s">
        <v>1447</v>
      </c>
      <c r="D164" s="459">
        <v>1963</v>
      </c>
      <c r="E164" s="459"/>
      <c r="F164" s="460" t="s">
        <v>267</v>
      </c>
      <c r="G164" s="459">
        <v>4</v>
      </c>
      <c r="H164" s="459">
        <v>4</v>
      </c>
      <c r="I164" s="461">
        <v>2368</v>
      </c>
      <c r="J164" s="461">
        <v>2347.9899999999998</v>
      </c>
      <c r="K164" s="461">
        <v>2199.56</v>
      </c>
      <c r="L164" s="462">
        <v>87</v>
      </c>
      <c r="M164" s="459" t="s">
        <v>269</v>
      </c>
      <c r="N164" s="190" t="s">
        <v>1506</v>
      </c>
      <c r="O164" s="461">
        <v>1485022.6</v>
      </c>
      <c r="P164" s="461">
        <f t="shared" si="3"/>
        <v>627.12103040540546</v>
      </c>
      <c r="Q164" s="461">
        <v>3402.2519425675673</v>
      </c>
      <c r="T164" s="463"/>
    </row>
    <row r="165" spans="1:20" ht="35.25" x14ac:dyDescent="0.5">
      <c r="A165" s="4">
        <v>1</v>
      </c>
      <c r="B165" s="464">
        <f t="shared" si="4"/>
        <v>72</v>
      </c>
      <c r="C165" s="465" t="s">
        <v>1448</v>
      </c>
      <c r="D165" s="459">
        <v>1971</v>
      </c>
      <c r="E165" s="459"/>
      <c r="F165" s="460" t="s">
        <v>267</v>
      </c>
      <c r="G165" s="459">
        <v>4</v>
      </c>
      <c r="H165" s="459">
        <v>1</v>
      </c>
      <c r="I165" s="461">
        <v>1601</v>
      </c>
      <c r="J165" s="461">
        <v>1473.9</v>
      </c>
      <c r="K165" s="461">
        <v>1166.5999999999999</v>
      </c>
      <c r="L165" s="462">
        <v>103</v>
      </c>
      <c r="M165" s="459" t="s">
        <v>269</v>
      </c>
      <c r="N165" s="190" t="s">
        <v>1506</v>
      </c>
      <c r="O165" s="461">
        <v>179270.28</v>
      </c>
      <c r="P165" s="461">
        <f t="shared" si="3"/>
        <v>111.97394128669582</v>
      </c>
      <c r="Q165" s="461">
        <v>2715.2677076826981</v>
      </c>
      <c r="T165" s="463"/>
    </row>
    <row r="166" spans="1:20" ht="35.25" x14ac:dyDescent="0.5">
      <c r="A166" s="4">
        <v>1</v>
      </c>
      <c r="B166" s="464">
        <f t="shared" si="4"/>
        <v>73</v>
      </c>
      <c r="C166" s="465" t="s">
        <v>1449</v>
      </c>
      <c r="D166" s="459">
        <v>1963</v>
      </c>
      <c r="E166" s="459"/>
      <c r="F166" s="460" t="s">
        <v>267</v>
      </c>
      <c r="G166" s="459">
        <v>2</v>
      </c>
      <c r="H166" s="459">
        <v>2</v>
      </c>
      <c r="I166" s="461">
        <v>1027.9000000000001</v>
      </c>
      <c r="J166" s="461">
        <v>620.86</v>
      </c>
      <c r="K166" s="461">
        <v>620.86</v>
      </c>
      <c r="L166" s="462">
        <v>40</v>
      </c>
      <c r="M166" s="459" t="s">
        <v>269</v>
      </c>
      <c r="N166" s="190" t="s">
        <v>1507</v>
      </c>
      <c r="O166" s="461">
        <v>21660.55</v>
      </c>
      <c r="P166" s="461">
        <f t="shared" si="3"/>
        <v>21.072623796089111</v>
      </c>
      <c r="Q166" s="461">
        <v>3539.0644031520569</v>
      </c>
      <c r="T166" s="463"/>
    </row>
    <row r="167" spans="1:20" ht="35.25" x14ac:dyDescent="0.5">
      <c r="A167" s="4">
        <v>1</v>
      </c>
      <c r="B167" s="464">
        <f t="shared" si="4"/>
        <v>74</v>
      </c>
      <c r="C167" s="465" t="s">
        <v>1450</v>
      </c>
      <c r="D167" s="459">
        <v>2003</v>
      </c>
      <c r="E167" s="459"/>
      <c r="F167" s="460" t="s">
        <v>267</v>
      </c>
      <c r="G167" s="459">
        <v>5</v>
      </c>
      <c r="H167" s="459">
        <v>8</v>
      </c>
      <c r="I167" s="461">
        <v>6514</v>
      </c>
      <c r="J167" s="461">
        <v>5845.8</v>
      </c>
      <c r="K167" s="461">
        <v>5845.8</v>
      </c>
      <c r="L167" s="462">
        <v>360</v>
      </c>
      <c r="M167" s="459" t="s">
        <v>269</v>
      </c>
      <c r="N167" s="190" t="s">
        <v>1508</v>
      </c>
      <c r="O167" s="461">
        <v>825558.04</v>
      </c>
      <c r="P167" s="461">
        <f t="shared" si="3"/>
        <v>126.73595947190667</v>
      </c>
      <c r="Q167" s="461">
        <v>1547.5018882407121</v>
      </c>
      <c r="T167" s="463"/>
    </row>
    <row r="168" spans="1:20" ht="35.25" x14ac:dyDescent="0.5">
      <c r="A168" s="4">
        <v>1</v>
      </c>
      <c r="B168" s="464">
        <f t="shared" si="4"/>
        <v>75</v>
      </c>
      <c r="C168" s="465" t="s">
        <v>1451</v>
      </c>
      <c r="D168" s="459">
        <v>1960</v>
      </c>
      <c r="E168" s="459"/>
      <c r="F168" s="460" t="s">
        <v>267</v>
      </c>
      <c r="G168" s="459">
        <v>2</v>
      </c>
      <c r="H168" s="459">
        <v>2</v>
      </c>
      <c r="I168" s="461">
        <v>585.54999999999995</v>
      </c>
      <c r="J168" s="461">
        <v>545.35</v>
      </c>
      <c r="K168" s="461">
        <v>433.53000000000003</v>
      </c>
      <c r="L168" s="462">
        <v>34</v>
      </c>
      <c r="M168" s="459" t="s">
        <v>266</v>
      </c>
      <c r="N168" s="190" t="s">
        <v>268</v>
      </c>
      <c r="O168" s="461">
        <v>58127.710000000006</v>
      </c>
      <c r="P168" s="461">
        <f t="shared" si="3"/>
        <v>99.270275809068423</v>
      </c>
      <c r="Q168" s="461">
        <v>5001.2210742037405</v>
      </c>
      <c r="T168" s="463"/>
    </row>
    <row r="169" spans="1:20" ht="35.25" x14ac:dyDescent="0.5">
      <c r="A169" s="4">
        <v>1</v>
      </c>
      <c r="B169" s="464">
        <f t="shared" si="4"/>
        <v>76</v>
      </c>
      <c r="C169" s="465" t="s">
        <v>1150</v>
      </c>
      <c r="D169" s="459">
        <v>1989</v>
      </c>
      <c r="E169" s="459"/>
      <c r="F169" s="460" t="s">
        <v>267</v>
      </c>
      <c r="G169" s="459">
        <v>9</v>
      </c>
      <c r="H169" s="459">
        <v>1</v>
      </c>
      <c r="I169" s="461">
        <v>3494</v>
      </c>
      <c r="J169" s="461">
        <v>3277.11</v>
      </c>
      <c r="K169" s="461">
        <v>3141.61</v>
      </c>
      <c r="L169" s="462">
        <v>159</v>
      </c>
      <c r="M169" s="459" t="s">
        <v>269</v>
      </c>
      <c r="N169" s="190" t="s">
        <v>1509</v>
      </c>
      <c r="O169" s="461">
        <v>174209.85</v>
      </c>
      <c r="P169" s="461">
        <f t="shared" si="3"/>
        <v>49.859716657126505</v>
      </c>
      <c r="Q169" s="461">
        <v>927.54281625643966</v>
      </c>
      <c r="T169" s="463"/>
    </row>
    <row r="170" spans="1:20" ht="35.25" x14ac:dyDescent="0.5">
      <c r="A170" s="4">
        <v>1</v>
      </c>
      <c r="B170" s="464">
        <f t="shared" si="4"/>
        <v>77</v>
      </c>
      <c r="C170" s="465" t="s">
        <v>1452</v>
      </c>
      <c r="D170" s="459">
        <v>1987</v>
      </c>
      <c r="E170" s="459"/>
      <c r="F170" s="460" t="s">
        <v>311</v>
      </c>
      <c r="G170" s="459">
        <v>5</v>
      </c>
      <c r="H170" s="459">
        <v>6</v>
      </c>
      <c r="I170" s="461">
        <v>4362</v>
      </c>
      <c r="J170" s="461">
        <v>3933.6</v>
      </c>
      <c r="K170" s="461">
        <v>3462.6</v>
      </c>
      <c r="L170" s="462">
        <v>234</v>
      </c>
      <c r="M170" s="190" t="s">
        <v>269</v>
      </c>
      <c r="N170" s="466" t="s">
        <v>321</v>
      </c>
      <c r="O170" s="461">
        <v>101365.01</v>
      </c>
      <c r="P170" s="461">
        <f t="shared" si="3"/>
        <v>23.238195781751489</v>
      </c>
      <c r="Q170" s="461">
        <v>1591.8651765245299</v>
      </c>
      <c r="T170" s="463"/>
    </row>
    <row r="171" spans="1:20" ht="35.25" x14ac:dyDescent="0.5">
      <c r="A171" s="4">
        <v>1</v>
      </c>
      <c r="B171" s="464">
        <f t="shared" si="4"/>
        <v>78</v>
      </c>
      <c r="C171" s="465" t="s">
        <v>1489</v>
      </c>
      <c r="D171" s="459">
        <v>1966</v>
      </c>
      <c r="E171" s="459"/>
      <c r="F171" s="460" t="s">
        <v>267</v>
      </c>
      <c r="G171" s="459">
        <v>5</v>
      </c>
      <c r="H171" s="459">
        <v>4</v>
      </c>
      <c r="I171" s="461">
        <v>3416</v>
      </c>
      <c r="J171" s="461">
        <v>3392</v>
      </c>
      <c r="K171" s="461">
        <v>2976.63</v>
      </c>
      <c r="L171" s="462">
        <v>150</v>
      </c>
      <c r="M171" s="190" t="s">
        <v>269</v>
      </c>
      <c r="N171" s="466" t="s">
        <v>1507</v>
      </c>
      <c r="O171" s="461">
        <v>70328.740000000005</v>
      </c>
      <c r="P171" s="461">
        <f t="shared" si="3"/>
        <v>20.588038641686182</v>
      </c>
      <c r="Q171" s="461">
        <v>712.1</v>
      </c>
      <c r="T171" s="463"/>
    </row>
    <row r="172" spans="1:20" ht="35.25" x14ac:dyDescent="0.5">
      <c r="B172" s="464">
        <f t="shared" si="4"/>
        <v>79</v>
      </c>
      <c r="C172" s="465" t="s">
        <v>1876</v>
      </c>
      <c r="D172" s="459">
        <v>1972</v>
      </c>
      <c r="E172" s="459"/>
      <c r="F172" s="460" t="s">
        <v>267</v>
      </c>
      <c r="G172" s="459">
        <v>5</v>
      </c>
      <c r="H172" s="459">
        <v>6</v>
      </c>
      <c r="I172" s="461">
        <v>4562.8</v>
      </c>
      <c r="J172" s="461">
        <v>4499.5</v>
      </c>
      <c r="K172" s="461">
        <v>3634.1</v>
      </c>
      <c r="L172" s="462">
        <v>237</v>
      </c>
      <c r="M172" s="466" t="s">
        <v>269</v>
      </c>
      <c r="N172" s="190" t="s">
        <v>325</v>
      </c>
      <c r="O172" s="461">
        <v>46834.77</v>
      </c>
      <c r="P172" s="461">
        <f t="shared" si="3"/>
        <v>10.264480143771367</v>
      </c>
      <c r="Q172" s="461">
        <v>2083.7533312878054</v>
      </c>
      <c r="T172" s="463"/>
    </row>
    <row r="173" spans="1:20" ht="35.25" x14ac:dyDescent="0.5">
      <c r="B173" s="464">
        <f t="shared" si="4"/>
        <v>80</v>
      </c>
      <c r="C173" s="465" t="s">
        <v>1877</v>
      </c>
      <c r="D173" s="459">
        <v>1963</v>
      </c>
      <c r="E173" s="459"/>
      <c r="F173" s="460" t="s">
        <v>267</v>
      </c>
      <c r="G173" s="459">
        <v>2</v>
      </c>
      <c r="H173" s="459">
        <v>1</v>
      </c>
      <c r="I173" s="461">
        <v>471.59</v>
      </c>
      <c r="J173" s="461">
        <v>415.21</v>
      </c>
      <c r="K173" s="461">
        <v>312.26</v>
      </c>
      <c r="L173" s="462">
        <v>21</v>
      </c>
      <c r="M173" s="466" t="s">
        <v>266</v>
      </c>
      <c r="N173" s="190" t="s">
        <v>268</v>
      </c>
      <c r="O173" s="461">
        <v>58502.97</v>
      </c>
      <c r="P173" s="461">
        <f t="shared" si="3"/>
        <v>124.05472974405734</v>
      </c>
      <c r="Q173" s="461">
        <v>6899.7434211921372</v>
      </c>
      <c r="T173" s="463"/>
    </row>
    <row r="174" spans="1:20" ht="35.25" x14ac:dyDescent="0.5">
      <c r="B174" s="458" t="s">
        <v>1396</v>
      </c>
      <c r="C174" s="465"/>
      <c r="D174" s="459" t="s">
        <v>743</v>
      </c>
      <c r="E174" s="459" t="s">
        <v>743</v>
      </c>
      <c r="F174" s="460" t="s">
        <v>743</v>
      </c>
      <c r="G174" s="459" t="s">
        <v>743</v>
      </c>
      <c r="H174" s="459" t="s">
        <v>743</v>
      </c>
      <c r="I174" s="461">
        <f>SUM(I175:I180)</f>
        <v>45795.1</v>
      </c>
      <c r="J174" s="461">
        <f>SUM(J175:J180)</f>
        <v>40691.799999999996</v>
      </c>
      <c r="K174" s="461">
        <f>SUM(K175:K180)</f>
        <v>37862.1</v>
      </c>
      <c r="L174" s="462">
        <f>SUM(L175:L180)</f>
        <v>2257</v>
      </c>
      <c r="M174" s="459" t="s">
        <v>882</v>
      </c>
      <c r="N174" s="190" t="s">
        <v>882</v>
      </c>
      <c r="O174" s="461">
        <v>1550578.68</v>
      </c>
      <c r="P174" s="461">
        <f t="shared" si="3"/>
        <v>33.859052169336891</v>
      </c>
      <c r="Q174" s="461">
        <f>MAX(Q175:Q180)</f>
        <v>913.66684890077931</v>
      </c>
      <c r="T174" s="463"/>
    </row>
    <row r="175" spans="1:20" ht="35.25" x14ac:dyDescent="0.5">
      <c r="A175" s="4">
        <v>1</v>
      </c>
      <c r="B175" s="464">
        <f>B173+1</f>
        <v>81</v>
      </c>
      <c r="C175" s="465" t="s">
        <v>1453</v>
      </c>
      <c r="D175" s="459">
        <v>1978</v>
      </c>
      <c r="E175" s="459"/>
      <c r="F175" s="460" t="s">
        <v>311</v>
      </c>
      <c r="G175" s="459">
        <v>9</v>
      </c>
      <c r="H175" s="459">
        <v>4</v>
      </c>
      <c r="I175" s="461">
        <v>8707</v>
      </c>
      <c r="J175" s="461">
        <v>7693.6</v>
      </c>
      <c r="K175" s="461">
        <v>7347.1</v>
      </c>
      <c r="L175" s="462">
        <v>357</v>
      </c>
      <c r="M175" s="459" t="s">
        <v>269</v>
      </c>
      <c r="N175" s="190" t="s">
        <v>319</v>
      </c>
      <c r="O175" s="461">
        <v>382556.25999999995</v>
      </c>
      <c r="P175" s="461">
        <f t="shared" si="3"/>
        <v>43.936632594464221</v>
      </c>
      <c r="Q175" s="461">
        <v>867.0704915585161</v>
      </c>
      <c r="T175" s="463"/>
    </row>
    <row r="176" spans="1:20" ht="35.25" x14ac:dyDescent="0.5">
      <c r="A176" s="4">
        <v>1</v>
      </c>
      <c r="B176" s="464">
        <f>B175+1</f>
        <v>82</v>
      </c>
      <c r="C176" s="465" t="s">
        <v>1454</v>
      </c>
      <c r="D176" s="459">
        <v>1981</v>
      </c>
      <c r="E176" s="459"/>
      <c r="F176" s="460" t="s">
        <v>311</v>
      </c>
      <c r="G176" s="459">
        <v>9</v>
      </c>
      <c r="H176" s="459">
        <v>4</v>
      </c>
      <c r="I176" s="461">
        <v>8838.4</v>
      </c>
      <c r="J176" s="461">
        <v>7825</v>
      </c>
      <c r="K176" s="461">
        <v>7353.9</v>
      </c>
      <c r="L176" s="462">
        <v>387</v>
      </c>
      <c r="M176" s="459" t="s">
        <v>269</v>
      </c>
      <c r="N176" s="190" t="s">
        <v>319</v>
      </c>
      <c r="O176" s="461">
        <v>381284.05</v>
      </c>
      <c r="P176" s="461">
        <f t="shared" si="3"/>
        <v>43.139487916364956</v>
      </c>
      <c r="Q176" s="461">
        <v>878.18313156227373</v>
      </c>
      <c r="T176" s="463"/>
    </row>
    <row r="177" spans="1:20" ht="35.25" x14ac:dyDescent="0.5">
      <c r="A177" s="4">
        <v>1</v>
      </c>
      <c r="B177" s="464">
        <f>B176+1</f>
        <v>83</v>
      </c>
      <c r="C177" s="465" t="s">
        <v>380</v>
      </c>
      <c r="D177" s="459">
        <v>1982</v>
      </c>
      <c r="E177" s="459"/>
      <c r="F177" s="460" t="s">
        <v>311</v>
      </c>
      <c r="G177" s="459">
        <v>9</v>
      </c>
      <c r="H177" s="459">
        <v>4</v>
      </c>
      <c r="I177" s="461">
        <v>8597</v>
      </c>
      <c r="J177" s="461">
        <v>7716.1</v>
      </c>
      <c r="K177" s="461">
        <v>7190.6</v>
      </c>
      <c r="L177" s="462">
        <v>399</v>
      </c>
      <c r="M177" s="459" t="s">
        <v>269</v>
      </c>
      <c r="N177" s="190" t="s">
        <v>319</v>
      </c>
      <c r="O177" s="461">
        <v>292385.17000000004</v>
      </c>
      <c r="P177" s="461">
        <f t="shared" si="3"/>
        <v>34.010139583575672</v>
      </c>
      <c r="Q177" s="461">
        <v>913.66684890077931</v>
      </c>
      <c r="T177" s="463"/>
    </row>
    <row r="178" spans="1:20" ht="35.25" x14ac:dyDescent="0.5">
      <c r="A178" s="4">
        <v>1</v>
      </c>
      <c r="B178" s="464">
        <f>B177+1</f>
        <v>84</v>
      </c>
      <c r="C178" s="465" t="s">
        <v>1455</v>
      </c>
      <c r="D178" s="459">
        <v>1983</v>
      </c>
      <c r="E178" s="459"/>
      <c r="F178" s="460" t="s">
        <v>311</v>
      </c>
      <c r="G178" s="459">
        <v>9</v>
      </c>
      <c r="H178" s="459">
        <v>4</v>
      </c>
      <c r="I178" s="461">
        <v>8601.7999999999993</v>
      </c>
      <c r="J178" s="461">
        <v>7730</v>
      </c>
      <c r="K178" s="461">
        <v>7318.9</v>
      </c>
      <c r="L178" s="462">
        <v>404</v>
      </c>
      <c r="M178" s="459" t="s">
        <v>269</v>
      </c>
      <c r="N178" s="190" t="s">
        <v>319</v>
      </c>
      <c r="O178" s="461">
        <v>292385.17000000004</v>
      </c>
      <c r="P178" s="461">
        <f t="shared" si="3"/>
        <v>33.991161152316963</v>
      </c>
      <c r="Q178" s="461">
        <v>912.40045106838113</v>
      </c>
      <c r="T178" s="463"/>
    </row>
    <row r="179" spans="1:20" ht="35.25" x14ac:dyDescent="0.5">
      <c r="A179" s="4">
        <v>1</v>
      </c>
      <c r="B179" s="464">
        <f>B178+1</f>
        <v>85</v>
      </c>
      <c r="C179" s="465" t="s">
        <v>1456</v>
      </c>
      <c r="D179" s="459">
        <v>1987</v>
      </c>
      <c r="E179" s="459"/>
      <c r="F179" s="460" t="s">
        <v>267</v>
      </c>
      <c r="G179" s="459">
        <v>12</v>
      </c>
      <c r="H179" s="459">
        <v>1</v>
      </c>
      <c r="I179" s="461">
        <v>4535.8</v>
      </c>
      <c r="J179" s="461">
        <v>3907.5</v>
      </c>
      <c r="K179" s="461">
        <v>3078</v>
      </c>
      <c r="L179" s="462">
        <v>448</v>
      </c>
      <c r="M179" s="459" t="s">
        <v>269</v>
      </c>
      <c r="N179" s="190" t="s">
        <v>319</v>
      </c>
      <c r="O179" s="461">
        <v>193920.28</v>
      </c>
      <c r="P179" s="461">
        <f t="shared" si="3"/>
        <v>42.753269544512541</v>
      </c>
      <c r="Q179" s="461">
        <v>741.18740244278843</v>
      </c>
      <c r="T179" s="463"/>
    </row>
    <row r="180" spans="1:20" ht="35.25" x14ac:dyDescent="0.5">
      <c r="A180" s="4">
        <v>1</v>
      </c>
      <c r="B180" s="464">
        <f>B179+1</f>
        <v>86</v>
      </c>
      <c r="C180" s="465" t="s">
        <v>2270</v>
      </c>
      <c r="D180" s="459">
        <v>1984</v>
      </c>
      <c r="E180" s="459"/>
      <c r="F180" s="460" t="s">
        <v>311</v>
      </c>
      <c r="G180" s="459">
        <v>9</v>
      </c>
      <c r="H180" s="459">
        <v>3</v>
      </c>
      <c r="I180" s="461">
        <v>6515.1</v>
      </c>
      <c r="J180" s="461">
        <v>5819.6</v>
      </c>
      <c r="K180" s="461">
        <v>5573.6</v>
      </c>
      <c r="L180" s="462">
        <v>262</v>
      </c>
      <c r="M180" s="459" t="s">
        <v>269</v>
      </c>
      <c r="N180" s="190" t="s">
        <v>319</v>
      </c>
      <c r="O180" s="461">
        <v>8047.75</v>
      </c>
      <c r="P180" s="461">
        <f t="shared" si="3"/>
        <v>1.2352458135715492</v>
      </c>
      <c r="Q180" s="461">
        <v>780.11292228822276</v>
      </c>
      <c r="T180" s="463"/>
    </row>
    <row r="181" spans="1:20" ht="35.25" x14ac:dyDescent="0.5">
      <c r="B181" s="458" t="s">
        <v>876</v>
      </c>
      <c r="C181" s="465"/>
      <c r="D181" s="459" t="s">
        <v>743</v>
      </c>
      <c r="E181" s="459" t="s">
        <v>743</v>
      </c>
      <c r="F181" s="460" t="s">
        <v>743</v>
      </c>
      <c r="G181" s="459" t="s">
        <v>743</v>
      </c>
      <c r="H181" s="459" t="s">
        <v>743</v>
      </c>
      <c r="I181" s="461">
        <f>SUM(I182:I183)</f>
        <v>6959.2</v>
      </c>
      <c r="J181" s="461">
        <f>SUM(J182:J183)</f>
        <v>6276.4</v>
      </c>
      <c r="K181" s="461">
        <f>SUM(K182:K183)</f>
        <v>6276.4</v>
      </c>
      <c r="L181" s="462">
        <f>SUM(L182:L183)</f>
        <v>259</v>
      </c>
      <c r="M181" s="459" t="s">
        <v>882</v>
      </c>
      <c r="N181" s="190" t="s">
        <v>882</v>
      </c>
      <c r="O181" s="461">
        <v>3231773.15</v>
      </c>
      <c r="P181" s="461">
        <f t="shared" si="3"/>
        <v>464.38860070123002</v>
      </c>
      <c r="Q181" s="461">
        <f>MAX(Q182:Q183)</f>
        <v>1523.2502448720904</v>
      </c>
      <c r="T181" s="463"/>
    </row>
    <row r="182" spans="1:20" ht="35.25" x14ac:dyDescent="0.5">
      <c r="A182" s="4">
        <v>1</v>
      </c>
      <c r="B182" s="464">
        <f>B180+1</f>
        <v>87</v>
      </c>
      <c r="C182" s="465" t="s">
        <v>1457</v>
      </c>
      <c r="D182" s="459">
        <v>1988</v>
      </c>
      <c r="E182" s="459"/>
      <c r="F182" s="460" t="s">
        <v>311</v>
      </c>
      <c r="G182" s="459">
        <v>5</v>
      </c>
      <c r="H182" s="459">
        <v>4</v>
      </c>
      <c r="I182" s="461">
        <v>3471.2</v>
      </c>
      <c r="J182" s="461">
        <v>3130.3</v>
      </c>
      <c r="K182" s="461">
        <v>3130.3</v>
      </c>
      <c r="L182" s="462">
        <v>113</v>
      </c>
      <c r="M182" s="459" t="s">
        <v>266</v>
      </c>
      <c r="N182" s="190" t="s">
        <v>268</v>
      </c>
      <c r="O182" s="461">
        <v>1617633.46</v>
      </c>
      <c r="P182" s="461">
        <f t="shared" si="3"/>
        <v>466.01563148190831</v>
      </c>
      <c r="Q182" s="461">
        <v>1523.2502448720904</v>
      </c>
      <c r="T182" s="463"/>
    </row>
    <row r="183" spans="1:20" ht="35.25" x14ac:dyDescent="0.5">
      <c r="A183" s="4">
        <v>1</v>
      </c>
      <c r="B183" s="464">
        <f>B182+1</f>
        <v>88</v>
      </c>
      <c r="C183" s="465" t="s">
        <v>1458</v>
      </c>
      <c r="D183" s="459">
        <v>1989</v>
      </c>
      <c r="E183" s="459"/>
      <c r="F183" s="460" t="s">
        <v>267</v>
      </c>
      <c r="G183" s="459">
        <v>5</v>
      </c>
      <c r="H183" s="459">
        <v>4</v>
      </c>
      <c r="I183" s="461">
        <v>3488</v>
      </c>
      <c r="J183" s="461">
        <v>3146.1</v>
      </c>
      <c r="K183" s="461">
        <v>3146.1</v>
      </c>
      <c r="L183" s="462">
        <v>146</v>
      </c>
      <c r="M183" s="459" t="s">
        <v>266</v>
      </c>
      <c r="N183" s="190" t="s">
        <v>268</v>
      </c>
      <c r="O183" s="461">
        <v>1614139.69</v>
      </c>
      <c r="P183" s="461">
        <f t="shared" si="3"/>
        <v>462.7694065366972</v>
      </c>
      <c r="Q183" s="461">
        <v>1515.9134891055046</v>
      </c>
      <c r="T183" s="463"/>
    </row>
    <row r="184" spans="1:20" ht="35.25" x14ac:dyDescent="0.5">
      <c r="B184" s="458" t="s">
        <v>1397</v>
      </c>
      <c r="C184" s="465"/>
      <c r="D184" s="459" t="s">
        <v>743</v>
      </c>
      <c r="E184" s="459" t="s">
        <v>743</v>
      </c>
      <c r="F184" s="460" t="s">
        <v>743</v>
      </c>
      <c r="G184" s="459" t="s">
        <v>743</v>
      </c>
      <c r="H184" s="459" t="s">
        <v>743</v>
      </c>
      <c r="I184" s="461">
        <f>I185+I186</f>
        <v>1317.6</v>
      </c>
      <c r="J184" s="461">
        <f>J185+J186</f>
        <v>1189.5999999999999</v>
      </c>
      <c r="K184" s="461">
        <f>K185+K186</f>
        <v>1093.8</v>
      </c>
      <c r="L184" s="462">
        <f>L185+L186</f>
        <v>50</v>
      </c>
      <c r="M184" s="459" t="s">
        <v>882</v>
      </c>
      <c r="N184" s="190" t="s">
        <v>882</v>
      </c>
      <c r="O184" s="461">
        <v>35323.410000000003</v>
      </c>
      <c r="P184" s="461">
        <f t="shared" si="3"/>
        <v>26.80890255009108</v>
      </c>
      <c r="Q184" s="461">
        <f>MAX(Q185:Q186)</f>
        <v>5845.4119469026546</v>
      </c>
      <c r="T184" s="463"/>
    </row>
    <row r="185" spans="1:20" ht="35.25" x14ac:dyDescent="0.5">
      <c r="A185" s="4">
        <v>1</v>
      </c>
      <c r="B185" s="464">
        <f>B183+1</f>
        <v>89</v>
      </c>
      <c r="C185" s="465" t="s">
        <v>1459</v>
      </c>
      <c r="D185" s="459">
        <v>1985</v>
      </c>
      <c r="E185" s="459"/>
      <c r="F185" s="460" t="s">
        <v>311</v>
      </c>
      <c r="G185" s="459">
        <v>2</v>
      </c>
      <c r="H185" s="459">
        <v>2</v>
      </c>
      <c r="I185" s="461">
        <v>978.6</v>
      </c>
      <c r="J185" s="461">
        <v>880.3</v>
      </c>
      <c r="K185" s="461">
        <v>821.4</v>
      </c>
      <c r="L185" s="462">
        <v>30</v>
      </c>
      <c r="M185" s="459" t="s">
        <v>266</v>
      </c>
      <c r="N185" s="190" t="s">
        <v>268</v>
      </c>
      <c r="O185" s="461">
        <v>11164.380000000001</v>
      </c>
      <c r="P185" s="461">
        <f t="shared" si="3"/>
        <v>11.408522378908646</v>
      </c>
      <c r="Q185" s="461">
        <v>3136.1448191293684</v>
      </c>
      <c r="T185" s="463"/>
    </row>
    <row r="186" spans="1:20" ht="35.25" x14ac:dyDescent="0.5">
      <c r="B186" s="464">
        <f>B185+1</f>
        <v>90</v>
      </c>
      <c r="C186" s="465" t="s">
        <v>1878</v>
      </c>
      <c r="D186" s="459" t="s">
        <v>350</v>
      </c>
      <c r="E186" s="459"/>
      <c r="F186" s="460" t="s">
        <v>267</v>
      </c>
      <c r="G186" s="459">
        <v>2</v>
      </c>
      <c r="H186" s="459">
        <v>1</v>
      </c>
      <c r="I186" s="461">
        <v>339</v>
      </c>
      <c r="J186" s="461">
        <v>309.3</v>
      </c>
      <c r="K186" s="461">
        <v>272.39999999999998</v>
      </c>
      <c r="L186" s="462">
        <v>20</v>
      </c>
      <c r="M186" s="466" t="s">
        <v>269</v>
      </c>
      <c r="N186" s="190" t="s">
        <v>1886</v>
      </c>
      <c r="O186" s="461">
        <v>24159.03</v>
      </c>
      <c r="P186" s="461">
        <f t="shared" si="3"/>
        <v>71.265575221238933</v>
      </c>
      <c r="Q186" s="461">
        <v>5845.4119469026546</v>
      </c>
      <c r="T186" s="463"/>
    </row>
    <row r="187" spans="1:20" ht="35.25" x14ac:dyDescent="0.5">
      <c r="B187" s="458" t="s">
        <v>852</v>
      </c>
      <c r="C187" s="465"/>
      <c r="D187" s="459" t="s">
        <v>743</v>
      </c>
      <c r="E187" s="459" t="s">
        <v>743</v>
      </c>
      <c r="F187" s="460" t="s">
        <v>743</v>
      </c>
      <c r="G187" s="459" t="s">
        <v>743</v>
      </c>
      <c r="H187" s="459" t="s">
        <v>743</v>
      </c>
      <c r="I187" s="461">
        <f>I188</f>
        <v>3121</v>
      </c>
      <c r="J187" s="461">
        <f>J188</f>
        <v>1791</v>
      </c>
      <c r="K187" s="461">
        <f>K188</f>
        <v>1791</v>
      </c>
      <c r="L187" s="462">
        <f>L188</f>
        <v>171</v>
      </c>
      <c r="M187" s="459" t="s">
        <v>882</v>
      </c>
      <c r="N187" s="190" t="s">
        <v>882</v>
      </c>
      <c r="O187" s="461">
        <v>778244.79</v>
      </c>
      <c r="P187" s="461">
        <f t="shared" si="3"/>
        <v>249.35751041332907</v>
      </c>
      <c r="Q187" s="461">
        <f>Q188</f>
        <v>2027.7918135213072</v>
      </c>
      <c r="T187" s="463"/>
    </row>
    <row r="188" spans="1:20" ht="35.25" x14ac:dyDescent="0.5">
      <c r="A188" s="4">
        <v>1</v>
      </c>
      <c r="B188" s="464">
        <f>B186+1</f>
        <v>91</v>
      </c>
      <c r="C188" s="465" t="s">
        <v>1460</v>
      </c>
      <c r="D188" s="459">
        <v>1986</v>
      </c>
      <c r="E188" s="459"/>
      <c r="F188" s="460" t="s">
        <v>311</v>
      </c>
      <c r="G188" s="459">
        <v>5</v>
      </c>
      <c r="H188" s="459">
        <v>4</v>
      </c>
      <c r="I188" s="461">
        <v>3121</v>
      </c>
      <c r="J188" s="461">
        <v>1791</v>
      </c>
      <c r="K188" s="461">
        <v>1791</v>
      </c>
      <c r="L188" s="462">
        <v>171</v>
      </c>
      <c r="M188" s="459" t="s">
        <v>341</v>
      </c>
      <c r="N188" s="190" t="s">
        <v>1510</v>
      </c>
      <c r="O188" s="461">
        <v>778244.79</v>
      </c>
      <c r="P188" s="461">
        <f t="shared" si="3"/>
        <v>249.35751041332907</v>
      </c>
      <c r="Q188" s="461">
        <v>2027.7918135213072</v>
      </c>
      <c r="T188" s="463"/>
    </row>
    <row r="189" spans="1:20" ht="35.25" x14ac:dyDescent="0.5">
      <c r="B189" s="458" t="s">
        <v>838</v>
      </c>
      <c r="C189" s="465"/>
      <c r="D189" s="459" t="s">
        <v>743</v>
      </c>
      <c r="E189" s="459" t="s">
        <v>743</v>
      </c>
      <c r="F189" s="460" t="s">
        <v>743</v>
      </c>
      <c r="G189" s="459" t="s">
        <v>743</v>
      </c>
      <c r="H189" s="459" t="s">
        <v>743</v>
      </c>
      <c r="I189" s="461">
        <f>SUM(I190:I194)</f>
        <v>9754.2199999999993</v>
      </c>
      <c r="J189" s="461">
        <f>SUM(J190:J194)</f>
        <v>8433.5399999999991</v>
      </c>
      <c r="K189" s="461">
        <f>SUM(K190:K194)</f>
        <v>8193.64</v>
      </c>
      <c r="L189" s="462">
        <f>SUM(L190:L194)</f>
        <v>354</v>
      </c>
      <c r="M189" s="459" t="s">
        <v>882</v>
      </c>
      <c r="N189" s="190" t="s">
        <v>882</v>
      </c>
      <c r="O189" s="461">
        <v>2076577.0500000003</v>
      </c>
      <c r="P189" s="461">
        <f t="shared" si="3"/>
        <v>212.89011832827231</v>
      </c>
      <c r="Q189" s="461">
        <f>MAX(Q190:Q194)</f>
        <v>5900.2889152693278</v>
      </c>
      <c r="T189" s="463"/>
    </row>
    <row r="190" spans="1:20" ht="35.25" x14ac:dyDescent="0.5">
      <c r="A190" s="4">
        <v>1</v>
      </c>
      <c r="B190" s="464">
        <f>B188+1</f>
        <v>92</v>
      </c>
      <c r="C190" s="465" t="s">
        <v>1461</v>
      </c>
      <c r="D190" s="459">
        <v>1976</v>
      </c>
      <c r="E190" s="459"/>
      <c r="F190" s="460" t="s">
        <v>267</v>
      </c>
      <c r="G190" s="459">
        <v>5</v>
      </c>
      <c r="H190" s="459">
        <v>4</v>
      </c>
      <c r="I190" s="461">
        <v>3560.34</v>
      </c>
      <c r="J190" s="461">
        <v>3122.34</v>
      </c>
      <c r="K190" s="461">
        <v>3091.94</v>
      </c>
      <c r="L190" s="462">
        <v>145</v>
      </c>
      <c r="M190" s="459" t="s">
        <v>269</v>
      </c>
      <c r="N190" s="190" t="s">
        <v>1511</v>
      </c>
      <c r="O190" s="461">
        <v>672709.20000000007</v>
      </c>
      <c r="P190" s="461">
        <f t="shared" si="3"/>
        <v>188.94521309762553</v>
      </c>
      <c r="Q190" s="461">
        <v>1751.0621457501247</v>
      </c>
      <c r="T190" s="463"/>
    </row>
    <row r="191" spans="1:20" ht="35.25" x14ac:dyDescent="0.5">
      <c r="A191" s="4">
        <v>1</v>
      </c>
      <c r="B191" s="464">
        <f>B190+1</f>
        <v>93</v>
      </c>
      <c r="C191" s="465" t="s">
        <v>1462</v>
      </c>
      <c r="D191" s="459">
        <v>1958</v>
      </c>
      <c r="E191" s="459"/>
      <c r="F191" s="460" t="s">
        <v>267</v>
      </c>
      <c r="G191" s="459">
        <v>2</v>
      </c>
      <c r="H191" s="459">
        <v>2</v>
      </c>
      <c r="I191" s="461">
        <v>673.9</v>
      </c>
      <c r="J191" s="461">
        <v>615.9</v>
      </c>
      <c r="K191" s="461">
        <v>562.29999999999995</v>
      </c>
      <c r="L191" s="462">
        <v>32</v>
      </c>
      <c r="M191" s="459" t="s">
        <v>266</v>
      </c>
      <c r="N191" s="190" t="s">
        <v>268</v>
      </c>
      <c r="O191" s="461">
        <v>5758.94</v>
      </c>
      <c r="P191" s="461">
        <f t="shared" si="3"/>
        <v>8.5456892714052533</v>
      </c>
      <c r="Q191" s="461">
        <v>5900.2889152693278</v>
      </c>
      <c r="T191" s="463"/>
    </row>
    <row r="192" spans="1:20" ht="35.25" x14ac:dyDescent="0.5">
      <c r="A192" s="4">
        <v>1</v>
      </c>
      <c r="B192" s="464">
        <f>B191+1</f>
        <v>94</v>
      </c>
      <c r="C192" s="465" t="s">
        <v>1463</v>
      </c>
      <c r="D192" s="459">
        <v>1975</v>
      </c>
      <c r="E192" s="459"/>
      <c r="F192" s="460" t="s">
        <v>267</v>
      </c>
      <c r="G192" s="459">
        <v>2</v>
      </c>
      <c r="H192" s="459">
        <v>2</v>
      </c>
      <c r="I192" s="461">
        <v>768.5</v>
      </c>
      <c r="J192" s="461">
        <v>710</v>
      </c>
      <c r="K192" s="461">
        <v>655.20000000000005</v>
      </c>
      <c r="L192" s="462">
        <v>38</v>
      </c>
      <c r="M192" s="459" t="s">
        <v>266</v>
      </c>
      <c r="N192" s="190" t="s">
        <v>268</v>
      </c>
      <c r="O192" s="461">
        <v>233459.54</v>
      </c>
      <c r="P192" s="461">
        <f t="shared" si="3"/>
        <v>303.78599869876382</v>
      </c>
      <c r="Q192" s="461">
        <v>1525.5721014964215</v>
      </c>
      <c r="T192" s="463"/>
    </row>
    <row r="193" spans="1:20" ht="35.25" x14ac:dyDescent="0.5">
      <c r="A193" s="4">
        <v>1</v>
      </c>
      <c r="B193" s="464">
        <f>B192+1</f>
        <v>95</v>
      </c>
      <c r="C193" s="465" t="s">
        <v>1490</v>
      </c>
      <c r="D193" s="459">
        <v>1984</v>
      </c>
      <c r="E193" s="459"/>
      <c r="F193" s="460" t="s">
        <v>311</v>
      </c>
      <c r="G193" s="459">
        <v>4</v>
      </c>
      <c r="H193" s="459">
        <v>2</v>
      </c>
      <c r="I193" s="461">
        <v>1287.08</v>
      </c>
      <c r="J193" s="461">
        <v>1127.9000000000001</v>
      </c>
      <c r="K193" s="461">
        <v>1026.8</v>
      </c>
      <c r="L193" s="462">
        <v>51</v>
      </c>
      <c r="M193" s="459" t="s">
        <v>266</v>
      </c>
      <c r="N193" s="190" t="s">
        <v>268</v>
      </c>
      <c r="O193" s="461">
        <v>57671.29</v>
      </c>
      <c r="P193" s="461">
        <f t="shared" si="3"/>
        <v>44.807851881778916</v>
      </c>
      <c r="Q193" s="461">
        <v>2568.5362215246919</v>
      </c>
      <c r="T193" s="463"/>
    </row>
    <row r="194" spans="1:20" ht="35.25" x14ac:dyDescent="0.5">
      <c r="A194" s="4">
        <v>1</v>
      </c>
      <c r="B194" s="464">
        <f>B193+1</f>
        <v>96</v>
      </c>
      <c r="C194" s="465" t="s">
        <v>2267</v>
      </c>
      <c r="D194" s="459">
        <v>1971</v>
      </c>
      <c r="E194" s="459"/>
      <c r="F194" s="460" t="s">
        <v>267</v>
      </c>
      <c r="G194" s="459">
        <v>5</v>
      </c>
      <c r="H194" s="459">
        <v>4</v>
      </c>
      <c r="I194" s="461">
        <v>3464.4</v>
      </c>
      <c r="J194" s="461">
        <v>2857.4</v>
      </c>
      <c r="K194" s="461">
        <f>J194</f>
        <v>2857.4</v>
      </c>
      <c r="L194" s="462">
        <v>88</v>
      </c>
      <c r="M194" s="459" t="s">
        <v>266</v>
      </c>
      <c r="N194" s="190" t="s">
        <v>268</v>
      </c>
      <c r="O194" s="461">
        <v>1106978.08</v>
      </c>
      <c r="P194" s="461">
        <f t="shared" si="3"/>
        <v>319.52952314975175</v>
      </c>
      <c r="Q194" s="461">
        <v>1839.1897788938923</v>
      </c>
      <c r="T194" s="463"/>
    </row>
    <row r="195" spans="1:20" ht="35.25" x14ac:dyDescent="0.5">
      <c r="B195" s="458" t="s">
        <v>862</v>
      </c>
      <c r="C195" s="465"/>
      <c r="D195" s="459" t="s">
        <v>743</v>
      </c>
      <c r="E195" s="459" t="s">
        <v>743</v>
      </c>
      <c r="F195" s="460" t="s">
        <v>743</v>
      </c>
      <c r="G195" s="459" t="s">
        <v>743</v>
      </c>
      <c r="H195" s="459" t="s">
        <v>743</v>
      </c>
      <c r="I195" s="461">
        <f>I196</f>
        <v>5085.1000000000004</v>
      </c>
      <c r="J195" s="461">
        <f>J196</f>
        <v>4673.5</v>
      </c>
      <c r="K195" s="461">
        <f>K196</f>
        <v>4551.8</v>
      </c>
      <c r="L195" s="462">
        <f>L196</f>
        <v>199</v>
      </c>
      <c r="M195" s="459" t="s">
        <v>882</v>
      </c>
      <c r="N195" s="190" t="s">
        <v>882</v>
      </c>
      <c r="O195" s="461">
        <v>425208.96</v>
      </c>
      <c r="P195" s="461">
        <f t="shared" si="3"/>
        <v>83.618603370631845</v>
      </c>
      <c r="Q195" s="461">
        <f>Q196</f>
        <v>1565.1446579221645</v>
      </c>
      <c r="T195" s="463"/>
    </row>
    <row r="196" spans="1:20" ht="35.25" x14ac:dyDescent="0.5">
      <c r="A196" s="4">
        <v>1</v>
      </c>
      <c r="B196" s="464">
        <f>B194+1</f>
        <v>97</v>
      </c>
      <c r="C196" s="465" t="s">
        <v>1464</v>
      </c>
      <c r="D196" s="459">
        <v>1982</v>
      </c>
      <c r="E196" s="459"/>
      <c r="F196" s="460" t="s">
        <v>311</v>
      </c>
      <c r="G196" s="459">
        <v>5</v>
      </c>
      <c r="H196" s="459">
        <v>6</v>
      </c>
      <c r="I196" s="461">
        <v>5085.1000000000004</v>
      </c>
      <c r="J196" s="461">
        <v>4673.5</v>
      </c>
      <c r="K196" s="461">
        <v>4551.8</v>
      </c>
      <c r="L196" s="462">
        <v>199</v>
      </c>
      <c r="M196" s="459" t="s">
        <v>341</v>
      </c>
      <c r="N196" s="190" t="s">
        <v>1512</v>
      </c>
      <c r="O196" s="461">
        <v>425208.96</v>
      </c>
      <c r="P196" s="461">
        <f t="shared" si="3"/>
        <v>83.618603370631845</v>
      </c>
      <c r="Q196" s="461">
        <v>1565.1446579221645</v>
      </c>
      <c r="T196" s="463"/>
    </row>
    <row r="197" spans="1:20" ht="35.25" x14ac:dyDescent="0.5">
      <c r="B197" s="458" t="s">
        <v>823</v>
      </c>
      <c r="C197" s="465"/>
      <c r="D197" s="459" t="s">
        <v>743</v>
      </c>
      <c r="E197" s="459" t="s">
        <v>743</v>
      </c>
      <c r="F197" s="459" t="s">
        <v>743</v>
      </c>
      <c r="G197" s="459" t="s">
        <v>743</v>
      </c>
      <c r="H197" s="459" t="s">
        <v>743</v>
      </c>
      <c r="I197" s="461">
        <f>I198+I199</f>
        <v>4174.76</v>
      </c>
      <c r="J197" s="461">
        <f>J198+J199</f>
        <v>2760.79</v>
      </c>
      <c r="K197" s="461">
        <f>K198+K199</f>
        <v>1330.8600000000001</v>
      </c>
      <c r="L197" s="462">
        <f>L198+L199</f>
        <v>92</v>
      </c>
      <c r="M197" s="459" t="s">
        <v>882</v>
      </c>
      <c r="N197" s="190" t="s">
        <v>882</v>
      </c>
      <c r="O197" s="461">
        <v>243092.59999999998</v>
      </c>
      <c r="P197" s="461">
        <f t="shared" si="3"/>
        <v>58.229119757782478</v>
      </c>
      <c r="Q197" s="461">
        <f>MAX(Q198:Q199)</f>
        <v>5582.2817384674036</v>
      </c>
      <c r="T197" s="463"/>
    </row>
    <row r="198" spans="1:20" ht="35.25" x14ac:dyDescent="0.5">
      <c r="A198" s="4">
        <v>1</v>
      </c>
      <c r="B198" s="464">
        <f>B196+1</f>
        <v>98</v>
      </c>
      <c r="C198" s="465" t="s">
        <v>1465</v>
      </c>
      <c r="D198" s="459">
        <v>1967</v>
      </c>
      <c r="E198" s="459"/>
      <c r="F198" s="460" t="s">
        <v>267</v>
      </c>
      <c r="G198" s="459">
        <v>4</v>
      </c>
      <c r="H198" s="459">
        <v>3</v>
      </c>
      <c r="I198" s="461">
        <v>3387.86</v>
      </c>
      <c r="J198" s="461">
        <v>2034.29</v>
      </c>
      <c r="K198" s="461">
        <v>1015.36</v>
      </c>
      <c r="L198" s="462">
        <v>59</v>
      </c>
      <c r="M198" s="459" t="s">
        <v>269</v>
      </c>
      <c r="N198" s="190" t="s">
        <v>1297</v>
      </c>
      <c r="O198" s="461">
        <v>218819.08</v>
      </c>
      <c r="P198" s="461">
        <f t="shared" si="3"/>
        <v>64.589174287013037</v>
      </c>
      <c r="Q198" s="461">
        <v>1401.8641443270972</v>
      </c>
      <c r="T198" s="463"/>
    </row>
    <row r="199" spans="1:20" ht="35.25" x14ac:dyDescent="0.5">
      <c r="B199" s="464">
        <f>B198+1</f>
        <v>99</v>
      </c>
      <c r="C199" s="465" t="s">
        <v>1879</v>
      </c>
      <c r="D199" s="459" t="s">
        <v>353</v>
      </c>
      <c r="E199" s="459"/>
      <c r="F199" s="460" t="s">
        <v>267</v>
      </c>
      <c r="G199" s="459">
        <v>2</v>
      </c>
      <c r="H199" s="459">
        <v>2</v>
      </c>
      <c r="I199" s="461">
        <v>786.9</v>
      </c>
      <c r="J199" s="461">
        <v>726.5</v>
      </c>
      <c r="K199" s="461">
        <v>315.5</v>
      </c>
      <c r="L199" s="462">
        <v>33</v>
      </c>
      <c r="M199" s="466" t="s">
        <v>269</v>
      </c>
      <c r="N199" s="190" t="s">
        <v>1887</v>
      </c>
      <c r="O199" s="461">
        <v>24273.52</v>
      </c>
      <c r="P199" s="461">
        <f t="shared" si="3"/>
        <v>30.847019951709239</v>
      </c>
      <c r="Q199" s="461">
        <v>5582.2817384674036</v>
      </c>
      <c r="T199" s="463"/>
    </row>
    <row r="200" spans="1:20" ht="35.25" x14ac:dyDescent="0.5">
      <c r="B200" s="458" t="s">
        <v>835</v>
      </c>
      <c r="C200" s="465"/>
      <c r="D200" s="459" t="s">
        <v>743</v>
      </c>
      <c r="E200" s="459" t="s">
        <v>743</v>
      </c>
      <c r="F200" s="460" t="s">
        <v>743</v>
      </c>
      <c r="G200" s="459" t="s">
        <v>743</v>
      </c>
      <c r="H200" s="459" t="s">
        <v>743</v>
      </c>
      <c r="I200" s="461">
        <f>SUM(I201:I202)</f>
        <v>15972.619999999999</v>
      </c>
      <c r="J200" s="461">
        <f>SUM(J201:J202)</f>
        <v>13085.72</v>
      </c>
      <c r="K200" s="461">
        <f>SUM(K201:K202)</f>
        <v>12402.84</v>
      </c>
      <c r="L200" s="462">
        <f>SUM(L201:L202)</f>
        <v>615</v>
      </c>
      <c r="M200" s="459" t="s">
        <v>882</v>
      </c>
      <c r="N200" s="190" t="s">
        <v>882</v>
      </c>
      <c r="O200" s="461">
        <v>1988549.43</v>
      </c>
      <c r="P200" s="461">
        <f t="shared" si="3"/>
        <v>124.49738552598134</v>
      </c>
      <c r="Q200" s="461">
        <f>MAX(Q201:Q202)</f>
        <v>2168.2382214519939</v>
      </c>
      <c r="T200" s="463"/>
    </row>
    <row r="201" spans="1:20" ht="35.25" x14ac:dyDescent="0.5">
      <c r="A201" s="4">
        <v>1</v>
      </c>
      <c r="B201" s="464">
        <f>B199+1</f>
        <v>100</v>
      </c>
      <c r="C201" s="465" t="s">
        <v>1466</v>
      </c>
      <c r="D201" s="459">
        <v>1989</v>
      </c>
      <c r="E201" s="459"/>
      <c r="F201" s="460" t="s">
        <v>267</v>
      </c>
      <c r="G201" s="459">
        <v>5</v>
      </c>
      <c r="H201" s="459">
        <v>12</v>
      </c>
      <c r="I201" s="461">
        <v>10086.92</v>
      </c>
      <c r="J201" s="461">
        <v>8329.2199999999993</v>
      </c>
      <c r="K201" s="461">
        <v>7734.54</v>
      </c>
      <c r="L201" s="462">
        <v>405</v>
      </c>
      <c r="M201" s="459" t="s">
        <v>269</v>
      </c>
      <c r="N201" s="190" t="s">
        <v>1513</v>
      </c>
      <c r="O201" s="461">
        <v>83534.5</v>
      </c>
      <c r="P201" s="461">
        <f t="shared" si="3"/>
        <v>8.2814674846236507</v>
      </c>
      <c r="Q201" s="461">
        <v>1794.0026678113832</v>
      </c>
      <c r="T201" s="463"/>
    </row>
    <row r="202" spans="1:20" ht="35.25" x14ac:dyDescent="0.5">
      <c r="A202" s="4">
        <v>1</v>
      </c>
      <c r="B202" s="464">
        <f>B201+1</f>
        <v>101</v>
      </c>
      <c r="C202" s="465" t="s">
        <v>1467</v>
      </c>
      <c r="D202" s="459">
        <v>1977</v>
      </c>
      <c r="E202" s="459"/>
      <c r="F202" s="460" t="s">
        <v>267</v>
      </c>
      <c r="G202" s="459">
        <v>5</v>
      </c>
      <c r="H202" s="459">
        <v>8</v>
      </c>
      <c r="I202" s="461">
        <v>5885.7</v>
      </c>
      <c r="J202" s="461">
        <v>4756.5</v>
      </c>
      <c r="K202" s="461">
        <v>4668.3</v>
      </c>
      <c r="L202" s="462">
        <v>210</v>
      </c>
      <c r="M202" s="459" t="s">
        <v>269</v>
      </c>
      <c r="N202" s="190" t="s">
        <v>1514</v>
      </c>
      <c r="O202" s="461">
        <v>1905014.93</v>
      </c>
      <c r="P202" s="461">
        <f t="shared" si="3"/>
        <v>323.66837079701651</v>
      </c>
      <c r="Q202" s="461">
        <v>2168.2382214519939</v>
      </c>
      <c r="T202" s="463"/>
    </row>
    <row r="203" spans="1:20" ht="35.25" x14ac:dyDescent="0.5">
      <c r="B203" s="458" t="s">
        <v>875</v>
      </c>
      <c r="C203" s="465"/>
      <c r="D203" s="459" t="s">
        <v>743</v>
      </c>
      <c r="E203" s="459" t="s">
        <v>743</v>
      </c>
      <c r="F203" s="460" t="s">
        <v>743</v>
      </c>
      <c r="G203" s="459" t="s">
        <v>743</v>
      </c>
      <c r="H203" s="459" t="s">
        <v>743</v>
      </c>
      <c r="I203" s="461">
        <f>I204+I205+I206</f>
        <v>3408</v>
      </c>
      <c r="J203" s="461">
        <f>J204+J205+J206</f>
        <v>3083.5</v>
      </c>
      <c r="K203" s="461">
        <f>K204+K205+K206</f>
        <v>2494.5</v>
      </c>
      <c r="L203" s="462">
        <f>L204+L205+L206</f>
        <v>189</v>
      </c>
      <c r="M203" s="459" t="s">
        <v>882</v>
      </c>
      <c r="N203" s="190" t="s">
        <v>882</v>
      </c>
      <c r="O203" s="461">
        <v>660109.07000000007</v>
      </c>
      <c r="P203" s="461">
        <f t="shared" si="3"/>
        <v>193.69397593896716</v>
      </c>
      <c r="Q203" s="461">
        <f>MAX(Q204:Q206)</f>
        <v>5908.2027878787876</v>
      </c>
      <c r="T203" s="463"/>
    </row>
    <row r="204" spans="1:20" ht="35.25" x14ac:dyDescent="0.5">
      <c r="A204" s="4">
        <v>1</v>
      </c>
      <c r="B204" s="464">
        <f>B202+1</f>
        <v>102</v>
      </c>
      <c r="C204" s="465" t="s">
        <v>1468</v>
      </c>
      <c r="D204" s="459">
        <v>1961</v>
      </c>
      <c r="E204" s="459"/>
      <c r="F204" s="460" t="s">
        <v>267</v>
      </c>
      <c r="G204" s="459">
        <v>2</v>
      </c>
      <c r="H204" s="459">
        <v>3</v>
      </c>
      <c r="I204" s="461">
        <v>825</v>
      </c>
      <c r="J204" s="461">
        <v>769.5</v>
      </c>
      <c r="K204" s="461">
        <v>628.1</v>
      </c>
      <c r="L204" s="462">
        <v>57</v>
      </c>
      <c r="M204" s="459" t="s">
        <v>269</v>
      </c>
      <c r="N204" s="190" t="s">
        <v>1515</v>
      </c>
      <c r="O204" s="461">
        <v>590350.84</v>
      </c>
      <c r="P204" s="461">
        <f t="shared" si="3"/>
        <v>715.57677575757577</v>
      </c>
      <c r="Q204" s="461">
        <v>5908.2027878787876</v>
      </c>
      <c r="T204" s="463"/>
    </row>
    <row r="205" spans="1:20" ht="35.25" x14ac:dyDescent="0.5">
      <c r="A205" s="4">
        <v>1</v>
      </c>
      <c r="B205" s="464">
        <f>B204+1</f>
        <v>103</v>
      </c>
      <c r="C205" s="465" t="s">
        <v>1469</v>
      </c>
      <c r="D205" s="459">
        <v>1985</v>
      </c>
      <c r="E205" s="459"/>
      <c r="F205" s="460" t="s">
        <v>267</v>
      </c>
      <c r="G205" s="459">
        <v>4</v>
      </c>
      <c r="H205" s="459">
        <v>2</v>
      </c>
      <c r="I205" s="461">
        <v>1789.9</v>
      </c>
      <c r="J205" s="461">
        <v>1591.4</v>
      </c>
      <c r="K205" s="461">
        <v>1185</v>
      </c>
      <c r="L205" s="462">
        <v>91</v>
      </c>
      <c r="M205" s="459" t="s">
        <v>269</v>
      </c>
      <c r="N205" s="190" t="s">
        <v>1515</v>
      </c>
      <c r="O205" s="461">
        <v>30755.429999999997</v>
      </c>
      <c r="P205" s="461">
        <f t="shared" si="3"/>
        <v>17.182764400245819</v>
      </c>
      <c r="Q205" s="461">
        <v>2558.8687971395047</v>
      </c>
      <c r="T205" s="463"/>
    </row>
    <row r="206" spans="1:20" ht="35.25" x14ac:dyDescent="0.5">
      <c r="B206" s="464">
        <f>B205+1</f>
        <v>104</v>
      </c>
      <c r="C206" s="465" t="s">
        <v>1880</v>
      </c>
      <c r="D206" s="459" t="s">
        <v>317</v>
      </c>
      <c r="E206" s="459"/>
      <c r="F206" s="460" t="s">
        <v>267</v>
      </c>
      <c r="G206" s="459">
        <v>2</v>
      </c>
      <c r="H206" s="459">
        <v>2</v>
      </c>
      <c r="I206" s="461">
        <v>793.1</v>
      </c>
      <c r="J206" s="461">
        <v>722.6</v>
      </c>
      <c r="K206" s="461">
        <v>681.4</v>
      </c>
      <c r="L206" s="462">
        <v>41</v>
      </c>
      <c r="M206" s="466" t="s">
        <v>269</v>
      </c>
      <c r="N206" s="190" t="s">
        <v>1888</v>
      </c>
      <c r="O206" s="461">
        <v>39002.800000000003</v>
      </c>
      <c r="P206" s="461">
        <f t="shared" si="3"/>
        <v>49.177657294162152</v>
      </c>
      <c r="Q206" s="461">
        <v>4874.0055478502072</v>
      </c>
      <c r="T206" s="463"/>
    </row>
    <row r="207" spans="1:20" ht="35.25" x14ac:dyDescent="0.5">
      <c r="B207" s="458" t="s">
        <v>849</v>
      </c>
      <c r="C207" s="465"/>
      <c r="D207" s="459" t="s">
        <v>743</v>
      </c>
      <c r="E207" s="459" t="s">
        <v>743</v>
      </c>
      <c r="F207" s="460" t="s">
        <v>743</v>
      </c>
      <c r="G207" s="459" t="s">
        <v>743</v>
      </c>
      <c r="H207" s="459" t="s">
        <v>743</v>
      </c>
      <c r="I207" s="461">
        <f>I208</f>
        <v>677.1</v>
      </c>
      <c r="J207" s="461">
        <f>J208</f>
        <v>618.1</v>
      </c>
      <c r="K207" s="461">
        <f>K208</f>
        <v>363.3</v>
      </c>
      <c r="L207" s="462">
        <f>L208</f>
        <v>37</v>
      </c>
      <c r="M207" s="459" t="s">
        <v>882</v>
      </c>
      <c r="N207" s="190" t="s">
        <v>882</v>
      </c>
      <c r="O207" s="461">
        <v>39585</v>
      </c>
      <c r="P207" s="461">
        <f t="shared" si="3"/>
        <v>58.462560921577314</v>
      </c>
      <c r="Q207" s="461">
        <f>Q208</f>
        <v>5228.4578348840641</v>
      </c>
      <c r="T207" s="463"/>
    </row>
    <row r="208" spans="1:20" ht="35.25" x14ac:dyDescent="0.5">
      <c r="A208" s="4">
        <v>1</v>
      </c>
      <c r="B208" s="464">
        <f>B206+1</f>
        <v>105</v>
      </c>
      <c r="C208" s="465" t="s">
        <v>1470</v>
      </c>
      <c r="D208" s="459">
        <v>1991</v>
      </c>
      <c r="E208" s="459"/>
      <c r="F208" s="460" t="s">
        <v>311</v>
      </c>
      <c r="G208" s="459">
        <v>2</v>
      </c>
      <c r="H208" s="459">
        <v>2</v>
      </c>
      <c r="I208" s="461">
        <v>677.1</v>
      </c>
      <c r="J208" s="461">
        <v>618.1</v>
      </c>
      <c r="K208" s="461">
        <v>363.3</v>
      </c>
      <c r="L208" s="462">
        <v>37</v>
      </c>
      <c r="M208" s="459" t="s">
        <v>266</v>
      </c>
      <c r="N208" s="190" t="s">
        <v>268</v>
      </c>
      <c r="O208" s="461">
        <v>39585</v>
      </c>
      <c r="P208" s="461">
        <f t="shared" si="3"/>
        <v>58.462560921577314</v>
      </c>
      <c r="Q208" s="461">
        <v>5228.4578348840641</v>
      </c>
      <c r="T208" s="463"/>
    </row>
    <row r="209" spans="1:20" ht="35.25" x14ac:dyDescent="0.5">
      <c r="B209" s="458" t="s">
        <v>817</v>
      </c>
      <c r="C209" s="465"/>
      <c r="D209" s="459" t="s">
        <v>743</v>
      </c>
      <c r="E209" s="459" t="s">
        <v>743</v>
      </c>
      <c r="F209" s="460" t="s">
        <v>743</v>
      </c>
      <c r="G209" s="459" t="s">
        <v>743</v>
      </c>
      <c r="H209" s="459" t="s">
        <v>743</v>
      </c>
      <c r="I209" s="461">
        <f>I210</f>
        <v>805.6</v>
      </c>
      <c r="J209" s="461">
        <f>J210</f>
        <v>744.2</v>
      </c>
      <c r="K209" s="461">
        <f>K210</f>
        <v>701.4</v>
      </c>
      <c r="L209" s="462">
        <f>L210</f>
        <v>44</v>
      </c>
      <c r="M209" s="459" t="s">
        <v>882</v>
      </c>
      <c r="N209" s="190" t="s">
        <v>882</v>
      </c>
      <c r="O209" s="461">
        <v>275468.56</v>
      </c>
      <c r="P209" s="461">
        <f t="shared" si="3"/>
        <v>341.94210526315788</v>
      </c>
      <c r="Q209" s="461">
        <f>Q210</f>
        <v>5719.2795431976165</v>
      </c>
      <c r="T209" s="463"/>
    </row>
    <row r="210" spans="1:20" ht="35.25" x14ac:dyDescent="0.5">
      <c r="A210" s="4">
        <v>1</v>
      </c>
      <c r="B210" s="464">
        <f>B208+1</f>
        <v>106</v>
      </c>
      <c r="C210" s="465" t="s">
        <v>1471</v>
      </c>
      <c r="D210" s="459">
        <v>1969</v>
      </c>
      <c r="E210" s="459"/>
      <c r="F210" s="460" t="s">
        <v>267</v>
      </c>
      <c r="G210" s="459">
        <v>2</v>
      </c>
      <c r="H210" s="459">
        <v>2</v>
      </c>
      <c r="I210" s="461">
        <v>805.6</v>
      </c>
      <c r="J210" s="461">
        <v>744.2</v>
      </c>
      <c r="K210" s="461">
        <v>701.4</v>
      </c>
      <c r="L210" s="462">
        <v>44</v>
      </c>
      <c r="M210" s="459" t="s">
        <v>266</v>
      </c>
      <c r="N210" s="190" t="s">
        <v>268</v>
      </c>
      <c r="O210" s="461">
        <v>275468.56</v>
      </c>
      <c r="P210" s="461">
        <f t="shared" si="3"/>
        <v>341.94210526315788</v>
      </c>
      <c r="Q210" s="461">
        <v>5719.2795431976165</v>
      </c>
      <c r="T210" s="463"/>
    </row>
    <row r="211" spans="1:20" ht="35.25" x14ac:dyDescent="0.5">
      <c r="B211" s="458" t="s">
        <v>859</v>
      </c>
      <c r="C211" s="465"/>
      <c r="D211" s="459" t="s">
        <v>743</v>
      </c>
      <c r="E211" s="459" t="s">
        <v>743</v>
      </c>
      <c r="F211" s="460" t="s">
        <v>743</v>
      </c>
      <c r="G211" s="459" t="s">
        <v>743</v>
      </c>
      <c r="H211" s="459" t="s">
        <v>743</v>
      </c>
      <c r="I211" s="461">
        <f>I212</f>
        <v>1423.3</v>
      </c>
      <c r="J211" s="461">
        <f>J212</f>
        <v>862.5</v>
      </c>
      <c r="K211" s="461">
        <f>K212</f>
        <v>862.5</v>
      </c>
      <c r="L211" s="462">
        <f>L212</f>
        <v>37</v>
      </c>
      <c r="M211" s="459" t="s">
        <v>882</v>
      </c>
      <c r="N211" s="190" t="s">
        <v>882</v>
      </c>
      <c r="O211" s="461">
        <v>50753.95</v>
      </c>
      <c r="P211" s="461">
        <f t="shared" si="3"/>
        <v>35.659347994098219</v>
      </c>
      <c r="Q211" s="461">
        <f>Q212</f>
        <v>3785.8326424506427</v>
      </c>
      <c r="T211" s="463"/>
    </row>
    <row r="212" spans="1:20" ht="35.25" x14ac:dyDescent="0.5">
      <c r="B212" s="464">
        <f>B210+1</f>
        <v>107</v>
      </c>
      <c r="C212" s="465" t="s">
        <v>1881</v>
      </c>
      <c r="D212" s="459">
        <v>1980</v>
      </c>
      <c r="E212" s="459"/>
      <c r="F212" s="460" t="s">
        <v>267</v>
      </c>
      <c r="G212" s="459">
        <v>2</v>
      </c>
      <c r="H212" s="459">
        <v>3</v>
      </c>
      <c r="I212" s="461">
        <v>1423.3</v>
      </c>
      <c r="J212" s="461">
        <v>862.5</v>
      </c>
      <c r="K212" s="461">
        <v>862.5</v>
      </c>
      <c r="L212" s="462">
        <v>37</v>
      </c>
      <c r="M212" s="459" t="s">
        <v>266</v>
      </c>
      <c r="N212" s="190" t="s">
        <v>268</v>
      </c>
      <c r="O212" s="461">
        <v>50753.95</v>
      </c>
      <c r="P212" s="461">
        <f t="shared" si="3"/>
        <v>35.659347994098219</v>
      </c>
      <c r="Q212" s="461">
        <v>3785.8326424506427</v>
      </c>
      <c r="T212" s="463"/>
    </row>
    <row r="213" spans="1:20" ht="35.25" x14ac:dyDescent="0.5">
      <c r="B213" s="458" t="s">
        <v>844</v>
      </c>
      <c r="C213" s="465"/>
      <c r="D213" s="459" t="s">
        <v>743</v>
      </c>
      <c r="E213" s="459" t="s">
        <v>743</v>
      </c>
      <c r="F213" s="460" t="s">
        <v>743</v>
      </c>
      <c r="G213" s="459" t="s">
        <v>743</v>
      </c>
      <c r="H213" s="459" t="s">
        <v>743</v>
      </c>
      <c r="I213" s="461">
        <f>SUM(I214:I217)</f>
        <v>13349.95</v>
      </c>
      <c r="J213" s="461">
        <f>SUM(J214:J217)</f>
        <v>8603.0499999999993</v>
      </c>
      <c r="K213" s="461">
        <f>SUM(K214:K217)</f>
        <v>6388.1299999999992</v>
      </c>
      <c r="L213" s="462">
        <f>SUM(L214:L217)</f>
        <v>640</v>
      </c>
      <c r="M213" s="459" t="s">
        <v>882</v>
      </c>
      <c r="N213" s="190" t="s">
        <v>882</v>
      </c>
      <c r="O213" s="461">
        <v>4098921.42</v>
      </c>
      <c r="P213" s="461">
        <f t="shared" si="3"/>
        <v>307.0364623088476</v>
      </c>
      <c r="Q213" s="461">
        <f>MAX(Q215:Q217)</f>
        <v>8433.9099237006394</v>
      </c>
      <c r="T213" s="463"/>
    </row>
    <row r="214" spans="1:20" ht="35.25" x14ac:dyDescent="0.5">
      <c r="A214" s="4">
        <v>1</v>
      </c>
      <c r="B214" s="464">
        <f>B212+1</f>
        <v>108</v>
      </c>
      <c r="C214" s="465" t="s">
        <v>1472</v>
      </c>
      <c r="D214" s="459">
        <v>1984</v>
      </c>
      <c r="E214" s="459"/>
      <c r="F214" s="460" t="s">
        <v>311</v>
      </c>
      <c r="G214" s="459">
        <v>5</v>
      </c>
      <c r="H214" s="459">
        <v>6</v>
      </c>
      <c r="I214" s="461">
        <v>6737.77</v>
      </c>
      <c r="J214" s="461">
        <v>4669.7</v>
      </c>
      <c r="K214" s="461">
        <v>4492.3999999999996</v>
      </c>
      <c r="L214" s="462">
        <v>246</v>
      </c>
      <c r="M214" s="459" t="s">
        <v>269</v>
      </c>
      <c r="N214" s="190" t="s">
        <v>1345</v>
      </c>
      <c r="O214" s="461">
        <v>3896508.54</v>
      </c>
      <c r="P214" s="461">
        <f t="shared" si="3"/>
        <v>578.30833346938232</v>
      </c>
      <c r="Q214" s="461">
        <v>1202.8741824075323</v>
      </c>
      <c r="T214" s="463"/>
    </row>
    <row r="215" spans="1:20" ht="35.25" x14ac:dyDescent="0.5">
      <c r="A215" s="4">
        <v>1</v>
      </c>
      <c r="B215" s="464">
        <f>B214+1</f>
        <v>109</v>
      </c>
      <c r="C215" s="465" t="s">
        <v>1473</v>
      </c>
      <c r="D215" s="459">
        <v>1976</v>
      </c>
      <c r="E215" s="459"/>
      <c r="F215" s="460" t="s">
        <v>267</v>
      </c>
      <c r="G215" s="459">
        <v>2</v>
      </c>
      <c r="H215" s="459">
        <v>2</v>
      </c>
      <c r="I215" s="461">
        <v>590.55999999999995</v>
      </c>
      <c r="J215" s="461">
        <v>553.66</v>
      </c>
      <c r="K215" s="461">
        <v>414.9</v>
      </c>
      <c r="L215" s="462">
        <v>34</v>
      </c>
      <c r="M215" s="459" t="s">
        <v>269</v>
      </c>
      <c r="N215" s="190" t="s">
        <v>294</v>
      </c>
      <c r="O215" s="461">
        <v>10339.869999999999</v>
      </c>
      <c r="P215" s="461">
        <f t="shared" ref="P215:P240" si="5">O215/I215</f>
        <v>17.508585071796261</v>
      </c>
      <c r="Q215" s="461">
        <v>5889.9445441614744</v>
      </c>
      <c r="T215" s="463"/>
    </row>
    <row r="216" spans="1:20" ht="35.25" x14ac:dyDescent="0.5">
      <c r="A216" s="4">
        <v>1</v>
      </c>
      <c r="B216" s="464">
        <f>B215+1</f>
        <v>110</v>
      </c>
      <c r="C216" s="465" t="s">
        <v>1474</v>
      </c>
      <c r="D216" s="459">
        <v>1975</v>
      </c>
      <c r="E216" s="459">
        <v>2010</v>
      </c>
      <c r="F216" s="460" t="s">
        <v>267</v>
      </c>
      <c r="G216" s="459">
        <v>5</v>
      </c>
      <c r="H216" s="459">
        <v>1</v>
      </c>
      <c r="I216" s="461">
        <v>5603.53</v>
      </c>
      <c r="J216" s="461">
        <v>3006.1</v>
      </c>
      <c r="K216" s="461">
        <v>1107.24</v>
      </c>
      <c r="L216" s="462">
        <v>341</v>
      </c>
      <c r="M216" s="459" t="s">
        <v>266</v>
      </c>
      <c r="N216" s="190" t="s">
        <v>268</v>
      </c>
      <c r="O216" s="461">
        <v>178357.44</v>
      </c>
      <c r="P216" s="461">
        <f t="shared" si="5"/>
        <v>31.829478917753633</v>
      </c>
      <c r="Q216" s="461">
        <v>3259.66</v>
      </c>
      <c r="T216" s="463"/>
    </row>
    <row r="217" spans="1:20" ht="35.25" x14ac:dyDescent="0.5">
      <c r="A217" s="4">
        <v>1</v>
      </c>
      <c r="B217" s="464">
        <f>B216+1</f>
        <v>111</v>
      </c>
      <c r="C217" s="465" t="s">
        <v>2268</v>
      </c>
      <c r="D217" s="459">
        <v>1968</v>
      </c>
      <c r="E217" s="459"/>
      <c r="F217" s="460" t="s">
        <v>267</v>
      </c>
      <c r="G217" s="459">
        <v>2</v>
      </c>
      <c r="H217" s="459">
        <v>2</v>
      </c>
      <c r="I217" s="461">
        <v>418.09</v>
      </c>
      <c r="J217" s="461">
        <v>373.59</v>
      </c>
      <c r="K217" s="461">
        <v>373.59</v>
      </c>
      <c r="L217" s="462">
        <v>19</v>
      </c>
      <c r="M217" s="459" t="s">
        <v>269</v>
      </c>
      <c r="N217" s="190" t="s">
        <v>294</v>
      </c>
      <c r="O217" s="461">
        <v>13715.57</v>
      </c>
      <c r="P217" s="461">
        <f t="shared" si="5"/>
        <v>32.805305077854051</v>
      </c>
      <c r="Q217" s="461">
        <v>8433.9099237006394</v>
      </c>
      <c r="T217" s="463"/>
    </row>
    <row r="218" spans="1:20" ht="35.25" x14ac:dyDescent="0.5">
      <c r="B218" s="458" t="s">
        <v>1279</v>
      </c>
      <c r="C218" s="465"/>
      <c r="D218" s="459" t="s">
        <v>743</v>
      </c>
      <c r="E218" s="459" t="s">
        <v>743</v>
      </c>
      <c r="F218" s="460" t="s">
        <v>743</v>
      </c>
      <c r="G218" s="459" t="s">
        <v>743</v>
      </c>
      <c r="H218" s="459" t="s">
        <v>743</v>
      </c>
      <c r="I218" s="461">
        <f>I219</f>
        <v>418.1</v>
      </c>
      <c r="J218" s="461">
        <f>J219</f>
        <v>377.6</v>
      </c>
      <c r="K218" s="461">
        <f>K219</f>
        <v>284.3</v>
      </c>
      <c r="L218" s="462">
        <f>L219</f>
        <v>12</v>
      </c>
      <c r="M218" s="459" t="s">
        <v>882</v>
      </c>
      <c r="N218" s="190" t="s">
        <v>882</v>
      </c>
      <c r="O218" s="461">
        <v>222759.59</v>
      </c>
      <c r="P218" s="461">
        <f t="shared" si="5"/>
        <v>532.79021765127959</v>
      </c>
      <c r="Q218" s="461">
        <f>Q219</f>
        <v>8684.7622602248266</v>
      </c>
      <c r="T218" s="463"/>
    </row>
    <row r="219" spans="1:20" ht="35.25" x14ac:dyDescent="0.5">
      <c r="A219" s="4">
        <v>1</v>
      </c>
      <c r="B219" s="464">
        <f>B217+1</f>
        <v>112</v>
      </c>
      <c r="C219" s="465" t="s">
        <v>1475</v>
      </c>
      <c r="D219" s="459">
        <v>1987</v>
      </c>
      <c r="E219" s="459"/>
      <c r="F219" s="460" t="s">
        <v>267</v>
      </c>
      <c r="G219" s="459">
        <v>2</v>
      </c>
      <c r="H219" s="459">
        <v>2</v>
      </c>
      <c r="I219" s="461">
        <v>418.1</v>
      </c>
      <c r="J219" s="461">
        <v>377.6</v>
      </c>
      <c r="K219" s="461">
        <v>284.3</v>
      </c>
      <c r="L219" s="462">
        <v>12</v>
      </c>
      <c r="M219" s="459" t="s">
        <v>266</v>
      </c>
      <c r="N219" s="190" t="s">
        <v>268</v>
      </c>
      <c r="O219" s="461">
        <v>222759.59</v>
      </c>
      <c r="P219" s="461">
        <f t="shared" si="5"/>
        <v>532.79021765127959</v>
      </c>
      <c r="Q219" s="461">
        <v>8684.7622602248266</v>
      </c>
      <c r="T219" s="463"/>
    </row>
    <row r="220" spans="1:20" ht="35.25" x14ac:dyDescent="0.5">
      <c r="B220" s="458" t="s">
        <v>840</v>
      </c>
      <c r="C220" s="465"/>
      <c r="D220" s="459" t="s">
        <v>743</v>
      </c>
      <c r="E220" s="459" t="s">
        <v>743</v>
      </c>
      <c r="F220" s="460" t="s">
        <v>743</v>
      </c>
      <c r="G220" s="459" t="s">
        <v>743</v>
      </c>
      <c r="H220" s="459" t="s">
        <v>743</v>
      </c>
      <c r="I220" s="461">
        <f>I221</f>
        <v>344.6</v>
      </c>
      <c r="J220" s="461">
        <f>J221</f>
        <v>312.2</v>
      </c>
      <c r="K220" s="461">
        <f>K221</f>
        <v>312.2</v>
      </c>
      <c r="L220" s="462">
        <f>L221</f>
        <v>15</v>
      </c>
      <c r="M220" s="459" t="s">
        <v>882</v>
      </c>
      <c r="N220" s="190" t="s">
        <v>882</v>
      </c>
      <c r="O220" s="461">
        <v>137654.99000000002</v>
      </c>
      <c r="P220" s="461">
        <f t="shared" si="5"/>
        <v>399.46311665699363</v>
      </c>
      <c r="Q220" s="461">
        <f>Q221</f>
        <v>8006.4231224608247</v>
      </c>
      <c r="T220" s="463"/>
    </row>
    <row r="221" spans="1:20" ht="35.25" x14ac:dyDescent="0.5">
      <c r="A221" s="4">
        <v>1</v>
      </c>
      <c r="B221" s="464">
        <f>B219+1</f>
        <v>113</v>
      </c>
      <c r="C221" s="465" t="s">
        <v>1476</v>
      </c>
      <c r="D221" s="459">
        <v>1975</v>
      </c>
      <c r="E221" s="459"/>
      <c r="F221" s="460" t="s">
        <v>267</v>
      </c>
      <c r="G221" s="459">
        <v>2</v>
      </c>
      <c r="H221" s="459">
        <v>1</v>
      </c>
      <c r="I221" s="461">
        <v>344.6</v>
      </c>
      <c r="J221" s="461">
        <v>312.2</v>
      </c>
      <c r="K221" s="461">
        <v>312.2</v>
      </c>
      <c r="L221" s="462">
        <v>15</v>
      </c>
      <c r="M221" s="459" t="s">
        <v>266</v>
      </c>
      <c r="N221" s="190" t="s">
        <v>268</v>
      </c>
      <c r="O221" s="461">
        <v>137654.99000000002</v>
      </c>
      <c r="P221" s="461">
        <f t="shared" si="5"/>
        <v>399.46311665699363</v>
      </c>
      <c r="Q221" s="461">
        <v>8006.4231224608247</v>
      </c>
      <c r="T221" s="463"/>
    </row>
    <row r="222" spans="1:20" ht="35.25" x14ac:dyDescent="0.5">
      <c r="B222" s="458" t="s">
        <v>828</v>
      </c>
      <c r="C222" s="465"/>
      <c r="D222" s="459" t="s">
        <v>743</v>
      </c>
      <c r="E222" s="459" t="s">
        <v>743</v>
      </c>
      <c r="F222" s="460" t="s">
        <v>743</v>
      </c>
      <c r="G222" s="459" t="s">
        <v>743</v>
      </c>
      <c r="H222" s="459" t="s">
        <v>743</v>
      </c>
      <c r="I222" s="461">
        <f>I223</f>
        <v>3508.9</v>
      </c>
      <c r="J222" s="461">
        <f>J223</f>
        <v>3167.7</v>
      </c>
      <c r="K222" s="461">
        <f>K223</f>
        <v>2665.2</v>
      </c>
      <c r="L222" s="462">
        <f>L223</f>
        <v>145</v>
      </c>
      <c r="M222" s="459" t="s">
        <v>882</v>
      </c>
      <c r="N222" s="190" t="s">
        <v>882</v>
      </c>
      <c r="O222" s="461">
        <v>894902.36</v>
      </c>
      <c r="P222" s="461">
        <f t="shared" si="5"/>
        <v>255.03786371797429</v>
      </c>
      <c r="Q222" s="461">
        <f>Q223</f>
        <v>741.85072244863056</v>
      </c>
      <c r="T222" s="463"/>
    </row>
    <row r="223" spans="1:20" ht="35.25" x14ac:dyDescent="0.5">
      <c r="A223" s="4">
        <v>1</v>
      </c>
      <c r="B223" s="464">
        <f>B221+1</f>
        <v>114</v>
      </c>
      <c r="C223" s="465" t="s">
        <v>1477</v>
      </c>
      <c r="D223" s="459">
        <v>1987</v>
      </c>
      <c r="E223" s="459"/>
      <c r="F223" s="460" t="s">
        <v>311</v>
      </c>
      <c r="G223" s="459">
        <v>5</v>
      </c>
      <c r="H223" s="459">
        <v>4</v>
      </c>
      <c r="I223" s="461">
        <v>3508.9</v>
      </c>
      <c r="J223" s="461">
        <v>3167.7</v>
      </c>
      <c r="K223" s="461">
        <v>2665.2</v>
      </c>
      <c r="L223" s="462">
        <v>145</v>
      </c>
      <c r="M223" s="459" t="s">
        <v>266</v>
      </c>
      <c r="N223" s="190" t="s">
        <v>268</v>
      </c>
      <c r="O223" s="461">
        <v>894902.36</v>
      </c>
      <c r="P223" s="461">
        <f t="shared" si="5"/>
        <v>255.03786371797429</v>
      </c>
      <c r="Q223" s="461">
        <v>741.85072244863056</v>
      </c>
      <c r="T223" s="463"/>
    </row>
    <row r="224" spans="1:20" ht="35.25" x14ac:dyDescent="0.5">
      <c r="B224" s="458" t="s">
        <v>833</v>
      </c>
      <c r="C224" s="465"/>
      <c r="D224" s="459" t="s">
        <v>743</v>
      </c>
      <c r="E224" s="459" t="s">
        <v>743</v>
      </c>
      <c r="F224" s="460" t="s">
        <v>743</v>
      </c>
      <c r="G224" s="459" t="s">
        <v>743</v>
      </c>
      <c r="H224" s="459" t="s">
        <v>743</v>
      </c>
      <c r="I224" s="461">
        <f>I225</f>
        <v>719.4</v>
      </c>
      <c r="J224" s="461">
        <f>J225</f>
        <v>531.6</v>
      </c>
      <c r="K224" s="461">
        <f>K225</f>
        <v>471.6</v>
      </c>
      <c r="L224" s="462">
        <f>L225</f>
        <v>30</v>
      </c>
      <c r="M224" s="459" t="s">
        <v>882</v>
      </c>
      <c r="N224" s="190" t="s">
        <v>882</v>
      </c>
      <c r="O224" s="461">
        <v>41771.31</v>
      </c>
      <c r="P224" s="461">
        <f t="shared" si="5"/>
        <v>58.064095079232693</v>
      </c>
      <c r="Q224" s="461">
        <f>Q225</f>
        <v>5888.9528773978318</v>
      </c>
      <c r="T224" s="463"/>
    </row>
    <row r="225" spans="1:20" ht="35.25" x14ac:dyDescent="0.5">
      <c r="A225" s="4">
        <v>1</v>
      </c>
      <c r="B225" s="464">
        <f>B223+1</f>
        <v>115</v>
      </c>
      <c r="C225" s="465" t="s">
        <v>1478</v>
      </c>
      <c r="D225" s="459">
        <v>1975</v>
      </c>
      <c r="E225" s="459"/>
      <c r="F225" s="460" t="s">
        <v>267</v>
      </c>
      <c r="G225" s="459">
        <v>2</v>
      </c>
      <c r="H225" s="459">
        <v>2</v>
      </c>
      <c r="I225" s="461">
        <v>719.4</v>
      </c>
      <c r="J225" s="461">
        <v>531.6</v>
      </c>
      <c r="K225" s="461">
        <v>471.6</v>
      </c>
      <c r="L225" s="462">
        <v>30</v>
      </c>
      <c r="M225" s="459" t="s">
        <v>266</v>
      </c>
      <c r="N225" s="190" t="s">
        <v>268</v>
      </c>
      <c r="O225" s="461">
        <v>41771.31</v>
      </c>
      <c r="P225" s="461">
        <f t="shared" si="5"/>
        <v>58.064095079232693</v>
      </c>
      <c r="Q225" s="461">
        <v>5888.9528773978318</v>
      </c>
      <c r="T225" s="463"/>
    </row>
    <row r="226" spans="1:20" ht="35.25" x14ac:dyDescent="0.5">
      <c r="B226" s="458" t="s">
        <v>848</v>
      </c>
      <c r="C226" s="465"/>
      <c r="D226" s="459" t="s">
        <v>743</v>
      </c>
      <c r="E226" s="459" t="s">
        <v>743</v>
      </c>
      <c r="F226" s="460" t="s">
        <v>743</v>
      </c>
      <c r="G226" s="459" t="s">
        <v>743</v>
      </c>
      <c r="H226" s="459" t="s">
        <v>743</v>
      </c>
      <c r="I226" s="461">
        <f>I227</f>
        <v>930</v>
      </c>
      <c r="J226" s="461">
        <f>J227</f>
        <v>857.4</v>
      </c>
      <c r="K226" s="461">
        <f>K227</f>
        <v>561.4</v>
      </c>
      <c r="L226" s="462">
        <f>L227</f>
        <v>45</v>
      </c>
      <c r="M226" s="459" t="s">
        <v>882</v>
      </c>
      <c r="N226" s="190" t="s">
        <v>882</v>
      </c>
      <c r="O226" s="461">
        <v>39622.869999999995</v>
      </c>
      <c r="P226" s="461">
        <f t="shared" si="5"/>
        <v>42.605236559139783</v>
      </c>
      <c r="Q226" s="461">
        <f>Q227</f>
        <v>5332.1154838709672</v>
      </c>
      <c r="T226" s="463"/>
    </row>
    <row r="227" spans="1:20" ht="35.25" x14ac:dyDescent="0.5">
      <c r="A227" s="4">
        <v>1</v>
      </c>
      <c r="B227" s="464">
        <f>B225+1</f>
        <v>116</v>
      </c>
      <c r="C227" s="465" t="s">
        <v>1479</v>
      </c>
      <c r="D227" s="459">
        <v>1973</v>
      </c>
      <c r="E227" s="459"/>
      <c r="F227" s="460" t="s">
        <v>267</v>
      </c>
      <c r="G227" s="459">
        <v>2</v>
      </c>
      <c r="H227" s="459">
        <v>3</v>
      </c>
      <c r="I227" s="461">
        <v>930</v>
      </c>
      <c r="J227" s="461">
        <v>857.4</v>
      </c>
      <c r="K227" s="461">
        <v>561.4</v>
      </c>
      <c r="L227" s="462">
        <v>45</v>
      </c>
      <c r="M227" s="459" t="s">
        <v>269</v>
      </c>
      <c r="N227" s="190" t="s">
        <v>280</v>
      </c>
      <c r="O227" s="461">
        <v>39622.869999999995</v>
      </c>
      <c r="P227" s="461">
        <f t="shared" si="5"/>
        <v>42.605236559139783</v>
      </c>
      <c r="Q227" s="461">
        <v>5332.1154838709672</v>
      </c>
      <c r="T227" s="463"/>
    </row>
    <row r="228" spans="1:20" ht="35.25" x14ac:dyDescent="0.5">
      <c r="B228" s="458" t="s">
        <v>826</v>
      </c>
      <c r="C228" s="465"/>
      <c r="D228" s="459" t="s">
        <v>743</v>
      </c>
      <c r="E228" s="459" t="s">
        <v>743</v>
      </c>
      <c r="F228" s="460" t="s">
        <v>743</v>
      </c>
      <c r="G228" s="459" t="s">
        <v>743</v>
      </c>
      <c r="H228" s="459" t="s">
        <v>743</v>
      </c>
      <c r="I228" s="461">
        <f>I229</f>
        <v>5432.4</v>
      </c>
      <c r="J228" s="461">
        <f>J229</f>
        <v>4626.3999999999996</v>
      </c>
      <c r="K228" s="461">
        <f>K229</f>
        <v>4626.3999999999996</v>
      </c>
      <c r="L228" s="462">
        <f>L229</f>
        <v>181</v>
      </c>
      <c r="M228" s="459" t="s">
        <v>882</v>
      </c>
      <c r="N228" s="190" t="s">
        <v>882</v>
      </c>
      <c r="O228" s="461">
        <v>1045972.2</v>
      </c>
      <c r="P228" s="461">
        <f t="shared" si="5"/>
        <v>192.54329578087035</v>
      </c>
      <c r="Q228" s="461">
        <f>Q229</f>
        <v>1421.9571276047418</v>
      </c>
      <c r="T228" s="463"/>
    </row>
    <row r="229" spans="1:20" ht="35.25" x14ac:dyDescent="0.5">
      <c r="A229" s="4">
        <v>1</v>
      </c>
      <c r="B229" s="464">
        <f>B227+1</f>
        <v>117</v>
      </c>
      <c r="C229" s="465" t="s">
        <v>2266</v>
      </c>
      <c r="D229" s="459">
        <v>1977</v>
      </c>
      <c r="E229" s="459"/>
      <c r="F229" s="460" t="s">
        <v>311</v>
      </c>
      <c r="G229" s="459">
        <v>5</v>
      </c>
      <c r="H229" s="459">
        <v>6</v>
      </c>
      <c r="I229" s="461">
        <v>5432.4</v>
      </c>
      <c r="J229" s="461">
        <v>4626.3999999999996</v>
      </c>
      <c r="K229" s="461">
        <f>J229</f>
        <v>4626.3999999999996</v>
      </c>
      <c r="L229" s="462">
        <v>181</v>
      </c>
      <c r="M229" s="459" t="s">
        <v>269</v>
      </c>
      <c r="N229" s="190" t="s">
        <v>802</v>
      </c>
      <c r="O229" s="461">
        <v>1045972.2</v>
      </c>
      <c r="P229" s="461">
        <f t="shared" si="5"/>
        <v>192.54329578087035</v>
      </c>
      <c r="Q229" s="461">
        <v>1421.9571276047418</v>
      </c>
      <c r="T229" s="463"/>
    </row>
    <row r="230" spans="1:20" ht="35.25" x14ac:dyDescent="0.5">
      <c r="B230" s="458" t="s">
        <v>831</v>
      </c>
      <c r="C230" s="465"/>
      <c r="D230" s="459" t="s">
        <v>743</v>
      </c>
      <c r="E230" s="459" t="s">
        <v>743</v>
      </c>
      <c r="F230" s="460" t="s">
        <v>743</v>
      </c>
      <c r="G230" s="459" t="s">
        <v>743</v>
      </c>
      <c r="H230" s="459" t="s">
        <v>743</v>
      </c>
      <c r="I230" s="461">
        <f>SUM(I231:I232)</f>
        <v>1000</v>
      </c>
      <c r="J230" s="461">
        <f>SUM(J231:J232)</f>
        <v>897</v>
      </c>
      <c r="K230" s="461">
        <f>SUM(K231:K232)</f>
        <v>578</v>
      </c>
      <c r="L230" s="462">
        <f>SUM(L231:L232)</f>
        <v>54</v>
      </c>
      <c r="M230" s="459" t="s">
        <v>882</v>
      </c>
      <c r="N230" s="190" t="s">
        <v>882</v>
      </c>
      <c r="O230" s="461">
        <v>98453.75</v>
      </c>
      <c r="P230" s="461">
        <f t="shared" si="5"/>
        <v>98.453749999999999</v>
      </c>
      <c r="Q230" s="461">
        <f>MAX(Q231:Q232)</f>
        <v>6207.3446153846153</v>
      </c>
      <c r="T230" s="463"/>
    </row>
    <row r="231" spans="1:20" ht="35.25" x14ac:dyDescent="0.5">
      <c r="A231" s="4">
        <v>1</v>
      </c>
      <c r="B231" s="464">
        <f>B229+1</f>
        <v>118</v>
      </c>
      <c r="C231" s="465" t="s">
        <v>1487</v>
      </c>
      <c r="D231" s="459">
        <v>1967</v>
      </c>
      <c r="E231" s="459"/>
      <c r="F231" s="460" t="s">
        <v>267</v>
      </c>
      <c r="G231" s="459">
        <v>2</v>
      </c>
      <c r="H231" s="459">
        <v>2</v>
      </c>
      <c r="I231" s="461">
        <v>610</v>
      </c>
      <c r="J231" s="461">
        <v>558</v>
      </c>
      <c r="K231" s="461">
        <v>380.7</v>
      </c>
      <c r="L231" s="462">
        <v>33</v>
      </c>
      <c r="M231" s="459" t="s">
        <v>266</v>
      </c>
      <c r="N231" s="190" t="s">
        <v>268</v>
      </c>
      <c r="O231" s="461">
        <v>78556.570000000007</v>
      </c>
      <c r="P231" s="461">
        <f t="shared" si="5"/>
        <v>128.78126229508197</v>
      </c>
      <c r="Q231" s="461">
        <v>6155.6440983606553</v>
      </c>
      <c r="T231" s="463"/>
    </row>
    <row r="232" spans="1:20" ht="35.25" x14ac:dyDescent="0.5">
      <c r="A232" s="4">
        <v>1</v>
      </c>
      <c r="B232" s="464">
        <f>B231+1</f>
        <v>119</v>
      </c>
      <c r="C232" s="465" t="s">
        <v>1488</v>
      </c>
      <c r="D232" s="459">
        <v>1965</v>
      </c>
      <c r="E232" s="459"/>
      <c r="F232" s="460" t="s">
        <v>267</v>
      </c>
      <c r="G232" s="459">
        <v>2</v>
      </c>
      <c r="H232" s="459">
        <v>2</v>
      </c>
      <c r="I232" s="461">
        <v>390</v>
      </c>
      <c r="J232" s="461">
        <v>339</v>
      </c>
      <c r="K232" s="461">
        <v>197.3</v>
      </c>
      <c r="L232" s="462">
        <v>21</v>
      </c>
      <c r="M232" s="459" t="s">
        <v>266</v>
      </c>
      <c r="N232" s="190" t="s">
        <v>268</v>
      </c>
      <c r="O232" s="461">
        <v>19897.179999999997</v>
      </c>
      <c r="P232" s="461">
        <f t="shared" si="5"/>
        <v>51.018410256410249</v>
      </c>
      <c r="Q232" s="461">
        <v>6207.3446153846153</v>
      </c>
      <c r="T232" s="463"/>
    </row>
    <row r="233" spans="1:20" ht="35.25" x14ac:dyDescent="0.5">
      <c r="B233" s="458" t="s">
        <v>1036</v>
      </c>
      <c r="C233" s="465"/>
      <c r="D233" s="459" t="s">
        <v>743</v>
      </c>
      <c r="E233" s="459" t="s">
        <v>743</v>
      </c>
      <c r="F233" s="460" t="s">
        <v>743</v>
      </c>
      <c r="G233" s="459" t="s">
        <v>743</v>
      </c>
      <c r="H233" s="459" t="s">
        <v>743</v>
      </c>
      <c r="I233" s="461">
        <f>I234</f>
        <v>1707.6</v>
      </c>
      <c r="J233" s="461">
        <f>J234</f>
        <v>1346.4</v>
      </c>
      <c r="K233" s="461">
        <f>K234</f>
        <v>1242.0999999999999</v>
      </c>
      <c r="L233" s="462">
        <f>L234</f>
        <v>83</v>
      </c>
      <c r="M233" s="459" t="s">
        <v>882</v>
      </c>
      <c r="N233" s="190" t="s">
        <v>882</v>
      </c>
      <c r="O233" s="461">
        <v>5309.7</v>
      </c>
      <c r="P233" s="461">
        <f t="shared" si="5"/>
        <v>3.1094518622628251</v>
      </c>
      <c r="Q233" s="461">
        <f>Q234</f>
        <v>1637.2147575544625</v>
      </c>
      <c r="T233" s="463"/>
    </row>
    <row r="234" spans="1:20" ht="35.25" x14ac:dyDescent="0.5">
      <c r="A234" s="4">
        <v>1</v>
      </c>
      <c r="B234" s="464">
        <f>B232+1</f>
        <v>120</v>
      </c>
      <c r="C234" s="465" t="s">
        <v>1581</v>
      </c>
      <c r="D234" s="459">
        <v>1985</v>
      </c>
      <c r="E234" s="459"/>
      <c r="F234" s="460" t="s">
        <v>267</v>
      </c>
      <c r="G234" s="459">
        <v>5</v>
      </c>
      <c r="H234" s="459">
        <v>1</v>
      </c>
      <c r="I234" s="461">
        <v>1707.6</v>
      </c>
      <c r="J234" s="461">
        <v>1346.4</v>
      </c>
      <c r="K234" s="461">
        <v>1242.0999999999999</v>
      </c>
      <c r="L234" s="462">
        <v>83</v>
      </c>
      <c r="M234" s="459" t="s">
        <v>269</v>
      </c>
      <c r="N234" s="190" t="s">
        <v>1586</v>
      </c>
      <c r="O234" s="461">
        <v>5309.7</v>
      </c>
      <c r="P234" s="461">
        <f t="shared" si="5"/>
        <v>3.1094518622628251</v>
      </c>
      <c r="Q234" s="461">
        <v>1637.2147575544625</v>
      </c>
      <c r="T234" s="463"/>
    </row>
    <row r="235" spans="1:20" ht="35.25" x14ac:dyDescent="0.5">
      <c r="B235" s="458" t="s">
        <v>874</v>
      </c>
      <c r="C235" s="465"/>
      <c r="D235" s="459" t="s">
        <v>743</v>
      </c>
      <c r="E235" s="459" t="s">
        <v>743</v>
      </c>
      <c r="F235" s="460" t="s">
        <v>743</v>
      </c>
      <c r="G235" s="459" t="s">
        <v>743</v>
      </c>
      <c r="H235" s="459" t="s">
        <v>743</v>
      </c>
      <c r="I235" s="461">
        <f>I236</f>
        <v>773.3</v>
      </c>
      <c r="J235" s="461">
        <f>J236</f>
        <v>709.7</v>
      </c>
      <c r="K235" s="461">
        <f>K236</f>
        <v>676.4</v>
      </c>
      <c r="L235" s="462">
        <f>L236</f>
        <v>25</v>
      </c>
      <c r="M235" s="459" t="s">
        <v>882</v>
      </c>
      <c r="N235" s="190" t="s">
        <v>882</v>
      </c>
      <c r="O235" s="461">
        <v>188216.53</v>
      </c>
      <c r="P235" s="461">
        <f t="shared" si="5"/>
        <v>243.39393508340879</v>
      </c>
      <c r="Q235" s="461">
        <f>Q236</f>
        <v>1566.5438445622656</v>
      </c>
      <c r="T235" s="463"/>
    </row>
    <row r="236" spans="1:20" ht="35.25" x14ac:dyDescent="0.5">
      <c r="B236" s="464">
        <f>B234+1</f>
        <v>121</v>
      </c>
      <c r="C236" s="465" t="s">
        <v>1669</v>
      </c>
      <c r="D236" s="459">
        <v>1982</v>
      </c>
      <c r="E236" s="459"/>
      <c r="F236" s="460" t="s">
        <v>1309</v>
      </c>
      <c r="G236" s="459">
        <v>5</v>
      </c>
      <c r="H236" s="459">
        <v>1</v>
      </c>
      <c r="I236" s="461">
        <v>773.3</v>
      </c>
      <c r="J236" s="461">
        <v>709.7</v>
      </c>
      <c r="K236" s="461">
        <v>676.4</v>
      </c>
      <c r="L236" s="462">
        <v>25</v>
      </c>
      <c r="M236" s="459" t="s">
        <v>266</v>
      </c>
      <c r="N236" s="190" t="s">
        <v>268</v>
      </c>
      <c r="O236" s="461">
        <v>188216.53</v>
      </c>
      <c r="P236" s="461">
        <f t="shared" si="5"/>
        <v>243.39393508340879</v>
      </c>
      <c r="Q236" s="461">
        <v>1566.5438445622656</v>
      </c>
      <c r="T236" s="463"/>
    </row>
    <row r="237" spans="1:20" ht="35.25" x14ac:dyDescent="0.5">
      <c r="B237" s="458" t="s">
        <v>845</v>
      </c>
      <c r="C237" s="465"/>
      <c r="D237" s="459" t="s">
        <v>743</v>
      </c>
      <c r="E237" s="459" t="s">
        <v>743</v>
      </c>
      <c r="F237" s="460" t="s">
        <v>743</v>
      </c>
      <c r="G237" s="459" t="s">
        <v>743</v>
      </c>
      <c r="H237" s="459" t="s">
        <v>743</v>
      </c>
      <c r="I237" s="461">
        <f>I238</f>
        <v>3094.98</v>
      </c>
      <c r="J237" s="461">
        <f t="shared" ref="J237:L239" si="6">J238</f>
        <v>2793.4</v>
      </c>
      <c r="K237" s="461">
        <f t="shared" si="6"/>
        <v>2250.5</v>
      </c>
      <c r="L237" s="462">
        <f t="shared" si="6"/>
        <v>157</v>
      </c>
      <c r="M237" s="459" t="s">
        <v>882</v>
      </c>
      <c r="N237" s="190" t="s">
        <v>882</v>
      </c>
      <c r="O237" s="461">
        <v>29122.38</v>
      </c>
      <c r="P237" s="461">
        <f t="shared" si="5"/>
        <v>9.4095535350793877</v>
      </c>
      <c r="Q237" s="461">
        <f>Q238</f>
        <v>3259.66</v>
      </c>
      <c r="T237" s="463"/>
    </row>
    <row r="238" spans="1:20" ht="35.25" x14ac:dyDescent="0.5">
      <c r="B238" s="464">
        <f>B236+1</f>
        <v>122</v>
      </c>
      <c r="C238" s="465" t="s">
        <v>1882</v>
      </c>
      <c r="D238" s="459" t="s">
        <v>372</v>
      </c>
      <c r="E238" s="459"/>
      <c r="F238" s="460" t="s">
        <v>267</v>
      </c>
      <c r="G238" s="459">
        <v>5</v>
      </c>
      <c r="H238" s="459">
        <v>4</v>
      </c>
      <c r="I238" s="461">
        <v>3094.98</v>
      </c>
      <c r="J238" s="461">
        <v>2793.4</v>
      </c>
      <c r="K238" s="461">
        <v>2250.5</v>
      </c>
      <c r="L238" s="462">
        <v>157</v>
      </c>
      <c r="M238" s="459" t="s">
        <v>269</v>
      </c>
      <c r="N238" s="190" t="s">
        <v>1889</v>
      </c>
      <c r="O238" s="461">
        <v>29122.38</v>
      </c>
      <c r="P238" s="461">
        <f t="shared" si="5"/>
        <v>9.4095535350793877</v>
      </c>
      <c r="Q238" s="461">
        <v>3259.66</v>
      </c>
      <c r="T238" s="463"/>
    </row>
    <row r="239" spans="1:20" ht="35.25" x14ac:dyDescent="0.5">
      <c r="B239" s="458" t="s">
        <v>845</v>
      </c>
      <c r="C239" s="465"/>
      <c r="D239" s="459" t="s">
        <v>743</v>
      </c>
      <c r="E239" s="459" t="s">
        <v>743</v>
      </c>
      <c r="F239" s="460" t="s">
        <v>743</v>
      </c>
      <c r="G239" s="459" t="s">
        <v>743</v>
      </c>
      <c r="H239" s="459" t="s">
        <v>743</v>
      </c>
      <c r="I239" s="461">
        <f>I240</f>
        <v>2034.7</v>
      </c>
      <c r="J239" s="461">
        <f t="shared" si="6"/>
        <v>1884.7</v>
      </c>
      <c r="K239" s="461">
        <f t="shared" si="6"/>
        <v>1600.6</v>
      </c>
      <c r="L239" s="462">
        <f t="shared" si="6"/>
        <v>104</v>
      </c>
      <c r="M239" s="459" t="s">
        <v>882</v>
      </c>
      <c r="N239" s="190" t="s">
        <v>882</v>
      </c>
      <c r="O239" s="461">
        <v>4917329.37</v>
      </c>
      <c r="P239" s="461">
        <f t="shared" si="5"/>
        <v>2416.7343441293556</v>
      </c>
      <c r="Q239" s="461">
        <f>Q240</f>
        <v>3262.3256499729691</v>
      </c>
      <c r="T239" s="463"/>
    </row>
    <row r="240" spans="1:20" ht="35.25" x14ac:dyDescent="0.5">
      <c r="B240" s="464">
        <f>B238+1</f>
        <v>123</v>
      </c>
      <c r="C240" s="465" t="s">
        <v>2265</v>
      </c>
      <c r="D240" s="459">
        <v>1982</v>
      </c>
      <c r="E240" s="459"/>
      <c r="F240" s="460" t="s">
        <v>267</v>
      </c>
      <c r="G240" s="459">
        <v>3</v>
      </c>
      <c r="H240" s="459">
        <v>4</v>
      </c>
      <c r="I240" s="461">
        <v>2034.7</v>
      </c>
      <c r="J240" s="461">
        <v>1884.7</v>
      </c>
      <c r="K240" s="461">
        <v>1600.6</v>
      </c>
      <c r="L240" s="462">
        <v>104</v>
      </c>
      <c r="M240" s="459" t="s">
        <v>269</v>
      </c>
      <c r="N240" s="190" t="s">
        <v>289</v>
      </c>
      <c r="O240" s="461">
        <v>4917329.37</v>
      </c>
      <c r="P240" s="461">
        <f t="shared" si="5"/>
        <v>2416.7343441293556</v>
      </c>
      <c r="Q240" s="461">
        <v>3262.3256499729691</v>
      </c>
      <c r="T240" s="463"/>
    </row>
  </sheetData>
  <autoFilter ref="A8:S240" xr:uid="{00000000-0009-0000-0000-000007000000}"/>
  <mergeCells count="23"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84:Q84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</mergeCells>
  <pageMargins left="0" right="0" top="0" bottom="0" header="0" footer="0"/>
  <pageSetup paperSize="9" scale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F71"/>
  <sheetViews>
    <sheetView zoomScale="60" zoomScaleNormal="60" workbookViewId="0">
      <selection activeCell="D29" sqref="D29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2"/>
      <c r="D1" s="315" t="s">
        <v>1050</v>
      </c>
      <c r="E1" s="315"/>
      <c r="F1" s="315"/>
    </row>
    <row r="2" spans="1:6" ht="53.25" customHeight="1" x14ac:dyDescent="0.25">
      <c r="C2" s="317" t="s">
        <v>1041</v>
      </c>
      <c r="D2" s="317"/>
      <c r="E2" s="317"/>
      <c r="F2" s="317"/>
    </row>
    <row r="3" spans="1:6" ht="104.25" customHeight="1" x14ac:dyDescent="0.25">
      <c r="A3" s="318" t="s">
        <v>1051</v>
      </c>
      <c r="B3" s="318"/>
      <c r="C3" s="318"/>
      <c r="D3" s="318"/>
      <c r="E3" s="318"/>
      <c r="F3" s="318"/>
    </row>
    <row r="4" spans="1:6" x14ac:dyDescent="0.25">
      <c r="A4" s="319" t="s">
        <v>6</v>
      </c>
      <c r="B4" s="319" t="s">
        <v>735</v>
      </c>
      <c r="C4" s="316" t="s">
        <v>736</v>
      </c>
      <c r="D4" s="316" t="s">
        <v>1052</v>
      </c>
      <c r="E4" s="316" t="s">
        <v>738</v>
      </c>
      <c r="F4" s="316" t="s">
        <v>739</v>
      </c>
    </row>
    <row r="5" spans="1:6" ht="156.75" customHeight="1" x14ac:dyDescent="0.25">
      <c r="A5" s="320"/>
      <c r="B5" s="320"/>
      <c r="C5" s="321"/>
      <c r="D5" s="316"/>
      <c r="E5" s="316"/>
      <c r="F5" s="316"/>
    </row>
    <row r="6" spans="1:6" ht="23.25" x14ac:dyDescent="0.25">
      <c r="A6" s="320"/>
      <c r="B6" s="320"/>
      <c r="C6" s="43" t="s">
        <v>740</v>
      </c>
      <c r="D6" s="43" t="s">
        <v>263</v>
      </c>
      <c r="E6" s="43" t="s">
        <v>37</v>
      </c>
      <c r="F6" s="43" t="s">
        <v>36</v>
      </c>
    </row>
    <row r="7" spans="1:6" ht="23.25" x14ac:dyDescent="0.35">
      <c r="A7" s="44">
        <v>1</v>
      </c>
      <c r="B7" s="44">
        <v>2</v>
      </c>
      <c r="C7" s="44">
        <v>3</v>
      </c>
      <c r="D7" s="44">
        <v>4</v>
      </c>
      <c r="E7" s="45">
        <v>5</v>
      </c>
      <c r="F7" s="45">
        <v>6</v>
      </c>
    </row>
    <row r="8" spans="1:6" ht="74.25" customHeight="1" x14ac:dyDescent="0.25">
      <c r="A8" s="312" t="s">
        <v>1007</v>
      </c>
      <c r="B8" s="313"/>
      <c r="C8" s="313"/>
      <c r="D8" s="313"/>
      <c r="E8" s="313"/>
      <c r="F8" s="314"/>
    </row>
    <row r="9" spans="1:6" ht="23.25" x14ac:dyDescent="0.35">
      <c r="A9" s="44"/>
      <c r="B9" s="152" t="s">
        <v>1927</v>
      </c>
      <c r="C9" s="156">
        <v>43052.78</v>
      </c>
      <c r="D9" s="157">
        <v>1783</v>
      </c>
      <c r="E9" s="154">
        <f>E10+E29</f>
        <v>45</v>
      </c>
      <c r="F9" s="156">
        <v>81758127.070000008</v>
      </c>
    </row>
    <row r="10" spans="1:6" ht="23.25" x14ac:dyDescent="0.35">
      <c r="A10" s="44"/>
      <c r="B10" s="151" t="s">
        <v>1651</v>
      </c>
      <c r="C10" s="156">
        <v>33695.279999999999</v>
      </c>
      <c r="D10" s="157">
        <v>1359</v>
      </c>
      <c r="E10" s="154">
        <f>SUM(E11:E28)</f>
        <v>33</v>
      </c>
      <c r="F10" s="156">
        <v>51357504.920000009</v>
      </c>
    </row>
    <row r="11" spans="1:6" ht="23.25" x14ac:dyDescent="0.35">
      <c r="A11" s="44">
        <v>1</v>
      </c>
      <c r="B11" s="49" t="s">
        <v>888</v>
      </c>
      <c r="C11" s="50">
        <v>792.7</v>
      </c>
      <c r="D11" s="48">
        <v>42</v>
      </c>
      <c r="E11" s="48">
        <v>1</v>
      </c>
      <c r="F11" s="51">
        <v>2123521.14</v>
      </c>
    </row>
    <row r="12" spans="1:6" ht="23.25" x14ac:dyDescent="0.35">
      <c r="A12" s="44">
        <v>2</v>
      </c>
      <c r="B12" s="49" t="s">
        <v>1349</v>
      </c>
      <c r="C12" s="50">
        <v>12811.8</v>
      </c>
      <c r="D12" s="48">
        <v>434</v>
      </c>
      <c r="E12" s="48">
        <v>8</v>
      </c>
      <c r="F12" s="51">
        <v>14141903.43</v>
      </c>
    </row>
    <row r="13" spans="1:6" ht="23.25" x14ac:dyDescent="0.35">
      <c r="A13" s="44">
        <v>3</v>
      </c>
      <c r="B13" s="49" t="s">
        <v>892</v>
      </c>
      <c r="C13" s="50">
        <v>882.3</v>
      </c>
      <c r="D13" s="48">
        <v>29</v>
      </c>
      <c r="E13" s="48">
        <v>1</v>
      </c>
      <c r="F13" s="51">
        <v>2046844.64</v>
      </c>
    </row>
    <row r="14" spans="1:6" ht="23.25" x14ac:dyDescent="0.35">
      <c r="A14" s="44">
        <v>4</v>
      </c>
      <c r="B14" s="49" t="s">
        <v>897</v>
      </c>
      <c r="C14" s="50">
        <v>1813.2</v>
      </c>
      <c r="D14" s="48">
        <v>156</v>
      </c>
      <c r="E14" s="48">
        <v>1</v>
      </c>
      <c r="F14" s="51">
        <v>5153989.53</v>
      </c>
    </row>
    <row r="15" spans="1:6" ht="23.25" x14ac:dyDescent="0.35">
      <c r="A15" s="44">
        <v>5</v>
      </c>
      <c r="B15" s="49" t="s">
        <v>898</v>
      </c>
      <c r="C15" s="50">
        <v>366.5</v>
      </c>
      <c r="D15" s="48">
        <v>13</v>
      </c>
      <c r="E15" s="48">
        <v>1</v>
      </c>
      <c r="F15" s="51">
        <v>48440.03</v>
      </c>
    </row>
    <row r="16" spans="1:6" ht="23.25" x14ac:dyDescent="0.35">
      <c r="A16" s="44">
        <v>6</v>
      </c>
      <c r="B16" s="49" t="s">
        <v>1350</v>
      </c>
      <c r="C16" s="50">
        <v>872.2</v>
      </c>
      <c r="D16" s="48">
        <v>38</v>
      </c>
      <c r="E16" s="48">
        <v>2</v>
      </c>
      <c r="F16" s="51">
        <v>31767</v>
      </c>
    </row>
    <row r="17" spans="1:6" ht="23.25" x14ac:dyDescent="0.35">
      <c r="A17" s="44">
        <v>7</v>
      </c>
      <c r="B17" s="49" t="s">
        <v>907</v>
      </c>
      <c r="C17" s="50">
        <v>881.98</v>
      </c>
      <c r="D17" s="48">
        <v>48</v>
      </c>
      <c r="E17" s="48">
        <v>2</v>
      </c>
      <c r="F17" s="51">
        <v>3557815.66</v>
      </c>
    </row>
    <row r="18" spans="1:6" ht="23.25" x14ac:dyDescent="0.35">
      <c r="A18" s="44">
        <v>8</v>
      </c>
      <c r="B18" s="49" t="s">
        <v>940</v>
      </c>
      <c r="C18" s="50">
        <v>2093.1</v>
      </c>
      <c r="D18" s="48">
        <v>110</v>
      </c>
      <c r="E18" s="48">
        <v>3</v>
      </c>
      <c r="F18" s="51">
        <v>223917.22</v>
      </c>
    </row>
    <row r="19" spans="1:6" ht="23.25" x14ac:dyDescent="0.35">
      <c r="A19" s="44">
        <v>9</v>
      </c>
      <c r="B19" s="49" t="s">
        <v>912</v>
      </c>
      <c r="C19" s="50">
        <v>755.8</v>
      </c>
      <c r="D19" s="48">
        <v>20</v>
      </c>
      <c r="E19" s="48">
        <v>1</v>
      </c>
      <c r="F19" s="51">
        <v>3265341.36</v>
      </c>
    </row>
    <row r="20" spans="1:6" ht="23.25" x14ac:dyDescent="0.35">
      <c r="A20" s="44">
        <v>10</v>
      </c>
      <c r="B20" s="49" t="s">
        <v>915</v>
      </c>
      <c r="C20" s="50">
        <v>1840.2</v>
      </c>
      <c r="D20" s="48">
        <v>77</v>
      </c>
      <c r="E20" s="48">
        <v>1</v>
      </c>
      <c r="F20" s="51">
        <v>97672.62</v>
      </c>
    </row>
    <row r="21" spans="1:6" ht="23.25" x14ac:dyDescent="0.35">
      <c r="A21" s="44">
        <v>11</v>
      </c>
      <c r="B21" s="49" t="s">
        <v>1351</v>
      </c>
      <c r="C21" s="50">
        <v>1621.7</v>
      </c>
      <c r="D21" s="48">
        <v>58</v>
      </c>
      <c r="E21" s="48">
        <v>3</v>
      </c>
      <c r="F21" s="51">
        <v>7637123.5900000008</v>
      </c>
    </row>
    <row r="22" spans="1:6" ht="23.25" x14ac:dyDescent="0.35">
      <c r="A22" s="44">
        <v>12</v>
      </c>
      <c r="B22" s="49" t="s">
        <v>1352</v>
      </c>
      <c r="C22" s="50">
        <v>1598.9</v>
      </c>
      <c r="D22" s="48">
        <v>38</v>
      </c>
      <c r="E22" s="48">
        <v>1</v>
      </c>
      <c r="F22" s="51">
        <v>2434994.4500000002</v>
      </c>
    </row>
    <row r="23" spans="1:6" ht="23.25" x14ac:dyDescent="0.35">
      <c r="A23" s="44">
        <v>13</v>
      </c>
      <c r="B23" s="49" t="s">
        <v>928</v>
      </c>
      <c r="C23" s="50">
        <v>465</v>
      </c>
      <c r="D23" s="48">
        <v>26</v>
      </c>
      <c r="E23" s="48">
        <v>1</v>
      </c>
      <c r="F23" s="51">
        <v>89459.11</v>
      </c>
    </row>
    <row r="24" spans="1:6" ht="23.25" x14ac:dyDescent="0.35">
      <c r="A24" s="44">
        <v>14</v>
      </c>
      <c r="B24" s="49" t="s">
        <v>955</v>
      </c>
      <c r="C24" s="50">
        <v>861.5</v>
      </c>
      <c r="D24" s="48">
        <v>31</v>
      </c>
      <c r="E24" s="48">
        <v>1</v>
      </c>
      <c r="F24" s="51">
        <v>3168456.39</v>
      </c>
    </row>
    <row r="25" spans="1:6" ht="23.25" x14ac:dyDescent="0.35">
      <c r="A25" s="44">
        <v>15</v>
      </c>
      <c r="B25" s="49" t="s">
        <v>935</v>
      </c>
      <c r="C25" s="50">
        <v>2249.1999999999998</v>
      </c>
      <c r="D25" s="48">
        <v>104</v>
      </c>
      <c r="E25" s="48">
        <v>3</v>
      </c>
      <c r="F25" s="51">
        <v>4966030.97</v>
      </c>
    </row>
    <row r="26" spans="1:6" ht="23.25" x14ac:dyDescent="0.35">
      <c r="A26" s="44">
        <v>16</v>
      </c>
      <c r="B26" s="49" t="s">
        <v>934</v>
      </c>
      <c r="C26" s="50">
        <v>940.4</v>
      </c>
      <c r="D26" s="48">
        <v>26</v>
      </c>
      <c r="E26" s="48">
        <v>1</v>
      </c>
      <c r="F26" s="51">
        <v>1661171.06</v>
      </c>
    </row>
    <row r="27" spans="1:6" ht="23.25" x14ac:dyDescent="0.35">
      <c r="A27" s="44">
        <v>17</v>
      </c>
      <c r="B27" s="49" t="s">
        <v>909</v>
      </c>
      <c r="C27" s="50">
        <v>1743.7</v>
      </c>
      <c r="D27" s="48">
        <v>65</v>
      </c>
      <c r="E27" s="48">
        <v>1</v>
      </c>
      <c r="F27" s="51">
        <v>105794.97</v>
      </c>
    </row>
    <row r="28" spans="1:6" ht="23.25" x14ac:dyDescent="0.35">
      <c r="A28" s="44">
        <v>18</v>
      </c>
      <c r="B28" s="49" t="s">
        <v>904</v>
      </c>
      <c r="C28" s="50">
        <v>1105.0999999999999</v>
      </c>
      <c r="D28" s="48">
        <v>44</v>
      </c>
      <c r="E28" s="48">
        <v>1</v>
      </c>
      <c r="F28" s="51">
        <v>603261.75</v>
      </c>
    </row>
    <row r="29" spans="1:6" ht="23.25" x14ac:dyDescent="0.35">
      <c r="A29" s="44"/>
      <c r="B29" s="151" t="s">
        <v>1925</v>
      </c>
      <c r="C29" s="153">
        <v>9357.5</v>
      </c>
      <c r="D29" s="154">
        <v>424</v>
      </c>
      <c r="E29" s="154">
        <f>SUM(E30:E37)</f>
        <v>12</v>
      </c>
      <c r="F29" s="155">
        <v>30400622.149999999</v>
      </c>
    </row>
    <row r="30" spans="1:6" ht="23.25" x14ac:dyDescent="0.35">
      <c r="A30" s="44">
        <v>1</v>
      </c>
      <c r="B30" s="49" t="s">
        <v>1349</v>
      </c>
      <c r="C30" s="47">
        <v>1180.5999999999999</v>
      </c>
      <c r="D30" s="76">
        <v>60</v>
      </c>
      <c r="E30" s="48">
        <v>3</v>
      </c>
      <c r="F30" s="47">
        <v>5103149.49</v>
      </c>
    </row>
    <row r="31" spans="1:6" ht="23.25" x14ac:dyDescent="0.35">
      <c r="A31" s="44">
        <v>2</v>
      </c>
      <c r="B31" s="49" t="s">
        <v>898</v>
      </c>
      <c r="C31" s="50">
        <v>366.5</v>
      </c>
      <c r="D31" s="48">
        <v>25</v>
      </c>
      <c r="E31" s="48">
        <v>1</v>
      </c>
      <c r="F31" s="51">
        <v>1358175.69</v>
      </c>
    </row>
    <row r="32" spans="1:6" ht="23.25" x14ac:dyDescent="0.35">
      <c r="A32" s="44">
        <v>3</v>
      </c>
      <c r="B32" s="49" t="s">
        <v>1350</v>
      </c>
      <c r="C32" s="50">
        <v>410.7</v>
      </c>
      <c r="D32" s="48">
        <v>25</v>
      </c>
      <c r="E32" s="48">
        <v>1</v>
      </c>
      <c r="F32" s="51">
        <v>2525661.19</v>
      </c>
    </row>
    <row r="33" spans="1:6" ht="23.25" x14ac:dyDescent="0.35">
      <c r="A33" s="44">
        <v>4</v>
      </c>
      <c r="B33" s="49" t="s">
        <v>940</v>
      </c>
      <c r="C33" s="50">
        <v>2093.1</v>
      </c>
      <c r="D33" s="48">
        <v>110</v>
      </c>
      <c r="E33" s="48">
        <v>3</v>
      </c>
      <c r="F33" s="51">
        <v>6104073.4000000004</v>
      </c>
    </row>
    <row r="34" spans="1:6" ht="23.25" x14ac:dyDescent="0.35">
      <c r="A34" s="44">
        <v>5</v>
      </c>
      <c r="B34" s="49" t="s">
        <v>915</v>
      </c>
      <c r="C34" s="50">
        <v>1840.2</v>
      </c>
      <c r="D34" s="48">
        <v>77</v>
      </c>
      <c r="E34" s="48">
        <v>1</v>
      </c>
      <c r="F34" s="51">
        <v>5538174.9500000002</v>
      </c>
    </row>
    <row r="35" spans="1:6" ht="23.25" x14ac:dyDescent="0.35">
      <c r="A35" s="44">
        <v>6</v>
      </c>
      <c r="B35" s="49" t="s">
        <v>1691</v>
      </c>
      <c r="C35" s="50">
        <v>1257.7</v>
      </c>
      <c r="D35" s="48">
        <v>36</v>
      </c>
      <c r="E35" s="48">
        <v>1</v>
      </c>
      <c r="F35" s="51">
        <v>3666162.4299999997</v>
      </c>
    </row>
    <row r="36" spans="1:6" ht="23.25" x14ac:dyDescent="0.35">
      <c r="A36" s="44">
        <v>7</v>
      </c>
      <c r="B36" s="49" t="s">
        <v>928</v>
      </c>
      <c r="C36" s="50">
        <v>465</v>
      </c>
      <c r="D36" s="48">
        <v>26</v>
      </c>
      <c r="E36" s="48">
        <v>1</v>
      </c>
      <c r="F36" s="51">
        <v>2476600</v>
      </c>
    </row>
    <row r="37" spans="1:6" ht="23.25" x14ac:dyDescent="0.35">
      <c r="A37" s="44">
        <v>8</v>
      </c>
      <c r="B37" s="49" t="s">
        <v>909</v>
      </c>
      <c r="C37" s="50">
        <v>1743.7</v>
      </c>
      <c r="D37" s="48">
        <v>65</v>
      </c>
      <c r="E37" s="48">
        <v>1</v>
      </c>
      <c r="F37" s="51">
        <v>3628625</v>
      </c>
    </row>
    <row r="38" spans="1:6" ht="72" customHeight="1" x14ac:dyDescent="0.25">
      <c r="A38" s="312" t="s">
        <v>1394</v>
      </c>
      <c r="B38" s="313"/>
      <c r="C38" s="313"/>
      <c r="D38" s="313"/>
      <c r="E38" s="313"/>
      <c r="F38" s="314"/>
    </row>
    <row r="39" spans="1:6" ht="23.25" x14ac:dyDescent="0.35">
      <c r="A39" s="44"/>
      <c r="B39" s="46" t="s">
        <v>1053</v>
      </c>
      <c r="C39" s="47">
        <v>303518.68</v>
      </c>
      <c r="D39" s="76">
        <v>12599</v>
      </c>
      <c r="E39" s="79">
        <f>SUM(E40:E71)</f>
        <v>123</v>
      </c>
      <c r="F39" s="47">
        <v>53003596.220000006</v>
      </c>
    </row>
    <row r="40" spans="1:6" ht="23.25" x14ac:dyDescent="0.35">
      <c r="A40" s="44">
        <v>1</v>
      </c>
      <c r="B40" s="49" t="s">
        <v>888</v>
      </c>
      <c r="C40" s="50">
        <v>13682.619999999999</v>
      </c>
      <c r="D40" s="76">
        <v>744</v>
      </c>
      <c r="E40" s="79">
        <v>6</v>
      </c>
      <c r="F40" s="51">
        <v>3985118.04</v>
      </c>
    </row>
    <row r="41" spans="1:6" ht="23.25" x14ac:dyDescent="0.35">
      <c r="A41" s="44">
        <v>2</v>
      </c>
      <c r="B41" s="49" t="s">
        <v>889</v>
      </c>
      <c r="C41" s="50">
        <v>4101.7</v>
      </c>
      <c r="D41" s="76">
        <v>111</v>
      </c>
      <c r="E41" s="79">
        <v>1</v>
      </c>
      <c r="F41" s="51">
        <v>418959.01</v>
      </c>
    </row>
    <row r="42" spans="1:6" ht="23.25" x14ac:dyDescent="0.35">
      <c r="A42" s="44">
        <v>3</v>
      </c>
      <c r="B42" s="49" t="s">
        <v>892</v>
      </c>
      <c r="C42" s="50">
        <v>2327.5</v>
      </c>
      <c r="D42" s="76">
        <v>106</v>
      </c>
      <c r="E42" s="79">
        <v>3</v>
      </c>
      <c r="F42" s="51">
        <v>34858.28</v>
      </c>
    </row>
    <row r="43" spans="1:6" ht="23.25" x14ac:dyDescent="0.35">
      <c r="A43" s="44">
        <v>4</v>
      </c>
      <c r="B43" s="49" t="s">
        <v>1349</v>
      </c>
      <c r="C43" s="50">
        <v>28928.739999999998</v>
      </c>
      <c r="D43" s="76">
        <v>1177</v>
      </c>
      <c r="E43" s="79">
        <v>16</v>
      </c>
      <c r="F43" s="51">
        <v>1921865.3299999994</v>
      </c>
    </row>
    <row r="44" spans="1:6" ht="23.25" x14ac:dyDescent="0.35">
      <c r="A44" s="44">
        <v>5</v>
      </c>
      <c r="B44" s="49" t="s">
        <v>897</v>
      </c>
      <c r="C44" s="50">
        <v>14909.5</v>
      </c>
      <c r="D44" s="76">
        <v>477</v>
      </c>
      <c r="E44" s="79">
        <v>7</v>
      </c>
      <c r="F44" s="51">
        <v>2700572.82</v>
      </c>
    </row>
    <row r="45" spans="1:6" ht="23.25" x14ac:dyDescent="0.35">
      <c r="A45" s="44">
        <v>6</v>
      </c>
      <c r="B45" s="49" t="s">
        <v>896</v>
      </c>
      <c r="C45" s="50">
        <v>3874.7000000000003</v>
      </c>
      <c r="D45" s="76">
        <v>141</v>
      </c>
      <c r="E45" s="79">
        <v>4</v>
      </c>
      <c r="F45" s="51">
        <v>3358217.53</v>
      </c>
    </row>
    <row r="46" spans="1:6" ht="23.25" x14ac:dyDescent="0.35">
      <c r="A46" s="44">
        <v>7</v>
      </c>
      <c r="B46" s="49" t="s">
        <v>940</v>
      </c>
      <c r="C46" s="50">
        <v>56264.920000000006</v>
      </c>
      <c r="D46" s="76">
        <v>1785</v>
      </c>
      <c r="E46" s="79">
        <v>28</v>
      </c>
      <c r="F46" s="51">
        <v>12670128.300000001</v>
      </c>
    </row>
    <row r="47" spans="1:6" ht="23.25" x14ac:dyDescent="0.35">
      <c r="A47" s="44">
        <v>8</v>
      </c>
      <c r="B47" s="49" t="s">
        <v>1555</v>
      </c>
      <c r="C47" s="50">
        <v>47621.47</v>
      </c>
      <c r="D47" s="76">
        <v>2263</v>
      </c>
      <c r="E47" s="79">
        <v>15</v>
      </c>
      <c r="F47" s="51">
        <v>5257534.7999999989</v>
      </c>
    </row>
    <row r="48" spans="1:6" ht="23.25" x14ac:dyDescent="0.35">
      <c r="A48" s="44">
        <v>9</v>
      </c>
      <c r="B48" s="49" t="s">
        <v>1556</v>
      </c>
      <c r="C48" s="50">
        <v>45795.1</v>
      </c>
      <c r="D48" s="76">
        <v>2257</v>
      </c>
      <c r="E48" s="79">
        <v>6</v>
      </c>
      <c r="F48" s="51">
        <v>1550578.68</v>
      </c>
    </row>
    <row r="49" spans="1:6" ht="23.25" x14ac:dyDescent="0.35">
      <c r="A49" s="44">
        <v>10</v>
      </c>
      <c r="B49" s="49" t="s">
        <v>895</v>
      </c>
      <c r="C49" s="50">
        <v>6959.2</v>
      </c>
      <c r="D49" s="76">
        <v>259</v>
      </c>
      <c r="E49" s="79">
        <v>2</v>
      </c>
      <c r="F49" s="51">
        <v>3231773.15</v>
      </c>
    </row>
    <row r="50" spans="1:6" ht="23.25" x14ac:dyDescent="0.35">
      <c r="A50" s="44">
        <v>11</v>
      </c>
      <c r="B50" s="49" t="s">
        <v>1557</v>
      </c>
      <c r="C50" s="50">
        <v>1317.6</v>
      </c>
      <c r="D50" s="76">
        <v>50</v>
      </c>
      <c r="E50" s="79">
        <v>2</v>
      </c>
      <c r="F50" s="51">
        <v>35323.410000000003</v>
      </c>
    </row>
    <row r="51" spans="1:6" ht="23.25" x14ac:dyDescent="0.35">
      <c r="A51" s="44">
        <v>12</v>
      </c>
      <c r="B51" s="49" t="s">
        <v>956</v>
      </c>
      <c r="C51" s="50">
        <v>3121</v>
      </c>
      <c r="D51" s="76">
        <v>171</v>
      </c>
      <c r="E51" s="79">
        <v>1</v>
      </c>
      <c r="F51" s="51">
        <v>778244.79</v>
      </c>
    </row>
    <row r="52" spans="1:6" ht="23.25" x14ac:dyDescent="0.35">
      <c r="A52" s="44">
        <v>13</v>
      </c>
      <c r="B52" s="49" t="s">
        <v>923</v>
      </c>
      <c r="C52" s="50">
        <v>9754.2199999999993</v>
      </c>
      <c r="D52" s="76">
        <v>354</v>
      </c>
      <c r="E52" s="79">
        <v>5</v>
      </c>
      <c r="F52" s="51">
        <v>2076577.0500000003</v>
      </c>
    </row>
    <row r="53" spans="1:6" ht="23.25" x14ac:dyDescent="0.35">
      <c r="A53" s="44">
        <v>14</v>
      </c>
      <c r="B53" s="49" t="s">
        <v>904</v>
      </c>
      <c r="C53" s="50">
        <v>5085.1000000000004</v>
      </c>
      <c r="D53" s="76">
        <v>199</v>
      </c>
      <c r="E53" s="79">
        <v>1</v>
      </c>
      <c r="F53" s="51">
        <v>425208.96</v>
      </c>
    </row>
    <row r="54" spans="1:6" ht="23.25" x14ac:dyDescent="0.35">
      <c r="A54" s="44">
        <v>15</v>
      </c>
      <c r="B54" s="49" t="s">
        <v>907</v>
      </c>
      <c r="C54" s="50">
        <v>4174.76</v>
      </c>
      <c r="D54" s="76">
        <v>92</v>
      </c>
      <c r="E54" s="79">
        <v>2</v>
      </c>
      <c r="F54" s="51">
        <v>243092.59999999998</v>
      </c>
    </row>
    <row r="55" spans="1:6" ht="23.25" x14ac:dyDescent="0.35">
      <c r="A55" s="44">
        <v>16</v>
      </c>
      <c r="B55" s="49" t="s">
        <v>919</v>
      </c>
      <c r="C55" s="50">
        <v>15972.619999999999</v>
      </c>
      <c r="D55" s="76">
        <v>615</v>
      </c>
      <c r="E55" s="79">
        <v>2</v>
      </c>
      <c r="F55" s="51">
        <v>1988549.43</v>
      </c>
    </row>
    <row r="56" spans="1:6" ht="23.25" x14ac:dyDescent="0.35">
      <c r="A56" s="44">
        <v>17</v>
      </c>
      <c r="B56" s="49" t="s">
        <v>922</v>
      </c>
      <c r="C56" s="50">
        <v>3408</v>
      </c>
      <c r="D56" s="76">
        <v>189</v>
      </c>
      <c r="E56" s="79">
        <v>3</v>
      </c>
      <c r="F56" s="51">
        <v>660109.07000000007</v>
      </c>
    </row>
    <row r="57" spans="1:6" ht="23.25" x14ac:dyDescent="0.35">
      <c r="A57" s="44">
        <v>18</v>
      </c>
      <c r="B57" s="49" t="s">
        <v>955</v>
      </c>
      <c r="C57" s="50">
        <v>677.1</v>
      </c>
      <c r="D57" s="76">
        <v>37</v>
      </c>
      <c r="E57" s="79">
        <v>1</v>
      </c>
      <c r="F57" s="51">
        <v>39585</v>
      </c>
    </row>
    <row r="58" spans="1:6" ht="23.25" x14ac:dyDescent="0.35">
      <c r="A58" s="44">
        <v>19</v>
      </c>
      <c r="B58" s="49" t="s">
        <v>899</v>
      </c>
      <c r="C58" s="50">
        <v>805.6</v>
      </c>
      <c r="D58" s="76">
        <v>44</v>
      </c>
      <c r="E58" s="79">
        <v>1</v>
      </c>
      <c r="F58" s="51">
        <v>275468.56</v>
      </c>
    </row>
    <row r="59" spans="1:6" ht="23.25" x14ac:dyDescent="0.35">
      <c r="A59" s="44">
        <v>20</v>
      </c>
      <c r="B59" s="49" t="s">
        <v>942</v>
      </c>
      <c r="C59" s="50">
        <v>1423.3</v>
      </c>
      <c r="D59" s="76">
        <v>37</v>
      </c>
      <c r="E59" s="79">
        <v>1</v>
      </c>
      <c r="F59" s="51">
        <v>50753.95</v>
      </c>
    </row>
    <row r="60" spans="1:6" ht="23.25" x14ac:dyDescent="0.35">
      <c r="A60" s="44">
        <v>21</v>
      </c>
      <c r="B60" s="49" t="s">
        <v>953</v>
      </c>
      <c r="C60" s="50">
        <v>13349.95</v>
      </c>
      <c r="D60" s="76">
        <v>640</v>
      </c>
      <c r="E60" s="79">
        <v>4</v>
      </c>
      <c r="F60" s="51">
        <v>4098921.42</v>
      </c>
    </row>
    <row r="61" spans="1:6" ht="23.25" x14ac:dyDescent="0.35">
      <c r="A61" s="44">
        <v>22</v>
      </c>
      <c r="B61" s="49" t="s">
        <v>1354</v>
      </c>
      <c r="C61" s="50">
        <v>418.1</v>
      </c>
      <c r="D61" s="76">
        <v>12</v>
      </c>
      <c r="E61" s="79">
        <v>1</v>
      </c>
      <c r="F61" s="51">
        <v>222759.59</v>
      </c>
    </row>
    <row r="62" spans="1:6" ht="23.25" x14ac:dyDescent="0.35">
      <c r="A62" s="44">
        <v>23</v>
      </c>
      <c r="B62" s="49" t="s">
        <v>962</v>
      </c>
      <c r="C62" s="50">
        <v>344.6</v>
      </c>
      <c r="D62" s="76">
        <v>15</v>
      </c>
      <c r="E62" s="79">
        <v>1</v>
      </c>
      <c r="F62" s="51">
        <v>137654.99000000002</v>
      </c>
    </row>
    <row r="63" spans="1:6" ht="23.25" x14ac:dyDescent="0.35">
      <c r="A63" s="44">
        <v>24</v>
      </c>
      <c r="B63" s="49" t="s">
        <v>911</v>
      </c>
      <c r="C63" s="50">
        <v>3508.9</v>
      </c>
      <c r="D63" s="76">
        <v>145</v>
      </c>
      <c r="E63" s="79">
        <v>1</v>
      </c>
      <c r="F63" s="51">
        <v>894902.36</v>
      </c>
    </row>
    <row r="64" spans="1:6" ht="23.25" x14ac:dyDescent="0.35">
      <c r="A64" s="44">
        <v>25</v>
      </c>
      <c r="B64" s="49" t="s">
        <v>918</v>
      </c>
      <c r="C64" s="50">
        <v>719.4</v>
      </c>
      <c r="D64" s="76">
        <v>30</v>
      </c>
      <c r="E64" s="79">
        <v>1</v>
      </c>
      <c r="F64" s="51">
        <v>41771.31</v>
      </c>
    </row>
    <row r="65" spans="1:6" ht="23.25" x14ac:dyDescent="0.35">
      <c r="A65" s="44">
        <v>26</v>
      </c>
      <c r="B65" s="49" t="s">
        <v>933</v>
      </c>
      <c r="C65" s="50">
        <v>930</v>
      </c>
      <c r="D65" s="76">
        <v>45</v>
      </c>
      <c r="E65" s="79">
        <v>1</v>
      </c>
      <c r="F65" s="51">
        <v>39622.869999999995</v>
      </c>
    </row>
    <row r="66" spans="1:6" ht="23.25" x14ac:dyDescent="0.35">
      <c r="A66" s="44">
        <v>27</v>
      </c>
      <c r="B66" s="49" t="s">
        <v>909</v>
      </c>
      <c r="C66" s="50">
        <v>5432.4</v>
      </c>
      <c r="D66" s="76">
        <v>181</v>
      </c>
      <c r="E66" s="79">
        <v>1</v>
      </c>
      <c r="F66" s="51">
        <v>1045972.2</v>
      </c>
    </row>
    <row r="67" spans="1:6" ht="23.25" x14ac:dyDescent="0.35">
      <c r="A67" s="44">
        <v>28</v>
      </c>
      <c r="B67" s="49" t="s">
        <v>913</v>
      </c>
      <c r="C67" s="50">
        <v>1000</v>
      </c>
      <c r="D67" s="76">
        <v>54</v>
      </c>
      <c r="E67" s="79">
        <v>2</v>
      </c>
      <c r="F67" s="51">
        <v>98453.75</v>
      </c>
    </row>
    <row r="68" spans="1:6" ht="23.25" x14ac:dyDescent="0.35">
      <c r="A68" s="44">
        <v>29</v>
      </c>
      <c r="B68" s="49" t="s">
        <v>1350</v>
      </c>
      <c r="C68" s="50">
        <v>1707.6</v>
      </c>
      <c r="D68" s="76">
        <v>83</v>
      </c>
      <c r="E68" s="79">
        <v>1</v>
      </c>
      <c r="F68" s="51">
        <v>5309.7</v>
      </c>
    </row>
    <row r="69" spans="1:6" ht="23.25" x14ac:dyDescent="0.35">
      <c r="A69" s="44">
        <v>30</v>
      </c>
      <c r="B69" s="49" t="s">
        <v>926</v>
      </c>
      <c r="C69" s="50">
        <v>773.3</v>
      </c>
      <c r="D69" s="76">
        <v>25</v>
      </c>
      <c r="E69" s="79">
        <v>1</v>
      </c>
      <c r="F69" s="51">
        <v>188216.53</v>
      </c>
    </row>
    <row r="70" spans="1:6" ht="23.25" x14ac:dyDescent="0.35">
      <c r="A70" s="44">
        <v>31</v>
      </c>
      <c r="B70" s="49" t="s">
        <v>929</v>
      </c>
      <c r="C70" s="50">
        <v>3094.98</v>
      </c>
      <c r="D70" s="76">
        <v>157</v>
      </c>
      <c r="E70" s="79">
        <v>1</v>
      </c>
      <c r="F70" s="51">
        <v>29122.38</v>
      </c>
    </row>
    <row r="71" spans="1:6" ht="23.25" x14ac:dyDescent="0.35">
      <c r="A71" s="44">
        <v>32</v>
      </c>
      <c r="B71" s="49" t="s">
        <v>928</v>
      </c>
      <c r="C71" s="50">
        <v>2034.7</v>
      </c>
      <c r="D71" s="76">
        <v>104</v>
      </c>
      <c r="E71" s="79">
        <v>1</v>
      </c>
      <c r="F71" s="51">
        <v>4917329.37</v>
      </c>
    </row>
  </sheetData>
  <mergeCells count="11">
    <mergeCell ref="A38:F3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2021-04-22T13:15:08Z</cp:lastPrinted>
  <dcterms:created xsi:type="dcterms:W3CDTF">2019-03-21T15:19:46Z</dcterms:created>
  <dcterms:modified xsi:type="dcterms:W3CDTF">2021-07-09T07:18:14Z</dcterms:modified>
</cp:coreProperties>
</file>